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220" yWindow="630" windowWidth="15105" windowHeight="11190" tabRatio="972"/>
  </bookViews>
  <sheets>
    <sheet name="1" sheetId="205" r:id="rId1"/>
    <sheet name="2" sheetId="206" r:id="rId2"/>
    <sheet name="Diagram 2" sheetId="251" r:id="rId3"/>
    <sheet name="3" sheetId="207" r:id="rId4"/>
    <sheet name="4" sheetId="254" r:id="rId5"/>
    <sheet name="5" sheetId="209" r:id="rId6"/>
    <sheet name="6.1" sheetId="66" r:id="rId7"/>
    <sheet name="6.2" sheetId="65" r:id="rId8"/>
    <sheet name="6.3" sheetId="164" r:id="rId9"/>
    <sheet name="7.1" sheetId="68" r:id="rId10"/>
    <sheet name="7.2" sheetId="76" r:id="rId11"/>
    <sheet name="7.3" sheetId="67" r:id="rId12"/>
    <sheet name="7.4" sheetId="87" r:id="rId13"/>
    <sheet name="8.1" sheetId="74" r:id="rId14"/>
    <sheet name="8.2" sheetId="246" r:id="rId15"/>
    <sheet name="9.1" sheetId="247" r:id="rId16"/>
    <sheet name="9.2" sheetId="75" r:id="rId17"/>
    <sheet name="10.1" sheetId="60" r:id="rId18"/>
    <sheet name="10.2" sheetId="59" r:id="rId19"/>
    <sheet name="10.3" sheetId="56" r:id="rId20"/>
    <sheet name="10.4" sheetId="189" r:id="rId21"/>
    <sheet name="10.5" sheetId="248" r:id="rId22"/>
    <sheet name="11.1" sheetId="39" r:id="rId23"/>
    <sheet name="11.2" sheetId="249" r:id="rId24"/>
    <sheet name="12.1" sheetId="190" r:id="rId25"/>
    <sheet name="12.2" sheetId="294" r:id="rId26"/>
    <sheet name="13.1" sheetId="127" r:id="rId27"/>
    <sheet name="13.2" sheetId="191" r:id="rId28"/>
    <sheet name="14.1" sheetId="129" r:id="rId29"/>
    <sheet name="14.2" sheetId="192" r:id="rId30"/>
    <sheet name="15.1" sheetId="131" r:id="rId31"/>
    <sheet name="15.2" sheetId="193" r:id="rId32"/>
    <sheet name="16.1" sheetId="255" r:id="rId33"/>
    <sheet name="16.2" sheetId="256" r:id="rId34"/>
    <sheet name="16.3" sheetId="257" r:id="rId35"/>
    <sheet name="16.4" sheetId="258" r:id="rId36"/>
    <sheet name="16.5" sheetId="259" r:id="rId37"/>
    <sheet name="16.6" sheetId="260" r:id="rId38"/>
    <sheet name="16.7" sheetId="261" r:id="rId39"/>
    <sheet name="16.8" sheetId="262" r:id="rId40"/>
    <sheet name="16.9" sheetId="263" r:id="rId41"/>
    <sheet name="16.10" sheetId="264" r:id="rId42"/>
    <sheet name="16.11" sheetId="265" r:id="rId43"/>
    <sheet name="16.12" sheetId="266" r:id="rId44"/>
    <sheet name="16.13" sheetId="267" r:id="rId45"/>
    <sheet name="16.14" sheetId="268" r:id="rId46"/>
    <sheet name="16.15" sheetId="269" r:id="rId47"/>
    <sheet name="16.16" sheetId="270" r:id="rId48"/>
    <sheet name="16.17" sheetId="271" r:id="rId49"/>
    <sheet name="17.1" sheetId="272" r:id="rId50"/>
    <sheet name="17.2" sheetId="273" r:id="rId51"/>
    <sheet name="17.3" sheetId="274" r:id="rId52"/>
    <sheet name="17.4" sheetId="275" r:id="rId53"/>
    <sheet name="17.5" sheetId="276" r:id="rId54"/>
    <sheet name="17.6" sheetId="277" r:id="rId55"/>
    <sheet name="17.7" sheetId="278" r:id="rId56"/>
    <sheet name="17.8" sheetId="279" r:id="rId57"/>
    <sheet name="17.9" sheetId="280" r:id="rId58"/>
    <sheet name="17.10" sheetId="281" r:id="rId59"/>
    <sheet name="17.11" sheetId="282" r:id="rId60"/>
    <sheet name="17.12" sheetId="283" r:id="rId61"/>
    <sheet name="17.13" sheetId="284" r:id="rId62"/>
    <sheet name="17.14" sheetId="285" r:id="rId63"/>
    <sheet name="17.15" sheetId="286" r:id="rId64"/>
    <sheet name="17.16" sheetId="287" r:id="rId65"/>
    <sheet name="17.17" sheetId="288" r:id="rId66"/>
    <sheet name="18.1" sheetId="170" r:id="rId67"/>
    <sheet name="18.2" sheetId="156" r:id="rId68"/>
    <sheet name="18.3" sheetId="155" r:id="rId69"/>
    <sheet name="18.4" sheetId="154" r:id="rId70"/>
    <sheet name="18.5" sheetId="153" r:id="rId71"/>
    <sheet name="18.6" sheetId="152" r:id="rId72"/>
    <sheet name="18.7" sheetId="151" r:id="rId73"/>
    <sheet name="18.8" sheetId="150" r:id="rId74"/>
    <sheet name="18.9" sheetId="167" r:id="rId75"/>
    <sheet name="18.10" sheetId="173" r:id="rId76"/>
    <sheet name="18.11" sheetId="179" r:id="rId77"/>
    <sheet name="18.12" sheetId="204" r:id="rId78"/>
    <sheet name="18.13" sheetId="194" r:id="rId79"/>
    <sheet name="18.14" sheetId="245" r:id="rId80"/>
    <sheet name="18.15" sheetId="293" r:id="rId81"/>
    <sheet name="19.1" sheetId="289" r:id="rId82"/>
    <sheet name="19.2" sheetId="290" r:id="rId83"/>
    <sheet name="Diagram 19" sheetId="291" r:id="rId84"/>
    <sheet name="20" sheetId="292" r:id="rId85"/>
    <sheet name="21.1" sheetId="160" r:id="rId86"/>
    <sheet name="21.2" sheetId="202" r:id="rId87"/>
    <sheet name="22.1" sheetId="161" r:id="rId88"/>
    <sheet name="22.2" sheetId="203" r:id="rId89"/>
    <sheet name="Diagram 22" sheetId="252" r:id="rId90"/>
    <sheet name="23.1" sheetId="163" r:id="rId91"/>
    <sheet name="23.2" sheetId="195" r:id="rId92"/>
    <sheet name="24.1" sheetId="44" r:id="rId93"/>
    <sheet name="24.2" sheetId="250" r:id="rId94"/>
    <sheet name="25" sheetId="295" r:id="rId95"/>
    <sheet name="26" sheetId="296" r:id="rId96"/>
  </sheets>
  <externalReferences>
    <externalReference r:id="rId97"/>
    <externalReference r:id="rId98"/>
  </externalReferences>
  <definedNames>
    <definedName name="_xlnm.Print_Area" localSheetId="20">'10.4'!$A$1:$M$63</definedName>
    <definedName name="_xlnm.Print_Area" localSheetId="21">'10.5'!$A$1:$K$60</definedName>
    <definedName name="_xlnm.Print_Area" localSheetId="22">'11.1'!$A$1:$L$1119</definedName>
    <definedName name="_xlnm.Print_Area" localSheetId="23">'11.2'!$A$1:$L$1098</definedName>
    <definedName name="_xlnm.Print_Area" localSheetId="24">'12.1'!$A$1:$U$18</definedName>
    <definedName name="_xlnm.Print_Area" localSheetId="25">'12.2'!$A$1:$M$20</definedName>
    <definedName name="_xlnm.Print_Area" localSheetId="27">'13.2'!$A$1:$Q$20</definedName>
    <definedName name="_xlnm.Print_Area" localSheetId="28">'14.1'!$A$1:$I$23</definedName>
    <definedName name="_xlnm.Print_Area" localSheetId="29">'14.2'!$A$1:$Q$21</definedName>
    <definedName name="_xlnm.Print_Area" localSheetId="31">'15.2'!$A$1:$Q$139</definedName>
    <definedName name="_xlnm.Print_Area" localSheetId="66">'18.1'!$A$1:$Q$37</definedName>
    <definedName name="_xlnm.Print_Area" localSheetId="75">'18.10'!$A$1:$M$37</definedName>
    <definedName name="_xlnm.Print_Area" localSheetId="76">'18.11'!$A$1:$M$37</definedName>
    <definedName name="_xlnm.Print_Area" localSheetId="77">'18.12'!$A$1:$M$37</definedName>
    <definedName name="_xlnm.Print_Area" localSheetId="78">'18.13'!$A$1:$M$37</definedName>
    <definedName name="_xlnm.Print_Area" localSheetId="79">'18.14'!$A$1:$M$37</definedName>
    <definedName name="_xlnm.Print_Area" localSheetId="67">'18.2'!$A$1:$Q$37</definedName>
    <definedName name="_xlnm.Print_Area" localSheetId="68">'18.3'!$A$1:$M$37</definedName>
    <definedName name="_xlnm.Print_Area" localSheetId="69">'18.4'!$A$1:$M$37</definedName>
    <definedName name="_xlnm.Print_Area" localSheetId="70">'18.5'!$A$1:$M$37</definedName>
    <definedName name="_xlnm.Print_Area" localSheetId="71">'18.6'!$A$1:$M$37</definedName>
    <definedName name="_xlnm.Print_Area" localSheetId="72">'18.7'!$A$1:$M$37</definedName>
    <definedName name="_xlnm.Print_Area" localSheetId="73">'18.8'!$A$1:$M$37</definedName>
    <definedName name="_xlnm.Print_Area" localSheetId="1">'2'!$A$1:$S$13</definedName>
    <definedName name="_xlnm.Print_Area" localSheetId="84">'20'!$A$1:$U$32</definedName>
    <definedName name="_xlnm.Print_Area" localSheetId="85">'21.1'!$A$1:$R$16</definedName>
    <definedName name="_xlnm.Print_Area" localSheetId="87">'22.1'!$A$1:$N$21</definedName>
    <definedName name="_xlnm.Print_Area" localSheetId="88">'22.2'!$A$1:$G$18</definedName>
    <definedName name="_xlnm.Print_Area" localSheetId="90">'23.1'!$A$1:$L$24</definedName>
    <definedName name="_xlnm.Print_Area" localSheetId="91">'23.2'!$A$1:$Q$19</definedName>
    <definedName name="_xlnm.Print_Area" localSheetId="92">'24.1'!$A$1:$M$37</definedName>
    <definedName name="_xlnm.Print_Area" localSheetId="93">'24.2'!$A$1:$L$35</definedName>
    <definedName name="_xlnm.Print_Area" localSheetId="94">'25'!$A$1:$V$96</definedName>
    <definedName name="_xlnm.Print_Area" localSheetId="5">'5'!$A$1:$X$137</definedName>
    <definedName name="_xlnm.Print_Area" localSheetId="6">'6.1'!$A$1:$P$68</definedName>
    <definedName name="_xlnm.Print_Area" localSheetId="7">'6.2'!$A$1:$N$328</definedName>
    <definedName name="_xlnm.Print_Area" localSheetId="8">'6.3'!$A$1:$K$100</definedName>
    <definedName name="_xlnm.Print_Area" localSheetId="11">'7.3'!$A$1:$L$324</definedName>
    <definedName name="_xlnm.Print_Area" localSheetId="12">'7.4'!$A$1:$K$431</definedName>
    <definedName name="_xlnm.Print_Area" localSheetId="13">'8.1'!$A$1:$Q$64</definedName>
    <definedName name="_xlnm.Print_Area" localSheetId="14">'8.2'!$A$1:$G$64</definedName>
    <definedName name="_xlnm.Print_Area" localSheetId="15">'9.1'!$A$1:$M$51</definedName>
    <definedName name="_xlnm.Print_Area" localSheetId="16">'9.2'!$A$1:$K$56</definedName>
    <definedName name="_xlnm.Print_Area" localSheetId="83">'Diagram 19'!$A$1:$J$24</definedName>
    <definedName name="_xlnm.Print_Area" localSheetId="2">'Diagram 2'!$A$1:$N$27</definedName>
    <definedName name="_xlnm.Print_Area" localSheetId="89">'Diagram 22'!$A$1:$K$29</definedName>
    <definedName name="_xlnm.Print_Titles" localSheetId="0">'1'!$1:$7</definedName>
    <definedName name="_xlnm.Print_Titles" localSheetId="20">'10.4'!$6:$6</definedName>
    <definedName name="_xlnm.Print_Titles" localSheetId="22">'11.1'!$1:$5</definedName>
    <definedName name="_xlnm.Print_Titles" localSheetId="23">'11.2'!$1:$5</definedName>
    <definedName name="_xlnm.Print_Titles" localSheetId="28">'14.1'!$5:$5</definedName>
    <definedName name="_xlnm.Print_Titles" localSheetId="29">'14.2'!$5:$5</definedName>
    <definedName name="_xlnm.Print_Titles" localSheetId="30">'15.1'!$1:$5</definedName>
    <definedName name="_xlnm.Print_Titles" localSheetId="31">'15.2'!$1:$5</definedName>
    <definedName name="_xlnm.Print_Titles" localSheetId="94">'25'!#REF!</definedName>
    <definedName name="_xlnm.Print_Titles" localSheetId="4">'4'!$1:$5</definedName>
    <definedName name="_xlnm.Print_Titles" localSheetId="6">'6.1'!$1:$5</definedName>
    <definedName name="_xlnm.Print_Titles" localSheetId="7">'6.2'!$17:$21</definedName>
    <definedName name="_xlnm.Print_Titles" localSheetId="8">'6.3'!$1:$5</definedName>
    <definedName name="_xlnm.Print_Titles" localSheetId="9">'7.1'!$1:$5</definedName>
    <definedName name="_xlnm.Print_Titles" localSheetId="10">'7.2'!$1:$5</definedName>
    <definedName name="_xlnm.Print_Titles" localSheetId="11">'7.3'!$1:$5</definedName>
    <definedName name="_xlnm.Print_Titles" localSheetId="12">'7.4'!$1:$5</definedName>
  </definedNames>
  <calcPr calcId="145621"/>
</workbook>
</file>

<file path=xl/calcChain.xml><?xml version="1.0" encoding="utf-8"?>
<calcChain xmlns="http://schemas.openxmlformats.org/spreadsheetml/2006/main">
  <c r="E16" i="294" l="1"/>
  <c r="F16" i="294"/>
  <c r="C16" i="294"/>
  <c r="D16" i="294"/>
  <c r="G16" i="294" l="1"/>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X65" i="209" l="1"/>
  <c r="X68" i="209" s="1"/>
  <c r="W65" i="209"/>
  <c r="V65" i="209"/>
  <c r="U65" i="209"/>
  <c r="U68" i="209" s="1"/>
  <c r="T65" i="209"/>
  <c r="T68" i="209" s="1"/>
  <c r="S65" i="209"/>
  <c r="R65" i="209"/>
  <c r="Q65" i="209"/>
  <c r="Q68" i="209" s="1"/>
  <c r="P65" i="209"/>
  <c r="P68" i="209" s="1"/>
  <c r="O65" i="209"/>
  <c r="N65" i="209"/>
  <c r="M65" i="209"/>
  <c r="M68" i="209" s="1"/>
  <c r="L65" i="209"/>
  <c r="L68" i="209" s="1"/>
  <c r="K65" i="209"/>
  <c r="J65" i="209"/>
  <c r="I65" i="209"/>
  <c r="I68" i="209" s="1"/>
  <c r="H65" i="209"/>
  <c r="H68" i="209" s="1"/>
  <c r="G65" i="209"/>
  <c r="F65" i="209"/>
  <c r="E65" i="209"/>
  <c r="E68" i="209" s="1"/>
  <c r="X36" i="209"/>
  <c r="X67" i="209" s="1"/>
  <c r="U36" i="209"/>
  <c r="T36" i="209"/>
  <c r="Q36" i="209"/>
  <c r="P36" i="209"/>
  <c r="M36" i="209"/>
  <c r="L36" i="209"/>
  <c r="I36" i="209"/>
  <c r="H36" i="209"/>
  <c r="E36" i="209"/>
  <c r="W34" i="209"/>
  <c r="W36" i="209" s="1"/>
  <c r="W68" i="209" s="1"/>
  <c r="V34" i="209"/>
  <c r="V36" i="209" s="1"/>
  <c r="U34" i="209"/>
  <c r="T34" i="209"/>
  <c r="S34" i="209"/>
  <c r="S36" i="209" s="1"/>
  <c r="S68" i="209" s="1"/>
  <c r="R34" i="209"/>
  <c r="R36" i="209" s="1"/>
  <c r="Q34" i="209"/>
  <c r="P34" i="209"/>
  <c r="O34" i="209"/>
  <c r="O36" i="209" s="1"/>
  <c r="O68" i="209" s="1"/>
  <c r="N34" i="209"/>
  <c r="N36" i="209" s="1"/>
  <c r="M34" i="209"/>
  <c r="L34" i="209"/>
  <c r="K34" i="209"/>
  <c r="K36" i="209" s="1"/>
  <c r="K68" i="209" s="1"/>
  <c r="J34" i="209"/>
  <c r="J36" i="209" s="1"/>
  <c r="I34" i="209"/>
  <c r="H34" i="209"/>
  <c r="G34" i="209"/>
  <c r="G36" i="209" s="1"/>
  <c r="G68" i="209" s="1"/>
  <c r="F34" i="209"/>
  <c r="F36" i="209" s="1"/>
  <c r="E34" i="209"/>
  <c r="F68" i="209" l="1"/>
  <c r="J68" i="209"/>
  <c r="N68" i="209"/>
  <c r="V68" i="209"/>
  <c r="R68" i="209"/>
  <c r="E43" i="296" l="1"/>
  <c r="D43" i="296"/>
  <c r="C43" i="296"/>
  <c r="B43" i="296"/>
  <c r="I35" i="296"/>
  <c r="J33" i="296"/>
  <c r="J35" i="296" s="1"/>
  <c r="I33" i="296"/>
  <c r="H33" i="296"/>
  <c r="H35" i="296" s="1"/>
  <c r="G33" i="296"/>
  <c r="G35" i="296" s="1"/>
  <c r="F33" i="296"/>
  <c r="C33" i="296"/>
  <c r="B33" i="296"/>
  <c r="G31" i="296"/>
  <c r="G45" i="296" s="1"/>
  <c r="F31" i="296"/>
  <c r="E31" i="296"/>
  <c r="D31" i="296"/>
  <c r="C31" i="296"/>
  <c r="B31" i="296"/>
  <c r="F23" i="296"/>
  <c r="E23" i="296"/>
  <c r="E33" i="296" s="1"/>
  <c r="E35" i="296" s="1"/>
  <c r="E45" i="296" s="1"/>
  <c r="D23" i="296"/>
  <c r="D33" i="296" s="1"/>
  <c r="C23" i="296"/>
  <c r="B23" i="296"/>
  <c r="F11" i="296"/>
  <c r="F35" i="296" s="1"/>
  <c r="F45" i="296" s="1"/>
  <c r="E11" i="296"/>
  <c r="D11" i="296"/>
  <c r="D35" i="296" s="1"/>
  <c r="D45" i="296" s="1"/>
  <c r="C11" i="296"/>
  <c r="C35" i="296" s="1"/>
  <c r="C45" i="296" s="1"/>
  <c r="B11" i="296"/>
  <c r="B35" i="296" s="1"/>
  <c r="B45" i="296" s="1"/>
  <c r="D23" i="295" l="1"/>
  <c r="D31" i="295" s="1"/>
  <c r="E23" i="295"/>
  <c r="D29" i="295"/>
  <c r="E29" i="295"/>
  <c r="B31" i="295"/>
  <c r="C31" i="295"/>
  <c r="U81" i="295"/>
  <c r="V81" i="295"/>
  <c r="E31" i="295" l="1"/>
  <c r="D17" i="203" l="1"/>
  <c r="G14" i="294"/>
  <c r="G13" i="294"/>
  <c r="G12" i="294"/>
  <c r="G10" i="294"/>
  <c r="G9" i="294"/>
  <c r="G8" i="294"/>
  <c r="G7" i="294"/>
  <c r="T17" i="190"/>
  <c r="K17" i="190"/>
  <c r="J17" i="190"/>
  <c r="T10" i="190"/>
  <c r="R10" i="190"/>
  <c r="Q10" i="190"/>
  <c r="P10" i="190"/>
  <c r="O10" i="190"/>
  <c r="N10" i="190"/>
  <c r="M10" i="190"/>
  <c r="M17" i="190" s="1"/>
  <c r="L10" i="190"/>
  <c r="L17" i="190" s="1"/>
  <c r="K10" i="190"/>
  <c r="J10" i="190"/>
  <c r="I10" i="190"/>
  <c r="H10" i="190"/>
  <c r="G10" i="190"/>
  <c r="F10" i="190"/>
  <c r="E10" i="190"/>
  <c r="D10" i="190"/>
  <c r="C10" i="190"/>
  <c r="N137" i="193"/>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G137" i="193" s="1"/>
  <c r="F29" i="193"/>
  <c r="F137" i="193" s="1"/>
  <c r="E29" i="193"/>
  <c r="D29" i="193"/>
  <c r="C29" i="193"/>
  <c r="C137" i="193" s="1"/>
  <c r="I22" i="193"/>
  <c r="H22" i="193"/>
  <c r="G22" i="193"/>
  <c r="F22" i="193"/>
  <c r="E22" i="193"/>
  <c r="D22" i="193"/>
  <c r="C22" i="193"/>
  <c r="I7" i="193"/>
  <c r="I137" i="193" s="1"/>
  <c r="H7" i="193"/>
  <c r="H137" i="193" s="1"/>
  <c r="G7" i="193"/>
  <c r="F7" i="193"/>
  <c r="E7" i="193"/>
  <c r="E137" i="193" s="1"/>
  <c r="D7" i="193"/>
  <c r="D137" i="193" s="1"/>
  <c r="C7" i="193"/>
  <c r="K18" i="192"/>
  <c r="J18" i="192"/>
  <c r="I18" i="192"/>
  <c r="H18" i="192"/>
  <c r="O18" i="191"/>
  <c r="E25" i="250" l="1"/>
  <c r="D25" i="250"/>
  <c r="C25" i="250"/>
  <c r="K23" i="250"/>
  <c r="J23" i="250"/>
  <c r="I23" i="250"/>
  <c r="H23" i="250"/>
  <c r="G23" i="250"/>
  <c r="F23" i="250"/>
  <c r="C20" i="250"/>
  <c r="C19" i="250"/>
  <c r="C18" i="250"/>
  <c r="C17" i="250"/>
  <c r="C16" i="250"/>
  <c r="K14" i="250"/>
  <c r="K25" i="250" s="1"/>
  <c r="J14" i="250"/>
  <c r="J25" i="250" s="1"/>
  <c r="I14" i="250"/>
  <c r="I25" i="250" s="1"/>
  <c r="H14" i="250"/>
  <c r="H25" i="250" s="1"/>
  <c r="G14" i="250"/>
  <c r="G25" i="250" s="1"/>
  <c r="F14" i="250"/>
  <c r="F25" i="250" s="1"/>
  <c r="C13" i="250"/>
  <c r="I1098" i="249" l="1"/>
  <c r="E1098" i="249"/>
  <c r="L1096" i="249"/>
  <c r="L1098" i="249" s="1"/>
  <c r="K1096" i="249"/>
  <c r="K1098" i="249" s="1"/>
  <c r="J1096" i="249"/>
  <c r="J1098" i="249" s="1"/>
  <c r="I1096" i="249"/>
  <c r="H1096" i="249"/>
  <c r="H1098" i="249" s="1"/>
  <c r="G1096" i="249"/>
  <c r="G1098" i="249" s="1"/>
  <c r="F1096" i="249"/>
  <c r="F1098" i="249" s="1"/>
  <c r="E1096" i="249"/>
  <c r="D1096" i="249"/>
  <c r="D1098" i="249" s="1"/>
  <c r="C1095" i="249"/>
  <c r="B1095" i="249"/>
  <c r="A1095" i="249"/>
  <c r="L1094" i="249"/>
  <c r="K1094" i="249"/>
  <c r="J1094" i="249"/>
  <c r="I1094" i="249"/>
  <c r="H1094" i="249"/>
  <c r="G1094" i="249"/>
  <c r="F1094" i="249"/>
  <c r="E1094" i="249"/>
  <c r="D1094" i="249"/>
  <c r="C1093" i="249"/>
  <c r="B1093" i="249"/>
  <c r="A1093" i="249"/>
  <c r="C1092" i="249"/>
  <c r="B1092" i="249"/>
  <c r="A1092" i="249"/>
  <c r="C1088" i="249"/>
  <c r="C1087" i="249"/>
  <c r="B1087" i="249"/>
  <c r="A1087" i="249"/>
  <c r="C1086" i="249"/>
  <c r="B1086" i="249"/>
  <c r="A1086" i="249"/>
  <c r="C1085" i="249"/>
  <c r="B1085" i="249"/>
  <c r="A1085" i="249"/>
  <c r="C1084" i="249"/>
  <c r="B1084" i="249"/>
  <c r="A1084" i="249"/>
  <c r="C1083" i="249"/>
  <c r="B1083" i="249"/>
  <c r="A1083" i="249"/>
  <c r="C1082" i="249"/>
  <c r="C1081" i="249"/>
  <c r="B1081" i="249"/>
  <c r="A1081" i="249"/>
  <c r="C1080" i="249"/>
  <c r="B1080" i="249"/>
  <c r="A1080" i="249"/>
  <c r="C1079" i="249"/>
  <c r="B1079" i="249"/>
  <c r="A1079" i="249"/>
  <c r="C1078" i="249"/>
  <c r="B1078" i="249"/>
  <c r="A1078" i="249"/>
  <c r="C1077" i="249"/>
  <c r="B1077" i="249"/>
  <c r="A1077" i="249"/>
  <c r="C1076" i="249"/>
  <c r="C1075" i="249"/>
  <c r="B1075" i="249"/>
  <c r="A1075"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8" i="249"/>
  <c r="B1038" i="249"/>
  <c r="A1038"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4" i="249"/>
  <c r="B1024" i="249"/>
  <c r="A1024" i="249"/>
  <c r="C1023" i="249"/>
  <c r="B1023" i="249"/>
  <c r="A1023" i="249"/>
  <c r="C1022" i="249"/>
  <c r="B1022" i="249"/>
  <c r="A1022" i="249"/>
  <c r="C1021" i="249"/>
  <c r="B1021" i="249"/>
  <c r="A1021" i="249"/>
  <c r="C1020" i="249"/>
  <c r="B1020" i="249"/>
  <c r="A1020" i="249"/>
  <c r="C1019" i="249"/>
  <c r="B1019" i="249"/>
  <c r="A1019" i="249"/>
  <c r="C1018" i="249"/>
  <c r="B1018" i="249"/>
  <c r="A1018"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9" i="249"/>
  <c r="B1009" i="249"/>
  <c r="A1009" i="249"/>
  <c r="C1008" i="249"/>
  <c r="B1008" i="249"/>
  <c r="A1008" i="249"/>
  <c r="C1007" i="249"/>
  <c r="B1007" i="249"/>
  <c r="A1007" i="249"/>
  <c r="C1006" i="249"/>
  <c r="B1006" i="249"/>
  <c r="A1006" i="249"/>
  <c r="C1005" i="249"/>
  <c r="B1005" i="249"/>
  <c r="A1005"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9" i="249"/>
  <c r="B969" i="249"/>
  <c r="A969"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6" i="249"/>
  <c r="B956" i="249"/>
  <c r="A956" i="249"/>
  <c r="C955" i="249"/>
  <c r="B955" i="249"/>
  <c r="A955" i="249"/>
  <c r="C954" i="249"/>
  <c r="B954" i="249"/>
  <c r="A954" i="249"/>
  <c r="C953" i="249"/>
  <c r="B953" i="249"/>
  <c r="A953" i="249"/>
  <c r="C952" i="249"/>
  <c r="B952" i="249"/>
  <c r="A952" i="249"/>
  <c r="C951" i="249"/>
  <c r="B951" i="249"/>
  <c r="A951" i="249"/>
  <c r="C950" i="249"/>
  <c r="B950" i="249"/>
  <c r="A950"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40" i="249"/>
  <c r="B940" i="249"/>
  <c r="A940" i="249"/>
  <c r="C939" i="249"/>
  <c r="B939" i="249"/>
  <c r="A939" i="249"/>
  <c r="C938" i="249"/>
  <c r="B938" i="249"/>
  <c r="A938" i="249"/>
  <c r="C937" i="249"/>
  <c r="B937" i="249"/>
  <c r="A937"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2" i="249"/>
  <c r="B902" i="249"/>
  <c r="A902"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8" i="249"/>
  <c r="B888" i="249"/>
  <c r="A888" i="249"/>
  <c r="C887" i="249"/>
  <c r="B887" i="249"/>
  <c r="A887" i="249"/>
  <c r="C886" i="249"/>
  <c r="B886" i="249"/>
  <c r="A886" i="249"/>
  <c r="C885" i="249"/>
  <c r="B885" i="249"/>
  <c r="A885" i="249"/>
  <c r="C884" i="249"/>
  <c r="B884" i="249"/>
  <c r="A884" i="249"/>
  <c r="C883" i="249"/>
  <c r="B883" i="249"/>
  <c r="A883" i="249"/>
  <c r="C882" i="249"/>
  <c r="B882" i="249"/>
  <c r="A882"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4" i="249"/>
  <c r="B874" i="249"/>
  <c r="A874" i="249"/>
  <c r="C873" i="249"/>
  <c r="B873" i="249"/>
  <c r="A873" i="249"/>
  <c r="C872" i="249"/>
  <c r="B872" i="249"/>
  <c r="A872" i="249"/>
  <c r="C871" i="249"/>
  <c r="B871" i="249"/>
  <c r="A871" i="249"/>
  <c r="C870" i="249"/>
  <c r="B870" i="249"/>
  <c r="A870" i="249"/>
  <c r="C869" i="249"/>
  <c r="B869" i="249"/>
  <c r="A869" i="249"/>
  <c r="C868" i="249"/>
  <c r="B868" i="249"/>
  <c r="A868" i="249"/>
  <c r="C867" i="249"/>
  <c r="B867" i="249"/>
  <c r="A867" i="249"/>
  <c r="C866" i="249"/>
  <c r="B866" i="249"/>
  <c r="A866" i="249"/>
  <c r="C865" i="249"/>
  <c r="B865" i="249"/>
  <c r="A865" i="249"/>
  <c r="C864" i="249"/>
  <c r="B864" i="249"/>
  <c r="A864" i="249"/>
  <c r="C863" i="249"/>
  <c r="B863" i="249"/>
  <c r="A863" i="249"/>
  <c r="C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2" i="249"/>
  <c r="B852" i="249"/>
  <c r="A852" i="249"/>
  <c r="C851" i="249"/>
  <c r="B851" i="249"/>
  <c r="A851" i="249"/>
  <c r="C850" i="249"/>
  <c r="B850" i="249"/>
  <c r="A850" i="249"/>
  <c r="C849" i="249"/>
  <c r="B849" i="249"/>
  <c r="A849" i="249"/>
  <c r="C848" i="249"/>
  <c r="B848" i="249"/>
  <c r="A848" i="249"/>
  <c r="C847" i="249"/>
  <c r="B847" i="249"/>
  <c r="A847" i="249"/>
  <c r="C846" i="249"/>
  <c r="B846" i="249"/>
  <c r="A846"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8" i="249"/>
  <c r="B838" i="249"/>
  <c r="A838" i="249"/>
  <c r="C837" i="249"/>
  <c r="B837" i="249"/>
  <c r="A837" i="249"/>
  <c r="C836" i="249"/>
  <c r="B836" i="249"/>
  <c r="A836" i="249"/>
  <c r="C835" i="249"/>
  <c r="B835" i="249"/>
  <c r="A835"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1" i="249"/>
  <c r="B811" i="249"/>
  <c r="A811"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800" i="249"/>
  <c r="B800" i="249"/>
  <c r="A800" i="249"/>
  <c r="C799" i="249"/>
  <c r="B799" i="249"/>
  <c r="A799" i="249"/>
  <c r="C798" i="249"/>
  <c r="B798" i="249"/>
  <c r="A798" i="249"/>
  <c r="C797" i="249"/>
  <c r="B797" i="249"/>
  <c r="A797" i="249"/>
  <c r="C796" i="249"/>
  <c r="B796" i="249"/>
  <c r="A796" i="249"/>
  <c r="C795" i="249"/>
  <c r="B795" i="249"/>
  <c r="A795" i="249"/>
  <c r="C794" i="249"/>
  <c r="B794" i="249"/>
  <c r="A794" i="249"/>
  <c r="C793" i="249"/>
  <c r="B793" i="249"/>
  <c r="A793" i="249"/>
  <c r="C792" i="249"/>
  <c r="B792" i="249"/>
  <c r="A792" i="249"/>
  <c r="C791" i="249"/>
  <c r="B791" i="249"/>
  <c r="A791" i="249"/>
  <c r="C790" i="249"/>
  <c r="B790" i="249"/>
  <c r="A790" i="249"/>
  <c r="C789" i="249"/>
  <c r="B789" i="249"/>
  <c r="A789" i="249"/>
  <c r="C788" i="249"/>
  <c r="B788" i="249"/>
  <c r="A788" i="249"/>
  <c r="C787" i="249"/>
  <c r="B787" i="249"/>
  <c r="A787" i="249"/>
  <c r="C786" i="249"/>
  <c r="B786" i="249"/>
  <c r="A786" i="249"/>
  <c r="C785" i="249"/>
  <c r="B785" i="249"/>
  <c r="A785" i="249"/>
  <c r="C784" i="249"/>
  <c r="B784" i="249"/>
  <c r="A784" i="249"/>
  <c r="C783" i="249"/>
  <c r="B783" i="249"/>
  <c r="A783" i="249"/>
  <c r="C782" i="249"/>
  <c r="B782" i="249"/>
  <c r="A782" i="249"/>
  <c r="C781" i="249"/>
  <c r="B781" i="249"/>
  <c r="A781" i="249"/>
  <c r="C780" i="249"/>
  <c r="B780" i="249"/>
  <c r="A780" i="249"/>
  <c r="C779" i="249"/>
  <c r="B779" i="249"/>
  <c r="A779" i="249"/>
  <c r="C778" i="249"/>
  <c r="B778" i="249"/>
  <c r="A778" i="249"/>
  <c r="C777" i="249"/>
  <c r="C776" i="249"/>
  <c r="B776" i="249"/>
  <c r="A776" i="249"/>
  <c r="C775" i="249"/>
  <c r="B775" i="249"/>
  <c r="A775" i="249"/>
  <c r="C774" i="249"/>
  <c r="B774" i="249"/>
  <c r="A774" i="249"/>
  <c r="C773" i="249"/>
  <c r="B773" i="249"/>
  <c r="A773" i="249"/>
  <c r="C772" i="249"/>
  <c r="B772" i="249"/>
  <c r="A772" i="249"/>
  <c r="C771" i="249"/>
  <c r="B771" i="249"/>
  <c r="A771" i="249"/>
  <c r="C770" i="249"/>
  <c r="B770" i="249"/>
  <c r="A770" i="249"/>
  <c r="C769" i="249"/>
  <c r="B769" i="249"/>
  <c r="A769" i="249"/>
  <c r="C768" i="249"/>
  <c r="B768" i="249"/>
  <c r="A768" i="249"/>
  <c r="C767" i="249"/>
  <c r="B767" i="249"/>
  <c r="A767" i="249"/>
  <c r="C766" i="249"/>
  <c r="B766" i="249"/>
  <c r="A766" i="249"/>
  <c r="C765" i="249"/>
  <c r="B765" i="249"/>
  <c r="A765" i="249"/>
  <c r="C764" i="249"/>
  <c r="B764" i="249"/>
  <c r="A764" i="249"/>
  <c r="C763" i="249"/>
  <c r="B763" i="249"/>
  <c r="A763" i="249"/>
  <c r="C762" i="249"/>
  <c r="B762" i="249"/>
  <c r="A762" i="249"/>
  <c r="C761" i="249"/>
  <c r="B761" i="249"/>
  <c r="A761" i="249"/>
  <c r="C760" i="249"/>
  <c r="B760" i="249"/>
  <c r="A760" i="249"/>
  <c r="C759" i="249"/>
  <c r="B759" i="249"/>
  <c r="A759" i="249"/>
  <c r="C758" i="249"/>
  <c r="B758" i="249"/>
  <c r="A758" i="249"/>
  <c r="C757" i="249"/>
  <c r="B757" i="249"/>
  <c r="A757" i="249"/>
  <c r="C756" i="249"/>
  <c r="B756" i="249"/>
  <c r="A756" i="249"/>
  <c r="C755" i="249"/>
  <c r="B755" i="249"/>
  <c r="A755" i="249"/>
  <c r="C754" i="249"/>
  <c r="B754" i="249"/>
  <c r="A754" i="249"/>
  <c r="C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5" i="249"/>
  <c r="B745" i="249"/>
  <c r="A745"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6" i="249"/>
  <c r="B736" i="249"/>
  <c r="A736" i="249"/>
  <c r="C735" i="249"/>
  <c r="B735" i="249"/>
  <c r="A735" i="249"/>
  <c r="C734" i="249"/>
  <c r="B734" i="249"/>
  <c r="A734" i="249"/>
  <c r="C733" i="249"/>
  <c r="B733" i="249"/>
  <c r="A733" i="249"/>
  <c r="C732" i="249"/>
  <c r="B732" i="249"/>
  <c r="A732" i="249"/>
  <c r="C731" i="249"/>
  <c r="B731" i="249"/>
  <c r="A731" i="249"/>
  <c r="C730" i="249"/>
  <c r="B730" i="249"/>
  <c r="A730" i="249"/>
  <c r="C729" i="249"/>
  <c r="B729" i="249"/>
  <c r="A729" i="249"/>
  <c r="C728" i="249"/>
  <c r="B728" i="249"/>
  <c r="A728" i="249"/>
  <c r="C727" i="249"/>
  <c r="B727" i="249"/>
  <c r="A727" i="249"/>
  <c r="C726" i="249"/>
  <c r="B726" i="249"/>
  <c r="A726" i="249"/>
  <c r="C725" i="249"/>
  <c r="B725" i="249"/>
  <c r="A725" i="249"/>
  <c r="C724" i="249"/>
  <c r="B724" i="249"/>
  <c r="A724" i="249"/>
  <c r="C723" i="249"/>
  <c r="B723" i="249"/>
  <c r="A723" i="249"/>
  <c r="C722" i="249"/>
  <c r="B722" i="249"/>
  <c r="A722" i="249"/>
  <c r="C721" i="249"/>
  <c r="B721" i="249"/>
  <c r="A721" i="249"/>
  <c r="C720" i="249"/>
  <c r="B720" i="249"/>
  <c r="A720" i="249"/>
  <c r="C719" i="249"/>
  <c r="B719" i="249"/>
  <c r="A719" i="249"/>
  <c r="C718" i="249"/>
  <c r="B718" i="249"/>
  <c r="A718" i="249"/>
  <c r="C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5" i="249"/>
  <c r="B645" i="249"/>
  <c r="A645"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7" i="249"/>
  <c r="B637" i="249"/>
  <c r="A637" i="249"/>
  <c r="C636" i="249"/>
  <c r="B636" i="249"/>
  <c r="A636" i="249"/>
  <c r="C635" i="249"/>
  <c r="B635" i="249"/>
  <c r="A635" i="249"/>
  <c r="C634" i="249"/>
  <c r="B634" i="249"/>
  <c r="A634" i="249"/>
  <c r="C633" i="249"/>
  <c r="B633" i="249"/>
  <c r="A633" i="249"/>
  <c r="C632" i="249"/>
  <c r="B632" i="249"/>
  <c r="A632" i="249"/>
  <c r="C631" i="249"/>
  <c r="B631" i="249"/>
  <c r="A631" i="249"/>
  <c r="C630" i="249"/>
  <c r="B630" i="249"/>
  <c r="A630" i="249"/>
  <c r="C629" i="249"/>
  <c r="B629" i="249"/>
  <c r="A629" i="249"/>
  <c r="C628" i="249"/>
  <c r="B628" i="249"/>
  <c r="A628" i="249"/>
  <c r="C627" i="249"/>
  <c r="B627" i="249"/>
  <c r="A627" i="249"/>
  <c r="C626" i="249"/>
  <c r="B626" i="249"/>
  <c r="A626" i="249"/>
  <c r="C625" i="249"/>
  <c r="B625" i="249"/>
  <c r="A625" i="249"/>
  <c r="C624" i="249"/>
  <c r="B624" i="249"/>
  <c r="A624" i="249"/>
  <c r="C623" i="249"/>
  <c r="B623" i="249"/>
  <c r="A623" i="249"/>
  <c r="C622" i="249"/>
  <c r="B622" i="249"/>
  <c r="A622" i="249"/>
  <c r="C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2" i="249"/>
  <c r="B442" i="249"/>
  <c r="A442" i="249"/>
  <c r="C441" i="249"/>
  <c r="B441" i="249"/>
  <c r="A441" i="249"/>
  <c r="C440" i="249"/>
  <c r="B440" i="249"/>
  <c r="A440" i="249"/>
  <c r="C439" i="249"/>
  <c r="B439" i="249"/>
  <c r="A439" i="249"/>
  <c r="C438" i="249"/>
  <c r="B438" i="249"/>
  <c r="A438" i="249"/>
  <c r="C437" i="249"/>
  <c r="B437" i="249"/>
  <c r="A437" i="249"/>
  <c r="C436" i="249"/>
  <c r="B436" i="249"/>
  <c r="A436" i="249"/>
  <c r="C435" i="249"/>
  <c r="B435" i="249"/>
  <c r="A435" i="249"/>
  <c r="C434" i="249"/>
  <c r="B434" i="249"/>
  <c r="A434" i="249"/>
  <c r="C433" i="249"/>
  <c r="B433" i="249"/>
  <c r="A433" i="249"/>
  <c r="C432" i="249"/>
  <c r="B432" i="249"/>
  <c r="A432" i="249"/>
  <c r="C431" i="249"/>
  <c r="B431" i="249"/>
  <c r="A431" i="249"/>
  <c r="C430" i="249"/>
  <c r="B430" i="249"/>
  <c r="A430" i="249"/>
  <c r="C429" i="249"/>
  <c r="B429" i="249"/>
  <c r="A429" i="249"/>
  <c r="C428" i="249"/>
  <c r="B428" i="249"/>
  <c r="A428" i="249"/>
  <c r="C427" i="249"/>
  <c r="C426" i="249"/>
  <c r="B426" i="249"/>
  <c r="A426" i="249"/>
  <c r="C425" i="249"/>
  <c r="B425" i="249"/>
  <c r="A425" i="249"/>
  <c r="C424" i="249"/>
  <c r="B424" i="249"/>
  <c r="A424" i="249"/>
  <c r="C423" i="249"/>
  <c r="B423" i="249"/>
  <c r="A423" i="249"/>
  <c r="C422" i="249"/>
  <c r="B422" i="249"/>
  <c r="A422" i="249"/>
  <c r="C421" i="249"/>
  <c r="B421" i="249"/>
  <c r="A421" i="249"/>
  <c r="C420" i="249"/>
  <c r="B420" i="249"/>
  <c r="A420" i="249"/>
  <c r="C419" i="249"/>
  <c r="B419" i="249"/>
  <c r="A419" i="249"/>
  <c r="C418" i="249"/>
  <c r="B418" i="249"/>
  <c r="A418" i="249"/>
  <c r="C417" i="249"/>
  <c r="B417" i="249"/>
  <c r="A417" i="249"/>
  <c r="C416" i="249"/>
  <c r="B416" i="249"/>
  <c r="A416" i="249"/>
  <c r="C415" i="249"/>
  <c r="B415" i="249"/>
  <c r="A415" i="249"/>
  <c r="C414" i="249"/>
  <c r="B414" i="249"/>
  <c r="A414" i="249"/>
  <c r="C413" i="249"/>
  <c r="B413" i="249"/>
  <c r="A413" i="249"/>
  <c r="C412" i="249"/>
  <c r="B412" i="249"/>
  <c r="A412" i="249"/>
  <c r="C411" i="249"/>
  <c r="B411" i="249"/>
  <c r="A411" i="249"/>
  <c r="C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6" i="249"/>
  <c r="B386" i="249"/>
  <c r="A386" i="249"/>
  <c r="C385" i="249"/>
  <c r="B385" i="249"/>
  <c r="A385" i="249"/>
  <c r="C384" i="249"/>
  <c r="B384" i="249"/>
  <c r="A384" i="249"/>
  <c r="C383" i="249"/>
  <c r="B383" i="249"/>
  <c r="A383" i="249"/>
  <c r="C382" i="249"/>
  <c r="B382" i="249"/>
  <c r="A382" i="249"/>
  <c r="C381" i="249"/>
  <c r="B381" i="249"/>
  <c r="A381" i="249"/>
  <c r="C380" i="249"/>
  <c r="B380" i="249"/>
  <c r="A380" i="249"/>
  <c r="C379" i="249"/>
  <c r="B379" i="249"/>
  <c r="A379" i="249"/>
  <c r="C378" i="249"/>
  <c r="B378" i="249"/>
  <c r="A378" i="249"/>
  <c r="C377" i="249"/>
  <c r="B377" i="249"/>
  <c r="A377" i="249"/>
  <c r="C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5" i="249"/>
  <c r="B365" i="249"/>
  <c r="A365" i="249"/>
  <c r="C364" i="249"/>
  <c r="B364" i="249"/>
  <c r="A364" i="249"/>
  <c r="C363" i="249"/>
  <c r="B363" i="249"/>
  <c r="A363" i="249"/>
  <c r="C362" i="249"/>
  <c r="B362" i="249"/>
  <c r="A362" i="249"/>
  <c r="C361" i="249"/>
  <c r="B361" i="249"/>
  <c r="A361" i="249"/>
  <c r="C360" i="249"/>
  <c r="B360" i="249"/>
  <c r="A360" i="249"/>
  <c r="C359" i="249"/>
  <c r="B359" i="249"/>
  <c r="A359" i="249"/>
  <c r="C358" i="249"/>
  <c r="B358" i="249"/>
  <c r="A358" i="249"/>
  <c r="C357" i="249"/>
  <c r="B357" i="249"/>
  <c r="A357" i="249"/>
  <c r="C356" i="249"/>
  <c r="C355" i="249"/>
  <c r="B355" i="249"/>
  <c r="A355" i="249"/>
  <c r="C354" i="249"/>
  <c r="B354" i="249"/>
  <c r="A354" i="249"/>
  <c r="C353" i="249"/>
  <c r="B353" i="249"/>
  <c r="A353" i="249"/>
  <c r="C352" i="249"/>
  <c r="B352" i="249"/>
  <c r="A352" i="249"/>
  <c r="C351" i="249"/>
  <c r="B351" i="249"/>
  <c r="A351" i="249"/>
  <c r="C350" i="249"/>
  <c r="B350" i="249"/>
  <c r="A350" i="249"/>
  <c r="C349" i="249"/>
  <c r="B349" i="249"/>
  <c r="A349" i="249"/>
  <c r="C348" i="249"/>
  <c r="B348" i="249"/>
  <c r="A348" i="249"/>
  <c r="C347" i="249"/>
  <c r="C346" i="249"/>
  <c r="B346" i="249"/>
  <c r="A346" i="249"/>
  <c r="C345" i="249"/>
  <c r="B345" i="249"/>
  <c r="A345" i="249"/>
  <c r="C344" i="249"/>
  <c r="B344" i="249"/>
  <c r="A344" i="249"/>
  <c r="C343" i="249"/>
  <c r="B343" i="249"/>
  <c r="A343" i="249"/>
  <c r="C342" i="249"/>
  <c r="B342" i="249"/>
  <c r="A342" i="249"/>
  <c r="C341" i="249"/>
  <c r="B341" i="249"/>
  <c r="A341" i="249"/>
  <c r="C340" i="249"/>
  <c r="B340" i="249"/>
  <c r="A340" i="249"/>
  <c r="C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1" i="249"/>
  <c r="B331" i="249"/>
  <c r="A331" i="249"/>
  <c r="C330" i="249"/>
  <c r="B330" i="249"/>
  <c r="A330" i="249"/>
  <c r="C329" i="249"/>
  <c r="B329" i="249"/>
  <c r="A329" i="249"/>
  <c r="C328" i="249"/>
  <c r="B328" i="249"/>
  <c r="A328" i="249"/>
  <c r="C327" i="249"/>
  <c r="B327" i="249"/>
  <c r="A327" i="249"/>
  <c r="C326" i="249"/>
  <c r="B326" i="249"/>
  <c r="A326" i="249"/>
  <c r="C325" i="249"/>
  <c r="B325" i="249"/>
  <c r="A325" i="249"/>
  <c r="C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1" i="249"/>
  <c r="B261" i="249"/>
  <c r="A261" i="249"/>
  <c r="C260" i="249"/>
  <c r="B260" i="249"/>
  <c r="A260" i="249"/>
  <c r="C259" i="249"/>
  <c r="B259" i="249"/>
  <c r="A259" i="249"/>
  <c r="C258" i="249"/>
  <c r="B258" i="249"/>
  <c r="A258" i="249"/>
  <c r="C257" i="249"/>
  <c r="B257" i="249"/>
  <c r="A257" i="249"/>
  <c r="C256" i="249"/>
  <c r="B256" i="249"/>
  <c r="A256" i="249"/>
  <c r="C255" i="249"/>
  <c r="B255" i="249"/>
  <c r="A255" i="249"/>
  <c r="C254" i="249"/>
  <c r="B254" i="249"/>
  <c r="A254" i="249"/>
  <c r="C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2" i="249"/>
  <c r="B242" i="249"/>
  <c r="A242" i="249"/>
  <c r="C241" i="249"/>
  <c r="B241" i="249"/>
  <c r="A241" i="249"/>
  <c r="C240" i="249"/>
  <c r="B240" i="249"/>
  <c r="A240" i="249"/>
  <c r="C239" i="249"/>
  <c r="B239" i="249"/>
  <c r="A239" i="249"/>
  <c r="C238" i="249"/>
  <c r="B238" i="249"/>
  <c r="A238" i="249"/>
  <c r="C237" i="249"/>
  <c r="B237" i="249"/>
  <c r="A237" i="249"/>
  <c r="C236" i="249"/>
  <c r="B236" i="249"/>
  <c r="A236" i="249"/>
  <c r="C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4" i="249"/>
  <c r="B224" i="249"/>
  <c r="A224" i="249"/>
  <c r="C223" i="249"/>
  <c r="B223" i="249"/>
  <c r="A223" i="249"/>
  <c r="C222" i="249"/>
  <c r="B222" i="249"/>
  <c r="A222" i="249"/>
  <c r="C221" i="249"/>
  <c r="B221" i="249"/>
  <c r="A221" i="249"/>
  <c r="C220" i="249"/>
  <c r="B220" i="249"/>
  <c r="A220" i="249"/>
  <c r="C219" i="249"/>
  <c r="B219" i="249"/>
  <c r="A219" i="249"/>
  <c r="C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60" i="249"/>
  <c r="B160" i="249"/>
  <c r="A160" i="249"/>
  <c r="C159" i="249"/>
  <c r="B159" i="249"/>
  <c r="A159" i="249"/>
  <c r="C158" i="249"/>
  <c r="B158" i="249"/>
  <c r="A158" i="249"/>
  <c r="C157" i="249"/>
  <c r="B157" i="249"/>
  <c r="A157" i="249"/>
  <c r="C156" i="249"/>
  <c r="B156" i="249"/>
  <c r="A156" i="249"/>
  <c r="C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6" i="249"/>
  <c r="B126" i="249"/>
  <c r="A126" i="249"/>
  <c r="C125" i="249"/>
  <c r="B125" i="249"/>
  <c r="A125" i="249"/>
  <c r="C124" i="249"/>
  <c r="B124" i="249"/>
  <c r="A124" i="249"/>
  <c r="C123" i="249"/>
  <c r="B123" i="249"/>
  <c r="A123" i="249"/>
  <c r="C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4" i="249"/>
  <c r="B104" i="249"/>
  <c r="A104" i="249"/>
  <c r="C103" i="249"/>
  <c r="B103" i="249"/>
  <c r="A103" i="249"/>
  <c r="C102" i="249"/>
  <c r="B102" i="249"/>
  <c r="A102" i="249"/>
  <c r="C101" i="249"/>
  <c r="C100" i="249"/>
  <c r="B100" i="249"/>
  <c r="A100" i="249"/>
  <c r="C99" i="249"/>
  <c r="B99" i="249"/>
  <c r="A99" i="249"/>
  <c r="C98" i="249"/>
  <c r="B98" i="249"/>
  <c r="A98" i="249"/>
  <c r="C97" i="249"/>
  <c r="B97" i="249"/>
  <c r="A97" i="249"/>
  <c r="C96" i="249"/>
  <c r="B96" i="249"/>
  <c r="A96" i="249"/>
  <c r="C95"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40" i="249"/>
  <c r="B40" i="249"/>
  <c r="A40" i="249"/>
  <c r="C39"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I1098" i="39"/>
  <c r="E1098" i="39"/>
  <c r="L1096" i="39"/>
  <c r="L1098" i="39" s="1"/>
  <c r="K1096" i="39"/>
  <c r="K1098" i="39" s="1"/>
  <c r="J1096" i="39"/>
  <c r="J1098" i="39" s="1"/>
  <c r="I1096" i="39"/>
  <c r="H1096" i="39"/>
  <c r="H1098" i="39" s="1"/>
  <c r="G1096" i="39"/>
  <c r="G1098" i="39" s="1"/>
  <c r="F1096" i="39"/>
  <c r="F1098" i="39" s="1"/>
  <c r="E1096" i="39"/>
  <c r="D1096" i="39"/>
  <c r="D1098" i="39" s="1"/>
  <c r="C1095" i="39"/>
  <c r="B1095" i="39"/>
  <c r="A1095" i="39"/>
  <c r="L1094" i="39"/>
  <c r="K1094" i="39"/>
  <c r="J1094" i="39"/>
  <c r="I1094" i="39"/>
  <c r="H1094" i="39"/>
  <c r="G1094" i="39"/>
  <c r="F1094" i="39"/>
  <c r="E1094" i="39"/>
  <c r="D1094" i="39"/>
  <c r="C1093" i="39"/>
  <c r="B1093" i="39"/>
  <c r="A1093" i="39"/>
  <c r="C1092" i="39"/>
  <c r="B1092" i="39"/>
  <c r="A1092" i="39"/>
  <c r="C1088" i="39"/>
  <c r="C1087" i="39"/>
  <c r="B1087" i="39"/>
  <c r="A1087" i="39"/>
  <c r="C1086" i="39"/>
  <c r="B1086" i="39"/>
  <c r="A1086" i="39"/>
  <c r="C1085" i="39"/>
  <c r="B1085" i="39"/>
  <c r="A1085" i="39"/>
  <c r="C1084" i="39"/>
  <c r="B1084" i="39"/>
  <c r="A1084" i="39"/>
  <c r="C1083" i="39"/>
  <c r="B1083" i="39"/>
  <c r="A1083" i="39"/>
  <c r="C1082" i="39"/>
  <c r="C1081" i="39"/>
  <c r="B1081" i="39"/>
  <c r="A1081" i="39"/>
  <c r="C1080" i="39"/>
  <c r="B1080" i="39"/>
  <c r="A1080" i="39"/>
  <c r="C1079" i="39"/>
  <c r="B1079" i="39"/>
  <c r="A1079" i="39"/>
  <c r="C1078" i="39"/>
  <c r="B1078" i="39"/>
  <c r="A1078" i="39"/>
  <c r="C1077" i="39"/>
  <c r="B1077" i="39"/>
  <c r="A1077" i="39"/>
  <c r="C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70" i="39"/>
  <c r="B870" i="39"/>
  <c r="A870" i="39"/>
  <c r="C869" i="39"/>
  <c r="B869" i="39"/>
  <c r="A869" i="39"/>
  <c r="C868" i="39"/>
  <c r="B868" i="39"/>
  <c r="A868" i="39"/>
  <c r="C867" i="39"/>
  <c r="B867" i="39"/>
  <c r="A867" i="39"/>
  <c r="C866" i="39"/>
  <c r="B866" i="39"/>
  <c r="A866" i="39"/>
  <c r="C865" i="39"/>
  <c r="B865" i="39"/>
  <c r="A865" i="39"/>
  <c r="C864" i="39"/>
  <c r="B864" i="39"/>
  <c r="A864" i="39"/>
  <c r="C863" i="39"/>
  <c r="B863" i="39"/>
  <c r="A863" i="39"/>
  <c r="C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8" i="39"/>
  <c r="B788" i="39"/>
  <c r="A788" i="39"/>
  <c r="C787" i="39"/>
  <c r="B787" i="39"/>
  <c r="A787" i="39"/>
  <c r="C786" i="39"/>
  <c r="B786" i="39"/>
  <c r="A786"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C776" i="39"/>
  <c r="B776" i="39"/>
  <c r="A776" i="39"/>
  <c r="C775" i="39"/>
  <c r="B775" i="39"/>
  <c r="A775"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9" i="39"/>
  <c r="B759" i="39"/>
  <c r="A759" i="39"/>
  <c r="C758" i="39"/>
  <c r="B758" i="39"/>
  <c r="A758" i="39"/>
  <c r="C757" i="39"/>
  <c r="B757" i="39"/>
  <c r="A757" i="39"/>
  <c r="C756" i="39"/>
  <c r="B756" i="39"/>
  <c r="A756" i="39"/>
  <c r="C755" i="39"/>
  <c r="B755" i="39"/>
  <c r="A755" i="39"/>
  <c r="C754" i="39"/>
  <c r="B754" i="39"/>
  <c r="A754" i="39"/>
  <c r="C753" i="39"/>
  <c r="C752" i="39"/>
  <c r="B752" i="39"/>
  <c r="A752" i="39"/>
  <c r="C751" i="39"/>
  <c r="B751" i="39"/>
  <c r="A751" i="39"/>
  <c r="C750" i="39"/>
  <c r="B750" i="39"/>
  <c r="A750" i="39"/>
  <c r="C749" i="39"/>
  <c r="B749" i="39"/>
  <c r="A749" i="39"/>
  <c r="C748" i="39"/>
  <c r="B748" i="39"/>
  <c r="A748" i="39"/>
  <c r="C747" i="39"/>
  <c r="B747" i="39"/>
  <c r="A747"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6" i="39"/>
  <c r="B726" i="39"/>
  <c r="A726" i="39"/>
  <c r="C725" i="39"/>
  <c r="B725" i="39"/>
  <c r="A725" i="39"/>
  <c r="C724" i="39"/>
  <c r="B724" i="39"/>
  <c r="A724" i="39"/>
  <c r="C723" i="39"/>
  <c r="B723" i="39"/>
  <c r="A723" i="39"/>
  <c r="C722" i="39"/>
  <c r="B722" i="39"/>
  <c r="A722" i="39"/>
  <c r="C721" i="39"/>
  <c r="B721" i="39"/>
  <c r="A721" i="39"/>
  <c r="C720" i="39"/>
  <c r="B720" i="39"/>
  <c r="A720" i="39"/>
  <c r="C719" i="39"/>
  <c r="B719" i="39"/>
  <c r="A719" i="39"/>
  <c r="C718" i="39"/>
  <c r="B718" i="39"/>
  <c r="A718" i="39"/>
  <c r="C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2" i="39"/>
  <c r="B632" i="39"/>
  <c r="A632" i="39"/>
  <c r="C631" i="39"/>
  <c r="B631" i="39"/>
  <c r="A631" i="39"/>
  <c r="C630" i="39"/>
  <c r="B630" i="39"/>
  <c r="A630" i="39"/>
  <c r="C629" i="39"/>
  <c r="B629" i="39"/>
  <c r="A629" i="39"/>
  <c r="C628" i="39"/>
  <c r="B628" i="39"/>
  <c r="A628" i="39"/>
  <c r="C627" i="39"/>
  <c r="B627" i="39"/>
  <c r="A627" i="39"/>
  <c r="C626" i="39"/>
  <c r="B626" i="39"/>
  <c r="A626" i="39"/>
  <c r="C625" i="39"/>
  <c r="B625" i="39"/>
  <c r="A625" i="39"/>
  <c r="C624" i="39"/>
  <c r="B624" i="39"/>
  <c r="A624" i="39"/>
  <c r="C623" i="39"/>
  <c r="B623" i="39"/>
  <c r="A623" i="39"/>
  <c r="C622" i="39"/>
  <c r="B622" i="39"/>
  <c r="A622" i="39"/>
  <c r="C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2" i="39"/>
  <c r="B442" i="39"/>
  <c r="A442" i="39"/>
  <c r="C441" i="39"/>
  <c r="B441" i="39"/>
  <c r="A441" i="39"/>
  <c r="C440" i="39"/>
  <c r="B440" i="39"/>
  <c r="A440" i="39"/>
  <c r="C439" i="39"/>
  <c r="B439" i="39"/>
  <c r="A439" i="39"/>
  <c r="C438" i="39"/>
  <c r="B438" i="39"/>
  <c r="A438" i="39"/>
  <c r="C437" i="39"/>
  <c r="B437" i="39"/>
  <c r="A437" i="39"/>
  <c r="C436" i="39"/>
  <c r="B436" i="39"/>
  <c r="A436" i="39"/>
  <c r="C435" i="39"/>
  <c r="B435" i="39"/>
  <c r="A435" i="39"/>
  <c r="C434" i="39"/>
  <c r="B434" i="39"/>
  <c r="A434" i="39"/>
  <c r="C433" i="39"/>
  <c r="B433" i="39"/>
  <c r="A433" i="39"/>
  <c r="C432" i="39"/>
  <c r="B432" i="39"/>
  <c r="A432" i="39"/>
  <c r="C431" i="39"/>
  <c r="B431" i="39"/>
  <c r="A431" i="39"/>
  <c r="C430" i="39"/>
  <c r="B430" i="39"/>
  <c r="A430" i="39"/>
  <c r="C429" i="39"/>
  <c r="B429" i="39"/>
  <c r="A429" i="39"/>
  <c r="C428" i="39"/>
  <c r="B428" i="39"/>
  <c r="A428" i="39"/>
  <c r="C427" i="39"/>
  <c r="C426" i="39"/>
  <c r="B426" i="39"/>
  <c r="A426" i="39"/>
  <c r="C425" i="39"/>
  <c r="B425" i="39"/>
  <c r="A425" i="39"/>
  <c r="C424" i="39"/>
  <c r="B424" i="39"/>
  <c r="A424" i="39"/>
  <c r="C423" i="39"/>
  <c r="B423" i="39"/>
  <c r="A423" i="39"/>
  <c r="C422" i="39"/>
  <c r="B422" i="39"/>
  <c r="A422" i="39"/>
  <c r="C421" i="39"/>
  <c r="B421" i="39"/>
  <c r="A421" i="39"/>
  <c r="C420" i="39"/>
  <c r="B420" i="39"/>
  <c r="A420" i="39"/>
  <c r="C419" i="39"/>
  <c r="B419" i="39"/>
  <c r="A419" i="39"/>
  <c r="C418" i="39"/>
  <c r="B418" i="39"/>
  <c r="A418" i="39"/>
  <c r="C417" i="39"/>
  <c r="B417" i="39"/>
  <c r="A417" i="39"/>
  <c r="C416" i="39"/>
  <c r="B416" i="39"/>
  <c r="A416" i="39"/>
  <c r="C415" i="39"/>
  <c r="B415" i="39"/>
  <c r="A415" i="39"/>
  <c r="C414" i="39"/>
  <c r="B414" i="39"/>
  <c r="A414" i="39"/>
  <c r="C413" i="39"/>
  <c r="B413" i="39"/>
  <c r="A413" i="39"/>
  <c r="C412" i="39"/>
  <c r="B412" i="39"/>
  <c r="A412" i="39"/>
  <c r="C411" i="39"/>
  <c r="B411" i="39"/>
  <c r="A411" i="39"/>
  <c r="C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6" i="39"/>
  <c r="B386" i="39"/>
  <c r="A386" i="39"/>
  <c r="C385" i="39"/>
  <c r="B385" i="39"/>
  <c r="A385" i="39"/>
  <c r="C384" i="39"/>
  <c r="B384" i="39"/>
  <c r="A384" i="39"/>
  <c r="C383" i="39"/>
  <c r="B383" i="39"/>
  <c r="A383" i="39"/>
  <c r="C382" i="39"/>
  <c r="B382" i="39"/>
  <c r="A382" i="39"/>
  <c r="C381" i="39"/>
  <c r="B381" i="39"/>
  <c r="A381" i="39"/>
  <c r="C380" i="39"/>
  <c r="B380" i="39"/>
  <c r="A380" i="39"/>
  <c r="C379" i="39"/>
  <c r="B379" i="39"/>
  <c r="A379" i="39"/>
  <c r="C378" i="39"/>
  <c r="B378" i="39"/>
  <c r="A378" i="39"/>
  <c r="C377" i="39"/>
  <c r="B377" i="39"/>
  <c r="A377" i="39"/>
  <c r="C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3" i="39"/>
  <c r="B363" i="39"/>
  <c r="A363" i="39"/>
  <c r="C362" i="39"/>
  <c r="B362" i="39"/>
  <c r="A362" i="39"/>
  <c r="C361" i="39"/>
  <c r="B361" i="39"/>
  <c r="A361" i="39"/>
  <c r="C360" i="39"/>
  <c r="B360" i="39"/>
  <c r="A360" i="39"/>
  <c r="C359" i="39"/>
  <c r="B359" i="39"/>
  <c r="A359" i="39"/>
  <c r="C358" i="39"/>
  <c r="B358" i="39"/>
  <c r="A358" i="39"/>
  <c r="C357" i="39"/>
  <c r="B357" i="39"/>
  <c r="A357" i="39"/>
  <c r="C356" i="39"/>
  <c r="C355" i="39"/>
  <c r="B355" i="39"/>
  <c r="A355" i="39"/>
  <c r="C354" i="39"/>
  <c r="B354" i="39"/>
  <c r="A354" i="39"/>
  <c r="C353" i="39"/>
  <c r="B353" i="39"/>
  <c r="A353" i="39"/>
  <c r="C352" i="39"/>
  <c r="B352" i="39"/>
  <c r="A352" i="39"/>
  <c r="C351" i="39"/>
  <c r="B351" i="39"/>
  <c r="A351" i="39"/>
  <c r="C350" i="39"/>
  <c r="B350" i="39"/>
  <c r="A350" i="39"/>
  <c r="C349" i="39"/>
  <c r="B349" i="39"/>
  <c r="A349" i="39"/>
  <c r="C348" i="39"/>
  <c r="B348" i="39"/>
  <c r="A348" i="39"/>
  <c r="C347" i="39"/>
  <c r="C346" i="39"/>
  <c r="B346" i="39"/>
  <c r="A346" i="39"/>
  <c r="C345" i="39"/>
  <c r="B345" i="39"/>
  <c r="A345" i="39"/>
  <c r="C344" i="39"/>
  <c r="B344" i="39"/>
  <c r="A344" i="39"/>
  <c r="C343" i="39"/>
  <c r="B343" i="39"/>
  <c r="A343" i="39"/>
  <c r="C342" i="39"/>
  <c r="B342" i="39"/>
  <c r="A342" i="39"/>
  <c r="C341" i="39"/>
  <c r="B341" i="39"/>
  <c r="A341" i="39"/>
  <c r="C340" i="39"/>
  <c r="B340" i="39"/>
  <c r="A340" i="39"/>
  <c r="C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30" i="39"/>
  <c r="B330" i="39"/>
  <c r="A330" i="39"/>
  <c r="C329" i="39"/>
  <c r="B329" i="39"/>
  <c r="A329" i="39"/>
  <c r="C328" i="39"/>
  <c r="B328" i="39"/>
  <c r="A328" i="39"/>
  <c r="C327" i="39"/>
  <c r="B327" i="39"/>
  <c r="A327" i="39"/>
  <c r="C326" i="39"/>
  <c r="B326" i="39"/>
  <c r="A326" i="39"/>
  <c r="C325" i="39"/>
  <c r="B325" i="39"/>
  <c r="A325" i="39"/>
  <c r="C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8" i="39"/>
  <c r="B258" i="39"/>
  <c r="A258" i="39"/>
  <c r="C257" i="39"/>
  <c r="B257" i="39"/>
  <c r="A257" i="39"/>
  <c r="C256" i="39"/>
  <c r="B256" i="39"/>
  <c r="A256" i="39"/>
  <c r="C255" i="39"/>
  <c r="B255" i="39"/>
  <c r="A255" i="39"/>
  <c r="C254" i="39"/>
  <c r="B254" i="39"/>
  <c r="A254" i="39"/>
  <c r="C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9" i="39"/>
  <c r="B239" i="39"/>
  <c r="A239" i="39"/>
  <c r="C238" i="39"/>
  <c r="B238" i="39"/>
  <c r="A238" i="39"/>
  <c r="C237" i="39"/>
  <c r="B237" i="39"/>
  <c r="A237" i="39"/>
  <c r="C236" i="39"/>
  <c r="B236" i="39"/>
  <c r="A236" i="39"/>
  <c r="C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2" i="39"/>
  <c r="B222" i="39"/>
  <c r="A222" i="39"/>
  <c r="C221" i="39"/>
  <c r="B221" i="39"/>
  <c r="A221" i="39"/>
  <c r="C220" i="39"/>
  <c r="B220" i="39"/>
  <c r="A220" i="39"/>
  <c r="C219" i="39"/>
  <c r="B219" i="39"/>
  <c r="A219" i="39"/>
  <c r="C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9" i="39"/>
  <c r="B159" i="39"/>
  <c r="A159" i="39"/>
  <c r="C158" i="39"/>
  <c r="B158" i="39"/>
  <c r="A158" i="39"/>
  <c r="C157" i="39"/>
  <c r="B157" i="39"/>
  <c r="A157" i="39"/>
  <c r="C156" i="39"/>
  <c r="B156" i="39"/>
  <c r="A156" i="39"/>
  <c r="C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6" i="39"/>
  <c r="B126" i="39"/>
  <c r="A126" i="39"/>
  <c r="C125" i="39"/>
  <c r="B125" i="39"/>
  <c r="A125" i="39"/>
  <c r="C124" i="39"/>
  <c r="B124" i="39"/>
  <c r="A124" i="39"/>
  <c r="C123" i="39"/>
  <c r="B123" i="39"/>
  <c r="A123" i="39"/>
  <c r="C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4" i="39"/>
  <c r="B104" i="39"/>
  <c r="A104" i="39"/>
  <c r="C103" i="39"/>
  <c r="B103" i="39"/>
  <c r="A103" i="39"/>
  <c r="C102" i="39"/>
  <c r="B102" i="39"/>
  <c r="A102" i="39"/>
  <c r="C101" i="39"/>
  <c r="C100" i="39"/>
  <c r="B100" i="39"/>
  <c r="A100" i="39"/>
  <c r="C99" i="39"/>
  <c r="B99" i="39"/>
  <c r="A99" i="39"/>
  <c r="C98" i="39"/>
  <c r="B98" i="39"/>
  <c r="A98" i="39"/>
  <c r="C97" i="39"/>
  <c r="B97" i="39"/>
  <c r="A97" i="39"/>
  <c r="C96" i="39"/>
  <c r="B96" i="39"/>
  <c r="A96" i="39"/>
  <c r="C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9"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B21"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G55" i="75" l="1"/>
  <c r="F51" i="75"/>
  <c r="F55" i="75" s="1"/>
  <c r="E51" i="75"/>
  <c r="D51" i="75"/>
  <c r="D55" i="75" s="1"/>
  <c r="C51" i="75"/>
  <c r="C55" i="75" s="1"/>
  <c r="F48" i="75"/>
  <c r="E48" i="75"/>
  <c r="D48" i="75"/>
  <c r="C48" i="75"/>
  <c r="F42" i="75"/>
  <c r="E42" i="75"/>
  <c r="D42" i="75"/>
  <c r="C42" i="75"/>
  <c r="F36" i="75"/>
  <c r="E36" i="75"/>
  <c r="D36" i="75"/>
  <c r="C36" i="75"/>
  <c r="F30" i="75"/>
  <c r="E30" i="75"/>
  <c r="D30" i="75"/>
  <c r="C30" i="75"/>
  <c r="H18" i="75"/>
  <c r="G18" i="75"/>
  <c r="F18" i="75"/>
  <c r="E18" i="75"/>
  <c r="E7" i="75" s="1"/>
  <c r="D18" i="75"/>
  <c r="D7" i="75" s="1"/>
  <c r="C18" i="75"/>
  <c r="H8" i="75"/>
  <c r="G8" i="75"/>
  <c r="F8" i="75"/>
  <c r="E8" i="75"/>
  <c r="D8" i="75"/>
  <c r="C8" i="75"/>
  <c r="F7" i="75"/>
  <c r="C7" i="75"/>
  <c r="E55" i="75" l="1"/>
  <c r="E41" i="246"/>
  <c r="D41" i="246"/>
  <c r="C41" i="246"/>
  <c r="B41" i="246"/>
  <c r="C7" i="246"/>
  <c r="U30" i="292" l="1"/>
  <c r="R30" i="292"/>
  <c r="F30" i="292"/>
  <c r="E30" i="292"/>
  <c r="T21" i="292"/>
  <c r="S21" i="292"/>
  <c r="R21" i="292"/>
  <c r="Q21" i="292"/>
  <c r="P21" i="292"/>
  <c r="O21" i="292"/>
  <c r="O30" i="292" s="1"/>
  <c r="N21" i="292"/>
  <c r="M21" i="292"/>
  <c r="L21" i="292"/>
  <c r="K21" i="292"/>
  <c r="K30" i="292" s="1"/>
  <c r="J21" i="292"/>
  <c r="I21" i="292"/>
  <c r="H21" i="292"/>
  <c r="G21" i="292"/>
  <c r="F21" i="292"/>
  <c r="E21" i="292"/>
  <c r="D21" i="292"/>
  <c r="C21" i="292"/>
  <c r="B21" i="292"/>
  <c r="S18" i="292"/>
  <c r="S16" i="292" s="1"/>
  <c r="S30" i="292" s="1"/>
  <c r="L18" i="292"/>
  <c r="T16" i="292"/>
  <c r="R16" i="292"/>
  <c r="Q16" i="292"/>
  <c r="P16" i="292"/>
  <c r="O16" i="292"/>
  <c r="N16" i="292"/>
  <c r="M16" i="292"/>
  <c r="L16" i="292"/>
  <c r="L30" i="292" s="1"/>
  <c r="K16" i="292"/>
  <c r="J16" i="292"/>
  <c r="I16" i="292"/>
  <c r="H16" i="292"/>
  <c r="G16" i="292"/>
  <c r="F16" i="292"/>
  <c r="E16" i="292"/>
  <c r="D16" i="292"/>
  <c r="D30" i="292" s="1"/>
  <c r="C16" i="292"/>
  <c r="B16" i="292"/>
  <c r="B30" i="292" s="1"/>
  <c r="N7" i="292"/>
  <c r="N30" i="292" s="1"/>
  <c r="M7" i="292"/>
  <c r="M30" i="292" s="1"/>
  <c r="K7" i="292"/>
  <c r="J7" i="292"/>
  <c r="J30" i="292" s="1"/>
  <c r="I7" i="292"/>
  <c r="I30" i="292" s="1"/>
  <c r="U14" i="290"/>
  <c r="O14" i="290"/>
  <c r="N14" i="290"/>
  <c r="M14" i="290"/>
  <c r="U17" i="289"/>
  <c r="O13" i="289"/>
  <c r="N13" i="289"/>
  <c r="M13" i="289"/>
  <c r="I20" i="288"/>
  <c r="H18" i="288"/>
  <c r="I18" i="288" s="1"/>
  <c r="I17" i="288"/>
  <c r="H17" i="288"/>
  <c r="H16" i="288"/>
  <c r="I16" i="288" s="1"/>
  <c r="H15" i="288"/>
  <c r="I15" i="288" s="1"/>
  <c r="H14" i="288"/>
  <c r="I14" i="288" s="1"/>
  <c r="I13" i="288"/>
  <c r="H13" i="288"/>
  <c r="H12" i="288"/>
  <c r="I12" i="288" s="1"/>
  <c r="H11" i="288"/>
  <c r="I11" i="288" s="1"/>
  <c r="H10" i="288"/>
  <c r="I10" i="288" s="1"/>
  <c r="I9" i="288"/>
  <c r="H9" i="288"/>
  <c r="I20" i="287"/>
  <c r="H18" i="287"/>
  <c r="I18" i="287" s="1"/>
  <c r="I17" i="287"/>
  <c r="H17" i="287"/>
  <c r="H16" i="287"/>
  <c r="I16" i="287" s="1"/>
  <c r="I15" i="287"/>
  <c r="H15" i="287"/>
  <c r="H14" i="287"/>
  <c r="I14" i="287" s="1"/>
  <c r="I13" i="287"/>
  <c r="H13" i="287"/>
  <c r="H12" i="287"/>
  <c r="I12" i="287" s="1"/>
  <c r="I11" i="287"/>
  <c r="H11" i="287"/>
  <c r="H10" i="287"/>
  <c r="I10" i="287" s="1"/>
  <c r="I9" i="287"/>
  <c r="H9" i="287"/>
  <c r="I20" i="286"/>
  <c r="H18" i="286"/>
  <c r="I18" i="286" s="1"/>
  <c r="I17" i="286"/>
  <c r="H17" i="286"/>
  <c r="H16" i="286"/>
  <c r="I16" i="286" s="1"/>
  <c r="I15" i="286"/>
  <c r="H15" i="286"/>
  <c r="H14" i="286"/>
  <c r="I14" i="286" s="1"/>
  <c r="I13" i="286"/>
  <c r="H13" i="286"/>
  <c r="H12" i="286"/>
  <c r="I12" i="286" s="1"/>
  <c r="I11" i="286"/>
  <c r="H11" i="286"/>
  <c r="H10" i="286"/>
  <c r="I10" i="286" s="1"/>
  <c r="I9" i="286"/>
  <c r="H9" i="286"/>
  <c r="I20" i="285"/>
  <c r="I18" i="285"/>
  <c r="H18" i="285"/>
  <c r="H17" i="285"/>
  <c r="I17" i="285" s="1"/>
  <c r="I16" i="285"/>
  <c r="H16" i="285"/>
  <c r="H15" i="285"/>
  <c r="I15" i="285" s="1"/>
  <c r="I14" i="285"/>
  <c r="H14" i="285"/>
  <c r="H13" i="285"/>
  <c r="I13" i="285" s="1"/>
  <c r="I12" i="285"/>
  <c r="H12" i="285"/>
  <c r="H11" i="285"/>
  <c r="I11" i="285" s="1"/>
  <c r="I10" i="285"/>
  <c r="H10" i="285"/>
  <c r="H9" i="285"/>
  <c r="I9" i="285" s="1"/>
  <c r="I18" i="284"/>
  <c r="H18" i="284"/>
  <c r="I17" i="284"/>
  <c r="H17" i="284"/>
  <c r="I16" i="284"/>
  <c r="H16" i="284"/>
  <c r="I15" i="284"/>
  <c r="H15" i="284"/>
  <c r="I14" i="284"/>
  <c r="H14" i="284"/>
  <c r="I13" i="284"/>
  <c r="H13" i="284"/>
  <c r="I12" i="284"/>
  <c r="H12" i="284"/>
  <c r="I11" i="284"/>
  <c r="H11" i="284"/>
  <c r="I10" i="284"/>
  <c r="H10" i="284"/>
  <c r="I9" i="284"/>
  <c r="I20" i="284" s="1"/>
  <c r="H9" i="284"/>
  <c r="H18" i="283"/>
  <c r="I18" i="283" s="1"/>
  <c r="I17" i="283"/>
  <c r="H17" i="283"/>
  <c r="H16" i="283"/>
  <c r="I16" i="283" s="1"/>
  <c r="I15" i="283"/>
  <c r="H15" i="283"/>
  <c r="H14" i="283"/>
  <c r="I14" i="283" s="1"/>
  <c r="I13" i="283"/>
  <c r="H13" i="283"/>
  <c r="H12" i="283"/>
  <c r="I12" i="283" s="1"/>
  <c r="I11" i="283"/>
  <c r="H11" i="283"/>
  <c r="H10" i="283"/>
  <c r="I10" i="283" s="1"/>
  <c r="I9" i="283"/>
  <c r="H9" i="283"/>
  <c r="H18" i="282"/>
  <c r="I18" i="282" s="1"/>
  <c r="I17" i="282"/>
  <c r="H17" i="282"/>
  <c r="H16" i="282"/>
  <c r="I16" i="282" s="1"/>
  <c r="I15" i="282"/>
  <c r="H15" i="282"/>
  <c r="H14" i="282"/>
  <c r="I14" i="282" s="1"/>
  <c r="I13" i="282"/>
  <c r="H13" i="282"/>
  <c r="H12" i="282"/>
  <c r="I12" i="282" s="1"/>
  <c r="I11" i="282"/>
  <c r="H11" i="282"/>
  <c r="H10" i="282"/>
  <c r="I10" i="282" s="1"/>
  <c r="I9" i="282"/>
  <c r="H9" i="282"/>
  <c r="I18" i="281"/>
  <c r="H18" i="281"/>
  <c r="H17" i="281"/>
  <c r="I17" i="281" s="1"/>
  <c r="I16" i="281"/>
  <c r="H16" i="281"/>
  <c r="H15" i="281"/>
  <c r="I15" i="281" s="1"/>
  <c r="I14" i="281"/>
  <c r="H14" i="281"/>
  <c r="H13" i="281"/>
  <c r="I13" i="281" s="1"/>
  <c r="I12" i="281"/>
  <c r="H12" i="281"/>
  <c r="H11" i="281"/>
  <c r="I11" i="281" s="1"/>
  <c r="I10" i="281"/>
  <c r="H10" i="281"/>
  <c r="H9" i="281"/>
  <c r="I9" i="281" s="1"/>
  <c r="I20" i="281" s="1"/>
  <c r="G20" i="280"/>
  <c r="F20" i="280"/>
  <c r="E20" i="280"/>
  <c r="D20" i="280"/>
  <c r="C20" i="280"/>
  <c r="H18" i="280"/>
  <c r="I18" i="280" s="1"/>
  <c r="I17" i="280"/>
  <c r="H17" i="280"/>
  <c r="H16" i="280"/>
  <c r="I16" i="280" s="1"/>
  <c r="I15" i="280"/>
  <c r="H15" i="280"/>
  <c r="H14" i="280"/>
  <c r="I14" i="280" s="1"/>
  <c r="I13" i="280"/>
  <c r="H13" i="280"/>
  <c r="H12" i="280"/>
  <c r="I12" i="280" s="1"/>
  <c r="I11" i="280"/>
  <c r="H11" i="280"/>
  <c r="H10" i="280"/>
  <c r="I10" i="280" s="1"/>
  <c r="I9" i="280"/>
  <c r="I20" i="280" s="1"/>
  <c r="H9" i="280"/>
  <c r="G20" i="279"/>
  <c r="F20" i="279"/>
  <c r="E20" i="279"/>
  <c r="D20" i="279"/>
  <c r="H20" i="279" s="1"/>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H20" i="276" s="1"/>
  <c r="I24" i="275"/>
  <c r="G24" i="275"/>
  <c r="F24" i="275"/>
  <c r="E24" i="275"/>
  <c r="D24" i="275"/>
  <c r="C24" i="275"/>
  <c r="H22" i="275"/>
  <c r="H21" i="275"/>
  <c r="H20" i="275"/>
  <c r="H19" i="275"/>
  <c r="H18" i="275"/>
  <c r="H17" i="275"/>
  <c r="H16" i="275"/>
  <c r="H15" i="275"/>
  <c r="H14" i="275"/>
  <c r="H13" i="275"/>
  <c r="H12" i="275"/>
  <c r="H11" i="275"/>
  <c r="H10" i="275"/>
  <c r="H9" i="275"/>
  <c r="H24" i="275" s="1"/>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I33" i="271"/>
  <c r="H33" i="271"/>
  <c r="H32" i="271"/>
  <c r="I32" i="271" s="1"/>
  <c r="I31" i="271"/>
  <c r="H31" i="271"/>
  <c r="H30" i="271"/>
  <c r="I30" i="271" s="1"/>
  <c r="I29" i="271"/>
  <c r="H29" i="271"/>
  <c r="H28" i="271"/>
  <c r="I28" i="271" s="1"/>
  <c r="I27" i="271"/>
  <c r="H27" i="271"/>
  <c r="H26" i="271"/>
  <c r="I26" i="271" s="1"/>
  <c r="I25" i="271"/>
  <c r="H25" i="271"/>
  <c r="H24" i="271"/>
  <c r="I24" i="271" s="1"/>
  <c r="I23" i="271"/>
  <c r="H23" i="271"/>
  <c r="H22" i="271"/>
  <c r="I22" i="271" s="1"/>
  <c r="I21" i="271"/>
  <c r="H21" i="271"/>
  <c r="H20" i="271"/>
  <c r="I20" i="271" s="1"/>
  <c r="I19" i="271"/>
  <c r="H19" i="271"/>
  <c r="H18" i="271"/>
  <c r="I18" i="271" s="1"/>
  <c r="I17" i="271"/>
  <c r="H17" i="271"/>
  <c r="H16" i="271"/>
  <c r="I16" i="271" s="1"/>
  <c r="I15" i="271"/>
  <c r="H15" i="271"/>
  <c r="H14" i="271"/>
  <c r="I14" i="271" s="1"/>
  <c r="I13" i="271"/>
  <c r="H13" i="271"/>
  <c r="H12" i="271"/>
  <c r="I12" i="271" s="1"/>
  <c r="I11" i="271"/>
  <c r="H11" i="271"/>
  <c r="H10" i="271"/>
  <c r="I10" i="271" s="1"/>
  <c r="I9" i="271"/>
  <c r="H9" i="271"/>
  <c r="H8" i="271"/>
  <c r="I8" i="271" s="1"/>
  <c r="H37" i="270"/>
  <c r="G37" i="270"/>
  <c r="F37" i="270"/>
  <c r="E37" i="270"/>
  <c r="D37" i="270"/>
  <c r="C37" i="270"/>
  <c r="H34" i="270"/>
  <c r="I34" i="270" s="1"/>
  <c r="I33" i="270"/>
  <c r="H33" i="270"/>
  <c r="H32" i="270"/>
  <c r="I32" i="270" s="1"/>
  <c r="I31" i="270"/>
  <c r="H31" i="270"/>
  <c r="H30" i="270"/>
  <c r="I30" i="270" s="1"/>
  <c r="I29" i="270"/>
  <c r="H29" i="270"/>
  <c r="H28" i="270"/>
  <c r="I28" i="270" s="1"/>
  <c r="I27" i="270"/>
  <c r="H27" i="270"/>
  <c r="H26" i="270"/>
  <c r="I26" i="270" s="1"/>
  <c r="I25" i="270"/>
  <c r="H25" i="270"/>
  <c r="H24" i="270"/>
  <c r="I24" i="270" s="1"/>
  <c r="I23" i="270"/>
  <c r="H23" i="270"/>
  <c r="H22" i="270"/>
  <c r="I22" i="270" s="1"/>
  <c r="I21" i="270"/>
  <c r="H21" i="270"/>
  <c r="H20" i="270"/>
  <c r="I20" i="270" s="1"/>
  <c r="I19" i="270"/>
  <c r="H19" i="270"/>
  <c r="H18" i="270"/>
  <c r="I18" i="270" s="1"/>
  <c r="I17" i="270"/>
  <c r="H17" i="270"/>
  <c r="H16" i="270"/>
  <c r="I16" i="270" s="1"/>
  <c r="I15" i="270"/>
  <c r="H15" i="270"/>
  <c r="H14" i="270"/>
  <c r="I14" i="270" s="1"/>
  <c r="I13" i="270"/>
  <c r="H13" i="270"/>
  <c r="H12" i="270"/>
  <c r="I12" i="270" s="1"/>
  <c r="I11" i="270"/>
  <c r="H11" i="270"/>
  <c r="H10" i="270"/>
  <c r="I10" i="270" s="1"/>
  <c r="I9" i="270"/>
  <c r="H9" i="270"/>
  <c r="H8" i="270"/>
  <c r="I8" i="270" s="1"/>
  <c r="H37" i="269"/>
  <c r="G37" i="269"/>
  <c r="F37" i="269"/>
  <c r="E37" i="269"/>
  <c r="D37" i="269"/>
  <c r="C37" i="269"/>
  <c r="H34" i="269"/>
  <c r="I34" i="269" s="1"/>
  <c r="I33" i="269"/>
  <c r="H33" i="269"/>
  <c r="H32" i="269"/>
  <c r="I32" i="269" s="1"/>
  <c r="I31" i="269"/>
  <c r="H31" i="269"/>
  <c r="H30" i="269"/>
  <c r="I30" i="269" s="1"/>
  <c r="I29" i="269"/>
  <c r="H29" i="269"/>
  <c r="H28" i="269"/>
  <c r="I28" i="269" s="1"/>
  <c r="I27" i="269"/>
  <c r="H27" i="269"/>
  <c r="H26" i="269"/>
  <c r="I26" i="269" s="1"/>
  <c r="I25" i="269"/>
  <c r="H25" i="269"/>
  <c r="H24" i="269"/>
  <c r="I24" i="269" s="1"/>
  <c r="I23" i="269"/>
  <c r="H23" i="269"/>
  <c r="H22" i="269"/>
  <c r="I22" i="269" s="1"/>
  <c r="I21" i="269"/>
  <c r="H21" i="269"/>
  <c r="H20" i="269"/>
  <c r="I20" i="269" s="1"/>
  <c r="I19" i="269"/>
  <c r="H19" i="269"/>
  <c r="H18" i="269"/>
  <c r="I18" i="269" s="1"/>
  <c r="I17" i="269"/>
  <c r="H17" i="269"/>
  <c r="H16" i="269"/>
  <c r="I16" i="269" s="1"/>
  <c r="I15" i="269"/>
  <c r="H15" i="269"/>
  <c r="H14" i="269"/>
  <c r="I14" i="269" s="1"/>
  <c r="I13" i="269"/>
  <c r="H13" i="269"/>
  <c r="H12" i="269"/>
  <c r="I12" i="269" s="1"/>
  <c r="I11" i="269"/>
  <c r="H11" i="269"/>
  <c r="H10" i="269"/>
  <c r="I10" i="269" s="1"/>
  <c r="I9" i="269"/>
  <c r="H9" i="269"/>
  <c r="H8" i="269"/>
  <c r="I8" i="269" s="1"/>
  <c r="H37" i="268"/>
  <c r="G37" i="268"/>
  <c r="F37" i="268"/>
  <c r="E37" i="268"/>
  <c r="D37" i="268"/>
  <c r="C37" i="268"/>
  <c r="H34" i="268"/>
  <c r="I34" i="268" s="1"/>
  <c r="H33" i="268"/>
  <c r="I33" i="268" s="1"/>
  <c r="H32" i="268"/>
  <c r="I32" i="268" s="1"/>
  <c r="I31" i="268"/>
  <c r="H31" i="268"/>
  <c r="H30" i="268"/>
  <c r="I30" i="268" s="1"/>
  <c r="H29" i="268"/>
  <c r="I29" i="268" s="1"/>
  <c r="H28" i="268"/>
  <c r="I28" i="268" s="1"/>
  <c r="I27" i="268"/>
  <c r="H27" i="268"/>
  <c r="H26" i="268"/>
  <c r="I26" i="268" s="1"/>
  <c r="H25" i="268"/>
  <c r="I25" i="268" s="1"/>
  <c r="H24" i="268"/>
  <c r="I24" i="268" s="1"/>
  <c r="I23" i="268"/>
  <c r="H23" i="268"/>
  <c r="H22" i="268"/>
  <c r="I22" i="268" s="1"/>
  <c r="H21" i="268"/>
  <c r="I21" i="268" s="1"/>
  <c r="H20" i="268"/>
  <c r="I20" i="268" s="1"/>
  <c r="I19" i="268"/>
  <c r="H19" i="268"/>
  <c r="H18" i="268"/>
  <c r="I18" i="268" s="1"/>
  <c r="H17" i="268"/>
  <c r="I17" i="268" s="1"/>
  <c r="H16" i="268"/>
  <c r="I16" i="268" s="1"/>
  <c r="I15" i="268"/>
  <c r="H15" i="268"/>
  <c r="I14" i="268"/>
  <c r="H14" i="268"/>
  <c r="I13" i="268"/>
  <c r="H13" i="268"/>
  <c r="I12" i="268"/>
  <c r="H12" i="268"/>
  <c r="I11" i="268"/>
  <c r="H11" i="268"/>
  <c r="I10" i="268"/>
  <c r="H10" i="268"/>
  <c r="I9" i="268"/>
  <c r="H9" i="268"/>
  <c r="I8" i="268"/>
  <c r="H8" i="268"/>
  <c r="H37" i="267"/>
  <c r="G37" i="267"/>
  <c r="F37" i="267"/>
  <c r="E37" i="267"/>
  <c r="D37" i="267"/>
  <c r="C37" i="267"/>
  <c r="I34" i="267"/>
  <c r="H33" i="267"/>
  <c r="I33" i="267" s="1"/>
  <c r="I32" i="267"/>
  <c r="I31" i="267"/>
  <c r="H31" i="267"/>
  <c r="I30" i="267"/>
  <c r="H30" i="267"/>
  <c r="I29" i="267"/>
  <c r="H29" i="267"/>
  <c r="I28" i="267"/>
  <c r="H28" i="267"/>
  <c r="I27" i="267"/>
  <c r="H27" i="267"/>
  <c r="I26" i="267"/>
  <c r="H26" i="267"/>
  <c r="I25" i="267"/>
  <c r="H25" i="267"/>
  <c r="I24" i="267"/>
  <c r="H24" i="267"/>
  <c r="I23" i="267"/>
  <c r="H23" i="267"/>
  <c r="I22" i="267"/>
  <c r="H22" i="267"/>
  <c r="I21" i="267"/>
  <c r="H21" i="267"/>
  <c r="I20" i="267"/>
  <c r="H20" i="267"/>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H37" i="264" s="1"/>
  <c r="I36" i="264"/>
  <c r="I34" i="264"/>
  <c r="H34" i="264"/>
  <c r="I33" i="264"/>
  <c r="H33" i="264"/>
  <c r="I32" i="264"/>
  <c r="H32" i="264"/>
  <c r="I31" i="264"/>
  <c r="H31" i="264"/>
  <c r="I30" i="264"/>
  <c r="H30" i="264"/>
  <c r="I29" i="264"/>
  <c r="H29" i="264"/>
  <c r="I28" i="264"/>
  <c r="H28" i="264"/>
  <c r="I27" i="264"/>
  <c r="H27" i="264"/>
  <c r="I26" i="264"/>
  <c r="H26" i="264"/>
  <c r="I25" i="264"/>
  <c r="H25" i="264"/>
  <c r="I24" i="264"/>
  <c r="H24" i="264"/>
  <c r="I23" i="264"/>
  <c r="H23" i="264"/>
  <c r="I22" i="264"/>
  <c r="H22" i="264"/>
  <c r="I21" i="264"/>
  <c r="H21" i="264"/>
  <c r="I20" i="264"/>
  <c r="H20" i="264"/>
  <c r="I19" i="264"/>
  <c r="H19" i="264"/>
  <c r="I18" i="264"/>
  <c r="H18" i="264"/>
  <c r="I17" i="264"/>
  <c r="H17" i="264"/>
  <c r="I16" i="264"/>
  <c r="H16" i="264"/>
  <c r="I15" i="264"/>
  <c r="H15" i="264"/>
  <c r="I14" i="264"/>
  <c r="H14" i="264"/>
  <c r="I13" i="264"/>
  <c r="H13" i="264"/>
  <c r="I12" i="264"/>
  <c r="H12" i="264"/>
  <c r="I11" i="264"/>
  <c r="H11" i="264"/>
  <c r="I10" i="264"/>
  <c r="H10" i="264"/>
  <c r="I9" i="264"/>
  <c r="H9" i="264"/>
  <c r="I8" i="264"/>
  <c r="H8" i="264"/>
  <c r="D37" i="263"/>
  <c r="I36" i="263"/>
  <c r="G36" i="263"/>
  <c r="G37" i="263" s="1"/>
  <c r="F36" i="263"/>
  <c r="F37" i="263" s="1"/>
  <c r="E36" i="263"/>
  <c r="E37" i="263" s="1"/>
  <c r="D36" i="263"/>
  <c r="C36" i="263"/>
  <c r="C37" i="263" s="1"/>
  <c r="I34" i="263"/>
  <c r="H34" i="263"/>
  <c r="I33" i="263"/>
  <c r="H33" i="263"/>
  <c r="I32" i="263"/>
  <c r="H32" i="263"/>
  <c r="I31" i="263"/>
  <c r="H31" i="263"/>
  <c r="I30" i="263"/>
  <c r="H30" i="263"/>
  <c r="I29" i="263"/>
  <c r="H29" i="263"/>
  <c r="I28" i="263"/>
  <c r="H28" i="263"/>
  <c r="I27" i="263"/>
  <c r="H27" i="263"/>
  <c r="I26" i="263"/>
  <c r="H26" i="263"/>
  <c r="I25" i="263"/>
  <c r="H25" i="263"/>
  <c r="I24" i="263"/>
  <c r="H24" i="263"/>
  <c r="I23" i="263"/>
  <c r="H23" i="263"/>
  <c r="I22" i="263"/>
  <c r="H22" i="263"/>
  <c r="I21" i="263"/>
  <c r="H21" i="263"/>
  <c r="I20" i="263"/>
  <c r="H20" i="263"/>
  <c r="I19" i="263"/>
  <c r="H19" i="263"/>
  <c r="I18" i="263"/>
  <c r="H18" i="263"/>
  <c r="I17" i="263"/>
  <c r="H17" i="263"/>
  <c r="I16" i="263"/>
  <c r="H16" i="263"/>
  <c r="I15" i="263"/>
  <c r="H15" i="263"/>
  <c r="I14" i="263"/>
  <c r="H14" i="263"/>
  <c r="I13" i="263"/>
  <c r="H13" i="263"/>
  <c r="I12" i="263"/>
  <c r="H12" i="263"/>
  <c r="I11" i="263"/>
  <c r="H11" i="263"/>
  <c r="I10" i="263"/>
  <c r="H10" i="263"/>
  <c r="I9" i="263"/>
  <c r="H9" i="263"/>
  <c r="I8" i="263"/>
  <c r="H8" i="263"/>
  <c r="F37" i="262"/>
  <c r="I36" i="262"/>
  <c r="G36" i="262"/>
  <c r="G37" i="262" s="1"/>
  <c r="F36" i="262"/>
  <c r="E36" i="262"/>
  <c r="E37" i="262" s="1"/>
  <c r="D36" i="262"/>
  <c r="D37" i="262" s="1"/>
  <c r="C36" i="262"/>
  <c r="C37" i="262" s="1"/>
  <c r="I34" i="262"/>
  <c r="H34" i="262"/>
  <c r="I33" i="262"/>
  <c r="H33" i="262"/>
  <c r="I32" i="262"/>
  <c r="H32" i="262"/>
  <c r="I31" i="262"/>
  <c r="H31" i="262"/>
  <c r="I30" i="262"/>
  <c r="H30" i="262"/>
  <c r="I29" i="262"/>
  <c r="H29" i="262"/>
  <c r="I28" i="262"/>
  <c r="H28" i="262"/>
  <c r="I27" i="262"/>
  <c r="H27" i="262"/>
  <c r="I26" i="262"/>
  <c r="H26" i="262"/>
  <c r="I25" i="262"/>
  <c r="H25" i="262"/>
  <c r="I24" i="262"/>
  <c r="H24" i="262"/>
  <c r="I23" i="262"/>
  <c r="H23" i="262"/>
  <c r="I22" i="262"/>
  <c r="H22" i="262"/>
  <c r="I21" i="262"/>
  <c r="H21" i="262"/>
  <c r="I20" i="262"/>
  <c r="H20" i="262"/>
  <c r="I19" i="262"/>
  <c r="H19" i="262"/>
  <c r="I18" i="262"/>
  <c r="H18" i="262"/>
  <c r="I17" i="262"/>
  <c r="H17" i="262"/>
  <c r="I16" i="262"/>
  <c r="H16" i="262"/>
  <c r="I15" i="262"/>
  <c r="H15" i="262"/>
  <c r="I14" i="262"/>
  <c r="H14" i="262"/>
  <c r="I13" i="262"/>
  <c r="H13" i="262"/>
  <c r="I12" i="262"/>
  <c r="H12" i="262"/>
  <c r="I11" i="262"/>
  <c r="H11" i="262"/>
  <c r="I10" i="262"/>
  <c r="H10" i="262"/>
  <c r="I9" i="262"/>
  <c r="H9" i="262"/>
  <c r="I8" i="262"/>
  <c r="H8" i="262"/>
  <c r="G36" i="261"/>
  <c r="F36" i="261"/>
  <c r="E36" i="261"/>
  <c r="E37" i="261" s="1"/>
  <c r="D36" i="261"/>
  <c r="D37" i="261" s="1"/>
  <c r="C36" i="261"/>
  <c r="H36" i="261" s="1"/>
  <c r="H34" i="261"/>
  <c r="H33" i="261"/>
  <c r="I33" i="261" s="1"/>
  <c r="H32" i="261"/>
  <c r="I32" i="261" s="1"/>
  <c r="H31" i="261"/>
  <c r="I31" i="261" s="1"/>
  <c r="H30" i="261"/>
  <c r="H29" i="261"/>
  <c r="I29" i="261" s="1"/>
  <c r="H28" i="261"/>
  <c r="I28" i="261" s="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H36" i="259" s="1"/>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H36" i="257" s="1"/>
  <c r="C36" i="257"/>
  <c r="H37" i="256"/>
  <c r="D37" i="256"/>
  <c r="H36" i="256"/>
  <c r="G36" i="256"/>
  <c r="G37" i="256" s="1"/>
  <c r="F36" i="256"/>
  <c r="F37" i="256" s="1"/>
  <c r="E36" i="256"/>
  <c r="E37" i="256" s="1"/>
  <c r="D36" i="256"/>
  <c r="C36" i="256"/>
  <c r="C37" i="256" s="1"/>
  <c r="H37" i="255"/>
  <c r="F37" i="255"/>
  <c r="G36" i="255"/>
  <c r="G37" i="255" s="1"/>
  <c r="E36" i="255"/>
  <c r="E37" i="255" s="1"/>
  <c r="D36" i="255"/>
  <c r="D37" i="255" s="1"/>
  <c r="C36" i="255"/>
  <c r="C37" i="255" s="1"/>
  <c r="H37" i="257" l="1"/>
  <c r="D37" i="257"/>
  <c r="E37" i="258"/>
  <c r="F37" i="257"/>
  <c r="F37" i="259"/>
  <c r="H37" i="259"/>
  <c r="D37" i="259"/>
  <c r="G37" i="259"/>
  <c r="I11" i="279"/>
  <c r="I15" i="279"/>
  <c r="C37" i="257"/>
  <c r="G37" i="257"/>
  <c r="H36" i="258"/>
  <c r="G37" i="260"/>
  <c r="I10" i="261"/>
  <c r="I14" i="261"/>
  <c r="I18" i="261"/>
  <c r="I22" i="261"/>
  <c r="I26" i="261"/>
  <c r="I30" i="261"/>
  <c r="I34" i="261"/>
  <c r="F37" i="261"/>
  <c r="H37" i="262"/>
  <c r="I9" i="279"/>
  <c r="I13" i="279"/>
  <c r="I17" i="279"/>
  <c r="E37" i="257"/>
  <c r="F37" i="258"/>
  <c r="C37" i="259"/>
  <c r="D37" i="258"/>
  <c r="E37" i="259"/>
  <c r="H36" i="260"/>
  <c r="G37" i="261"/>
  <c r="C37" i="261"/>
  <c r="H37" i="263"/>
  <c r="I13" i="278"/>
  <c r="I10" i="279"/>
  <c r="I18" i="279"/>
  <c r="I16" i="279"/>
  <c r="I20" i="282"/>
  <c r="I20" i="283"/>
  <c r="H20" i="278"/>
  <c r="I9" i="278"/>
  <c r="I17" i="278"/>
  <c r="I14" i="279"/>
  <c r="I15" i="278"/>
  <c r="I12" i="279"/>
  <c r="M46" i="247"/>
  <c r="M50"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P63" i="74"/>
  <c r="O63" i="74"/>
  <c r="N63" i="74"/>
  <c r="M63" i="74"/>
  <c r="L63" i="74"/>
  <c r="K63" i="74"/>
  <c r="J63" i="74"/>
  <c r="Q44" i="74"/>
  <c r="Q63" i="74"/>
  <c r="L35" i="245"/>
  <c r="K35" i="245"/>
  <c r="J35" i="245"/>
  <c r="I35" i="245"/>
  <c r="H35" i="245"/>
  <c r="G35" i="245"/>
  <c r="F35" i="245"/>
  <c r="E35" i="245"/>
  <c r="D35" i="245"/>
  <c r="C35" i="245"/>
  <c r="M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L35" i="152"/>
  <c r="M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Q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50" i="131"/>
  <c r="F54" i="131"/>
  <c r="F41" i="131"/>
  <c r="F99"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99"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c r="K111" i="65"/>
  <c r="K23" i="65"/>
  <c r="J288" i="65"/>
  <c r="J277" i="65"/>
  <c r="J237" i="65"/>
  <c r="J224" i="65"/>
  <c r="J111" i="65"/>
  <c r="J23" i="65"/>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M35" i="194"/>
  <c r="J327" i="65"/>
  <c r="M35" i="155"/>
  <c r="E41" i="131"/>
  <c r="D99" i="131"/>
  <c r="M35" i="154"/>
  <c r="M35" i="151"/>
  <c r="I33" i="260" l="1"/>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20" i="278" s="1"/>
  <c r="I11" i="278"/>
  <c r="E37" i="260"/>
  <c r="I20" i="279"/>
  <c r="H37" i="258"/>
  <c r="C37" i="258"/>
  <c r="G37" i="258"/>
  <c r="F37" i="260"/>
</calcChain>
</file>

<file path=xl/sharedStrings.xml><?xml version="1.0" encoding="utf-8"?>
<sst xmlns="http://schemas.openxmlformats.org/spreadsheetml/2006/main" count="12056" uniqueCount="2064">
  <si>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</si>
  <si>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</si>
  <si>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</si>
  <si>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</si>
  <si>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</si>
  <si>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</si>
  <si>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</si>
  <si>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</si>
  <si>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</si>
  <si>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</si>
  <si>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</si>
  <si>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</si>
  <si>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</si>
  <si>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</si>
  <si>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</si>
  <si>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</si>
  <si>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</si>
  <si>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</si>
  <si>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</si>
  <si>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</si>
  <si>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</si>
  <si>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</si>
  <si>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</si>
  <si>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</si>
  <si>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</si>
  <si>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</si>
  <si>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</si>
  <si>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</si>
  <si>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</si>
  <si>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</si>
  <si>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</si>
  <si>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</si>
  <si>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</si>
  <si>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</si>
  <si>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</si>
  <si>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</si>
  <si>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</si>
  <si>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</si>
  <si>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</si>
  <si>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</si>
  <si>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</si>
  <si>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</si>
  <si>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</si>
  <si>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</si>
  <si>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</si>
  <si>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</si>
  <si>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</si>
  <si>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</si>
  <si>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</si>
  <si>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</si>
  <si>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</si>
  <si>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</si>
  <si>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</si>
  <si>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</si>
  <si>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</si>
  <si>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</si>
  <si>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</si>
  <si>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</si>
  <si>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</si>
  <si>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</si>
  <si>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</si>
  <si>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</si>
  <si>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</si>
  <si>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</si>
  <si>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</si>
  <si>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</si>
  <si>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</si>
  <si>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</si>
  <si>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</si>
  <si>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</si>
  <si>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</si>
  <si>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</si>
  <si>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</si>
  <si>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</si>
  <si>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</si>
  <si>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</si>
  <si>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</si>
  <si>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</si>
  <si>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</si>
  <si>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</si>
  <si>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</si>
  <si>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</si>
  <si>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</si>
  <si>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</si>
  <si>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</si>
  <si>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</si>
  <si>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</si>
  <si>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</si>
  <si>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</si>
  <si>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</si>
  <si>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</si>
  <si>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</si>
  <si>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</si>
  <si>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</si>
  <si>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</si>
  <si>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</si>
  <si>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</si>
  <si>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</si>
  <si>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</si>
  <si>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Expenditure outcome of the Central Government Budget distributed according to expenditure area and major function 2007, new classification. Million SEK</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</si>
  <si>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</si>
  <si>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</si>
  <si>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</si>
  <si>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</si>
  <si>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</si>
  <si>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</si>
  <si>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</si>
  <si>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</si>
  <si>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</si>
  <si>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</si>
  <si>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</si>
  <si>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</si>
  <si>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</si>
  <si>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</si>
  <si>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</si>
  <si>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</si>
  <si>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</si>
  <si>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</si>
  <si>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</si>
  <si>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</si>
  <si>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</si>
  <si>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</si>
  <si>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</si>
  <si>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</si>
  <si>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</si>
  <si>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</si>
  <si>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</si>
  <si>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</si>
  <si>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</si>
  <si>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</si>
  <si>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</si>
  <si>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</si>
  <si>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</si>
  <si>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</si>
  <si>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</si>
  <si>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</si>
  <si>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</si>
  <si>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</si>
  <si>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</si>
  <si>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</si>
  <si>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</si>
  <si>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</si>
  <si>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</si>
  <si>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</si>
  <si>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</si>
  <si>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</si>
  <si>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</si>
  <si>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</si>
  <si>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</si>
  <si>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</si>
  <si>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</si>
  <si>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</si>
  <si>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</si>
  <si>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</si>
  <si>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</si>
  <si>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</si>
  <si>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</si>
  <si>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</si>
  <si>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</si>
  <si>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</si>
  <si>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</si>
  <si>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</si>
  <si>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</si>
  <si>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</si>
  <si>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</si>
  <si>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</si>
  <si>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</si>
  <si>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</si>
  <si>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</si>
  <si>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</si>
  <si>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</si>
  <si>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</si>
  <si>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</si>
  <si>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</si>
  <si>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</si>
  <si>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</si>
  <si>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</si>
  <si>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</si>
  <si>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</si>
  <si>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</si>
  <si>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</si>
  <si>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</si>
  <si>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</si>
  <si>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</si>
  <si>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</si>
  <si>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</si>
  <si>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</si>
  <si>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</si>
  <si>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</si>
  <si>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</si>
  <si>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</si>
  <si>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</si>
  <si>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</si>
  <si>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</si>
  <si>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</si>
  <si>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</si>
  <si>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</si>
  <si>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</si>
  <si>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</si>
  <si>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</si>
  <si>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</si>
  <si>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</si>
  <si>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</si>
  <si>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</si>
  <si>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</si>
  <si>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</si>
  <si>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</si>
  <si>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</si>
  <si>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</si>
  <si>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</si>
  <si>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</si>
  <si>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</si>
  <si>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</si>
  <si>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 xml:space="preserve">Expenditure outcome of the Central Government Budget distributed according to major function 1995–2001, former classification. Million SEK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</si>
  <si>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</si>
  <si>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</si>
  <si>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</si>
  <si>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</si>
  <si>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</si>
  <si>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</si>
  <si>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</si>
  <si>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</si>
  <si>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</si>
  <si>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</si>
  <si>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</si>
  <si>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</si>
  <si>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</si>
  <si>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</si>
  <si>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</si>
  <si>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</si>
  <si>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</si>
  <si>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</si>
  <si>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</si>
  <si>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</si>
  <si>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</si>
  <si>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</si>
  <si>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</si>
  <si>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</si>
  <si>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</si>
  <si>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</si>
  <si>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</si>
  <si>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</si>
  <si>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</si>
  <si>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</si>
  <si>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</si>
  <si>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</si>
  <si>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</si>
  <si>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</si>
  <si>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</si>
  <si>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</si>
  <si>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</si>
  <si>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</si>
  <si>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</si>
  <si>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</si>
  <si>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</si>
  <si>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</si>
  <si>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</si>
  <si>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</si>
  <si>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</si>
  <si>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</si>
  <si>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</si>
  <si>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</si>
  <si>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</si>
  <si>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</si>
  <si>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</si>
  <si>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</si>
  <si>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</si>
  <si>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</si>
  <si>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</si>
  <si>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</si>
  <si>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</si>
  <si>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</si>
  <si>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</si>
  <si>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</si>
  <si>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</si>
  <si>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</si>
  <si>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</si>
  <si>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</si>
  <si>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</si>
  <si>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</si>
  <si>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</si>
  <si>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</si>
  <si>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</si>
  <si>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</si>
  <si>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</si>
  <si>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</si>
  <si>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</si>
  <si>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</si>
  <si>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</si>
  <si>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</si>
  <si>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</si>
  <si>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</si>
  <si>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</si>
  <si>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</si>
  <si>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</si>
  <si>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</si>
  <si>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</si>
  <si>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</si>
  <si>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</si>
  <si>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</si>
  <si>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</si>
  <si>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</si>
  <si>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</si>
  <si>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</si>
  <si>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</si>
  <si>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</si>
  <si>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</si>
  <si>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</si>
  <si>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</si>
  <si>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</si>
  <si>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</si>
  <si>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</si>
  <si>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</si>
  <si>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</si>
  <si>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</si>
  <si>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</si>
  <si>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</si>
  <si>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</si>
  <si>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</si>
  <si>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</si>
  <si>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</si>
  <si>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</si>
  <si>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</si>
  <si>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</si>
  <si>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</si>
  <si>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</si>
  <si>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</si>
  <si>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</si>
  <si>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</si>
  <si>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</si>
  <si>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</si>
  <si>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</si>
  <si>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</si>
  <si>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</si>
  <si>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</si>
  <si>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</si>
  <si>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</si>
  <si>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</si>
  <si>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</si>
  <si>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</si>
  <si>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</si>
  <si>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</si>
  <si>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</si>
  <si>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</si>
  <si>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</si>
  <si>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</si>
  <si>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</si>
  <si>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</si>
  <si>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</si>
  <si>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</si>
  <si>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</si>
  <si>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</si>
  <si>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</si>
  <si>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</si>
  <si>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</si>
  <si>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</si>
  <si>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</si>
  <si>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</si>
  <si>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</si>
  <si>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</si>
  <si>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</si>
  <si>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</si>
  <si>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</si>
  <si>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</si>
  <si>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 xml:space="preserve">Miljö-, struktur- och regionala åtgärder </t>
  </si>
  <si>
    <t>perioden 2000-2006</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</si>
  <si>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</si>
  <si>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</si>
  <si>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</si>
  <si>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</si>
  <si>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</si>
  <si>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</si>
  <si>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</si>
  <si>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</si>
  <si>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</si>
  <si>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</si>
  <si>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</si>
  <si>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</si>
  <si>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</si>
  <si>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</si>
  <si>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</si>
  <si>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</si>
  <si>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</si>
  <si>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</si>
  <si>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</si>
  <si>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</si>
  <si>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</si>
  <si>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</si>
  <si>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</si>
  <si>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</si>
  <si>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</si>
  <si>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</si>
  <si>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</si>
  <si>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</si>
  <si>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</si>
  <si>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</si>
  <si>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</si>
  <si>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</si>
  <si>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</si>
  <si>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</si>
  <si>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</si>
  <si>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</si>
  <si>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</si>
  <si>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</si>
  <si>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</si>
  <si>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</si>
  <si>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</si>
  <si>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</si>
  <si>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</si>
  <si>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EU-avgift, försenad rabatt</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</si>
  <si>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</si>
  <si>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</si>
  <si>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</si>
  <si>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</si>
  <si>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</si>
  <si>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</si>
  <si>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</si>
  <si>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</si>
  <si>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</si>
  <si>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</si>
  <si>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</si>
  <si>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</si>
  <si>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</si>
  <si>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</si>
  <si>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</si>
  <si>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</si>
  <si>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Expenditure outcome of the Central Government Budget distributed according to expenditure area and major function 2006, new classification. Million SEK</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</si>
  <si>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</si>
  <si>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</si>
  <si>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</si>
  <si>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</si>
  <si>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</si>
  <si>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</si>
  <si>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</si>
  <si>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</si>
  <si>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</si>
  <si>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</si>
  <si>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</si>
  <si>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</si>
  <si>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</si>
  <si>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</si>
  <si>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</si>
  <si>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</si>
  <si>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</si>
  <si>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</si>
  <si>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</si>
  <si>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</si>
  <si>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</si>
  <si>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</si>
  <si>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</si>
  <si>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</si>
  <si>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</si>
  <si>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Poster</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</si>
  <si>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</si>
  <si>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</si>
  <si>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</si>
  <si>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</si>
  <si>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</si>
  <si>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</si>
  <si>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</si>
  <si>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</si>
  <si>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</si>
  <si>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</si>
  <si>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</si>
  <si>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</si>
  <si>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</si>
  <si>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</si>
  <si>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</si>
  <si>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</si>
  <si>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</si>
  <si>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</si>
  <si>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</si>
  <si>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</si>
  <si>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</si>
  <si>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</si>
  <si>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</si>
  <si>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</si>
  <si>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</si>
  <si>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</si>
  <si>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</si>
  <si>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</si>
  <si>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</si>
  <si>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</si>
  <si>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</si>
  <si>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</si>
  <si>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</si>
  <si>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</si>
  <si>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</si>
  <si>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</si>
  <si>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</si>
  <si>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</si>
  <si>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</si>
  <si>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</si>
  <si>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</si>
  <si>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</si>
  <si>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</si>
  <si>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</si>
  <si>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</si>
  <si>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</si>
  <si>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</si>
  <si>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</si>
  <si>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</si>
  <si>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</si>
  <si>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</si>
  <si>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</si>
  <si>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</si>
  <si>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</si>
  <si>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</si>
  <si>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</si>
  <si>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</si>
  <si>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</si>
  <si>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</si>
  <si>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</si>
  <si>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</si>
  <si>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</si>
  <si>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</si>
  <si>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</si>
  <si>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</si>
  <si>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</si>
  <si>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</si>
  <si>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</si>
  <si>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</si>
  <si>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</si>
  <si>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</si>
  <si>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</si>
  <si>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</si>
  <si>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</si>
  <si>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</si>
  <si>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</si>
  <si>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</si>
  <si>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</si>
  <si>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</si>
  <si>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</si>
  <si>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</si>
  <si>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</si>
  <si>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</si>
  <si>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</si>
  <si>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</si>
  <si>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</si>
  <si>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</si>
  <si>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</si>
  <si>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</si>
  <si>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</si>
  <si>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</si>
  <si>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</si>
  <si>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</si>
  <si>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</si>
  <si>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</si>
  <si>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</si>
  <si>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</si>
  <si>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</si>
  <si>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</si>
  <si>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</si>
  <si>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</si>
  <si>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</si>
  <si>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</si>
  <si>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</si>
  <si>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</si>
  <si>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</si>
  <si>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</si>
  <si>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</si>
  <si>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</si>
  <si>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</si>
  <si>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</si>
  <si>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</si>
  <si>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</si>
  <si>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</si>
  <si>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</si>
  <si>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</si>
  <si>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</si>
  <si>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</si>
  <si>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</si>
  <si>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</si>
  <si>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</si>
  <si>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</si>
  <si>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</si>
  <si>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</si>
  <si>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</si>
  <si>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</si>
  <si>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</si>
  <si>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</si>
  <si>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</si>
  <si>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</si>
  <si>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</si>
  <si>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</si>
  <si>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</si>
  <si>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</si>
  <si>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</si>
  <si>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</si>
  <si>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</si>
  <si>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</si>
  <si>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</si>
  <si>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</si>
  <si>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</si>
  <si>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</si>
  <si>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</si>
  <si>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</si>
  <si>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</si>
  <si>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</si>
  <si>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</si>
  <si>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</si>
  <si>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</si>
  <si>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</si>
  <si>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</si>
  <si>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</si>
  <si>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</si>
  <si>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</si>
  <si>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</si>
  <si>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</si>
  <si>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</si>
  <si>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</si>
  <si>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</si>
  <si>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</si>
  <si>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</si>
  <si>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</si>
  <si>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</si>
  <si>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</si>
  <si>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</si>
  <si>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</si>
  <si>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</si>
  <si>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</si>
  <si>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</si>
  <si>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</si>
  <si>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</si>
  <si>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</si>
  <si>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</si>
  <si>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</si>
  <si>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</si>
  <si>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</si>
  <si>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</si>
  <si>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of 1984/85. Million SEK</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</si>
  <si>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</si>
  <si>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</si>
  <si>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</si>
  <si>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</si>
  <si>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</si>
  <si>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</si>
  <si>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</si>
  <si>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</si>
  <si>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</si>
  <si>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</si>
  <si>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</si>
  <si>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</si>
  <si>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</si>
  <si>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</si>
  <si>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</si>
  <si>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</si>
  <si>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</si>
  <si>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</si>
  <si>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</si>
  <si>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</si>
  <si>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</si>
  <si>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</si>
  <si>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</si>
  <si>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</si>
  <si>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</si>
  <si>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</si>
  <si>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</si>
  <si>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</si>
  <si>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</si>
  <si>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</si>
  <si>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</si>
  <si>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</si>
  <si>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</si>
  <si>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</si>
  <si>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</si>
  <si>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</si>
  <si>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</si>
  <si>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</si>
  <si>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 xml:space="preserve">Expenditure outcome of the Central Government Budget distributed according to expenditure per person and major function 1995–2001, former classifcation. SEK </t>
  </si>
  <si>
    <t>2395   Räntor på särskilda räkningar i Riksbanken</t>
  </si>
  <si>
    <t>2397   Räntor på skattekonto m.m., netto</t>
  </si>
  <si>
    <t>2400   Aktieutdelning</t>
  </si>
  <si>
    <t>2411   Inkomster av statens aktier</t>
  </si>
  <si>
    <t>2500   Offentligrättsliga avgifter</t>
  </si>
  <si>
    <t>2511   Expeditions- och ansökningsavgifter</t>
  </si>
  <si>
    <t>Inkomsttitlar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</si>
  <si>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</si>
  <si>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</si>
  <si>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</si>
  <si>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</si>
  <si>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</si>
  <si>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</si>
  <si>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</si>
  <si>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</si>
  <si>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</si>
  <si>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</si>
  <si>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</si>
  <si>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</si>
  <si>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</si>
  <si>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</si>
  <si>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</si>
  <si>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</si>
  <si>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</si>
  <si>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</si>
  <si>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</si>
  <si>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</si>
  <si>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</si>
  <si>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</si>
  <si>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</si>
  <si>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</si>
  <si>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</si>
  <si>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</si>
  <si>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</si>
  <si>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</si>
  <si>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</si>
  <si>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</si>
  <si>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</si>
  <si>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</si>
  <si>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</si>
  <si>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</si>
  <si>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</si>
  <si>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</si>
  <si>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</si>
  <si>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</si>
  <si>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</si>
  <si>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</si>
  <si>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</si>
  <si>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</si>
  <si>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</si>
  <si>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</si>
  <si>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</si>
  <si>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</si>
  <si>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</si>
  <si>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</si>
  <si>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</si>
  <si>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</si>
  <si>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</si>
  <si>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</si>
  <si>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</si>
  <si>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</si>
  <si>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</si>
  <si>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</si>
  <si>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</si>
  <si>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</si>
  <si>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</si>
  <si>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</si>
  <si>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</si>
  <si>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</si>
  <si>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</si>
  <si>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</si>
  <si>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</si>
  <si>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</si>
  <si>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</si>
  <si>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</si>
  <si>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</si>
  <si>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</si>
  <si>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</si>
  <si>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</si>
  <si>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</si>
  <si>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</si>
  <si>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</si>
  <si>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</si>
  <si>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Expenditure outcome of the Central Government Budget distributed according to expenditure area and major function 2004, new classification. Million SEK</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</si>
  <si>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</si>
  <si>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</si>
  <si>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</si>
  <si>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</si>
  <si>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</si>
  <si>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</si>
  <si>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</si>
  <si>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</si>
  <si>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</si>
  <si>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</si>
  <si>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</si>
  <si>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</si>
  <si>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</si>
  <si>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</si>
  <si>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</si>
  <si>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</si>
  <si>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</si>
  <si>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</si>
  <si>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</si>
  <si>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</si>
  <si>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</si>
  <si>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</si>
  <si>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</si>
  <si>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</si>
  <si>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</si>
  <si>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</si>
  <si>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</si>
  <si>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</si>
  <si>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</si>
  <si>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</si>
  <si>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</si>
  <si>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</si>
  <si>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</si>
  <si>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</si>
  <si>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</si>
  <si>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</si>
  <si>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</si>
  <si>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</si>
  <si>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</si>
  <si>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</si>
  <si>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</si>
  <si>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</si>
  <si>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</si>
  <si>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</si>
  <si>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</si>
  <si>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</si>
  <si>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</si>
  <si>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</si>
  <si>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</si>
  <si>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</si>
  <si>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</si>
  <si>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</si>
  <si>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</si>
  <si>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</si>
  <si>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</si>
  <si>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</si>
  <si>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</si>
  <si>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</si>
  <si>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</si>
  <si>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</si>
  <si>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</si>
  <si>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</si>
  <si>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</si>
  <si>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</si>
  <si>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</si>
  <si>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</si>
  <si>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</si>
  <si>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</si>
  <si>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</si>
  <si>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</si>
  <si>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</si>
  <si>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</si>
  <si>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</si>
  <si>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</si>
  <si>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</si>
  <si>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</si>
  <si>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</si>
  <si>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</si>
  <si>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</si>
  <si>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</si>
  <si>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</si>
  <si>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</si>
  <si>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</si>
  <si>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</si>
  <si>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</si>
  <si>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Expenditure outcome of the Central Government Budget distributed according to expenditure area and major function 2002, new classification. Million SEK</t>
  </si>
  <si>
    <t>Expenditure outcome of the Central Government Budget distributed according to expenditure area and major function 2001, former classification. Million SEK</t>
  </si>
  <si>
    <t>Expenditure outcome of the Central Government Budget distributed according to expenditure area and major function 2000, former classification. Million SEK</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</si>
  <si>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</si>
  <si>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</si>
  <si>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</si>
  <si>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</si>
  <si>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</si>
  <si>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</si>
  <si>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</si>
  <si>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</si>
  <si>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</si>
  <si>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</si>
  <si>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</si>
  <si>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</si>
  <si>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</si>
  <si>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</si>
  <si>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</si>
  <si>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</si>
  <si>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</si>
  <si>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</si>
  <si>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</si>
  <si>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</si>
  <si>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</si>
  <si>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</si>
  <si>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</si>
  <si>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</si>
  <si>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</si>
  <si>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</si>
  <si>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</si>
  <si>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</si>
  <si>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</si>
  <si>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</si>
  <si>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</si>
  <si>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</si>
  <si>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</si>
  <si>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</si>
  <si>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</si>
  <si>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</si>
  <si>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</si>
  <si>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</si>
  <si>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</si>
  <si>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</si>
  <si>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</si>
  <si>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</si>
  <si>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</si>
  <si>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</si>
  <si>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</si>
  <si>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</si>
  <si>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</si>
  <si>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</si>
  <si>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</si>
  <si>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</si>
  <si>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</si>
  <si>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</si>
  <si>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</si>
  <si>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</si>
  <si>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</si>
  <si>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</si>
  <si>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</si>
  <si>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</si>
  <si>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</si>
  <si>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</si>
  <si>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</si>
  <si>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</si>
  <si>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</si>
  <si>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</si>
  <si>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</si>
  <si>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</si>
  <si>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</si>
  <si>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</si>
  <si>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</si>
  <si>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</si>
  <si>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</si>
  <si>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</si>
  <si>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</si>
  <si>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</si>
  <si>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</si>
  <si>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</si>
  <si>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</si>
  <si>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</si>
  <si>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</si>
  <si>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</si>
  <si>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</si>
  <si>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</si>
  <si>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</si>
  <si>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</si>
  <si>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</si>
  <si>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</si>
  <si>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</si>
  <si>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</si>
  <si>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</si>
  <si>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</si>
  <si>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</si>
  <si>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</si>
  <si>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</si>
  <si>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</si>
  <si>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</si>
  <si>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</si>
  <si>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</si>
  <si>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</si>
  <si>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</si>
  <si>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</si>
  <si>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</si>
  <si>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</si>
  <si>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</si>
  <si>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</si>
  <si>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</si>
  <si>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</si>
  <si>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</si>
  <si>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</si>
  <si>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</si>
  <si>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</si>
  <si>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</si>
  <si>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</si>
  <si>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</si>
  <si>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</si>
  <si>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</si>
  <si>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</si>
  <si>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</si>
  <si>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</si>
  <si>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</si>
  <si>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</si>
  <si>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</si>
  <si>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</si>
  <si>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</si>
  <si>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</si>
  <si>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</si>
  <si>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</si>
  <si>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</si>
  <si>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</si>
  <si>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</si>
  <si>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</si>
  <si>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</si>
  <si>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</si>
  <si>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</si>
  <si>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</si>
  <si>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</si>
  <si>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</si>
  <si>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</si>
  <si>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</si>
  <si>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</si>
  <si>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</si>
  <si>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</si>
  <si>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</si>
  <si>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</si>
  <si>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</si>
  <si>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</si>
  <si>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</si>
  <si>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</si>
  <si>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</si>
  <si>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</si>
  <si>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</si>
  <si>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</si>
  <si>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</si>
  <si>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</si>
  <si>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</si>
  <si>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</si>
  <si>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</si>
  <si>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</si>
  <si>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</si>
  <si>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</si>
  <si>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</si>
  <si>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</si>
  <si>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</si>
  <si>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</si>
  <si>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</si>
  <si>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</si>
  <si>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</si>
  <si>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</si>
  <si>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</si>
  <si>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</si>
  <si>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</si>
  <si>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</si>
  <si>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</si>
  <si>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</si>
  <si>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</si>
  <si>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</si>
  <si>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</si>
  <si>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</si>
  <si>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</si>
  <si>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</si>
  <si>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Expenditure outcome of the Central Government Budget distributed according to function 1995–2001, former classification. Million SEK</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</si>
  <si>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</si>
  <si>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</si>
  <si>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</si>
  <si>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</si>
  <si>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</si>
  <si>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</si>
  <si>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</si>
  <si>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</si>
  <si>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</si>
  <si>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</si>
  <si>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</si>
  <si>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</si>
  <si>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</si>
  <si>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</si>
  <si>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</si>
  <si>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</si>
  <si>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</si>
  <si>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</si>
  <si>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</si>
  <si>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</si>
  <si>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</si>
  <si>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</si>
  <si>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</si>
  <si>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</si>
  <si>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</si>
  <si>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</si>
  <si>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</si>
  <si>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</si>
  <si>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</si>
  <si>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</si>
  <si>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</si>
  <si>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</si>
  <si>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</si>
  <si>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</si>
  <si>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</si>
  <si>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</si>
  <si>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</si>
  <si>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</si>
  <si>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</si>
  <si>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</si>
  <si>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</si>
  <si>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</si>
  <si>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</si>
  <si>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</si>
  <si>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</si>
  <si>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</si>
  <si>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</si>
  <si>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</si>
  <si>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</si>
  <si>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</si>
  <si>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</si>
  <si>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</si>
  <si>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</si>
  <si>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</si>
  <si>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</si>
  <si>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</si>
  <si>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</si>
  <si>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</si>
  <si>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</si>
  <si>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</si>
  <si>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</si>
  <si>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</si>
  <si>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</si>
  <si>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</si>
  <si>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</si>
  <si>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</si>
  <si>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</si>
  <si>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</si>
  <si>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</si>
  <si>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</si>
  <si>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</si>
  <si>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</si>
  <si>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</si>
  <si>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</si>
  <si>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</si>
  <si>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</si>
  <si>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</si>
  <si>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</si>
  <si>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</si>
  <si>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</si>
  <si>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</si>
  <si>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</si>
  <si>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</si>
  <si>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</si>
  <si>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</si>
  <si>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</si>
  <si>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</si>
  <si>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</si>
  <si>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</si>
  <si>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</si>
  <si>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</si>
  <si>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</si>
  <si>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</si>
  <si>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</si>
  <si>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</si>
  <si>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</si>
  <si>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</si>
  <si>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</si>
  <si>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</si>
  <si>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</si>
  <si>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</si>
  <si>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</si>
  <si>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</si>
  <si>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</si>
  <si>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</si>
  <si>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</si>
  <si>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</si>
  <si>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</si>
  <si>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</si>
  <si>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</si>
  <si>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</si>
  <si>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</si>
  <si>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</si>
  <si>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</si>
  <si>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</si>
  <si>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</si>
  <si>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</si>
  <si>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</si>
  <si>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</si>
  <si>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</si>
  <si>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</si>
  <si>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</si>
  <si>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</si>
  <si>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</si>
  <si>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</si>
  <si>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</si>
  <si>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</si>
  <si>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</si>
  <si>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</si>
  <si>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</si>
  <si>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</si>
  <si>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</si>
  <si>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</si>
  <si>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</si>
  <si>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</si>
  <si>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</si>
  <si>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</si>
  <si>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</si>
  <si>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</si>
  <si>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</si>
  <si>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</si>
  <si>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</si>
  <si>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</si>
  <si>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</si>
  <si>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</si>
  <si>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</si>
  <si>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</si>
  <si>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</si>
  <si>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</si>
  <si>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</si>
  <si>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</si>
  <si>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</si>
  <si>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</si>
  <si>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</si>
  <si>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</si>
  <si>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</si>
  <si>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</si>
  <si>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</si>
  <si>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</si>
  <si>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</si>
  <si>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</si>
  <si>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</si>
  <si>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</si>
  <si>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</si>
  <si>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</si>
  <si>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</si>
  <si>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</si>
  <si>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</si>
  <si>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</si>
  <si>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</si>
  <si>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</si>
  <si>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</si>
  <si>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</si>
  <si>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</si>
  <si>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</si>
  <si>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</si>
  <si>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</si>
  <si>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</si>
  <si>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</si>
  <si>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</si>
  <si>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</si>
  <si>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</si>
  <si>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</si>
  <si>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</si>
  <si>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</si>
  <si>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</si>
  <si>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</si>
  <si>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</si>
  <si>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</si>
  <si>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</si>
  <si>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</si>
  <si>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</si>
  <si>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</si>
  <si>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</si>
  <si>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</si>
  <si>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</si>
  <si>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</si>
  <si>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</si>
  <si>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</si>
  <si>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</si>
  <si>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</si>
  <si>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</si>
  <si>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</si>
  <si>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</si>
  <si>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</si>
  <si>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</si>
  <si>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</si>
  <si>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</si>
  <si>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</si>
  <si>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</si>
  <si>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</si>
  <si>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</si>
  <si>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</si>
  <si>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</si>
  <si>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</si>
  <si>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</si>
  <si>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</si>
  <si>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</si>
  <si>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</si>
  <si>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</si>
  <si>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</si>
  <si>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</si>
  <si>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</si>
  <si>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</si>
  <si>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</si>
  <si>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</si>
  <si>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</si>
  <si>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</si>
  <si>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</si>
  <si>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</si>
  <si>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</si>
  <si>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</si>
  <si>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</si>
  <si>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</si>
  <si>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</si>
  <si>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</si>
  <si>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</si>
  <si>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</si>
  <si>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</si>
  <si>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</si>
  <si>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</si>
  <si>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</si>
  <si>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</si>
  <si>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</si>
  <si>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</si>
  <si>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</si>
  <si>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</si>
  <si>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</si>
  <si>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</si>
  <si>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</si>
  <si>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</si>
  <si>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</si>
  <si>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</si>
  <si>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</si>
  <si>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</si>
  <si>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</si>
  <si>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</si>
  <si>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</si>
  <si>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</si>
  <si>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</si>
  <si>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</si>
  <si>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Expenditure outcome of the Central Government Budget distributed in percentage terms according to major function 1995–2001, former classification.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</si>
  <si>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</si>
  <si>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</si>
  <si>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</si>
  <si>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</si>
  <si>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</si>
  <si>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</si>
  <si>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</si>
  <si>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Expenditure outcome of the Central Government Budget distributed according to expenditure area and major function 2009, new classification. Million SEK</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</si>
  <si>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</si>
  <si>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</si>
  <si>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</si>
  <si>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</si>
  <si>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</si>
  <si>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</si>
  <si>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</si>
  <si>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</si>
  <si>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</si>
  <si>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</si>
  <si>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</si>
  <si>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</si>
  <si>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</si>
  <si>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</si>
  <si>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</si>
  <si>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</si>
  <si>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</si>
  <si>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1312   Fastsighetsskatt</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</si>
  <si>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</si>
  <si>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</si>
  <si>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</si>
  <si>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</si>
  <si>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</si>
  <si>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</si>
  <si>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</si>
  <si>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</si>
  <si>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</si>
  <si>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</si>
  <si>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</si>
  <si>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</si>
  <si>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</si>
  <si>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</si>
  <si>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</si>
  <si>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</si>
  <si>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</si>
  <si>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</si>
  <si>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</si>
  <si>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</si>
  <si>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</si>
  <si>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</si>
  <si>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</si>
  <si>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</si>
  <si>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</si>
  <si>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</si>
  <si>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</si>
  <si>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</si>
  <si>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</si>
  <si>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</si>
  <si>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</si>
  <si>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</si>
  <si>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</si>
  <si>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</si>
  <si>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</si>
  <si>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</si>
  <si>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</si>
  <si>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</si>
  <si>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</si>
  <si>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</si>
  <si>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</si>
  <si>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</si>
  <si>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</si>
  <si>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</si>
  <si>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</si>
  <si>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</si>
  <si>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</si>
  <si>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</si>
  <si>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</si>
  <si>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</si>
  <si>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</si>
  <si>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</si>
  <si>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</si>
  <si>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</si>
  <si>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</si>
  <si>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</si>
  <si>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</si>
  <si>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</si>
  <si>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</si>
  <si>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</si>
  <si>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</si>
  <si>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</si>
  <si>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</si>
  <si>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</si>
  <si>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</si>
  <si>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</si>
  <si>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</si>
  <si>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</si>
  <si>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</si>
  <si>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Expenditure outcome of the Central Government Budget distributed according to expenditure area and major function 2005, new classification. Million SEK</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</si>
  <si>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</si>
  <si>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</si>
  <si>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</si>
  <si>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</si>
  <si>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</si>
  <si>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</si>
  <si>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</si>
  <si>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</si>
  <si>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</si>
  <si>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</si>
  <si>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</si>
  <si>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</si>
  <si>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</si>
  <si>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</si>
  <si>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</si>
  <si>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</si>
  <si>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</si>
  <si>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</si>
  <si>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</si>
  <si>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</si>
  <si>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</si>
  <si>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</si>
  <si>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</si>
  <si>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</si>
  <si>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</si>
  <si>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</si>
  <si>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</si>
  <si>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</si>
  <si>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</si>
  <si>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</si>
  <si>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</si>
  <si>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</si>
  <si>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</si>
  <si>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</si>
  <si>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</si>
  <si>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</si>
  <si>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</si>
  <si>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</si>
  <si>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</si>
  <si>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</si>
  <si>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</si>
  <si>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Allmänna transfereringar mellan olika delsektorer inom den
 offentliga sektorn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</si>
  <si>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</si>
  <si>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</si>
  <si>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</si>
  <si>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</si>
  <si>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</si>
  <si>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</si>
  <si>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</si>
  <si>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</si>
  <si>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</si>
  <si>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</si>
  <si>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</si>
  <si>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</si>
  <si>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</si>
  <si>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</si>
  <si>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</si>
  <si>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</si>
  <si>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</si>
  <si>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</si>
  <si>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Förskott/Senareläggning EU-avgift</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</si>
  <si>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</si>
  <si>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</si>
  <si>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</si>
  <si>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</si>
  <si>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</si>
  <si>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Expenditure outcome of the Central Government Budget distributed in percentage terms according to major economic type </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</si>
  <si>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</si>
  <si>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</si>
  <si>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</si>
  <si>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</si>
  <si>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</si>
  <si>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</si>
  <si>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</si>
  <si>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</si>
  <si>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</si>
  <si>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</si>
  <si>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</si>
  <si>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</si>
  <si>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</si>
  <si>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</si>
  <si>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</si>
  <si>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</si>
  <si>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</si>
  <si>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</si>
  <si>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</si>
  <si>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</si>
  <si>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</si>
  <si>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</si>
  <si>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</si>
  <si>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</si>
  <si>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</si>
  <si>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</si>
  <si>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</si>
  <si>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</si>
  <si>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</si>
  <si>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</si>
  <si>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</si>
  <si>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</si>
  <si>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</si>
  <si>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</si>
  <si>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</si>
  <si>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</si>
  <si>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</si>
  <si>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</si>
  <si>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</si>
  <si>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</si>
  <si>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</si>
  <si>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</si>
  <si>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</si>
  <si>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</si>
  <si>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</si>
  <si>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</si>
  <si>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</si>
  <si>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</si>
  <si>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</si>
  <si>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</si>
  <si>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</si>
  <si>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</si>
  <si>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</si>
  <si>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of 1994/95. Million SEK</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</si>
  <si>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</si>
  <si>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</si>
  <si>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</si>
  <si>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</si>
  <si>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</si>
  <si>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</si>
  <si>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</si>
  <si>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</si>
  <si>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</si>
  <si>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</si>
  <si>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</si>
  <si>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</si>
  <si>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</si>
  <si>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</si>
  <si>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</si>
  <si>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</si>
  <si>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</si>
  <si>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</si>
  <si>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</si>
  <si>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</si>
  <si>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</si>
  <si>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</si>
  <si>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</si>
  <si>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</si>
  <si>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</si>
  <si>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</si>
  <si>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</si>
  <si>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</si>
  <si>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</si>
  <si>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</si>
  <si>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</si>
  <si>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</si>
  <si>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</si>
  <si>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</si>
  <si>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</si>
  <si>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</si>
  <si>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</si>
  <si>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</si>
  <si>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</si>
  <si>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</si>
  <si>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</si>
  <si>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</si>
  <si>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</si>
  <si>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</si>
  <si>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</si>
  <si>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</si>
  <si>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</si>
  <si>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</si>
  <si>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</si>
  <si>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</si>
  <si>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</si>
  <si>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Expenditure outcome of the Central Government Budget distributed according to expenditure area and major function 2008, new classification. Million SEK</t>
  </si>
  <si>
    <t>of 1989/90. Million SEK</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</si>
  <si>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</si>
  <si>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</si>
  <si>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</si>
  <si>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</si>
  <si>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</si>
  <si>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</si>
  <si>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</si>
  <si>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</si>
  <si>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</si>
  <si>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</si>
  <si>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</si>
  <si>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</si>
  <si>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</si>
  <si>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</si>
  <si>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</si>
  <si>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</si>
  <si>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</si>
  <si>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</si>
  <si>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</si>
  <si>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Vasallen, extra utdelning</t>
  </si>
  <si>
    <t xml:space="preserve">     Akademiska Hus, extra utdelning</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</si>
  <si>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</si>
  <si>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</si>
  <si>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</si>
  <si>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</si>
  <si>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</si>
  <si>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</si>
  <si>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</si>
  <si>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</si>
  <si>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</si>
  <si>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</si>
  <si>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</si>
  <si>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</si>
  <si>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</si>
  <si>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</si>
  <si>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</si>
  <si>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</si>
  <si>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</si>
  <si>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</si>
  <si>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</si>
  <si>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</si>
  <si>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</si>
  <si>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Bidrag från EU till landsbygdutveckling</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</si>
  <si>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</si>
  <si>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</si>
  <si>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</si>
  <si>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</si>
  <si>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</si>
  <si>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</si>
  <si>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</si>
  <si>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</si>
  <si>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</si>
  <si>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</si>
  <si>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</si>
  <si>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</si>
  <si>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</si>
  <si>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</si>
  <si>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</si>
  <si>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</si>
  <si>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</si>
  <si>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</si>
  <si>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</si>
  <si>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</si>
  <si>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</si>
  <si>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</si>
  <si>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</si>
  <si>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</si>
  <si>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</si>
  <si>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</si>
  <si>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</si>
  <si>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</si>
  <si>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</si>
  <si>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</si>
  <si>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</si>
  <si>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</si>
  <si>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</si>
  <si>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</si>
  <si>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 xml:space="preserve">     Exportkreditnämnden, placering av verksamhetsöverskott</t>
  </si>
  <si>
    <t>Expenditure outcome of the Central Government Budget distributed according to expenditure area and major function 2012, new classification. Million SEK</t>
  </si>
  <si>
    <t>UO</t>
  </si>
  <si>
    <t>Namn</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</si>
  <si>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</si>
  <si>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</si>
  <si>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</si>
  <si>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</si>
  <si>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</si>
  <si>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</si>
  <si>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</si>
  <si>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</si>
  <si>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</si>
  <si>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</si>
  <si>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</si>
  <si>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</si>
  <si>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</si>
  <si>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</si>
  <si>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</si>
  <si>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</si>
  <si>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</si>
  <si>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</si>
  <si>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</si>
  <si>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</si>
  <si>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</si>
  <si>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</si>
  <si>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</si>
  <si>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</si>
  <si>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</si>
  <si>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</si>
  <si>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</si>
  <si>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</si>
  <si>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</si>
  <si>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</si>
  <si>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</si>
  <si>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</si>
  <si>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</si>
  <si>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</si>
  <si>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</si>
  <si>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</si>
  <si>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</si>
  <si>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</si>
  <si>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</si>
  <si>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</si>
  <si>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</si>
  <si>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</si>
  <si>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</si>
  <si>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</si>
  <si>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2012 enligt ny indelning. Miljoner kronor</t>
  </si>
  <si>
    <t>Statens budget, utgifter fördelade efter utgiftsområde och huvudändamål 2009 enligt ny indelning. Miljoner kronor</t>
  </si>
  <si>
    <t>Statens budget, utgifter fördelade efter utgiftsområde och huvudändamål 2010 enligt ny indelning. Miljoner kronor</t>
  </si>
  <si>
    <t>Statens budget, utgifter fördelade efter utgiftsområde och huvudändamål 2008 enligt ny indelning. Miljoner kronor</t>
  </si>
  <si>
    <t>Statens budget, utgifter fördelade efter utgiftsområde och huvudändamål 2007 enligt ny indelning. Miljoner kronor</t>
  </si>
  <si>
    <t>Statens budget, utgifter fördelade efter utgiftsområde och huvudändamål 2006 enligt ny indelning. Miljoner kronor</t>
  </si>
  <si>
    <t>Statens budget, utgifter fördelade efter utgiftsområde och huvudändamål 2005 enligt ny indelning. Miljoner kronor</t>
  </si>
  <si>
    <t>Statens budget, utgifter fördelade efter utgiftsområde och huvudändamål 2004 enligt ny indelning. Miljoner kronor</t>
  </si>
  <si>
    <t>Statens budget, utgifter fördelade efter utgiftsområde och huvudändamål 2003 enligt ny indelning. Miljoner kronor</t>
  </si>
  <si>
    <t>Statens budget, utgifter fördelade efter utgiftsområde och huvudändamål 2002 enligt ny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</si>
  <si>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</si>
  <si>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</si>
  <si>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</si>
  <si>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</si>
  <si>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</si>
  <si>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</si>
  <si>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</si>
  <si>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</si>
  <si>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</si>
  <si>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</si>
  <si>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</si>
  <si>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</si>
  <si>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 xml:space="preserve">Expenditure outcome of the Central Government Budget distributed to households 1995–2011, former classification. Million SEK </t>
  </si>
  <si>
    <t>Statsbudgetens utgifter fördelade efter utgiftsområde och huvudändamål 2011 enligt ny indelning. Miljoner kronor</t>
  </si>
  <si>
    <t>Expenditure outcome of the Central Government Budget distributed according to expenditure area and major function 2011, new classification. Million SEK</t>
  </si>
  <si>
    <t>Expenditure outcome of the Central Government Budget distributed according to expenditure area and major function 2010, new classification. Million SEK</t>
  </si>
  <si>
    <t>Expenditure outcome of the Central Government Budget distributed according to expenditure area and major function 2003, new classification. Million SEK</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</si>
  <si>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</si>
  <si>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</si>
  <si>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</si>
  <si>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</si>
  <si>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</si>
  <si>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</si>
  <si>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</si>
  <si>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</si>
  <si>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</si>
  <si>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</si>
  <si>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</si>
  <si>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</si>
  <si>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</si>
  <si>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</si>
  <si>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</si>
  <si>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</si>
  <si>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Expenditure outcome of the Central Government Budget distributed to Social protection 2000–2011, former classification. Million SEK</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</si>
  <si>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</si>
  <si>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</si>
  <si>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</si>
  <si>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</si>
  <si>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</si>
  <si>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</si>
  <si>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</si>
  <si>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</si>
  <si>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</si>
  <si>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</si>
  <si>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</si>
  <si>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</si>
  <si>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</si>
  <si>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</si>
  <si>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</si>
  <si>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</si>
  <si>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</si>
  <si>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</si>
  <si>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</si>
  <si>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</si>
  <si>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</si>
  <si>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</si>
  <si>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effekter m m</t>
    </r>
    <r>
      <rPr>
        <vertAlign val="superscript"/>
        <sz val="8"/>
        <rFont val="Arial"/>
        <family val="2"/>
      </rPr>
      <t>2)</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</si>
  <si>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</si>
  <si>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</si>
  <si>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</si>
  <si>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</si>
  <si>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</si>
  <si>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</si>
  <si>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</si>
  <si>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</si>
  <si>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</si>
  <si>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</si>
  <si>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</si>
  <si>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</si>
  <si>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</si>
  <si>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</si>
  <si>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</si>
  <si>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</si>
  <si>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Statens budget, utgifter fördelade efter utgiftsområde och huvudändamål 2013 enligt ny indelning. Miljoner kronor</t>
  </si>
  <si>
    <t>Expenditure outcome of the Central Government Budget distributed according to expenditure area and major function 2013, new classification. Million SEK</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</si>
  <si>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</si>
  <si>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</si>
  <si>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</si>
  <si>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</si>
  <si>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</si>
  <si>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</si>
  <si>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2013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</si>
  <si>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</si>
  <si>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</si>
  <si>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</si>
  <si>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</si>
  <si>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</si>
  <si>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</si>
  <si>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</si>
  <si>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</si>
  <si>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</si>
  <si>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</si>
  <si>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Revenue outcome of the Central Government Budget from grants from the EU 1995–2005. Million SEK</t>
  </si>
  <si>
    <t>Tabell 9.2</t>
  </si>
  <si>
    <t>Tabell 10.5</t>
  </si>
  <si>
    <t xml:space="preserve">Expenditure outcome of the Central Government Budget distributed according to expenditure area 1995–2005 according to the budget structure </t>
  </si>
  <si>
    <t>Tabell 11.1</t>
  </si>
  <si>
    <t>Sveriges avgifter till och bidrag från EU 1995–2005. Miljoner kronor</t>
  </si>
  <si>
    <t>Sweden´s contributions to and from the EU 1995–2005. Million SEK</t>
  </si>
  <si>
    <t>Diagram 22</t>
  </si>
  <si>
    <t>Diagram 2</t>
  </si>
  <si>
    <t>Statens budget, utgifter realekonomiskt fördelad efter huvudarter. Miljoner kronor</t>
  </si>
  <si>
    <t>Expenditure outcome of the Central Government Budget distributed according to major economic type. Million SEK</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</si>
  <si>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</si>
  <si>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</si>
  <si>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</si>
  <si>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</si>
  <si>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</si>
  <si>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</si>
  <si>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</si>
  <si>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</si>
  <si>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</si>
  <si>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</si>
  <si>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</si>
  <si>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</si>
  <si>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 xml:space="preserve">Expenditure outcome of the Central Government Budget distributed according to expenditure area 1998. Million SEK </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</si>
  <si>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</si>
  <si>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</si>
  <si>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</si>
  <si>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</si>
  <si>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</si>
  <si>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</si>
  <si>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</si>
  <si>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</si>
  <si>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</si>
  <si>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</si>
  <si>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</si>
  <si>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</si>
  <si>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Expenditure outcome of the Central Government Budget distributed according to expenditure area 1999. Million SEK</t>
  </si>
  <si>
    <t>Tabell 16.3</t>
  </si>
  <si>
    <t>Statens budget, utgifter realekonomiskt fördelade efter utgiftsområde 2000. Miljoner kronor</t>
  </si>
  <si>
    <t xml:space="preserve">Expenditure outcome of the Central Government Budget distributed according to expenditure area 2000. Million SEK </t>
  </si>
  <si>
    <t>Tabell 16.4</t>
  </si>
  <si>
    <t>Statens budget, utgifter realekonomiskt fördelade efter utgiftsområde 2001. Miljoner kronor</t>
  </si>
  <si>
    <t xml:space="preserve">Expenditure outcome of the Central Government Budget distributed according to expenditure area 2001. Million SEK </t>
  </si>
  <si>
    <t>Tabell 16.5</t>
  </si>
  <si>
    <t>Statens budget, utgifter realekonomiskt fördelade efter utgiftsområde 2002. Miljoner kronor</t>
  </si>
  <si>
    <t xml:space="preserve">Expenditure outcome of the Central Government Budget distributed according to expenditure area 2002. Million SEK </t>
  </si>
  <si>
    <t>Tabell 16.6</t>
  </si>
  <si>
    <t>Statens budget, utgifter realekonomiskt fördelade efter utgiftsområde 2003. Miljoner kronor</t>
  </si>
  <si>
    <t xml:space="preserve">Expenditure outcome of the Central Government Budget distributed according to expenditure area 2003. Million SEK </t>
  </si>
  <si>
    <t>Tabell 16.7</t>
  </si>
  <si>
    <t>Statens budget, utgifter realekonomiskt fördelade efter utgiftsområde 2004. Miljoner kronor</t>
  </si>
  <si>
    <t xml:space="preserve">Expenditure outcome of the Central Government Budget distributed according to expenditure area 2004. Million SEK </t>
  </si>
  <si>
    <t>Tabell 16.8</t>
  </si>
  <si>
    <t>Statens budget, utgifter realekonomiskt fördelade efter utgiftsområde 2005. Miljoner kronor</t>
  </si>
  <si>
    <t xml:space="preserve">Expenditure outcome of the Central Government Budget distributed according to expenditure area 2005. Million SEK </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</si>
  <si>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</si>
  <si>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</si>
  <si>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</si>
  <si>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</si>
  <si>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</si>
  <si>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</si>
  <si>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</si>
  <si>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</si>
  <si>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</si>
  <si>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</si>
  <si>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</si>
  <si>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 xml:space="preserve">Expenditure outcome of the Central Government Budget distributed according to expenditure area 2006. Million SEK </t>
  </si>
  <si>
    <t>Tabell 16.10</t>
  </si>
  <si>
    <t>Statens budget, utgifter realekonomiskt fördelade efter utgiftsområde 2007. Miljoner kronor</t>
  </si>
  <si>
    <t xml:space="preserve">Expenditure outcome of the Central Government Budget distributed according to expenditure area 2007. Million SEK </t>
  </si>
  <si>
    <t>Tabell 16.11</t>
  </si>
  <si>
    <t>Statens budget, utgifter realekonomiskt fördelade efter utgiftsområde 2008. Miljoner kronor</t>
  </si>
  <si>
    <t xml:space="preserve">Expenditure outcome of the Central Government Budget distributed according to expenditure area 2008. Million SEK </t>
  </si>
  <si>
    <t xml:space="preserve">Samhällsplanering, bostadsförsörjning, byggande samt konsumentpolitik </t>
  </si>
  <si>
    <t>Tabell 16.12</t>
  </si>
  <si>
    <t>Statens budget, utgifter realekonomiskt fördelade efter utgiftsområde 2009. Miljoner kronor</t>
  </si>
  <si>
    <t xml:space="preserve">Expenditure outcome of the Central Government Budget distributed according to expenditure area 2009. Million SEK </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</si>
  <si>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</si>
  <si>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</si>
  <si>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</si>
  <si>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</si>
  <si>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</si>
  <si>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</si>
  <si>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</si>
  <si>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</si>
  <si>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</si>
  <si>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</si>
  <si>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</si>
  <si>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</si>
  <si>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</si>
  <si>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</si>
  <si>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</si>
  <si>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</si>
  <si>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</si>
  <si>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</si>
  <si>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</si>
  <si>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</si>
  <si>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</si>
  <si>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 xml:space="preserve">Expenditure outcome of the Central Government Budget distributed according to expenditure area 2010. Million SEK </t>
  </si>
  <si>
    <t>Tabell 16.14</t>
  </si>
  <si>
    <t>Statens budget, utgifter realekonomiskt fördelade efter utgiftsområde 2011. Miljoner kronor</t>
  </si>
  <si>
    <t xml:space="preserve">Expenditure outcome of the Central Government Budget distributed according to expenditure area 2011. Million SEK </t>
  </si>
  <si>
    <t>Tabell 16.15</t>
  </si>
  <si>
    <t>Statens budget, utgifter realekonomiskt fördelade efter utgiftsområde 2012. Miljoner kronor</t>
  </si>
  <si>
    <t xml:space="preserve">Expenditure outcome of the Central Government Budget distributed according to expenditure area 2012. Million SEK </t>
  </si>
  <si>
    <t>Tabell 16.16</t>
  </si>
  <si>
    <t>Statens budget, utgifter realekonomiskt fördelade efter utgiftsområde 2013. Miljoner kronor</t>
  </si>
  <si>
    <t xml:space="preserve">Expenditure outcome of the Central Government Budget distributed according to expenditure area 2013. Million SEK </t>
  </si>
  <si>
    <t>Samhällsplanering, bostadsförsörjning och byggande samt konsumentpolitik</t>
  </si>
  <si>
    <t>Tabell 16.17</t>
  </si>
  <si>
    <t>Statens budget, utgifter realekonomiskt fördelade efter utgiftsområde 2014. Miljoner kronor</t>
  </si>
  <si>
    <t xml:space="preserve">Expenditure outcome of the Central Government Budget distributed according to expenditure area 2014. Million SEK </t>
  </si>
  <si>
    <t>Statens budget, utgifter realekonomiskt fördelade efter huvudändamål 1998 enligt äldre indelning. Miljoner kronor</t>
  </si>
  <si>
    <t>Expenditure outcome of the Central Government Budget distributed according to major function and major economic type 1998,</t>
  </si>
  <si>
    <t xml:space="preserve"> former classification. Million SEK </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</si>
  <si>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</si>
  <si>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</si>
  <si>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</si>
  <si>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</si>
  <si>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</si>
  <si>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Expenditure outcome of the Central Government Budget distributed according to major function and major economic type 1999,</t>
  </si>
  <si>
    <t>Tabell 17.3</t>
  </si>
  <si>
    <t>Statens budget, utgifter realekonomiskt fördelade efter huvudändamål 2000 enligt äldre indelning. Miljoner kronor</t>
  </si>
  <si>
    <t>Expenditure outcome of the Central Government Budget distributed according to major function and major economic type 2000,</t>
  </si>
  <si>
    <t>Tabell 17.4</t>
  </si>
  <si>
    <t>Statens budget, utgifter realekonomiskt fördelade efter huvudändamål 2001 enligt äldre indelning. Miljoner kronor</t>
  </si>
  <si>
    <t>Expenditure outcome of the Central Government Budget distributed according to major function and major economic type 2001,</t>
  </si>
  <si>
    <t>Tabell 17.5</t>
  </si>
  <si>
    <t>Statens budget, utgifter realekonomiskt fördelade efter huvudändamål 2002 enligt ny indelning. Miljoner kronor</t>
  </si>
  <si>
    <t>Expenditure outcome of the Central Government Budget distributed according to major function and major economic type 2002,</t>
  </si>
  <si>
    <t xml:space="preserve"> new classification. Million SEK </t>
  </si>
  <si>
    <t>Tabell 17.6</t>
  </si>
  <si>
    <t>Statens budget, utgifter realekonomiskt fördelade efter huvudändamål 2003 enligt ny indelning. Miljoner kronor</t>
  </si>
  <si>
    <t>Expenditure outcome of the Central Government Budget distributed according to major function and major economic type 2003,</t>
  </si>
  <si>
    <t>Tabell 17.7</t>
  </si>
  <si>
    <t>Statens budget, utgifter realekonomiskt fördelade efter huvudändamål 2004 enligt ny indelning. Miljoner kronor</t>
  </si>
  <si>
    <t>Expenditure outcome of the Central Government Budget distributed according to major function and major economic type 2004,</t>
  </si>
  <si>
    <t>Tabell 17.8</t>
  </si>
  <si>
    <t>Statens budget, utgifter realekonomiskt fördelade efter huvudändamål 2005 enligt ny indelning. Miljoner kronor</t>
  </si>
  <si>
    <t>Expenditure outcome of the Central Government Budget distributed according to major function and major economic type 2005,</t>
  </si>
  <si>
    <t>Tabell 17.9</t>
  </si>
  <si>
    <t>Statens budget, utgifter realekonomiskt fördelade efter huvudändamål 2006 enligt ny indelning. Miljoner kronor</t>
  </si>
  <si>
    <t>Expenditure outcome of the Central Government Budget distributed according to major function and major economic type 2006,</t>
  </si>
  <si>
    <t>Tabell 17.10</t>
  </si>
  <si>
    <t>Statens budget, utgifter realekonomiskt fördelade efter huvudändamål 2007 enligt ny indelning. Miljoner kronor</t>
  </si>
  <si>
    <t>Expenditure outcome of the Central Government Budget distributed according to major function and major economic type 2007,</t>
  </si>
  <si>
    <t>Tabell 17.11</t>
  </si>
  <si>
    <t>Statens budget, utgifter realekonomiskt fördelade efter huvudändamål 2008 enligt ny indelning. Miljoner kronor</t>
  </si>
  <si>
    <t>Expenditure outcome of the Central Government Budget distributed according to major function and major economic type 2008,</t>
  </si>
  <si>
    <t>Tabell 17.12</t>
  </si>
  <si>
    <t>Statens budget, utgifter realekonomiskt fördelade efter huvudändamål 2009 enligt ny indelning. Miljoner kronor</t>
  </si>
  <si>
    <t>Expenditure outcome of the Central Government Budget distributed according to major function and major economic type 2009,</t>
  </si>
  <si>
    <t>Tabell 17.13</t>
  </si>
  <si>
    <t>Statens budget, utgifter realekonomiskt fördelade efter huvudändamål 2010 enligt ny indelning. Miljoner kronor</t>
  </si>
  <si>
    <t>Expenditure outcome of the Central Government Budget distributed according to major function and major economic type 2010,</t>
  </si>
  <si>
    <t>Tabell 17.14</t>
  </si>
  <si>
    <t>Statens budget, utgifter realekonomiskt fördelade efter huvudändamål 2011 enligt ny indelning. Miljoner kronor</t>
  </si>
  <si>
    <t>Expenditure outcome of the Central Government Budget distributed according to major function and major economic type 2011,</t>
  </si>
  <si>
    <t>Tabell 17.15</t>
  </si>
  <si>
    <t>Statens budget, utgifter realekonomiskt fördelade efter huvudändamål 2012 enligt ny indelning. Miljoner kronor</t>
  </si>
  <si>
    <t>Expenditure outcome of the Central Government Budget distributed according to major function and major economic type 2012,</t>
  </si>
  <si>
    <t>Tabell 17.16</t>
  </si>
  <si>
    <t>Statens budget, utgifter realekonomiskt fördelade efter huvudändamål 2013 enligt ny indelning. Miljoner kronor</t>
  </si>
  <si>
    <t>Expenditure outcome of the Central Government Budget distributed according to major function and major economic type 2013,</t>
  </si>
  <si>
    <t>Statens budget, utgifter realekonomiskt fördelade efter huvudändamål 2014 enligt ny indelning. Miljoner kronor</t>
  </si>
  <si>
    <t>Expenditure outcome of the Central Government Budget distributed according to major function and major economic type 2014,</t>
  </si>
  <si>
    <t>Statens budget, utgifter realekonomiskt fördelad efter huvudarter 1995–2014. Miljoner kronor</t>
  </si>
  <si>
    <t>Expenditure outcome of the Central Government Budget distributed according to major economic type 1995–2014. Million SEK</t>
  </si>
  <si>
    <t>Statens budget, utgifter realekonomiskt fördelad efter huvudarter 1995–2014. Procent</t>
  </si>
  <si>
    <t>1995–2014. Percentage terms</t>
  </si>
  <si>
    <t>Statens budget, utgifter realekonomiskt fördelad 1995–2014. Miljoner kronor</t>
  </si>
  <si>
    <t xml:space="preserve">Expenditure outcome of the Central Government Budget distributed according to economic type 1995–2014. Million SEK </t>
  </si>
  <si>
    <t>Justering för ändrade redovisningsprinciper 1995–2014 för jämförbarhet med 2014. Miljarder kronor</t>
  </si>
  <si>
    <t>Adjustment for changes in accounting principles 1995–2014 for comparability to 2014. Billion SEK</t>
  </si>
  <si>
    <r>
      <t xml:space="preserve">Statsbudgetens inkomster fördelade efter inkomsthuvudgrupper 2006–2014 enligt 2014 års struktur. Miljoner kronor </t>
    </r>
    <r>
      <rPr>
        <b/>
        <vertAlign val="superscript"/>
        <sz val="8"/>
        <rFont val="Arial"/>
        <family val="2"/>
      </rPr>
      <t>1</t>
    </r>
  </si>
  <si>
    <t>Revenue outcome of the Central Government Budget distributed according to revenue group 2006–2014. Million SEK</t>
  </si>
  <si>
    <t>2014</t>
  </si>
  <si>
    <t>1) Fördelning inom inkomstgrupperna 1000 och 7000 är preliminär 2014 och kommer att justeras med hänsyn till slutligt taxeringsutfall. Nuvarande fördelning är hämtad från årsredovsining för staten 2014</t>
  </si>
  <si>
    <r>
      <t xml:space="preserve">Statens budget, inkomster fördelade efter inkomsttitel 2006–2014 enligt 2014 års struktur. Miljoner kronor </t>
    </r>
    <r>
      <rPr>
        <b/>
        <vertAlign val="superscript"/>
        <sz val="8"/>
        <rFont val="Arial"/>
        <family val="2"/>
      </rPr>
      <t>1</t>
    </r>
  </si>
  <si>
    <t>Revenue outcome of the Central Government Budget distributed according to revenue heading 2006–2014. Million SEK</t>
  </si>
  <si>
    <t>Stöd till yrkesintroduktionsanställning</t>
  </si>
  <si>
    <t>2014-2020</t>
  </si>
  <si>
    <t>Bidrag från Europeiska havs- och fiskerifonden 2014-2020</t>
  </si>
  <si>
    <t>Bidrag från Europeiska regionala utvecklingsfonden 2014-2020</t>
  </si>
  <si>
    <t>Bidrag från Europeiska socialfonden 2014-2020</t>
  </si>
  <si>
    <t>Statens budget, inkomster av aktieutdelning 2011–2014. Miljoner kronor</t>
  </si>
  <si>
    <t>Revenue outcome of the Central Government Budget from share dividends 2011–2014. Million SEK</t>
  </si>
  <si>
    <t>Ersättningsmark i Sverige AB</t>
  </si>
  <si>
    <t>Jernhusen AB</t>
  </si>
  <si>
    <t>Nordea Bank AB</t>
  </si>
  <si>
    <t>PostNord AB</t>
  </si>
  <si>
    <t>Sveaskog AB</t>
  </si>
  <si>
    <t>Svensk Exportkredit AB</t>
  </si>
  <si>
    <t>Svenska Rymdaktiebolaget</t>
  </si>
  <si>
    <t>Teracom Group AB</t>
  </si>
  <si>
    <t>Statens budget, inkomster av bidrag från EU 2006-2014. Miljoner kronor</t>
  </si>
  <si>
    <t>Revenue outcome of the Central Government Budget from grants from the EU 2006–2014. Million SEK</t>
  </si>
  <si>
    <r>
      <t>Statens budget, utgifter fördelade på utgiftsområden m.m. 1995–2005 enligt 2014 års struktur.</t>
    </r>
    <r>
      <rPr>
        <b/>
        <vertAlign val="superscript"/>
        <sz val="8"/>
        <rFont val="Arial"/>
        <family val="2"/>
      </rPr>
      <t>1</t>
    </r>
    <r>
      <rPr>
        <b/>
        <sz val="9"/>
        <rFont val="Arial"/>
        <family val="2"/>
      </rPr>
      <t xml:space="preserve"> Miljoner kronor</t>
    </r>
  </si>
  <si>
    <t>of 2014. Million SEK</t>
  </si>
  <si>
    <t>UO namn</t>
  </si>
  <si>
    <r>
      <t>Statens budget, utgifter fördelade på utgiftsområden m.m. 2006–2014 enligt 2014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</si>
  <si>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2006–2014 according to the budget structure </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</si>
  <si>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2014 års struktur. </t>
    </r>
  </si>
  <si>
    <r>
      <t>Statens budget, utgifter fördelade efter utgiftsområde och anslag 1997–2005 enligt 2014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</si>
  <si>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1997–2005 according to the budget structure of 2014. Thousand SEK</t>
  </si>
  <si>
    <r>
      <t>Statens budget, utgifter fördelade efter utgiftsområde och anslag 2006-2014 enligt 2014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</si>
  <si>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2006-2014 according to the budget structure of 2014. Thousand SEK</t>
  </si>
  <si>
    <t>Utgifter på statens budget (A+91+92)</t>
  </si>
  <si>
    <t>Sveriges avgifter till och bidrag från EU 2006–2014. Miljoner kronor</t>
  </si>
  <si>
    <t>Sweden´s contributions to and from the EU 2006–2014. Million SEK</t>
  </si>
  <si>
    <r>
      <t xml:space="preserve">Summa EU-avgift </t>
    </r>
    <r>
      <rPr>
        <b/>
        <vertAlign val="superscript"/>
        <sz val="8"/>
        <rFont val="Arial"/>
        <family val="2"/>
      </rPr>
      <t>2)</t>
    </r>
  </si>
  <si>
    <t xml:space="preserve">     EU-avgift, periodisering av retroaktiv BNI-korr.</t>
  </si>
  <si>
    <t xml:space="preserve">     CSN-lån i RGK för kapitaliserade räntor, till inkomsttitel</t>
  </si>
  <si>
    <t xml:space="preserve">     Insättningsgarantifonden</t>
  </si>
  <si>
    <t xml:space="preserve">     Lån till CSN för kapitaliserade räntor, till inkomsttitel</t>
  </si>
  <si>
    <t xml:space="preserve">Engångsposter m.m. som påverkar saldot på statens budget 1995–2014. Miljoner kronor                     </t>
  </si>
  <si>
    <t>Temporary and non–recurring effects on the Central Government Budget 1995–2014. Million SEK</t>
  </si>
  <si>
    <t>Statens budgets faktiska och underliggande saldo 1990–2014. Miljoner kronor</t>
  </si>
  <si>
    <t>The Central Government Budget, actual and underlying budget balance 1990–2014. Million SEK</t>
  </si>
  <si>
    <r>
      <t xml:space="preserve">2) </t>
    </r>
    <r>
      <rPr>
        <sz val="7.5"/>
        <rFont val="Arial"/>
        <family val="2"/>
      </rPr>
      <t>Engångseffekterna för 1995–2014 specificeras i tabell 4. Engångseffekterna 1990–1994 redovisas i en särskild</t>
    </r>
  </si>
  <si>
    <t>1957/58–2014. Miljarder kronor</t>
  </si>
  <si>
    <t>Revenue, expenditure, budget balance, and national debt of the Central Government Budget 1957/58–2014. Billion SEK</t>
  </si>
  <si>
    <t>Uppföljning av det statliga utgiftstaket 1997–2014. Miljoner kronor</t>
  </si>
  <si>
    <t>Central Government actual expenditure and the expenditure ceiling 1997–2014. Million SEK</t>
  </si>
  <si>
    <t>Statens budget, utgifter fördelade på huvudändamål 2000–2014 enligt ny indelning. Miljoner kronor</t>
  </si>
  <si>
    <t xml:space="preserve">Expenditure outcome of the Central Government Budget distributed according to major function 2000–2014, new classification. Million SEK </t>
  </si>
  <si>
    <t xml:space="preserve">Statens budget, utgifter procentuellt fördelade på huvudändamål 2000–2014 enligt ny indelning. </t>
  </si>
  <si>
    <t xml:space="preserve">Expenditure outcome of the Central Government Budget distributed in percentage terms according to major function 2000–2014, new classification. </t>
  </si>
  <si>
    <t>Statens budget, utgifter fördelade på ändamål 2000–2014 enligt ny indelning. Miljoner kronor</t>
  </si>
  <si>
    <t>Expenditure outcome of the Central Government Budget distributed according to function 2000–2014, new classification. Million SEK</t>
  </si>
  <si>
    <t>Tabell 12.1</t>
  </si>
  <si>
    <t>Statens budget, utgifter avseende anslaget Räntor på statsskulden 1995–2013, per komponent enligt 2013 års struktur. Miljoner kronor</t>
  </si>
  <si>
    <t>Expenditure outcome of  Interest on National Debt 1995–2013 according to the budget structure of 2013. Million SEK</t>
  </si>
  <si>
    <t>Tabell 12.2</t>
  </si>
  <si>
    <t>Statens budget, utgifter avseende anslaget Räntor på statsskulden 2010–2014, per komponent enligt 2014 års struktur. Miljoner kronor</t>
  </si>
  <si>
    <t>Expenditure outcome of  Interest on National Debt 2010–2014 according to the budget structure of 2014. Million SEK</t>
  </si>
  <si>
    <t>Valutaförluster (+)/vinster (-)</t>
  </si>
  <si>
    <t>Statens budget, utgifter för transfereringar till hushåll, socialt skydd 2011–2014 enligt ny indelning. Miljoner kronor</t>
  </si>
  <si>
    <t>Expenditure outcome of the Central Government Budget distributed to households, Social protection 2011–2014, new classification. Million SEK</t>
  </si>
  <si>
    <t>25)</t>
  </si>
  <si>
    <t>Studielån</t>
  </si>
  <si>
    <t>Temaskrift från 1999, Engångseffekter. Se www.esv.se under Statens finanser, Officiell statisktik (Arkiv).</t>
  </si>
  <si>
    <t>Statens budget, utgifter för transfereringar till hushåll 2011–2014 enligt ny indelning. Miljoner kronor</t>
  </si>
  <si>
    <t xml:space="preserve">Expenditure outcome of the Central Government Budget distributed to households 2011–2014, new classification. Million SEK </t>
  </si>
  <si>
    <t>Statens budget, utgifter för transfereringar till hushåll, socialt skydd 2014. Procent</t>
  </si>
  <si>
    <t>Expenditure outcome of the Central Government Budget distributed to households, Social protection 2014. Percentage terms</t>
  </si>
  <si>
    <t>Statens budget, utgifter per invånare fördelat på huvudändamål 2000–2014 enligt ny indelning. Kronor.</t>
  </si>
  <si>
    <t xml:space="preserve">Expenditure outcome of the Central Government Budget distributed according to expenditure per person and major function 2000–2014, new classification. SEK </t>
  </si>
  <si>
    <t>Invånare: 9747355</t>
  </si>
  <si>
    <t xml:space="preserve">Källa: SCB Preliminär folkmängd 31 december 2014 samt preliminära befolkningsförändringar under 2014
</t>
  </si>
  <si>
    <t>Övriga kortfristiga skulder</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</si>
  <si>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</si>
  <si>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</si>
  <si>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</si>
  <si>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</si>
  <si>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</si>
  <si>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</si>
  <si>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</si>
  <si>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</si>
  <si>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</si>
  <si>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</si>
  <si>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</si>
  <si>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</si>
  <si>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</si>
  <si>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Rättigheter och andra immateriella anläggningstillg</t>
  </si>
  <si>
    <t>Miljoner kronor</t>
  </si>
  <si>
    <t xml:space="preserve">Konsoliderad resultaträkning </t>
  </si>
  <si>
    <t>2010</t>
  </si>
  <si>
    <t>Nettokostnad för statsskulden</t>
  </si>
  <si>
    <t>Tabell 18.15</t>
  </si>
  <si>
    <t>Tabell 25</t>
  </si>
  <si>
    <t>Balansräkning för staten 1993/94-2014. Miljoner kronor</t>
  </si>
  <si>
    <t>Central government income statement 1993/94-2014. Million SEK</t>
  </si>
  <si>
    <t>Resultaträkning för staten 1993/94-2014. Miljoner kronor</t>
  </si>
  <si>
    <t>Tabell 26</t>
  </si>
  <si>
    <t xml:space="preserve"> Från och med 2012 ändrades statsskuldens redovisningsprinciper.</t>
  </si>
  <si>
    <t xml:space="preserve">1) Fördelning inom inkomstgrupp 1000 och 7000 är preliminär 2014 och kommer att justeras med hänsyn till slutligt taxeringsutfall. </t>
  </si>
  <si>
    <t>Nuvarande fördelning är hämtad från årsredovsining för staten 2014</t>
  </si>
  <si>
    <t>Tabell 17.1</t>
  </si>
  <si>
    <t>Statens budget, utgifter fördelade efter utgiftsområde och huvudändamål 2014 enligt ny indelning. Miljoner kronor</t>
  </si>
  <si>
    <t>Tabell 11.2</t>
  </si>
  <si>
    <t>Tabell 17.17</t>
  </si>
  <si>
    <t xml:space="preserve">Kursförluster (+)/vinster (-)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</si>
</sst>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000"/>
  </numFmts>
  <fonts count="54">
    <font>
      <sz val="10"/>
      <name val="Times New Roman"/>
      <family val="1"/>
    </font>
    <font>
      <sz val="11"/>
      <color theme="1"/>
      <name val="Calibri"/>
      <family val="2"/>
      <scheme val="minor"/>
    </font>
    <font>
      <sz val="11"/>
      <color theme="1"/>
      <name val="Calibri"/>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sz val="7.5"/>
      <name val="Frutiger 45 Light"/>
      <family val="2"/>
    </font>
    <font>
      <sz val="8"/>
      <name val="Frutiger 45 Light"/>
      <family val="2"/>
    </font>
    <font>
      <b/>
      <sz val="8"/>
      <name val="Frutiger 45 Light"/>
      <family val="2"/>
    </font>
    <font>
      <vertAlign val="superscript"/>
      <sz val="7.5"/>
      <name val="Arial"/>
      <family val="2"/>
    </font>
    <font>
      <b/>
      <sz val="10"/>
      <name val="Arial"/>
      <family val="2"/>
    </font>
    <font>
      <sz val="11"/>
      <name val="Times New Roman"/>
      <family val="1"/>
    </font>
    <font>
      <b/>
      <sz val="10"/>
      <name val="Times New Roman"/>
      <family val="1"/>
    </font>
    <font>
      <i/>
      <sz val="7"/>
      <name val="Frutiger 45 Light"/>
      <family val="2"/>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Calibri"/>
      <family val="2"/>
      <scheme val="minor"/>
    </font>
    <font>
      <vertAlign val="superscript"/>
      <sz val="8"/>
      <color theme="1"/>
      <name val="Arial"/>
      <family val="2"/>
    </font>
    <font>
      <sz val="10"/>
      <name val="Arial"/>
      <family val="2"/>
    </font>
    <font>
      <sz val="10"/>
      <name val="Calibri"/>
      <family val="2"/>
      <scheme val="minor"/>
    </font>
    <font>
      <sz val="10"/>
      <name val="Arial"/>
      <family val="2"/>
    </font>
    <font>
      <b/>
      <sz val="10"/>
      <color theme="1"/>
      <name val="Calibri"/>
      <family val="2"/>
      <scheme val="minor"/>
    </font>
    <font>
      <sz val="7"/>
      <name val="TradeGothic CondEighteen"/>
    </font>
    <font>
      <sz val="8"/>
      <color rgb="FFFF0000"/>
      <name val="Arial"/>
      <family val="2"/>
    </font>
    <font>
      <b/>
      <sz val="10"/>
      <color indexed="1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7">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s>
  <cellStyleXfs count="27">
    <xf numFmtId="0" fontId="0" fillId="0" borderId="0"/>
    <xf numFmtId="0" fontId="40" fillId="0" borderId="0"/>
    <xf numFmtId="0" fontId="20" fillId="0" borderId="0"/>
    <xf numFmtId="0" fontId="37" fillId="0" borderId="0"/>
    <xf numFmtId="0" fontId="17" fillId="0" borderId="0"/>
    <xf numFmtId="0" fontId="19" fillId="0" borderId="0"/>
    <xf numFmtId="0" fontId="19" fillId="0" borderId="0"/>
    <xf numFmtId="0" fontId="3" fillId="0" borderId="0"/>
    <xf numFmtId="0" fontId="17" fillId="0" borderId="0"/>
    <xf numFmtId="0" fontId="4" fillId="0" borderId="0"/>
    <xf numFmtId="0" fontId="19" fillId="0" borderId="0"/>
    <xf numFmtId="0" fontId="17" fillId="0" borderId="0"/>
    <xf numFmtId="165" fontId="4" fillId="0" borderId="0" applyFont="0" applyFill="0" applyBorder="0" applyAlignment="0" applyProtection="0"/>
    <xf numFmtId="164" fontId="4" fillId="0" borderId="0" applyFont="0" applyFill="0" applyBorder="0" applyAlignment="0" applyProtection="0"/>
    <xf numFmtId="0" fontId="44" fillId="0" borderId="0"/>
    <xf numFmtId="0" fontId="47" fillId="0" borderId="0"/>
    <xf numFmtId="9" fontId="14" fillId="0" borderId="0" applyFont="0" applyFill="0" applyBorder="0" applyAlignment="0" applyProtection="0"/>
    <xf numFmtId="0" fontId="49" fillId="0" borderId="0"/>
    <xf numFmtId="0" fontId="2" fillId="0" borderId="0"/>
    <xf numFmtId="0" fontId="2" fillId="0" borderId="0"/>
    <xf numFmtId="0" fontId="17" fillId="0" borderId="0"/>
    <xf numFmtId="0" fontId="17" fillId="0" borderId="0"/>
    <xf numFmtId="0" fontId="17" fillId="0" borderId="0"/>
    <xf numFmtId="0" fontId="17" fillId="0" borderId="0"/>
    <xf numFmtId="0" fontId="1" fillId="0" borderId="0"/>
    <xf numFmtId="0" fontId="1" fillId="0" borderId="0"/>
    <xf numFmtId="0" fontId="37" fillId="0" borderId="0"/>
  </cellStyleXfs>
  <cellXfs count="748">
    <xf numFmtId="0" fontId="0" fillId="0" borderId="0" xfId="0"/>
    <xf numFmtId="0" fontId="6" fillId="0" borderId="0" xfId="0" applyFont="1"/>
    <xf numFmtId="0" fontId="7" fillId="0" borderId="0" xfId="0" applyFont="1"/>
    <xf numFmtId="3" fontId="8" fillId="0" borderId="0" xfId="0" applyNumberFormat="1" applyFont="1"/>
    <xf numFmtId="0" fontId="8" fillId="0" borderId="0" xfId="0" applyFont="1"/>
    <xf numFmtId="3" fontId="7" fillId="0" borderId="0" xfId="0" applyNumberFormat="1" applyFont="1" applyAlignment="1">
      <alignment horizontal="right"/>
    </xf>
    <xf numFmtId="3" fontId="7" fillId="0" borderId="0" xfId="0" applyNumberFormat="1" applyFont="1"/>
    <xf numFmtId="0" fontId="10" fillId="0" borderId="0" xfId="0" applyFont="1" applyBorder="1"/>
    <xf numFmtId="0" fontId="11" fillId="0" borderId="0" xfId="0" applyFont="1" applyBorder="1"/>
    <xf numFmtId="0" fontId="10" fillId="0" borderId="0" xfId="0" applyFont="1" applyBorder="1" applyAlignment="1">
      <alignment horizontal="left"/>
    </xf>
    <xf numFmtId="166" fontId="11" fillId="0" borderId="0" xfId="0" applyNumberFormat="1" applyFont="1" applyBorder="1" applyAlignment="1">
      <alignment horizontal="left"/>
    </xf>
    <xf numFmtId="0" fontId="11" fillId="0" borderId="1" xfId="0" applyFont="1" applyBorder="1" applyAlignment="1">
      <alignment horizontal="left"/>
    </xf>
    <xf numFmtId="0" fontId="10" fillId="0" borderId="1" xfId="0" applyFont="1" applyBorder="1"/>
    <xf numFmtId="0" fontId="11" fillId="0" borderId="1" xfId="0" applyFont="1" applyBorder="1"/>
    <xf numFmtId="170" fontId="11" fillId="0" borderId="0" xfId="0" applyNumberFormat="1" applyFont="1" applyBorder="1"/>
    <xf numFmtId="167" fontId="10" fillId="0" borderId="0" xfId="0" applyNumberFormat="1" applyFont="1" applyBorder="1" applyAlignment="1">
      <alignment horizontal="left"/>
    </xf>
    <xf numFmtId="170" fontId="10" fillId="0" borderId="0" xfId="0" applyNumberFormat="1" applyFont="1" applyBorder="1"/>
    <xf numFmtId="0" fontId="8" fillId="0" borderId="0" xfId="0" applyFont="1" applyAlignment="1">
      <alignment horizontal="left"/>
    </xf>
    <xf numFmtId="166" fontId="10" fillId="0" borderId="2" xfId="0" applyNumberFormat="1" applyFont="1" applyBorder="1" applyAlignment="1">
      <alignment horizontal="left"/>
    </xf>
    <xf numFmtId="0" fontId="11" fillId="0" borderId="2" xfId="0" applyFont="1" applyBorder="1" applyAlignment="1">
      <alignment vertical="center"/>
    </xf>
    <xf numFmtId="170" fontId="11" fillId="0" borderId="2" xfId="0" applyNumberFormat="1" applyFont="1" applyBorder="1" applyAlignment="1">
      <alignment vertical="center"/>
    </xf>
    <xf numFmtId="0" fontId="5" fillId="0" borderId="0" xfId="0" applyFont="1" applyBorder="1" applyAlignment="1">
      <alignment horizontal="left"/>
    </xf>
    <xf numFmtId="166" fontId="5" fillId="0" borderId="0" xfId="0" applyNumberFormat="1" applyFont="1" applyBorder="1" applyAlignment="1">
      <alignment horizontal="left"/>
    </xf>
    <xf numFmtId="0" fontId="12" fillId="0" borderId="0" xfId="0" applyFont="1" applyBorder="1" applyAlignment="1">
      <alignment horizontal="left"/>
    </xf>
    <xf numFmtId="167" fontId="11" fillId="0" borderId="0" xfId="0" applyNumberFormat="1" applyFont="1" applyBorder="1" applyAlignment="1">
      <alignment horizontal="left"/>
    </xf>
    <xf numFmtId="166" fontId="10" fillId="0" borderId="0" xfId="0" applyNumberFormat="1" applyFont="1" applyBorder="1" applyAlignment="1">
      <alignment horizontal="left"/>
    </xf>
    <xf numFmtId="3" fontId="10" fillId="0" borderId="0" xfId="0" applyNumberFormat="1" applyFont="1" applyBorder="1"/>
    <xf numFmtId="49" fontId="10" fillId="0" borderId="0" xfId="0" applyNumberFormat="1" applyFont="1" applyBorder="1" applyAlignment="1">
      <alignment horizontal="left"/>
    </xf>
    <xf numFmtId="166" fontId="11" fillId="0" borderId="2" xfId="0" applyNumberFormat="1" applyFont="1" applyBorder="1" applyAlignment="1">
      <alignment horizontal="left"/>
    </xf>
    <xf numFmtId="0" fontId="7" fillId="0" borderId="1" xfId="0" applyFont="1" applyBorder="1"/>
    <xf numFmtId="0" fontId="8" fillId="0" borderId="1" xfId="0" applyFont="1" applyBorder="1"/>
    <xf numFmtId="171" fontId="8" fillId="0" borderId="0" xfId="0" applyNumberFormat="1" applyFont="1"/>
    <xf numFmtId="0" fontId="8" fillId="0" borderId="2" xfId="0" applyFont="1" applyBorder="1"/>
    <xf numFmtId="0" fontId="7" fillId="0" borderId="2" xfId="0" applyFont="1" applyBorder="1" applyAlignment="1">
      <alignment vertical="center"/>
    </xf>
    <xf numFmtId="171" fontId="7" fillId="0" borderId="2" xfId="0" applyNumberFormat="1" applyFont="1" applyBorder="1" applyAlignment="1">
      <alignment vertical="center"/>
    </xf>
    <xf numFmtId="0" fontId="7" fillId="0" borderId="1" xfId="0" applyFont="1" applyBorder="1" applyAlignment="1">
      <alignment horizontal="left" vertical="center"/>
    </xf>
    <xf numFmtId="0" fontId="8" fillId="0" borderId="1" xfId="0" applyFont="1" applyBorder="1" applyAlignment="1">
      <alignment vertical="center"/>
    </xf>
    <xf numFmtId="0" fontId="7" fillId="0" borderId="1" xfId="0" applyFont="1" applyBorder="1" applyAlignment="1">
      <alignment vertical="center"/>
    </xf>
    <xf numFmtId="1" fontId="8" fillId="0" borderId="0" xfId="0" applyNumberFormat="1" applyFont="1"/>
    <xf numFmtId="0" fontId="8" fillId="0" borderId="2" xfId="0" applyFont="1" applyBorder="1" applyAlignment="1">
      <alignment horizontal="left"/>
    </xf>
    <xf numFmtId="3" fontId="7" fillId="0" borderId="2" xfId="0" applyNumberFormat="1" applyFont="1" applyBorder="1" applyAlignment="1">
      <alignment vertical="center"/>
    </xf>
    <xf numFmtId="0" fontId="6" fillId="0" borderId="0" xfId="0" applyFont="1" applyAlignment="1">
      <alignment horizontal="left"/>
    </xf>
    <xf numFmtId="0" fontId="9" fillId="0" borderId="0" xfId="0" applyFont="1" applyAlignment="1">
      <alignment horizontal="left"/>
    </xf>
    <xf numFmtId="0" fontId="11" fillId="0" borderId="2" xfId="0" applyFont="1" applyBorder="1"/>
    <xf numFmtId="0" fontId="7" fillId="0" borderId="2" xfId="0" applyFont="1" applyBorder="1"/>
    <xf numFmtId="3" fontId="8" fillId="0" borderId="0" xfId="0" applyNumberFormat="1" applyFont="1" applyAlignment="1">
      <alignment horizontal="right"/>
    </xf>
    <xf numFmtId="0" fontId="9" fillId="0" borderId="0" xfId="0" applyFont="1"/>
    <xf numFmtId="0" fontId="8" fillId="0" borderId="0" xfId="0" applyFont="1" applyBorder="1" applyAlignment="1">
      <alignment horizontal="left"/>
    </xf>
    <xf numFmtId="0" fontId="7" fillId="0" borderId="0" xfId="0" applyFont="1" applyBorder="1"/>
    <xf numFmtId="0" fontId="8" fillId="0" borderId="0" xfId="0" applyFont="1" applyAlignment="1">
      <alignment horizontal="right"/>
    </xf>
    <xf numFmtId="3" fontId="7" fillId="0" borderId="2" xfId="0" applyNumberFormat="1" applyFont="1" applyBorder="1" applyAlignment="1">
      <alignment horizontal="right" vertical="center"/>
    </xf>
    <xf numFmtId="0" fontId="8" fillId="0" borderId="0" xfId="0" applyFont="1" applyAlignment="1">
      <alignment vertical="top" wrapText="1"/>
    </xf>
    <xf numFmtId="0" fontId="8" fillId="0" borderId="0" xfId="0" applyFont="1" applyAlignment="1">
      <alignment horizontal="left" vertical="top" wrapText="1"/>
    </xf>
    <xf numFmtId="3" fontId="8" fillId="0" borderId="0" xfId="7" applyNumberFormat="1" applyFont="1" applyBorder="1"/>
    <xf numFmtId="0" fontId="13" fillId="0" borderId="0" xfId="0" applyFont="1"/>
    <xf numFmtId="0" fontId="8" fillId="0" borderId="0" xfId="0" applyFont="1" applyBorder="1"/>
    <xf numFmtId="3" fontId="8" fillId="0" borderId="0" xfId="7" applyNumberFormat="1" applyFont="1"/>
    <xf numFmtId="172" fontId="8" fillId="0" borderId="0" xfId="0" applyNumberFormat="1" applyFont="1"/>
    <xf numFmtId="0" fontId="0" fillId="0" borderId="0" xfId="0" applyBorder="1"/>
    <xf numFmtId="3" fontId="14" fillId="0" borderId="0" xfId="0" applyNumberFormat="1" applyFont="1" applyFill="1" applyBorder="1"/>
    <xf numFmtId="170" fontId="11" fillId="0" borderId="0" xfId="0" applyNumberFormat="1" applyFont="1" applyBorder="1" applyAlignment="1">
      <alignment vertical="center"/>
    </xf>
    <xf numFmtId="3" fontId="0" fillId="0" borderId="0" xfId="0" applyNumberFormat="1"/>
    <xf numFmtId="170" fontId="10" fillId="0" borderId="0" xfId="0" applyNumberFormat="1" applyFont="1" applyBorder="1" applyAlignment="1">
      <alignment vertical="center"/>
    </xf>
    <xf numFmtId="0" fontId="0" fillId="0" borderId="0" xfId="0" applyFill="1" applyBorder="1"/>
    <xf numFmtId="170" fontId="7" fillId="0" borderId="0" xfId="0" applyNumberFormat="1" applyFont="1"/>
    <xf numFmtId="0" fontId="0" fillId="0" borderId="2" xfId="0" applyBorder="1"/>
    <xf numFmtId="3" fontId="8" fillId="0" borderId="0" xfId="0" applyNumberFormat="1" applyFont="1" applyBorder="1" applyAlignment="1">
      <alignment horizontal="right"/>
    </xf>
    <xf numFmtId="0" fontId="8" fillId="0" borderId="0" xfId="0" applyFont="1" applyBorder="1" applyAlignment="1">
      <alignment vertical="top" wrapText="1"/>
    </xf>
    <xf numFmtId="3" fontId="8" fillId="0" borderId="0" xfId="0" applyNumberFormat="1" applyFont="1" applyBorder="1"/>
    <xf numFmtId="3" fontId="8" fillId="0" borderId="0" xfId="0" applyNumberFormat="1" applyFont="1" applyFill="1" applyBorder="1"/>
    <xf numFmtId="171" fontId="8" fillId="0" borderId="0" xfId="0" applyNumberFormat="1" applyFont="1" applyBorder="1"/>
    <xf numFmtId="3" fontId="7" fillId="0" borderId="0" xfId="0" applyNumberFormat="1" applyFont="1" applyBorder="1" applyAlignment="1">
      <alignment vertical="center"/>
    </xf>
    <xf numFmtId="0" fontId="11" fillId="0" borderId="0" xfId="0" applyFont="1" applyBorder="1" applyAlignment="1">
      <alignment vertical="center"/>
    </xf>
    <xf numFmtId="1" fontId="8" fillId="0" borderId="0" xfId="0" applyNumberFormat="1" applyFont="1" applyBorder="1"/>
    <xf numFmtId="168" fontId="10" fillId="0" borderId="0" xfId="0" applyNumberFormat="1" applyFont="1" applyBorder="1"/>
    <xf numFmtId="3" fontId="11" fillId="0" borderId="2" xfId="0" applyNumberFormat="1" applyFont="1" applyBorder="1" applyAlignment="1">
      <alignment vertical="center"/>
    </xf>
    <xf numFmtId="169" fontId="10" fillId="0" borderId="0" xfId="0" applyNumberFormat="1" applyFont="1" applyBorder="1" applyAlignment="1">
      <alignment horizontal="left"/>
    </xf>
    <xf numFmtId="170" fontId="10" fillId="0" borderId="0" xfId="0" applyNumberFormat="1" applyFont="1" applyBorder="1" applyAlignment="1">
      <alignment horizontal="right"/>
    </xf>
    <xf numFmtId="3" fontId="10" fillId="0" borderId="0" xfId="0" applyNumberFormat="1" applyFont="1" applyBorder="1" applyAlignment="1">
      <alignment horizontal="right"/>
    </xf>
    <xf numFmtId="3" fontId="7" fillId="0" borderId="2" xfId="0" applyNumberFormat="1" applyFont="1" applyBorder="1"/>
    <xf numFmtId="49" fontId="8" fillId="0" borderId="0" xfId="0" applyNumberFormat="1" applyFont="1"/>
    <xf numFmtId="49" fontId="6" fillId="0" borderId="0" xfId="0" applyNumberFormat="1" applyFont="1"/>
    <xf numFmtId="0" fontId="8" fillId="0" borderId="0" xfId="0" applyFont="1" applyAlignment="1">
      <alignment wrapText="1"/>
    </xf>
    <xf numFmtId="0" fontId="6" fillId="0" borderId="0" xfId="9" applyFont="1" applyFill="1" applyBorder="1"/>
    <xf numFmtId="3" fontId="23" fillId="0" borderId="0" xfId="9" applyNumberFormat="1" applyFont="1" applyFill="1" applyAlignment="1"/>
    <xf numFmtId="3" fontId="24" fillId="0" borderId="0" xfId="9" applyNumberFormat="1" applyFont="1" applyFill="1" applyAlignment="1"/>
    <xf numFmtId="49" fontId="26" fillId="0" borderId="0" xfId="0" applyNumberFormat="1" applyFont="1"/>
    <xf numFmtId="3" fontId="26" fillId="0" borderId="0" xfId="0" applyNumberFormat="1" applyFont="1"/>
    <xf numFmtId="170" fontId="10" fillId="0" borderId="0" xfId="0" applyNumberFormat="1" applyFont="1" applyBorder="1" applyAlignment="1">
      <alignment horizontal="right" vertical="center"/>
    </xf>
    <xf numFmtId="175" fontId="10" fillId="0" borderId="0" xfId="0" applyNumberFormat="1" applyFont="1" applyBorder="1"/>
    <xf numFmtId="0" fontId="27" fillId="0" borderId="0" xfId="0" applyFont="1"/>
    <xf numFmtId="49" fontId="6" fillId="0" borderId="0" xfId="0" applyNumberFormat="1" applyFont="1" applyAlignment="1">
      <alignment vertical="top"/>
    </xf>
    <xf numFmtId="49" fontId="8" fillId="0" borderId="0" xfId="0" applyNumberFormat="1" applyFont="1" applyAlignment="1">
      <alignment vertical="top"/>
    </xf>
    <xf numFmtId="3" fontId="8" fillId="0" borderId="0" xfId="0" applyNumberFormat="1" applyFont="1" applyAlignment="1"/>
    <xf numFmtId="3" fontId="23" fillId="0" borderId="0" xfId="9" applyNumberFormat="1" applyFont="1" applyFill="1" applyBorder="1" applyAlignment="1"/>
    <xf numFmtId="0" fontId="7" fillId="0" borderId="1" xfId="0" applyFont="1" applyBorder="1" applyAlignment="1">
      <alignment horizontal="right" vertical="center"/>
    </xf>
    <xf numFmtId="0" fontId="28" fillId="0" borderId="0" xfId="0" applyFont="1"/>
    <xf numFmtId="3" fontId="13" fillId="0" borderId="0" xfId="0" applyNumberFormat="1" applyFont="1"/>
    <xf numFmtId="3" fontId="13" fillId="0" borderId="0" xfId="0" applyNumberFormat="1" applyFont="1" applyAlignment="1">
      <alignment horizontal="right"/>
    </xf>
    <xf numFmtId="0" fontId="6" fillId="0" borderId="0" xfId="2" applyFont="1" applyAlignment="1">
      <alignment horizontal="left"/>
    </xf>
    <xf numFmtId="0" fontId="8" fillId="0" borderId="0" xfId="2" applyFont="1"/>
    <xf numFmtId="49" fontId="6" fillId="0" borderId="0" xfId="2" applyNumberFormat="1" applyFont="1"/>
    <xf numFmtId="49" fontId="8" fillId="0" borderId="0" xfId="2" applyNumberFormat="1" applyFont="1"/>
    <xf numFmtId="0" fontId="8" fillId="0" borderId="0" xfId="2" applyFont="1" applyAlignment="1">
      <alignment horizontal="left"/>
    </xf>
    <xf numFmtId="0" fontId="7" fillId="0" borderId="1" xfId="2" applyFont="1" applyBorder="1" applyAlignment="1">
      <alignment horizontal="left" vertical="center"/>
    </xf>
    <xf numFmtId="0" fontId="7" fillId="0" borderId="1" xfId="2" applyFont="1" applyBorder="1" applyAlignment="1">
      <alignment horizontal="right" vertical="center"/>
    </xf>
    <xf numFmtId="0" fontId="20" fillId="0" borderId="0" xfId="2"/>
    <xf numFmtId="0" fontId="8" fillId="0" borderId="0" xfId="2" applyFont="1" applyBorder="1"/>
    <xf numFmtId="4" fontId="20" fillId="0" borderId="0" xfId="2" applyNumberFormat="1"/>
    <xf numFmtId="0" fontId="20" fillId="0" borderId="0" xfId="2" applyFont="1"/>
    <xf numFmtId="3" fontId="20" fillId="0" borderId="0" xfId="2" applyNumberFormat="1"/>
    <xf numFmtId="3" fontId="8" fillId="0" borderId="0" xfId="2" applyNumberFormat="1" applyFont="1"/>
    <xf numFmtId="0" fontId="22" fillId="0" borderId="0" xfId="9" applyFont="1" applyFill="1"/>
    <xf numFmtId="0" fontId="22" fillId="0" borderId="2" xfId="9" applyFont="1" applyFill="1" applyBorder="1"/>
    <xf numFmtId="0" fontId="24" fillId="0" borderId="4" xfId="9" applyFont="1" applyFill="1" applyBorder="1" applyAlignment="1">
      <alignment horizontal="right" vertical="center"/>
    </xf>
    <xf numFmtId="0" fontId="29" fillId="0" borderId="2" xfId="9" applyFont="1" applyFill="1" applyBorder="1" applyAlignment="1">
      <alignment vertical="top"/>
    </xf>
    <xf numFmtId="0" fontId="22" fillId="0" borderId="2" xfId="9" applyFont="1" applyFill="1" applyBorder="1" applyAlignment="1">
      <alignment horizontal="right"/>
    </xf>
    <xf numFmtId="3" fontId="24" fillId="0" borderId="4" xfId="9" applyNumberFormat="1" applyFont="1" applyFill="1" applyBorder="1"/>
    <xf numFmtId="1" fontId="24" fillId="0" borderId="4" xfId="9" applyNumberFormat="1" applyFont="1" applyFill="1" applyBorder="1" applyAlignment="1">
      <alignment horizontal="right" vertical="center"/>
    </xf>
    <xf numFmtId="3" fontId="24" fillId="0" borderId="0" xfId="9" applyNumberFormat="1" applyFont="1" applyFill="1"/>
    <xf numFmtId="3" fontId="23" fillId="0" borderId="0" xfId="9" applyNumberFormat="1" applyFont="1" applyFill="1"/>
    <xf numFmtId="0" fontId="23" fillId="0" borderId="0" xfId="9" applyFont="1" applyFill="1"/>
    <xf numFmtId="3" fontId="22" fillId="0" borderId="0" xfId="9" applyNumberFormat="1" applyFont="1" applyFill="1"/>
    <xf numFmtId="3" fontId="23" fillId="0" borderId="0" xfId="9" applyNumberFormat="1" applyFont="1" applyFill="1" applyBorder="1"/>
    <xf numFmtId="0" fontId="23" fillId="0" borderId="0" xfId="9" applyFont="1" applyFill="1" applyBorder="1"/>
    <xf numFmtId="3" fontId="22" fillId="0" borderId="0" xfId="9" applyNumberFormat="1" applyFont="1" applyFill="1" applyBorder="1"/>
    <xf numFmtId="3" fontId="23" fillId="0" borderId="0" xfId="9" applyNumberFormat="1" applyFont="1" applyFill="1" applyAlignment="1">
      <alignment horizontal="right"/>
    </xf>
    <xf numFmtId="0" fontId="11" fillId="0" borderId="1" xfId="0" applyFont="1" applyBorder="1" applyAlignment="1">
      <alignment horizontal="right"/>
    </xf>
    <xf numFmtId="3" fontId="10" fillId="0" borderId="0" xfId="0" applyNumberFormat="1" applyFont="1" applyBorder="1" applyAlignment="1">
      <alignment horizontal="right" vertical="center"/>
    </xf>
    <xf numFmtId="173" fontId="8" fillId="0" borderId="0" xfId="0" applyNumberFormat="1" applyFont="1"/>
    <xf numFmtId="0" fontId="8" fillId="0" borderId="0" xfId="0" applyFont="1" applyBorder="1" applyAlignment="1">
      <alignment wrapText="1"/>
    </xf>
    <xf numFmtId="3" fontId="7" fillId="0" borderId="0" xfId="0" applyNumberFormat="1" applyFont="1" applyBorder="1"/>
    <xf numFmtId="3" fontId="8" fillId="0" borderId="0" xfId="0" applyNumberFormat="1" applyFont="1" applyFill="1"/>
    <xf numFmtId="3" fontId="7" fillId="0" borderId="2" xfId="0" applyNumberFormat="1" applyFont="1" applyFill="1" applyBorder="1" applyAlignment="1">
      <alignment vertical="center"/>
    </xf>
    <xf numFmtId="3" fontId="13" fillId="0" borderId="0" xfId="0" applyNumberFormat="1" applyFont="1" applyFill="1"/>
    <xf numFmtId="3" fontId="13" fillId="0" borderId="0" xfId="0" applyNumberFormat="1" applyFont="1" applyFill="1" applyAlignment="1">
      <alignment horizontal="right"/>
    </xf>
    <xf numFmtId="0" fontId="6" fillId="0" borderId="0" xfId="6" applyFont="1"/>
    <xf numFmtId="0" fontId="19" fillId="0" borderId="0" xfId="6"/>
    <xf numFmtId="0" fontId="8" fillId="0" borderId="0" xfId="6" applyFont="1"/>
    <xf numFmtId="0" fontId="7" fillId="0" borderId="1" xfId="6" applyFont="1" applyBorder="1"/>
    <xf numFmtId="0" fontId="7" fillId="0" borderId="1" xfId="6" applyNumberFormat="1" applyFont="1" applyBorder="1" applyAlignment="1">
      <alignment horizontal="right"/>
    </xf>
    <xf numFmtId="0" fontId="7" fillId="0" borderId="1" xfId="6" applyNumberFormat="1" applyFont="1" applyFill="1" applyBorder="1" applyAlignment="1">
      <alignment horizontal="right"/>
    </xf>
    <xf numFmtId="0" fontId="10" fillId="0" borderId="0" xfId="6" applyFont="1"/>
    <xf numFmtId="0" fontId="10" fillId="0" borderId="0" xfId="6" applyNumberFormat="1" applyFont="1" applyBorder="1"/>
    <xf numFmtId="3" fontId="11" fillId="0" borderId="0" xfId="6" applyNumberFormat="1" applyFont="1" applyBorder="1" applyAlignment="1">
      <alignment horizontal="right"/>
    </xf>
    <xf numFmtId="3" fontId="10" fillId="0" borderId="0" xfId="6" applyNumberFormat="1" applyFont="1"/>
    <xf numFmtId="0" fontId="10" fillId="0" borderId="0" xfId="6" applyFont="1" applyFill="1" applyBorder="1"/>
    <xf numFmtId="3" fontId="10" fillId="0" borderId="0" xfId="6" applyNumberFormat="1" applyFont="1" applyBorder="1"/>
    <xf numFmtId="0" fontId="10" fillId="0" borderId="0" xfId="6" applyFont="1" applyBorder="1"/>
    <xf numFmtId="0" fontId="11" fillId="0" borderId="0" xfId="6" quotePrefix="1" applyNumberFormat="1" applyFont="1" applyBorder="1" applyAlignment="1">
      <alignment horizontal="left"/>
    </xf>
    <xf numFmtId="3" fontId="11" fillId="0" borderId="0" xfId="6" applyNumberFormat="1" applyFont="1" applyFill="1" applyBorder="1" applyAlignment="1">
      <alignment horizontal="right"/>
    </xf>
    <xf numFmtId="3" fontId="10" fillId="0" borderId="0" xfId="6" applyNumberFormat="1" applyFont="1" applyBorder="1" applyAlignment="1">
      <alignment horizontal="right"/>
    </xf>
    <xf numFmtId="0" fontId="10" fillId="0" borderId="0" xfId="6" applyFont="1" applyBorder="1" applyAlignment="1">
      <alignment horizontal="right"/>
    </xf>
    <xf numFmtId="3" fontId="10" fillId="0" borderId="0" xfId="6" applyNumberFormat="1" applyFont="1" applyFill="1" applyBorder="1" applyAlignment="1">
      <alignment horizontal="right"/>
    </xf>
    <xf numFmtId="3" fontId="8" fillId="0" borderId="0" xfId="6" applyNumberFormat="1" applyFont="1"/>
    <xf numFmtId="0" fontId="10" fillId="0" borderId="0" xfId="6" quotePrefix="1" applyNumberFormat="1" applyFont="1" applyBorder="1" applyAlignment="1">
      <alignment horizontal="left"/>
    </xf>
    <xf numFmtId="3" fontId="10" fillId="0" borderId="0" xfId="6" applyNumberFormat="1" applyFont="1" applyFill="1" applyAlignment="1">
      <alignment horizontal="right"/>
    </xf>
    <xf numFmtId="0" fontId="10" fillId="0" borderId="0" xfId="6" applyNumberFormat="1" applyFont="1" applyBorder="1" applyAlignment="1">
      <alignment horizontal="left"/>
    </xf>
    <xf numFmtId="3" fontId="10" fillId="0" borderId="0" xfId="6" applyNumberFormat="1" applyFont="1" applyAlignment="1">
      <alignment horizontal="right"/>
    </xf>
    <xf numFmtId="0" fontId="10" fillId="0" borderId="0" xfId="6" applyNumberFormat="1" applyFont="1" applyBorder="1" applyProtection="1">
      <protection locked="0"/>
    </xf>
    <xf numFmtId="0" fontId="11" fillId="0" borderId="0" xfId="6" applyNumberFormat="1" applyFont="1" applyBorder="1"/>
    <xf numFmtId="0" fontId="11" fillId="0" borderId="0" xfId="6" applyNumberFormat="1" applyFont="1" applyBorder="1" applyAlignment="1">
      <alignment horizontal="left"/>
    </xf>
    <xf numFmtId="0" fontId="11" fillId="0" borderId="2" xfId="6" applyNumberFormat="1" applyFont="1" applyBorder="1"/>
    <xf numFmtId="3" fontId="11" fillId="0" borderId="2" xfId="6" applyNumberFormat="1" applyFont="1" applyFill="1" applyBorder="1" applyAlignment="1">
      <alignment horizontal="right"/>
    </xf>
    <xf numFmtId="3" fontId="11" fillId="0" borderId="2" xfId="6" applyNumberFormat="1" applyFont="1" applyBorder="1" applyAlignment="1">
      <alignment horizontal="right"/>
    </xf>
    <xf numFmtId="3" fontId="8" fillId="0" borderId="0" xfId="6" applyNumberFormat="1" applyFont="1" applyFill="1"/>
    <xf numFmtId="3" fontId="8" fillId="0" borderId="0" xfId="6" applyNumberFormat="1" applyFont="1" applyAlignment="1">
      <alignment horizontal="right"/>
    </xf>
    <xf numFmtId="0" fontId="10" fillId="0" borderId="0" xfId="6" applyFont="1" applyFill="1"/>
    <xf numFmtId="0" fontId="31" fillId="0" borderId="0" xfId="6" applyFont="1" applyFill="1"/>
    <xf numFmtId="3" fontId="8" fillId="0" borderId="0" xfId="6" applyNumberFormat="1" applyFont="1" applyFill="1" applyAlignment="1">
      <alignment horizontal="right"/>
    </xf>
    <xf numFmtId="3" fontId="18" fillId="0" borderId="0" xfId="6" applyNumberFormat="1" applyFont="1" applyFill="1" applyAlignment="1">
      <alignment horizontal="right"/>
    </xf>
    <xf numFmtId="3" fontId="11" fillId="0" borderId="0" xfId="6" applyNumberFormat="1" applyFont="1" applyAlignment="1">
      <alignment horizontal="right"/>
    </xf>
    <xf numFmtId="3" fontId="11" fillId="0" borderId="0" xfId="6" applyNumberFormat="1" applyFont="1" applyFill="1" applyAlignment="1">
      <alignment horizontal="right"/>
    </xf>
    <xf numFmtId="0" fontId="7" fillId="0" borderId="0" xfId="6" applyNumberFormat="1" applyFont="1" applyFill="1" applyBorder="1" applyAlignment="1">
      <alignment horizontal="right"/>
    </xf>
    <xf numFmtId="0" fontId="6" fillId="0" borderId="0" xfId="0" applyFont="1" applyBorder="1"/>
    <xf numFmtId="0" fontId="7" fillId="0" borderId="0" xfId="0" applyFont="1" applyBorder="1" applyAlignment="1">
      <alignment vertical="center"/>
    </xf>
    <xf numFmtId="0" fontId="9" fillId="0" borderId="0" xfId="0" applyFont="1" applyBorder="1"/>
    <xf numFmtId="3" fontId="7" fillId="0" borderId="0" xfId="0" applyNumberFormat="1" applyFont="1" applyFill="1" applyBorder="1" applyAlignment="1">
      <alignment vertical="center"/>
    </xf>
    <xf numFmtId="0" fontId="6" fillId="0" borderId="0" xfId="0" applyFont="1" applyBorder="1" applyAlignment="1">
      <alignment horizontal="left"/>
    </xf>
    <xf numFmtId="0" fontId="9" fillId="0" borderId="0" xfId="0" applyFont="1" applyBorder="1" applyAlignment="1">
      <alignment horizontal="left"/>
    </xf>
    <xf numFmtId="173" fontId="10" fillId="0" borderId="0" xfId="0" applyNumberFormat="1" applyFont="1" applyBorder="1"/>
    <xf numFmtId="3" fontId="0" fillId="0" borderId="0" xfId="0" applyNumberFormat="1" applyAlignment="1">
      <alignment horizontal="right"/>
    </xf>
    <xf numFmtId="3" fontId="27" fillId="0" borderId="0" xfId="0" applyNumberFormat="1" applyFont="1"/>
    <xf numFmtId="0" fontId="0" fillId="0" borderId="0" xfId="0" applyAlignment="1">
      <alignment textRotation="180"/>
    </xf>
    <xf numFmtId="0" fontId="10" fillId="0" borderId="0" xfId="0" applyFont="1" applyBorder="1" applyAlignment="1">
      <alignment wrapText="1"/>
    </xf>
    <xf numFmtId="166" fontId="10" fillId="0" borderId="0" xfId="0" applyNumberFormat="1" applyFont="1" applyBorder="1" applyAlignment="1">
      <alignment horizontal="left" vertical="top"/>
    </xf>
    <xf numFmtId="170" fontId="10" fillId="0" borderId="0" xfId="0" applyNumberFormat="1" applyFont="1" applyBorder="1" applyAlignment="1"/>
    <xf numFmtId="0" fontId="10" fillId="0" borderId="0" xfId="0" applyFont="1" applyBorder="1" applyAlignment="1">
      <alignment vertical="top" wrapText="1"/>
    </xf>
    <xf numFmtId="0" fontId="11" fillId="0" borderId="1" xfId="0" applyNumberFormat="1" applyFont="1" applyBorder="1" applyAlignment="1">
      <alignment horizontal="right"/>
    </xf>
    <xf numFmtId="0" fontId="22" fillId="0" borderId="0" xfId="9" applyFont="1"/>
    <xf numFmtId="10" fontId="8" fillId="0" borderId="0" xfId="0" applyNumberFormat="1" applyFont="1" applyBorder="1"/>
    <xf numFmtId="0" fontId="31" fillId="0" borderId="0" xfId="0" applyFont="1"/>
    <xf numFmtId="10" fontId="8" fillId="0" borderId="0" xfId="0" applyNumberFormat="1" applyFont="1"/>
    <xf numFmtId="0" fontId="7" fillId="0" borderId="2" xfId="2" applyFont="1" applyBorder="1"/>
    <xf numFmtId="3" fontId="7" fillId="0" borderId="2" xfId="2" applyNumberFormat="1" applyFont="1" applyBorder="1"/>
    <xf numFmtId="0" fontId="8" fillId="0" borderId="0" xfId="0" applyFont="1" applyAlignment="1">
      <alignment horizontal="left" vertical="top"/>
    </xf>
    <xf numFmtId="170" fontId="8" fillId="0" borderId="0" xfId="0" applyNumberFormat="1" applyFont="1"/>
    <xf numFmtId="0" fontId="8" fillId="0" borderId="0" xfId="0" applyNumberFormat="1" applyFont="1" applyFill="1" applyBorder="1" applyAlignment="1" applyProtection="1">
      <alignment horizontal="left" vertical="top" wrapText="1"/>
    </xf>
    <xf numFmtId="171" fontId="7" fillId="0" borderId="2" xfId="0" applyNumberFormat="1" applyFont="1" applyBorder="1"/>
    <xf numFmtId="4" fontId="8" fillId="0" borderId="0" xfId="0" applyNumberFormat="1" applyFont="1"/>
    <xf numFmtId="0" fontId="17" fillId="0" borderId="0" xfId="3" applyFont="1"/>
    <xf numFmtId="3" fontId="8" fillId="0" borderId="0" xfId="0" applyNumberFormat="1" applyFont="1" applyFill="1" applyBorder="1" applyAlignment="1" applyProtection="1">
      <alignment horizontal="right" wrapText="1"/>
    </xf>
    <xf numFmtId="3" fontId="7" fillId="0" borderId="0" xfId="0" applyNumberFormat="1" applyFont="1" applyBorder="1" applyAlignment="1">
      <alignment horizontal="right" vertical="center"/>
    </xf>
    <xf numFmtId="0" fontId="8" fillId="3" borderId="0" xfId="0" applyFont="1" applyFill="1"/>
    <xf numFmtId="0" fontId="7" fillId="2" borderId="0" xfId="0" applyFont="1" applyFill="1" applyAlignment="1">
      <alignment horizontal="left" vertical="top"/>
    </xf>
    <xf numFmtId="0" fontId="8" fillId="2" borderId="0" xfId="0" applyFont="1" applyFill="1" applyAlignment="1">
      <alignment horizontal="left" vertical="top"/>
    </xf>
    <xf numFmtId="0" fontId="8" fillId="2" borderId="0" xfId="0" applyFont="1" applyFill="1" applyAlignment="1">
      <alignment horizontal="left"/>
    </xf>
    <xf numFmtId="49" fontId="8" fillId="2" borderId="0" xfId="0" applyNumberFormat="1" applyFont="1" applyFill="1" applyAlignment="1">
      <alignment horizontal="left" wrapText="1"/>
    </xf>
    <xf numFmtId="0" fontId="8" fillId="2" borderId="0" xfId="0" applyFont="1" applyFill="1"/>
    <xf numFmtId="0" fontId="15" fillId="2" borderId="0" xfId="0" applyFont="1" applyFill="1"/>
    <xf numFmtId="0" fontId="0" fillId="2" borderId="0" xfId="0" applyFill="1"/>
    <xf numFmtId="0" fontId="8" fillId="2" borderId="0" xfId="6" applyFont="1" applyFill="1" applyAlignment="1">
      <alignment vertical="top"/>
    </xf>
    <xf numFmtId="49" fontId="8" fillId="2" borderId="2" xfId="0" applyNumberFormat="1" applyFont="1" applyFill="1" applyBorder="1" applyAlignment="1">
      <alignment horizontal="left" wrapText="1"/>
    </xf>
    <xf numFmtId="0" fontId="7" fillId="2" borderId="1" xfId="0" applyFont="1" applyFill="1" applyBorder="1" applyAlignment="1">
      <alignment horizontal="left" vertical="top"/>
    </xf>
    <xf numFmtId="0" fontId="8" fillId="2" borderId="1" xfId="0" applyFont="1" applyFill="1" applyBorder="1" applyAlignment="1">
      <alignment horizontal="left" vertical="top"/>
    </xf>
    <xf numFmtId="0" fontId="7" fillId="2" borderId="1" xfId="0" applyFont="1" applyFill="1" applyBorder="1"/>
    <xf numFmtId="0" fontId="7" fillId="2" borderId="1" xfId="0" applyFont="1" applyFill="1" applyBorder="1" applyAlignment="1">
      <alignment horizontal="right"/>
    </xf>
    <xf numFmtId="0" fontId="7" fillId="2" borderId="1" xfId="0" applyFont="1" applyFill="1" applyBorder="1" applyAlignment="1"/>
    <xf numFmtId="0" fontId="7" fillId="2" borderId="0" xfId="0" applyFont="1" applyFill="1"/>
    <xf numFmtId="3" fontId="7" fillId="2" borderId="0" xfId="0" applyNumberFormat="1" applyFont="1" applyFill="1"/>
    <xf numFmtId="3" fontId="7" fillId="2" borderId="0" xfId="0" applyNumberFormat="1" applyFont="1" applyFill="1" applyAlignment="1">
      <alignment horizontal="right" wrapText="1"/>
    </xf>
    <xf numFmtId="3" fontId="8" fillId="2" borderId="0" xfId="0" applyNumberFormat="1" applyFont="1" applyFill="1"/>
    <xf numFmtId="0" fontId="17" fillId="2" borderId="0" xfId="0" applyFont="1" applyFill="1"/>
    <xf numFmtId="3" fontId="8" fillId="2" borderId="0" xfId="0" applyNumberFormat="1" applyFont="1" applyFill="1" applyAlignment="1">
      <alignment horizontal="right" wrapText="1"/>
    </xf>
    <xf numFmtId="0" fontId="0" fillId="2" borderId="0" xfId="0" applyFont="1" applyFill="1"/>
    <xf numFmtId="0" fontId="26" fillId="2" borderId="0" xfId="0" applyFont="1" applyFill="1"/>
    <xf numFmtId="1" fontId="7" fillId="2" borderId="0" xfId="0" applyNumberFormat="1" applyFont="1" applyFill="1"/>
    <xf numFmtId="3" fontId="8" fillId="2" borderId="0" xfId="0" applyNumberFormat="1" applyFont="1" applyFill="1" applyAlignment="1">
      <alignment vertical="top"/>
    </xf>
    <xf numFmtId="3" fontId="8" fillId="2" borderId="0" xfId="0" applyNumberFormat="1" applyFont="1" applyFill="1" applyAlignment="1"/>
    <xf numFmtId="3" fontId="13" fillId="2" borderId="0" xfId="0" applyNumberFormat="1" applyFont="1" applyFill="1"/>
    <xf numFmtId="1" fontId="8" fillId="2" borderId="0" xfId="0" applyNumberFormat="1" applyFont="1" applyFill="1"/>
    <xf numFmtId="0" fontId="7" fillId="2" borderId="2" xfId="0" applyFont="1" applyFill="1" applyBorder="1"/>
    <xf numFmtId="3" fontId="7" fillId="2" borderId="2" xfId="0" applyNumberFormat="1" applyFont="1" applyFill="1" applyBorder="1"/>
    <xf numFmtId="0" fontId="9" fillId="2" borderId="0" xfId="10" applyFont="1" applyFill="1"/>
    <xf numFmtId="3" fontId="17" fillId="2" borderId="0" xfId="0" applyNumberFormat="1" applyFont="1" applyFill="1"/>
    <xf numFmtId="0" fontId="8" fillId="2" borderId="0" xfId="0" applyFont="1" applyFill="1" applyAlignment="1"/>
    <xf numFmtId="3" fontId="0" fillId="2" borderId="0" xfId="0" applyNumberFormat="1" applyFill="1"/>
    <xf numFmtId="0" fontId="6" fillId="2" borderId="0" xfId="6" applyFont="1" applyFill="1"/>
    <xf numFmtId="0" fontId="30" fillId="2" borderId="0" xfId="6" applyFont="1" applyFill="1"/>
    <xf numFmtId="0" fontId="19" fillId="2" borderId="0" xfId="6" applyFill="1"/>
    <xf numFmtId="0" fontId="8" fillId="2" borderId="0" xfId="6" applyFont="1" applyFill="1"/>
    <xf numFmtId="0" fontId="30" fillId="2" borderId="0" xfId="6" applyFont="1" applyFill="1" applyBorder="1"/>
    <xf numFmtId="0" fontId="15" fillId="2" borderId="0" xfId="6" applyFont="1" applyFill="1" applyBorder="1"/>
    <xf numFmtId="0" fontId="20" fillId="2" borderId="0" xfId="6" applyFont="1" applyFill="1"/>
    <xf numFmtId="0" fontId="19" fillId="2" borderId="2" xfId="6" applyFill="1" applyBorder="1"/>
    <xf numFmtId="0" fontId="7" fillId="2" borderId="1" xfId="6" applyFont="1" applyFill="1" applyBorder="1"/>
    <xf numFmtId="0" fontId="8" fillId="2" borderId="1" xfId="6" applyFont="1" applyFill="1" applyBorder="1"/>
    <xf numFmtId="0" fontId="19" fillId="2" borderId="0" xfId="6" applyFill="1" applyBorder="1"/>
    <xf numFmtId="0" fontId="8" fillId="2" borderId="0" xfId="6" applyFont="1" applyFill="1" applyBorder="1"/>
    <xf numFmtId="0" fontId="13" fillId="2" borderId="0" xfId="6" applyFont="1" applyFill="1" applyBorder="1"/>
    <xf numFmtId="3" fontId="8" fillId="2" borderId="0" xfId="6" applyNumberFormat="1" applyFont="1" applyFill="1" applyBorder="1"/>
    <xf numFmtId="170" fontId="8" fillId="2" borderId="0" xfId="6" applyNumberFormat="1" applyFont="1" applyFill="1" applyBorder="1"/>
    <xf numFmtId="168" fontId="8" fillId="2" borderId="0" xfId="6" applyNumberFormat="1" applyFont="1" applyFill="1" applyBorder="1"/>
    <xf numFmtId="0" fontId="13" fillId="2" borderId="2" xfId="6" applyFont="1" applyFill="1" applyBorder="1"/>
    <xf numFmtId="0" fontId="7" fillId="2" borderId="2" xfId="6" applyFont="1" applyFill="1" applyBorder="1"/>
    <xf numFmtId="3" fontId="7" fillId="2" borderId="2" xfId="6" applyNumberFormat="1" applyFont="1" applyFill="1" applyBorder="1"/>
    <xf numFmtId="168" fontId="7" fillId="2" borderId="2" xfId="6" applyNumberFormat="1" applyFont="1" applyFill="1" applyBorder="1"/>
    <xf numFmtId="170" fontId="7" fillId="2" borderId="2" xfId="6" applyNumberFormat="1" applyFont="1" applyFill="1" applyBorder="1"/>
    <xf numFmtId="0" fontId="7" fillId="2" borderId="1" xfId="6" applyNumberFormat="1" applyFont="1" applyFill="1" applyBorder="1" applyAlignment="1">
      <alignment horizontal="right"/>
    </xf>
    <xf numFmtId="0" fontId="35" fillId="2" borderId="0" xfId="6" applyFont="1" applyFill="1"/>
    <xf numFmtId="0" fontId="10" fillId="2" borderId="0" xfId="6" applyFont="1" applyFill="1"/>
    <xf numFmtId="0" fontId="10" fillId="2" borderId="0" xfId="6" applyNumberFormat="1" applyFont="1" applyFill="1" applyBorder="1"/>
    <xf numFmtId="1" fontId="11" fillId="2" borderId="0" xfId="6" applyNumberFormat="1" applyFont="1" applyFill="1" applyBorder="1" applyAlignment="1">
      <alignment horizontal="right"/>
    </xf>
    <xf numFmtId="0" fontId="11" fillId="2" borderId="0" xfId="6" applyFont="1" applyFill="1" applyBorder="1" applyAlignment="1">
      <alignment horizontal="right"/>
    </xf>
    <xf numFmtId="3" fontId="11" fillId="2" borderId="0" xfId="6" applyNumberFormat="1" applyFont="1" applyFill="1" applyBorder="1" applyAlignment="1">
      <alignment horizontal="right"/>
    </xf>
    <xf numFmtId="3" fontId="10" fillId="2" borderId="0" xfId="6" applyNumberFormat="1" applyFont="1" applyFill="1"/>
    <xf numFmtId="0" fontId="10" fillId="2" borderId="0" xfId="6" applyFont="1" applyFill="1" applyBorder="1"/>
    <xf numFmtId="3" fontId="10" fillId="2" borderId="0" xfId="6" applyNumberFormat="1" applyFont="1" applyFill="1" applyBorder="1"/>
    <xf numFmtId="0" fontId="11" fillId="2" borderId="0" xfId="6" quotePrefix="1" applyNumberFormat="1" applyFont="1" applyFill="1" applyBorder="1" applyAlignment="1">
      <alignment horizontal="left"/>
    </xf>
    <xf numFmtId="3" fontId="10" fillId="2" borderId="0" xfId="6" applyNumberFormat="1" applyFont="1" applyFill="1" applyBorder="1" applyAlignment="1">
      <alignment horizontal="right"/>
    </xf>
    <xf numFmtId="0" fontId="10" fillId="2" borderId="0" xfId="6" applyFont="1" applyFill="1" applyBorder="1" applyAlignment="1">
      <alignment horizontal="right"/>
    </xf>
    <xf numFmtId="176" fontId="10" fillId="2" borderId="0" xfId="6" applyNumberFormat="1" applyFont="1" applyFill="1" applyBorder="1"/>
    <xf numFmtId="3" fontId="8" fillId="2" borderId="0" xfId="6" applyNumberFormat="1" applyFont="1" applyFill="1"/>
    <xf numFmtId="0" fontId="10" fillId="2" borderId="0" xfId="6" quotePrefix="1" applyNumberFormat="1" applyFont="1" applyFill="1" applyBorder="1" applyAlignment="1">
      <alignment horizontal="left"/>
    </xf>
    <xf numFmtId="0" fontId="10" fillId="2" borderId="0" xfId="6" applyFont="1" applyFill="1" applyAlignment="1">
      <alignment horizontal="right"/>
    </xf>
    <xf numFmtId="3" fontId="10" fillId="2" borderId="0" xfId="6" applyNumberFormat="1" applyFont="1" applyFill="1" applyAlignment="1">
      <alignment horizontal="right"/>
    </xf>
    <xf numFmtId="0" fontId="10" fillId="2" borderId="0" xfId="6" applyNumberFormat="1" applyFont="1" applyFill="1" applyBorder="1" applyAlignment="1">
      <alignment horizontal="left"/>
    </xf>
    <xf numFmtId="176" fontId="10" fillId="2" borderId="0" xfId="6" applyNumberFormat="1" applyFont="1" applyFill="1" applyBorder="1" applyAlignment="1">
      <alignment horizontal="right"/>
    </xf>
    <xf numFmtId="0" fontId="10" fillId="2" borderId="0" xfId="6" applyNumberFormat="1" applyFont="1" applyFill="1" applyBorder="1" applyProtection="1">
      <protection locked="0"/>
    </xf>
    <xf numFmtId="168" fontId="10" fillId="2" borderId="0" xfId="6" applyNumberFormat="1" applyFont="1" applyFill="1" applyBorder="1"/>
    <xf numFmtId="168" fontId="10" fillId="2" borderId="0" xfId="6" applyNumberFormat="1" applyFont="1" applyFill="1" applyBorder="1" applyAlignment="1">
      <alignment horizontal="right"/>
    </xf>
    <xf numFmtId="0" fontId="11" fillId="2" borderId="0" xfId="6" applyFont="1" applyFill="1" applyBorder="1"/>
    <xf numFmtId="0" fontId="11" fillId="2" borderId="0" xfId="6" applyNumberFormat="1" applyFont="1" applyFill="1" applyBorder="1"/>
    <xf numFmtId="3" fontId="11" fillId="2" borderId="0" xfId="6" applyNumberFormat="1" applyFont="1" applyFill="1" applyBorder="1"/>
    <xf numFmtId="1" fontId="10" fillId="2" borderId="0" xfId="6" applyNumberFormat="1" applyFont="1" applyFill="1" applyBorder="1" applyAlignment="1">
      <alignment horizontal="right"/>
    </xf>
    <xf numFmtId="1" fontId="10" fillId="2" borderId="0" xfId="6" applyNumberFormat="1" applyFont="1" applyFill="1" applyBorder="1"/>
    <xf numFmtId="0" fontId="11" fillId="2" borderId="0" xfId="6" applyNumberFormat="1" applyFont="1" applyFill="1" applyBorder="1" applyAlignment="1">
      <alignment horizontal="left"/>
    </xf>
    <xf numFmtId="0" fontId="11" fillId="2" borderId="2" xfId="6" applyNumberFormat="1" applyFont="1" applyFill="1" applyBorder="1"/>
    <xf numFmtId="3" fontId="11" fillId="2" borderId="2" xfId="6" applyNumberFormat="1" applyFont="1" applyFill="1" applyBorder="1" applyAlignment="1">
      <alignment horizontal="right"/>
    </xf>
    <xf numFmtId="0" fontId="35" fillId="2" borderId="0" xfId="6" applyNumberFormat="1" applyFont="1" applyFill="1" applyBorder="1"/>
    <xf numFmtId="0" fontId="7" fillId="2" borderId="1" xfId="6" applyFont="1" applyFill="1" applyBorder="1" applyAlignment="1">
      <alignment horizontal="right"/>
    </xf>
    <xf numFmtId="3" fontId="11" fillId="2" borderId="0" xfId="6" quotePrefix="1" applyNumberFormat="1" applyFont="1" applyFill="1" applyBorder="1" applyAlignment="1">
      <alignment horizontal="right"/>
    </xf>
    <xf numFmtId="3" fontId="10" fillId="2" borderId="0" xfId="6" quotePrefix="1" applyNumberFormat="1" applyFont="1" applyFill="1" applyBorder="1" applyAlignment="1">
      <alignment horizontal="right"/>
    </xf>
    <xf numFmtId="0" fontId="13" fillId="2" borderId="0" xfId="0" applyFont="1" applyFill="1"/>
    <xf numFmtId="3" fontId="13" fillId="2" borderId="0" xfId="0" applyNumberFormat="1" applyFont="1" applyFill="1" applyAlignment="1">
      <alignment horizontal="right" wrapText="1"/>
    </xf>
    <xf numFmtId="0" fontId="10" fillId="2" borderId="0" xfId="0" applyFont="1" applyFill="1" applyAlignment="1">
      <alignment horizontal="right"/>
    </xf>
    <xf numFmtId="3" fontId="13" fillId="2" borderId="0" xfId="0" applyNumberFormat="1" applyFont="1" applyFill="1" applyAlignment="1">
      <alignment vertical="top"/>
    </xf>
    <xf numFmtId="0" fontId="8" fillId="2" borderId="0" xfId="0" applyFont="1" applyFill="1" applyAlignment="1">
      <alignment wrapText="1"/>
    </xf>
    <xf numFmtId="3" fontId="7" fillId="2" borderId="0" xfId="0" applyNumberFormat="1" applyFont="1" applyFill="1" applyAlignment="1"/>
    <xf numFmtId="0" fontId="14" fillId="2" borderId="0" xfId="6" applyFont="1" applyFill="1"/>
    <xf numFmtId="0" fontId="10" fillId="2" borderId="2" xfId="6" applyNumberFormat="1" applyFont="1" applyFill="1" applyBorder="1"/>
    <xf numFmtId="176" fontId="10" fillId="2" borderId="2" xfId="6" applyNumberFormat="1" applyFont="1" applyFill="1" applyBorder="1"/>
    <xf numFmtId="3" fontId="10" fillId="2" borderId="2" xfId="6" applyNumberFormat="1" applyFont="1" applyFill="1" applyBorder="1"/>
    <xf numFmtId="168" fontId="10" fillId="2" borderId="2" xfId="6" applyNumberFormat="1" applyFont="1" applyFill="1" applyBorder="1"/>
    <xf numFmtId="3" fontId="10" fillId="2" borderId="2" xfId="6" applyNumberFormat="1" applyFont="1" applyFill="1" applyBorder="1" applyAlignment="1">
      <alignment horizontal="right"/>
    </xf>
    <xf numFmtId="0" fontId="8" fillId="2" borderId="2" xfId="6" applyFont="1" applyFill="1" applyBorder="1"/>
    <xf numFmtId="3" fontId="8" fillId="2" borderId="2" xfId="6" applyNumberFormat="1" applyFont="1" applyFill="1" applyBorder="1"/>
    <xf numFmtId="0" fontId="19" fillId="2" borderId="1" xfId="6" applyFill="1" applyBorder="1"/>
    <xf numFmtId="0" fontId="8" fillId="2" borderId="0" xfId="6" applyFont="1" applyFill="1" applyAlignment="1">
      <alignment horizontal="right"/>
    </xf>
    <xf numFmtId="3" fontId="8" fillId="2" borderId="0" xfId="0" applyNumberFormat="1" applyFont="1" applyFill="1" applyAlignment="1">
      <alignment horizontal="right"/>
    </xf>
    <xf numFmtId="3" fontId="8" fillId="2" borderId="0" xfId="0" applyNumberFormat="1" applyFont="1" applyFill="1" applyAlignment="1">
      <alignment horizontal="right" vertical="center" wrapText="1"/>
    </xf>
    <xf numFmtId="0" fontId="8" fillId="2" borderId="0" xfId="0" applyFont="1" applyFill="1" applyAlignment="1">
      <alignment horizontal="justify" vertical="center" wrapText="1"/>
    </xf>
    <xf numFmtId="0" fontId="8" fillId="2" borderId="0" xfId="0" applyFont="1" applyFill="1" applyAlignment="1">
      <alignment horizontal="right" vertical="center" wrapText="1"/>
    </xf>
    <xf numFmtId="0" fontId="19" fillId="2" borderId="0" xfId="6" applyFill="1" applyAlignment="1">
      <alignment horizontal="right"/>
    </xf>
    <xf numFmtId="3" fontId="8" fillId="2" borderId="0" xfId="6" applyNumberFormat="1" applyFont="1" applyFill="1" applyAlignment="1">
      <alignment horizontal="right"/>
    </xf>
    <xf numFmtId="1" fontId="8" fillId="2" borderId="0" xfId="6" applyNumberFormat="1" applyFont="1" applyFill="1" applyAlignment="1"/>
    <xf numFmtId="1" fontId="8" fillId="2" borderId="0" xfId="6" applyNumberFormat="1" applyFont="1" applyFill="1" applyAlignment="1">
      <alignment horizontal="right"/>
    </xf>
    <xf numFmtId="0" fontId="26" fillId="2" borderId="2" xfId="6" applyFont="1" applyFill="1" applyBorder="1"/>
    <xf numFmtId="3" fontId="11" fillId="2" borderId="2" xfId="6" applyNumberFormat="1" applyFont="1" applyFill="1" applyBorder="1"/>
    <xf numFmtId="0" fontId="33" fillId="2" borderId="0" xfId="6" applyFont="1" applyFill="1"/>
    <xf numFmtId="0" fontId="32" fillId="2" borderId="0" xfId="6" applyFont="1" applyFill="1"/>
    <xf numFmtId="0" fontId="4" fillId="2" borderId="0" xfId="6" applyFont="1" applyFill="1"/>
    <xf numFmtId="4" fontId="4" fillId="2" borderId="0" xfId="6" applyNumberFormat="1" applyFont="1" applyFill="1"/>
    <xf numFmtId="0" fontId="32" fillId="2" borderId="0" xfId="6" applyFont="1" applyFill="1" applyBorder="1"/>
    <xf numFmtId="0" fontId="33" fillId="2" borderId="0" xfId="6" applyFont="1" applyFill="1" applyBorder="1"/>
    <xf numFmtId="0" fontId="4" fillId="2" borderId="0" xfId="6" applyFont="1" applyFill="1" applyBorder="1"/>
    <xf numFmtId="0" fontId="15" fillId="2" borderId="2" xfId="6" applyFont="1" applyFill="1" applyBorder="1"/>
    <xf numFmtId="4" fontId="15" fillId="2" borderId="0" xfId="6" applyNumberFormat="1" applyFont="1" applyFill="1"/>
    <xf numFmtId="0" fontId="7" fillId="2" borderId="0" xfId="6" applyFont="1" applyFill="1"/>
    <xf numFmtId="3" fontId="41" fillId="2" borderId="0" xfId="6" applyNumberFormat="1" applyFont="1" applyFill="1" applyBorder="1"/>
    <xf numFmtId="3" fontId="39" fillId="2" borderId="0" xfId="0" applyNumberFormat="1" applyFont="1" applyFill="1" applyAlignment="1"/>
    <xf numFmtId="176" fontId="41" fillId="2" borderId="0" xfId="6" applyNumberFormat="1" applyFont="1" applyFill="1" applyBorder="1" applyAlignment="1">
      <alignment horizontal="right"/>
    </xf>
    <xf numFmtId="3" fontId="38" fillId="2" borderId="0" xfId="0" applyNumberFormat="1" applyFont="1" applyFill="1" applyAlignment="1"/>
    <xf numFmtId="0" fontId="11" fillId="2" borderId="2" xfId="6" applyNumberFormat="1" applyFont="1" applyFill="1" applyBorder="1" applyAlignment="1">
      <alignment horizontal="left"/>
    </xf>
    <xf numFmtId="4" fontId="8" fillId="2" borderId="0" xfId="6" applyNumberFormat="1" applyFont="1" applyFill="1"/>
    <xf numFmtId="0" fontId="6" fillId="2" borderId="0" xfId="7" applyFont="1" applyFill="1" applyAlignment="1">
      <alignment horizontal="left"/>
    </xf>
    <xf numFmtId="0" fontId="8" fillId="2" borderId="0" xfId="7" applyFont="1" applyFill="1"/>
    <xf numFmtId="0" fontId="7" fillId="2" borderId="0" xfId="7" applyFont="1" applyFill="1"/>
    <xf numFmtId="0" fontId="8" fillId="2" borderId="0" xfId="7" applyFont="1" applyFill="1" applyAlignment="1">
      <alignment horizontal="left"/>
    </xf>
    <xf numFmtId="0" fontId="0" fillId="2" borderId="2" xfId="0" applyFill="1" applyBorder="1"/>
    <xf numFmtId="0" fontId="7" fillId="2" borderId="1" xfId="7" applyFont="1" applyFill="1" applyBorder="1" applyAlignment="1">
      <alignment horizontal="left" vertical="center"/>
    </xf>
    <xf numFmtId="0" fontId="7" fillId="2" borderId="1" xfId="7" applyFont="1" applyFill="1" applyBorder="1" applyAlignment="1">
      <alignment vertical="center"/>
    </xf>
    <xf numFmtId="0" fontId="7" fillId="2" borderId="1" xfId="7" applyFont="1" applyFill="1" applyBorder="1"/>
    <xf numFmtId="0" fontId="7" fillId="2" borderId="0" xfId="7" applyFont="1" applyFill="1" applyAlignment="1">
      <alignment horizontal="left"/>
    </xf>
    <xf numFmtId="1" fontId="13" fillId="2" borderId="0" xfId="7" applyNumberFormat="1" applyFont="1" applyFill="1" applyAlignment="1">
      <alignment horizontal="left"/>
    </xf>
    <xf numFmtId="3" fontId="8" fillId="2" borderId="0" xfId="7" applyNumberFormat="1" applyFont="1" applyFill="1" applyAlignment="1"/>
    <xf numFmtId="168" fontId="8" fillId="2" borderId="0" xfId="7" applyNumberFormat="1" applyFont="1" applyFill="1" applyAlignment="1"/>
    <xf numFmtId="3" fontId="8" fillId="2" borderId="0" xfId="0" applyNumberFormat="1" applyFont="1" applyFill="1" applyAlignment="1">
      <alignment wrapText="1"/>
    </xf>
    <xf numFmtId="3" fontId="8" fillId="2" borderId="0" xfId="0" applyNumberFormat="1" applyFont="1" applyFill="1" applyBorder="1" applyAlignment="1"/>
    <xf numFmtId="3" fontId="8" fillId="2" borderId="0" xfId="0" applyNumberFormat="1" applyFont="1" applyFill="1" applyBorder="1" applyAlignment="1">
      <alignment horizontal="right"/>
    </xf>
    <xf numFmtId="0" fontId="8" fillId="2" borderId="0" xfId="7" applyFont="1" applyFill="1" applyAlignment="1">
      <alignment vertical="top" wrapText="1"/>
    </xf>
    <xf numFmtId="0" fontId="8" fillId="2" borderId="0" xfId="0" applyFont="1" applyFill="1" applyAlignment="1">
      <alignment vertical="top" wrapText="1"/>
    </xf>
    <xf numFmtId="0" fontId="0" fillId="2" borderId="0" xfId="0" applyNumberFormat="1" applyFill="1"/>
    <xf numFmtId="3" fontId="7" fillId="2" borderId="0" xfId="7" applyNumberFormat="1" applyFont="1" applyFill="1"/>
    <xf numFmtId="168" fontId="7" fillId="2" borderId="0" xfId="7" applyNumberFormat="1" applyFont="1" applyFill="1"/>
    <xf numFmtId="3" fontId="7" fillId="2" borderId="0" xfId="0" applyNumberFormat="1" applyFont="1" applyFill="1" applyBorder="1" applyAlignment="1">
      <alignment wrapText="1"/>
    </xf>
    <xf numFmtId="3" fontId="7" fillId="2" borderId="0" xfId="0" applyNumberFormat="1" applyFont="1" applyFill="1" applyBorder="1" applyAlignment="1">
      <alignment horizontal="right"/>
    </xf>
    <xf numFmtId="3" fontId="8" fillId="2" borderId="0" xfId="7" applyNumberFormat="1" applyFont="1" applyFill="1"/>
    <xf numFmtId="168" fontId="7" fillId="2" borderId="0" xfId="7" applyNumberFormat="1" applyFont="1" applyFill="1" applyAlignment="1">
      <alignment horizontal="right"/>
    </xf>
    <xf numFmtId="0" fontId="0" fillId="2" borderId="0" xfId="0" applyFill="1" applyAlignment="1"/>
    <xf numFmtId="0" fontId="15" fillId="2" borderId="0" xfId="0" applyFont="1" applyFill="1" applyBorder="1" applyAlignment="1"/>
    <xf numFmtId="168" fontId="7" fillId="2" borderId="0" xfId="0" applyNumberFormat="1" applyFont="1" applyFill="1"/>
    <xf numFmtId="0" fontId="13" fillId="2" borderId="0" xfId="7" applyFont="1" applyFill="1" applyAlignment="1">
      <alignment horizontal="left"/>
    </xf>
    <xf numFmtId="3" fontId="8" fillId="2" borderId="0" xfId="0" applyNumberFormat="1" applyFont="1" applyFill="1" applyBorder="1"/>
    <xf numFmtId="3" fontId="8" fillId="2" borderId="0" xfId="7" applyNumberFormat="1" applyFont="1" applyFill="1" applyAlignment="1">
      <alignment horizontal="center"/>
    </xf>
    <xf numFmtId="3" fontId="8" fillId="2" borderId="0" xfId="0" applyNumberFormat="1" applyFont="1" applyFill="1" applyBorder="1" applyAlignment="1">
      <alignment vertical="top"/>
    </xf>
    <xf numFmtId="0" fontId="7" fillId="2" borderId="2" xfId="7" applyFont="1" applyFill="1" applyBorder="1" applyAlignment="1">
      <alignment horizontal="left"/>
    </xf>
    <xf numFmtId="0" fontId="7" fillId="2" borderId="2" xfId="7" applyFont="1" applyFill="1" applyBorder="1" applyAlignment="1">
      <alignment vertical="center"/>
    </xf>
    <xf numFmtId="3" fontId="7" fillId="2" borderId="2" xfId="7" applyNumberFormat="1" applyFont="1" applyFill="1" applyBorder="1" applyAlignment="1">
      <alignment vertical="center"/>
    </xf>
    <xf numFmtId="0" fontId="9" fillId="2" borderId="0" xfId="5" applyFont="1" applyFill="1" applyAlignment="1">
      <alignment horizontal="left"/>
    </xf>
    <xf numFmtId="0" fontId="7" fillId="2" borderId="0" xfId="7" applyFont="1" applyFill="1" applyBorder="1"/>
    <xf numFmtId="3" fontId="7" fillId="2" borderId="0" xfId="7" applyNumberFormat="1" applyFont="1" applyFill="1" applyBorder="1"/>
    <xf numFmtId="49" fontId="25" fillId="2" borderId="0" xfId="7" applyNumberFormat="1" applyFont="1" applyFill="1" applyAlignment="1">
      <alignment horizontal="left"/>
    </xf>
    <xf numFmtId="49" fontId="8" fillId="2" borderId="0" xfId="7" applyNumberFormat="1" applyFont="1" applyFill="1"/>
    <xf numFmtId="49" fontId="7" fillId="2" borderId="0" xfId="7" applyNumberFormat="1" applyFont="1" applyFill="1"/>
    <xf numFmtId="0" fontId="14" fillId="2" borderId="0" xfId="0" applyFont="1" applyFill="1"/>
    <xf numFmtId="49" fontId="9" fillId="2" borderId="0" xfId="7" applyNumberFormat="1" applyFont="1" applyFill="1" applyAlignment="1">
      <alignment horizontal="left"/>
    </xf>
    <xf numFmtId="49" fontId="8" fillId="2" borderId="0" xfId="5" applyNumberFormat="1" applyFont="1" applyFill="1"/>
    <xf numFmtId="0" fontId="8" fillId="2" borderId="0" xfId="5" applyFont="1" applyFill="1"/>
    <xf numFmtId="0" fontId="6" fillId="0" borderId="0" xfId="8" applyFont="1"/>
    <xf numFmtId="0" fontId="17" fillId="0" borderId="0" xfId="8"/>
    <xf numFmtId="0" fontId="8" fillId="0" borderId="0" xfId="8" applyFont="1"/>
    <xf numFmtId="0" fontId="8" fillId="0" borderId="2" xfId="8" applyFont="1" applyBorder="1"/>
    <xf numFmtId="0" fontId="8" fillId="0" borderId="2" xfId="8" applyFont="1" applyBorder="1" applyAlignment="1">
      <alignment horizontal="right"/>
    </xf>
    <xf numFmtId="0" fontId="8" fillId="0" borderId="2" xfId="8" applyFont="1" applyBorder="1" applyAlignment="1">
      <alignment horizontal="center"/>
    </xf>
    <xf numFmtId="0" fontId="17" fillId="0" borderId="2" xfId="8" applyBorder="1"/>
    <xf numFmtId="0" fontId="8" fillId="0" borderId="1" xfId="8" applyFont="1" applyBorder="1"/>
    <xf numFmtId="0" fontId="7" fillId="0" borderId="1" xfId="8" applyFont="1" applyBorder="1"/>
    <xf numFmtId="0" fontId="7" fillId="0" borderId="1" xfId="8" applyFont="1" applyBorder="1" applyAlignment="1">
      <alignment horizontal="right"/>
    </xf>
    <xf numFmtId="3" fontId="8" fillId="0" borderId="0" xfId="8" applyNumberFormat="1" applyFont="1"/>
    <xf numFmtId="171" fontId="8" fillId="0" borderId="0" xfId="8" applyNumberFormat="1" applyFont="1"/>
    <xf numFmtId="0" fontId="8" fillId="0" borderId="4" xfId="8" applyFont="1" applyBorder="1"/>
    <xf numFmtId="3" fontId="8" fillId="0" borderId="4" xfId="8" applyNumberFormat="1" applyFont="1" applyBorder="1"/>
    <xf numFmtId="0" fontId="7" fillId="0" borderId="0" xfId="8" applyFont="1"/>
    <xf numFmtId="3" fontId="7" fillId="0" borderId="0" xfId="8" applyNumberFormat="1" applyFont="1"/>
    <xf numFmtId="0" fontId="7" fillId="0" borderId="2" xfId="8" applyFont="1" applyBorder="1"/>
    <xf numFmtId="3" fontId="7" fillId="0" borderId="2" xfId="8" applyNumberFormat="1" applyFont="1" applyBorder="1"/>
    <xf numFmtId="0" fontId="9" fillId="0" borderId="0" xfId="11" applyFont="1"/>
    <xf numFmtId="0" fontId="6" fillId="0" borderId="0" xfId="11" applyFont="1"/>
    <xf numFmtId="0" fontId="8" fillId="0" borderId="0" xfId="11" applyFont="1"/>
    <xf numFmtId="0" fontId="8" fillId="0" borderId="3" xfId="11" applyFont="1" applyBorder="1" applyAlignment="1">
      <alignment horizontal="left"/>
    </xf>
    <xf numFmtId="0" fontId="7" fillId="0" borderId="2" xfId="11" applyFont="1" applyBorder="1" applyAlignment="1">
      <alignment horizontal="left"/>
    </xf>
    <xf numFmtId="0" fontId="8" fillId="0" borderId="0" xfId="11" applyFont="1" applyAlignment="1">
      <alignment horizontal="right"/>
    </xf>
    <xf numFmtId="0" fontId="7" fillId="0" borderId="0" xfId="11" applyFont="1" applyAlignment="1">
      <alignment horizontal="left"/>
    </xf>
    <xf numFmtId="3" fontId="8" fillId="0" borderId="0" xfId="11" applyNumberFormat="1" applyFont="1"/>
    <xf numFmtId="0" fontId="7" fillId="0" borderId="0" xfId="11" applyFont="1" applyBorder="1" applyAlignment="1">
      <alignment horizontal="left"/>
    </xf>
    <xf numFmtId="3" fontId="8" fillId="0" borderId="0" xfId="11" applyNumberFormat="1" applyFont="1" applyBorder="1"/>
    <xf numFmtId="3" fontId="8" fillId="0" borderId="2" xfId="11" applyNumberFormat="1" applyFont="1" applyBorder="1"/>
    <xf numFmtId="0" fontId="25" fillId="0" borderId="0" xfId="11" applyFont="1"/>
    <xf numFmtId="3" fontId="24" fillId="0" borderId="5" xfId="9" applyNumberFormat="1" applyFont="1" applyFill="1" applyBorder="1" applyAlignment="1"/>
    <xf numFmtId="0" fontId="6" fillId="0" borderId="0" xfId="4" applyFont="1"/>
    <xf numFmtId="0" fontId="8" fillId="0" borderId="0" xfId="4" applyFont="1"/>
    <xf numFmtId="0" fontId="8" fillId="0" borderId="2" xfId="4" applyFont="1" applyBorder="1"/>
    <xf numFmtId="0" fontId="7" fillId="0" borderId="1" xfId="4" applyFont="1" applyBorder="1"/>
    <xf numFmtId="0" fontId="13" fillId="0" borderId="0" xfId="4" applyFont="1"/>
    <xf numFmtId="3" fontId="8" fillId="0" borderId="0" xfId="4" applyNumberFormat="1" applyFont="1"/>
    <xf numFmtId="3" fontId="8" fillId="0" borderId="0" xfId="4" applyNumberFormat="1" applyFont="1" applyBorder="1"/>
    <xf numFmtId="170" fontId="8" fillId="0" borderId="0" xfId="0" applyNumberFormat="1" applyFont="1" applyBorder="1"/>
    <xf numFmtId="0" fontId="8" fillId="0" borderId="4" xfId="4" applyFont="1" applyBorder="1"/>
    <xf numFmtId="3" fontId="8" fillId="0" borderId="4" xfId="4" applyNumberFormat="1" applyFont="1" applyBorder="1"/>
    <xf numFmtId="0" fontId="7" fillId="0" borderId="0" xfId="4" applyFont="1"/>
    <xf numFmtId="3" fontId="7" fillId="0" borderId="0" xfId="4" applyNumberFormat="1" applyFont="1"/>
    <xf numFmtId="3" fontId="8" fillId="0" borderId="2" xfId="4" applyNumberFormat="1" applyFont="1" applyBorder="1"/>
    <xf numFmtId="0" fontId="7" fillId="0" borderId="2" xfId="4" applyFont="1" applyBorder="1" applyAlignment="1">
      <alignment vertical="center"/>
    </xf>
    <xf numFmtId="3" fontId="7" fillId="0" borderId="2" xfId="4" applyNumberFormat="1" applyFont="1" applyBorder="1" applyAlignment="1">
      <alignment vertical="center"/>
    </xf>
    <xf numFmtId="3" fontId="7" fillId="0" borderId="1" xfId="4" applyNumberFormat="1" applyFont="1" applyBorder="1" applyAlignment="1">
      <alignment vertical="center"/>
    </xf>
    <xf numFmtId="3" fontId="7" fillId="0" borderId="0" xfId="4" applyNumberFormat="1" applyFont="1" applyBorder="1" applyAlignment="1">
      <alignment vertical="center"/>
    </xf>
    <xf numFmtId="0" fontId="8" fillId="0" borderId="0" xfId="4" applyFont="1" applyBorder="1"/>
    <xf numFmtId="3" fontId="42" fillId="0" borderId="0" xfId="0" applyNumberFormat="1" applyFont="1"/>
    <xf numFmtId="0" fontId="42" fillId="0" borderId="0" xfId="0" applyFont="1"/>
    <xf numFmtId="0" fontId="43" fillId="0" borderId="0" xfId="0" applyFont="1"/>
    <xf numFmtId="3" fontId="43" fillId="0" borderId="0" xfId="0" applyNumberFormat="1" applyFont="1"/>
    <xf numFmtId="0" fontId="8" fillId="0" borderId="0" xfId="7" applyFont="1"/>
    <xf numFmtId="173" fontId="8" fillId="0" borderId="0" xfId="7" applyNumberFormat="1" applyFont="1" applyFill="1"/>
    <xf numFmtId="3" fontId="7" fillId="3" borderId="0" xfId="0" applyNumberFormat="1" applyFont="1" applyFill="1"/>
    <xf numFmtId="0" fontId="7" fillId="0" borderId="2" xfId="0" applyFont="1" applyBorder="1" applyAlignment="1"/>
    <xf numFmtId="0" fontId="10" fillId="0" borderId="0" xfId="0" applyFont="1" applyFill="1" applyBorder="1"/>
    <xf numFmtId="0" fontId="8" fillId="0" borderId="3" xfId="0" applyFont="1" applyBorder="1" applyAlignment="1">
      <alignment horizontal="left"/>
    </xf>
    <xf numFmtId="0" fontId="8" fillId="0" borderId="3" xfId="0" applyFont="1" applyBorder="1"/>
    <xf numFmtId="0" fontId="8" fillId="0" borderId="3" xfId="0" applyFont="1" applyBorder="1" applyAlignment="1">
      <alignment horizontal="left" vertical="top" wrapText="1"/>
    </xf>
    <xf numFmtId="0" fontId="7" fillId="0" borderId="3" xfId="0" applyFont="1" applyBorder="1" applyAlignment="1">
      <alignment horizontal="left" vertical="top" wrapText="1"/>
    </xf>
    <xf numFmtId="3" fontId="7" fillId="0" borderId="2" xfId="0" applyNumberFormat="1" applyFont="1" applyBorder="1" applyAlignment="1"/>
    <xf numFmtId="0" fontId="7" fillId="0" borderId="3" xfId="11" applyFont="1" applyBorder="1" applyAlignment="1">
      <alignment horizontal="left"/>
    </xf>
    <xf numFmtId="0" fontId="45" fillId="0" borderId="0" xfId="14" applyFont="1"/>
    <xf numFmtId="3" fontId="7" fillId="0" borderId="2" xfId="14" applyNumberFormat="1" applyFont="1" applyBorder="1"/>
    <xf numFmtId="3" fontId="8" fillId="0" borderId="0" xfId="14" applyNumberFormat="1" applyFont="1"/>
    <xf numFmtId="3" fontId="7" fillId="0" borderId="0" xfId="14" applyNumberFormat="1" applyFont="1"/>
    <xf numFmtId="3" fontId="8" fillId="0" borderId="4" xfId="14" applyNumberFormat="1" applyFont="1" applyBorder="1"/>
    <xf numFmtId="0" fontId="8" fillId="0" borderId="0" xfId="0" applyFont="1" applyFill="1"/>
    <xf numFmtId="0" fontId="0" fillId="0" borderId="0" xfId="0" applyAlignment="1">
      <alignment horizontal="right"/>
    </xf>
    <xf numFmtId="171" fontId="8" fillId="0" borderId="0" xfId="7" applyNumberFormat="1" applyFont="1"/>
    <xf numFmtId="180" fontId="7" fillId="0" borderId="0" xfId="0" applyNumberFormat="1" applyFont="1" applyBorder="1" applyAlignment="1">
      <alignment horizontal="left" vertical="top"/>
    </xf>
    <xf numFmtId="0" fontId="7" fillId="0" borderId="0" xfId="0" applyFont="1" applyBorder="1" applyAlignment="1">
      <alignment vertical="top" wrapText="1"/>
    </xf>
    <xf numFmtId="3" fontId="7" fillId="0" borderId="0" xfId="0" applyNumberFormat="1" applyFont="1" applyBorder="1" applyAlignment="1">
      <alignment horizontal="right" vertical="top"/>
    </xf>
    <xf numFmtId="180" fontId="13" fillId="0" borderId="0" xfId="0" applyNumberFormat="1" applyFont="1" applyBorder="1" applyAlignment="1">
      <alignment horizontal="left" vertical="top"/>
    </xf>
    <xf numFmtId="0" fontId="13" fillId="0" borderId="0" xfId="0" applyFont="1" applyBorder="1" applyAlignment="1">
      <alignment vertical="top" wrapText="1"/>
    </xf>
    <xf numFmtId="3" fontId="13" fillId="0" borderId="0" xfId="0" applyNumberFormat="1" applyFont="1" applyBorder="1" applyAlignment="1">
      <alignment horizontal="right" vertical="top"/>
    </xf>
    <xf numFmtId="180" fontId="8" fillId="0" borderId="0" xfId="0" applyNumberFormat="1" applyFont="1" applyBorder="1" applyAlignment="1">
      <alignment horizontal="left" vertical="top"/>
    </xf>
    <xf numFmtId="3" fontId="8" fillId="0" borderId="0" xfId="0" applyNumberFormat="1" applyFont="1" applyBorder="1" applyAlignment="1">
      <alignment horizontal="right" vertical="top"/>
    </xf>
    <xf numFmtId="3" fontId="7" fillId="0" borderId="0" xfId="0" applyNumberFormat="1" applyFont="1" applyBorder="1" applyAlignment="1">
      <alignment horizontal="right"/>
    </xf>
    <xf numFmtId="0" fontId="9" fillId="2" borderId="0" xfId="11" applyFont="1" applyFill="1"/>
    <xf numFmtId="0" fontId="17" fillId="2" borderId="0" xfId="6" applyFont="1" applyFill="1" applyAlignment="1">
      <alignment horizontal="right" vertical="top"/>
    </xf>
    <xf numFmtId="0" fontId="31" fillId="2" borderId="0" xfId="6" applyFont="1" applyFill="1"/>
    <xf numFmtId="168" fontId="11" fillId="2" borderId="0" xfId="6" applyNumberFormat="1" applyFont="1" applyFill="1" applyBorder="1" applyAlignment="1">
      <alignment horizontal="right"/>
    </xf>
    <xf numFmtId="3" fontId="18" fillId="2" borderId="0" xfId="6" applyNumberFormat="1" applyFont="1" applyFill="1" applyAlignment="1">
      <alignment horizontal="right"/>
    </xf>
    <xf numFmtId="0" fontId="36" fillId="2" borderId="0" xfId="6" applyFont="1" applyFill="1"/>
    <xf numFmtId="9" fontId="8" fillId="0" borderId="0" xfId="0" applyNumberFormat="1" applyFont="1" applyBorder="1"/>
    <xf numFmtId="49" fontId="8" fillId="0" borderId="0" xfId="0" applyNumberFormat="1" applyFont="1" applyAlignment="1">
      <alignment wrapText="1"/>
    </xf>
    <xf numFmtId="49" fontId="7" fillId="0" borderId="0" xfId="0" applyNumberFormat="1" applyFont="1" applyAlignment="1">
      <alignment wrapText="1"/>
    </xf>
    <xf numFmtId="0" fontId="48" fillId="0" borderId="0" xfId="14" applyFont="1"/>
    <xf numFmtId="0" fontId="7" fillId="0" borderId="3" xfId="0" applyFont="1" applyBorder="1"/>
    <xf numFmtId="0" fontId="7" fillId="0" borderId="3" xfId="0" applyFont="1" applyBorder="1" applyAlignment="1">
      <alignment horizontal="left"/>
    </xf>
    <xf numFmtId="0" fontId="7" fillId="0" borderId="2" xfId="0" applyFont="1" applyBorder="1" applyAlignment="1">
      <alignment horizontal="left"/>
    </xf>
    <xf numFmtId="3" fontId="0" fillId="0" borderId="0" xfId="0" applyNumberFormat="1" applyBorder="1"/>
    <xf numFmtId="1" fontId="8" fillId="0" borderId="0" xfId="0" applyNumberFormat="1" applyFont="1" applyAlignment="1">
      <alignment horizontal="right"/>
    </xf>
    <xf numFmtId="0" fontId="8" fillId="0" borderId="2" xfId="0" applyFont="1" applyBorder="1" applyAlignment="1">
      <alignment vertical="center"/>
    </xf>
    <xf numFmtId="171" fontId="8" fillId="0" borderId="2" xfId="16" applyNumberFormat="1" applyFont="1" applyBorder="1" applyAlignment="1">
      <alignment vertical="center"/>
    </xf>
    <xf numFmtId="0" fontId="8" fillId="0" borderId="2" xfId="16" applyNumberFormat="1" applyFont="1" applyBorder="1" applyAlignment="1">
      <alignment vertical="center"/>
    </xf>
    <xf numFmtId="1" fontId="8" fillId="0" borderId="2" xfId="0" applyNumberFormat="1" applyFont="1" applyBorder="1" applyAlignment="1">
      <alignment vertical="center"/>
    </xf>
    <xf numFmtId="171" fontId="8" fillId="0" borderId="2" xfId="0" applyNumberFormat="1" applyFont="1" applyBorder="1" applyAlignment="1">
      <alignment vertical="center"/>
    </xf>
    <xf numFmtId="2" fontId="0" fillId="0" borderId="0" xfId="0" applyNumberFormat="1" applyBorder="1"/>
    <xf numFmtId="0" fontId="13" fillId="0" borderId="4" xfId="0" applyNumberFormat="1" applyFont="1" applyBorder="1"/>
    <xf numFmtId="0" fontId="8" fillId="0" borderId="4" xfId="0" applyFont="1" applyBorder="1"/>
    <xf numFmtId="3" fontId="8" fillId="0" borderId="4" xfId="0" applyNumberFormat="1" applyFont="1" applyBorder="1"/>
    <xf numFmtId="3" fontId="7" fillId="0" borderId="4" xfId="0" applyNumberFormat="1" applyFont="1" applyBorder="1"/>
    <xf numFmtId="0" fontId="8" fillId="0" borderId="3" xfId="0" applyFont="1" applyBorder="1" applyAlignment="1">
      <alignment horizontal="right"/>
    </xf>
    <xf numFmtId="0" fontId="8" fillId="0" borderId="0" xfId="0" applyFont="1" applyBorder="1" applyAlignment="1">
      <alignment horizontal="right"/>
    </xf>
    <xf numFmtId="0" fontId="7" fillId="0" borderId="0" xfId="0" applyFont="1" applyBorder="1" applyAlignment="1">
      <alignment horizontal="right"/>
    </xf>
    <xf numFmtId="0" fontId="7" fillId="0" borderId="0" xfId="0" applyFont="1" applyBorder="1" applyAlignment="1">
      <alignment horizontal="left" wrapText="1"/>
    </xf>
    <xf numFmtId="171" fontId="8" fillId="0" borderId="2" xfId="0" applyNumberFormat="1" applyFont="1" applyBorder="1"/>
    <xf numFmtId="3" fontId="8" fillId="0" borderId="0" xfId="0" applyNumberFormat="1" applyFont="1" applyAlignment="1">
      <alignment wrapText="1"/>
    </xf>
    <xf numFmtId="3" fontId="8" fillId="0" borderId="0" xfId="0" applyNumberFormat="1" applyFont="1" applyAlignment="1">
      <alignment horizontal="right" wrapText="1"/>
    </xf>
    <xf numFmtId="3" fontId="8" fillId="0" borderId="0" xfId="0" applyNumberFormat="1" applyFont="1" applyAlignment="1">
      <alignment vertical="top" wrapText="1"/>
    </xf>
    <xf numFmtId="3" fontId="7" fillId="0" borderId="0" xfId="0" applyNumberFormat="1" applyFont="1" applyAlignment="1">
      <alignment vertical="top"/>
    </xf>
    <xf numFmtId="173" fontId="8" fillId="0" borderId="0" xfId="0" applyNumberFormat="1" applyFont="1" applyAlignment="1">
      <alignment vertical="top"/>
    </xf>
    <xf numFmtId="0" fontId="8" fillId="0" borderId="2" xfId="0" applyFont="1" applyFill="1" applyBorder="1" applyAlignment="1">
      <alignment horizontal="left"/>
    </xf>
    <xf numFmtId="0" fontId="7" fillId="0" borderId="2" xfId="0" applyFont="1" applyFill="1" applyBorder="1"/>
    <xf numFmtId="0" fontId="8" fillId="0" borderId="0" xfId="0" applyFont="1" applyFill="1" applyBorder="1" applyAlignment="1">
      <alignment horizontal="left"/>
    </xf>
    <xf numFmtId="0" fontId="7" fillId="0" borderId="0" xfId="0" applyFont="1" applyFill="1" applyBorder="1"/>
    <xf numFmtId="0" fontId="8" fillId="0" borderId="0" xfId="0" applyNumberFormat="1" applyFont="1" applyFill="1" applyBorder="1" applyAlignment="1" applyProtection="1">
      <alignment horizontal="left" wrapText="1"/>
    </xf>
    <xf numFmtId="3" fontId="7" fillId="0" borderId="0" xfId="0" applyNumberFormat="1" applyFont="1" applyAlignment="1"/>
    <xf numFmtId="171" fontId="8" fillId="0" borderId="0" xfId="0" applyNumberFormat="1" applyFont="1" applyBorder="1" applyAlignment="1">
      <alignment horizontal="right"/>
    </xf>
    <xf numFmtId="3" fontId="8" fillId="0" borderId="0" xfId="0" applyNumberFormat="1" applyFont="1" applyFill="1" applyBorder="1" applyAlignment="1" applyProtection="1">
      <alignment horizontal="right" vertical="top" wrapText="1"/>
    </xf>
    <xf numFmtId="171" fontId="8" fillId="0" borderId="0" xfId="0" applyNumberFormat="1" applyFont="1" applyBorder="1" applyAlignment="1">
      <alignment horizontal="right" vertical="top"/>
    </xf>
    <xf numFmtId="3" fontId="7" fillId="0" borderId="0" xfId="0" applyNumberFormat="1" applyFont="1" applyFill="1" applyBorder="1" applyAlignment="1" applyProtection="1">
      <alignment horizontal="right" wrapText="1"/>
    </xf>
    <xf numFmtId="0" fontId="7" fillId="0" borderId="2" xfId="0" applyNumberFormat="1" applyFont="1" applyFill="1" applyBorder="1" applyAlignment="1" applyProtection="1">
      <alignment horizontal="left" wrapText="1"/>
    </xf>
    <xf numFmtId="0" fontId="8" fillId="0" borderId="2" xfId="0" applyNumberFormat="1" applyFont="1" applyFill="1" applyBorder="1" applyAlignment="1" applyProtection="1">
      <alignment horizontal="left" wrapText="1"/>
    </xf>
    <xf numFmtId="173" fontId="8" fillId="0" borderId="2" xfId="0" applyNumberFormat="1" applyFont="1" applyFill="1" applyBorder="1" applyAlignment="1" applyProtection="1">
      <alignment horizontal="right" wrapText="1"/>
    </xf>
    <xf numFmtId="171" fontId="8" fillId="0" borderId="2" xfId="0" applyNumberFormat="1" applyFont="1" applyBorder="1" applyAlignment="1"/>
    <xf numFmtId="171" fontId="8" fillId="0" borderId="2" xfId="0" applyNumberFormat="1" applyFont="1" applyBorder="1" applyAlignment="1">
      <alignment horizontal="right"/>
    </xf>
    <xf numFmtId="3" fontId="7" fillId="0" borderId="0" xfId="0" applyNumberFormat="1" applyFont="1" applyFill="1" applyBorder="1" applyAlignment="1" applyProtection="1">
      <alignment horizontal="right" vertical="center" wrapText="1"/>
    </xf>
    <xf numFmtId="0" fontId="8" fillId="4" borderId="3" xfId="0" applyFont="1" applyFill="1" applyBorder="1" applyAlignment="1"/>
    <xf numFmtId="0" fontId="7" fillId="4" borderId="3" xfId="0" applyFont="1" applyFill="1" applyBorder="1" applyAlignment="1">
      <alignment horizontal="left"/>
    </xf>
    <xf numFmtId="0" fontId="8" fillId="4" borderId="3" xfId="0" applyFont="1" applyFill="1" applyBorder="1" applyAlignment="1">
      <alignment horizontal="left"/>
    </xf>
    <xf numFmtId="0" fontId="8" fillId="4" borderId="2" xfId="0" applyFont="1" applyFill="1" applyBorder="1" applyAlignment="1"/>
    <xf numFmtId="0" fontId="7" fillId="4" borderId="2" xfId="0" applyFont="1" applyFill="1" applyBorder="1" applyAlignment="1">
      <alignment horizontal="right"/>
    </xf>
    <xf numFmtId="0" fontId="8" fillId="4" borderId="2" xfId="0" applyFont="1" applyFill="1" applyBorder="1" applyAlignment="1">
      <alignment horizontal="right"/>
    </xf>
    <xf numFmtId="3" fontId="8" fillId="0" borderId="0" xfId="0" applyNumberFormat="1" applyFont="1" applyFill="1" applyAlignment="1">
      <alignment wrapText="1"/>
    </xf>
    <xf numFmtId="3" fontId="7" fillId="0" borderId="0" xfId="0" applyNumberFormat="1" applyFont="1" applyFill="1" applyAlignment="1">
      <alignment wrapText="1"/>
    </xf>
    <xf numFmtId="3" fontId="8" fillId="0" borderId="0" xfId="0" applyNumberFormat="1" applyFont="1" applyFill="1" applyAlignment="1">
      <alignment vertical="top" wrapText="1"/>
    </xf>
    <xf numFmtId="3" fontId="7" fillId="0" borderId="0" xfId="0" applyNumberFormat="1" applyFont="1" applyFill="1" applyAlignment="1">
      <alignment vertical="top" wrapText="1"/>
    </xf>
    <xf numFmtId="1" fontId="8" fillId="0" borderId="0" xfId="0" applyNumberFormat="1" applyFont="1" applyBorder="1" applyAlignment="1">
      <alignment horizontal="right"/>
    </xf>
    <xf numFmtId="3" fontId="7" fillId="0" borderId="2" xfId="0" applyNumberFormat="1" applyFont="1" applyFill="1" applyBorder="1" applyAlignment="1" applyProtection="1">
      <alignment horizontal="right" wrapText="1"/>
    </xf>
    <xf numFmtId="0" fontId="0" fillId="0" borderId="0" xfId="0" applyFill="1"/>
    <xf numFmtId="0" fontId="8" fillId="4" borderId="2" xfId="0" applyFont="1" applyFill="1" applyBorder="1" applyAlignment="1">
      <alignment horizontal="left"/>
    </xf>
    <xf numFmtId="0" fontId="8" fillId="0" borderId="0" xfId="0" applyFont="1" applyFill="1" applyAlignment="1">
      <alignment horizontal="left"/>
    </xf>
    <xf numFmtId="3" fontId="8" fillId="0" borderId="0" xfId="17" applyNumberFormat="1" applyFont="1" applyAlignment="1">
      <alignment vertical="top"/>
    </xf>
    <xf numFmtId="167" fontId="8" fillId="0" borderId="0" xfId="0" applyNumberFormat="1" applyFont="1" applyAlignment="1">
      <alignment horizontal="left"/>
    </xf>
    <xf numFmtId="0" fontId="0" fillId="0" borderId="0" xfId="0" applyFont="1" applyBorder="1"/>
    <xf numFmtId="1" fontId="10" fillId="0" borderId="0" xfId="0" applyNumberFormat="1" applyFont="1" applyBorder="1" applyAlignment="1">
      <alignment horizontal="left"/>
    </xf>
    <xf numFmtId="0" fontId="27" fillId="0" borderId="0" xfId="0" applyFont="1" applyAlignment="1">
      <alignment textRotation="180"/>
    </xf>
    <xf numFmtId="0" fontId="10" fillId="0" borderId="3" xfId="0" applyFont="1" applyBorder="1" applyAlignment="1">
      <alignment horizontal="left"/>
    </xf>
    <xf numFmtId="0" fontId="11" fillId="0" borderId="3" xfId="0" applyFont="1" applyBorder="1" applyAlignment="1">
      <alignment horizontal="left"/>
    </xf>
    <xf numFmtId="0" fontId="10" fillId="0" borderId="2" xfId="0" applyFont="1" applyBorder="1" applyAlignment="1">
      <alignment horizontal="left"/>
    </xf>
    <xf numFmtId="0" fontId="11" fillId="0" borderId="2" xfId="0" applyFont="1" applyBorder="1" applyAlignment="1">
      <alignment horizontal="left"/>
    </xf>
    <xf numFmtId="0" fontId="10" fillId="0" borderId="0" xfId="0" applyFont="1"/>
    <xf numFmtId="0" fontId="11" fillId="0" borderId="0" xfId="0" applyFont="1"/>
    <xf numFmtId="3" fontId="11" fillId="0" borderId="0" xfId="0" applyNumberFormat="1" applyFont="1"/>
    <xf numFmtId="171" fontId="10" fillId="0" borderId="0" xfId="0" applyNumberFormat="1" applyFont="1"/>
    <xf numFmtId="3" fontId="10" fillId="0" borderId="0" xfId="0" applyNumberFormat="1" applyFont="1"/>
    <xf numFmtId="171" fontId="10" fillId="0" borderId="2" xfId="0" applyNumberFormat="1" applyFont="1" applyBorder="1" applyAlignment="1">
      <alignment vertical="center"/>
    </xf>
    <xf numFmtId="3" fontId="11" fillId="0" borderId="2" xfId="0" applyNumberFormat="1" applyFont="1" applyFill="1" applyBorder="1" applyAlignment="1">
      <alignment vertical="center"/>
    </xf>
    <xf numFmtId="3" fontId="11" fillId="0" borderId="0" xfId="0" applyNumberFormat="1" applyFont="1" applyBorder="1"/>
    <xf numFmtId="3" fontId="10" fillId="0" borderId="0" xfId="0" applyNumberFormat="1" applyFont="1" applyFill="1" applyBorder="1"/>
    <xf numFmtId="3" fontId="11" fillId="0" borderId="0" xfId="0" applyNumberFormat="1" applyFont="1" applyFill="1" applyBorder="1"/>
    <xf numFmtId="171" fontId="10" fillId="0" borderId="0" xfId="0" applyNumberFormat="1" applyFont="1" applyFill="1"/>
    <xf numFmtId="3" fontId="10" fillId="0" borderId="0" xfId="0" applyNumberFormat="1" applyFont="1" applyFill="1"/>
    <xf numFmtId="171" fontId="10" fillId="0" borderId="2" xfId="0" applyNumberFormat="1" applyFont="1" applyFill="1" applyBorder="1" applyAlignment="1">
      <alignment vertical="center"/>
    </xf>
    <xf numFmtId="0" fontId="9" fillId="0" borderId="0" xfId="0" applyFont="1" applyFill="1" applyAlignment="1">
      <alignment horizontal="left"/>
    </xf>
    <xf numFmtId="171" fontId="6" fillId="3" borderId="0" xfId="14" applyNumberFormat="1" applyFont="1" applyFill="1" applyBorder="1"/>
    <xf numFmtId="171" fontId="8" fillId="3" borderId="0" xfId="14" applyNumberFormat="1" applyFont="1" applyFill="1"/>
    <xf numFmtId="171" fontId="23" fillId="3" borderId="0" xfId="14" applyNumberFormat="1" applyFont="1" applyFill="1"/>
    <xf numFmtId="0" fontId="45" fillId="3" borderId="0" xfId="14" applyFont="1" applyFill="1"/>
    <xf numFmtId="0" fontId="6" fillId="3" borderId="0" xfId="14" applyFont="1" applyFill="1"/>
    <xf numFmtId="171" fontId="8" fillId="3" borderId="0" xfId="14" applyNumberFormat="1" applyFont="1" applyFill="1" applyBorder="1" applyAlignment="1">
      <alignment horizontal="right"/>
    </xf>
    <xf numFmtId="0" fontId="27" fillId="3" borderId="0" xfId="14" applyFont="1" applyFill="1"/>
    <xf numFmtId="171" fontId="8" fillId="3" borderId="2" xfId="14" applyNumberFormat="1" applyFont="1" applyFill="1" applyBorder="1"/>
    <xf numFmtId="171" fontId="8" fillId="3" borderId="2" xfId="14" applyNumberFormat="1" applyFont="1" applyFill="1" applyBorder="1" applyAlignment="1">
      <alignment horizontal="right"/>
    </xf>
    <xf numFmtId="0" fontId="7" fillId="3" borderId="0" xfId="14" applyNumberFormat="1" applyFont="1" applyFill="1" applyBorder="1" applyAlignment="1">
      <alignment horizontal="right"/>
    </xf>
    <xf numFmtId="0" fontId="7" fillId="3" borderId="0" xfId="14" applyNumberFormat="1" applyFont="1" applyFill="1" applyAlignment="1">
      <alignment horizontal="right"/>
    </xf>
    <xf numFmtId="0" fontId="7" fillId="3" borderId="0" xfId="14" applyNumberFormat="1" applyFont="1" applyFill="1"/>
    <xf numFmtId="0" fontId="50" fillId="3" borderId="0" xfId="14" applyFont="1" applyFill="1"/>
    <xf numFmtId="171" fontId="8" fillId="3" borderId="0" xfId="14" applyNumberFormat="1" applyFont="1" applyFill="1" applyBorder="1"/>
    <xf numFmtId="171" fontId="8" fillId="3" borderId="4" xfId="14" applyNumberFormat="1" applyFont="1" applyFill="1" applyBorder="1"/>
    <xf numFmtId="171" fontId="8" fillId="3" borderId="0" xfId="14" applyNumberFormat="1" applyFont="1" applyFill="1" applyAlignment="1">
      <alignment horizontal="right"/>
    </xf>
    <xf numFmtId="171" fontId="13" fillId="3" borderId="0" xfId="14" applyNumberFormat="1" applyFont="1" applyFill="1"/>
    <xf numFmtId="171" fontId="7" fillId="3" borderId="0" xfId="14" applyNumberFormat="1" applyFont="1" applyFill="1"/>
    <xf numFmtId="171" fontId="24" fillId="3" borderId="0" xfId="14" applyNumberFormat="1" applyFont="1" applyFill="1"/>
    <xf numFmtId="171" fontId="8" fillId="3" borderId="0" xfId="14" applyNumberFormat="1" applyFont="1" applyFill="1" applyBorder="1" applyAlignment="1">
      <alignment horizontal="right" vertical="center"/>
    </xf>
    <xf numFmtId="171" fontId="8" fillId="3" borderId="0" xfId="14" applyNumberFormat="1" applyFont="1" applyFill="1" applyBorder="1" applyAlignment="1">
      <alignment vertical="center"/>
    </xf>
    <xf numFmtId="171" fontId="23" fillId="3" borderId="0" xfId="14" applyNumberFormat="1" applyFont="1" applyFill="1" applyBorder="1" applyAlignment="1">
      <alignment horizontal="right"/>
    </xf>
    <xf numFmtId="171" fontId="23" fillId="3" borderId="0" xfId="14" applyNumberFormat="1" applyFont="1" applyFill="1" applyBorder="1"/>
    <xf numFmtId="171" fontId="23" fillId="3" borderId="0" xfId="14" applyNumberFormat="1" applyFont="1" applyFill="1" applyBorder="1" applyAlignment="1">
      <alignment horizontal="right" vertical="center"/>
    </xf>
    <xf numFmtId="171" fontId="23" fillId="3" borderId="0" xfId="14" applyNumberFormat="1" applyFont="1" applyFill="1" applyBorder="1" applyAlignment="1">
      <alignment vertical="center"/>
    </xf>
    <xf numFmtId="171" fontId="23" fillId="3" borderId="4" xfId="14" applyNumberFormat="1" applyFont="1" applyFill="1" applyBorder="1"/>
    <xf numFmtId="171" fontId="8" fillId="3" borderId="2" xfId="14" applyNumberFormat="1" applyFont="1" applyFill="1" applyBorder="1" applyAlignment="1">
      <alignment vertical="center"/>
    </xf>
    <xf numFmtId="171" fontId="23" fillId="3" borderId="2" xfId="14" applyNumberFormat="1" applyFont="1" applyFill="1" applyBorder="1" applyAlignment="1">
      <alignment horizontal="right"/>
    </xf>
    <xf numFmtId="171" fontId="8" fillId="3" borderId="0" xfId="14" quotePrefix="1" applyNumberFormat="1" applyFont="1" applyFill="1" applyAlignment="1">
      <alignment horizontal="right"/>
    </xf>
    <xf numFmtId="171" fontId="23" fillId="3" borderId="0" xfId="14" quotePrefix="1" applyNumberFormat="1" applyFont="1" applyFill="1" applyBorder="1" applyAlignment="1">
      <alignment horizontal="right"/>
    </xf>
    <xf numFmtId="171" fontId="24" fillId="3" borderId="0" xfId="14" applyNumberFormat="1" applyFont="1" applyFill="1" applyBorder="1" applyAlignment="1">
      <alignment horizontal="right"/>
    </xf>
    <xf numFmtId="171" fontId="7" fillId="3" borderId="0" xfId="14" applyNumberFormat="1" applyFont="1" applyFill="1" applyBorder="1"/>
    <xf numFmtId="171" fontId="7" fillId="3" borderId="2" xfId="14" applyNumberFormat="1" applyFont="1" applyFill="1" applyBorder="1" applyAlignment="1">
      <alignment vertical="center"/>
    </xf>
    <xf numFmtId="171" fontId="8" fillId="3" borderId="2" xfId="14" applyNumberFormat="1" applyFont="1" applyFill="1" applyBorder="1" applyAlignment="1">
      <alignment horizontal="right" vertical="center"/>
    </xf>
    <xf numFmtId="49" fontId="7" fillId="2" borderId="1" xfId="0" applyNumberFormat="1" applyFont="1" applyFill="1" applyBorder="1" applyAlignment="1">
      <alignment horizontal="right"/>
    </xf>
    <xf numFmtId="0" fontId="42" fillId="2" borderId="0" xfId="0" applyFont="1" applyFill="1"/>
    <xf numFmtId="3" fontId="8" fillId="2" borderId="0" xfId="0" applyNumberFormat="1" applyFont="1" applyFill="1" applyAlignment="1">
      <alignment horizontal="right" vertical="center"/>
    </xf>
    <xf numFmtId="3" fontId="7" fillId="2" borderId="0" xfId="0" applyNumberFormat="1" applyFont="1" applyFill="1" applyAlignment="1">
      <alignment horizontal="right" vertical="center"/>
    </xf>
    <xf numFmtId="0" fontId="51" fillId="0" borderId="0" xfId="0" applyFont="1" applyFill="1" applyBorder="1" applyAlignment="1">
      <alignment horizontal="left" wrapText="1"/>
    </xf>
    <xf numFmtId="0" fontId="8" fillId="0" borderId="0" xfId="17" applyFont="1"/>
    <xf numFmtId="3" fontId="7" fillId="2" borderId="0" xfId="18" applyNumberFormat="1" applyFont="1" applyFill="1"/>
    <xf numFmtId="3" fontId="13" fillId="2" borderId="0" xfId="18" applyNumberFormat="1" applyFont="1" applyFill="1"/>
    <xf numFmtId="3" fontId="8" fillId="2" borderId="0" xfId="18" applyNumberFormat="1" applyFont="1" applyFill="1"/>
    <xf numFmtId="3" fontId="8" fillId="2" borderId="0" xfId="18" applyNumberFormat="1" applyFont="1" applyFill="1" applyAlignment="1">
      <alignment horizontal="right" vertical="center"/>
    </xf>
    <xf numFmtId="0" fontId="2" fillId="2" borderId="0" xfId="18" applyFill="1"/>
    <xf numFmtId="0" fontId="2" fillId="0" borderId="0" xfId="18"/>
    <xf numFmtId="0" fontId="8" fillId="2" borderId="0" xfId="18" applyFont="1" applyFill="1" applyAlignment="1"/>
    <xf numFmtId="0" fontId="8" fillId="2" borderId="0" xfId="18" applyFont="1" applyFill="1" applyAlignment="1">
      <alignment wrapText="1"/>
    </xf>
    <xf numFmtId="0" fontId="8" fillId="2" borderId="0" xfId="18" applyFont="1" applyFill="1"/>
    <xf numFmtId="0" fontId="26" fillId="2" borderId="0" xfId="18" applyFont="1" applyFill="1"/>
    <xf numFmtId="0" fontId="6" fillId="3" borderId="0" xfId="0" applyFont="1" applyFill="1" applyAlignment="1">
      <alignment horizontal="left" vertical="top"/>
    </xf>
    <xf numFmtId="0" fontId="6" fillId="3" borderId="0" xfId="0" applyFont="1" applyFill="1" applyAlignment="1">
      <alignment horizontal="left"/>
    </xf>
    <xf numFmtId="0" fontId="0" fillId="3" borderId="0" xfId="0" applyFont="1" applyFill="1"/>
    <xf numFmtId="0" fontId="0" fillId="3" borderId="0" xfId="0" applyFill="1"/>
    <xf numFmtId="49" fontId="6" fillId="3" borderId="0" xfId="0" applyNumberFormat="1" applyFont="1" applyFill="1" applyAlignment="1">
      <alignment horizontal="left" vertical="top"/>
    </xf>
    <xf numFmtId="49" fontId="6" fillId="3" borderId="0" xfId="0" applyNumberFormat="1" applyFont="1" applyFill="1"/>
    <xf numFmtId="49" fontId="8" fillId="3" borderId="0" xfId="0" applyNumberFormat="1" applyFont="1" applyFill="1" applyAlignment="1">
      <alignment horizontal="left" vertical="top"/>
    </xf>
    <xf numFmtId="49" fontId="8" fillId="3" borderId="0" xfId="0" applyNumberFormat="1" applyFont="1" applyFill="1"/>
    <xf numFmtId="0" fontId="0" fillId="3" borderId="0" xfId="0" applyFont="1" applyFill="1" applyAlignment="1">
      <alignment horizontal="left" vertical="top"/>
    </xf>
    <xf numFmtId="0" fontId="43" fillId="3" borderId="0" xfId="0" applyNumberFormat="1" applyFont="1" applyFill="1" applyAlignment="1">
      <alignment horizontal="left" vertical="top"/>
    </xf>
    <xf numFmtId="0" fontId="43" fillId="3" borderId="0" xfId="0" applyNumberFormat="1" applyFont="1" applyFill="1"/>
    <xf numFmtId="0" fontId="42" fillId="3" borderId="0" xfId="0" applyFont="1" applyFill="1" applyAlignment="1">
      <alignment horizontal="left" vertical="top"/>
    </xf>
    <xf numFmtId="0" fontId="42" fillId="3" borderId="0" xfId="0" applyFont="1" applyFill="1"/>
    <xf numFmtId="3" fontId="8" fillId="3" borderId="0" xfId="0" applyNumberFormat="1" applyFont="1" applyFill="1"/>
    <xf numFmtId="3" fontId="42" fillId="3" borderId="0" xfId="0" applyNumberFormat="1" applyFont="1" applyFill="1"/>
    <xf numFmtId="0" fontId="8" fillId="3" borderId="0" xfId="0" applyFont="1" applyFill="1" applyAlignment="1">
      <alignment wrapText="1"/>
    </xf>
    <xf numFmtId="49" fontId="7" fillId="3" borderId="0" xfId="0" applyNumberFormat="1" applyFont="1" applyFill="1" applyAlignment="1">
      <alignment horizontal="left" vertical="top"/>
    </xf>
    <xf numFmtId="49" fontId="7" fillId="3" borderId="0" xfId="0" applyNumberFormat="1" applyFont="1" applyFill="1"/>
    <xf numFmtId="3" fontId="43" fillId="3" borderId="0" xfId="0" applyNumberFormat="1" applyFont="1" applyFill="1"/>
    <xf numFmtId="174" fontId="8" fillId="3" borderId="0" xfId="0" applyNumberFormat="1" applyFont="1" applyFill="1"/>
    <xf numFmtId="0" fontId="7" fillId="3" borderId="0" xfId="8" applyFont="1" applyFill="1" applyBorder="1"/>
    <xf numFmtId="0" fontId="8" fillId="3" borderId="0" xfId="0" applyFont="1" applyFill="1" applyAlignment="1">
      <alignment horizontal="center"/>
    </xf>
    <xf numFmtId="3" fontId="8" fillId="3" borderId="0" xfId="0" applyNumberFormat="1" applyFont="1" applyFill="1" applyAlignment="1">
      <alignment horizontal="center"/>
    </xf>
    <xf numFmtId="3" fontId="7" fillId="3" borderId="0" xfId="8" applyNumberFormat="1" applyFont="1" applyFill="1" applyBorder="1"/>
    <xf numFmtId="0" fontId="42" fillId="3" borderId="2" xfId="0" applyFont="1" applyFill="1" applyBorder="1" applyAlignment="1">
      <alignment horizontal="left" vertical="top"/>
    </xf>
    <xf numFmtId="49" fontId="7" fillId="3" borderId="2" xfId="0" applyNumberFormat="1" applyFont="1" applyFill="1" applyBorder="1"/>
    <xf numFmtId="0" fontId="8" fillId="3" borderId="2" xfId="0" applyFont="1" applyFill="1" applyBorder="1" applyAlignment="1">
      <alignment horizontal="center"/>
    </xf>
    <xf numFmtId="3" fontId="8" fillId="3" borderId="2" xfId="0" applyNumberFormat="1" applyFont="1" applyFill="1" applyBorder="1" applyAlignment="1">
      <alignment horizontal="center"/>
    </xf>
    <xf numFmtId="3" fontId="7" fillId="3" borderId="2" xfId="0" applyNumberFormat="1" applyFont="1" applyFill="1" applyBorder="1" applyAlignment="1">
      <alignment horizontal="right"/>
    </xf>
    <xf numFmtId="0" fontId="12" fillId="3" borderId="0" xfId="0" applyFont="1" applyFill="1" applyBorder="1" applyAlignment="1">
      <alignment horizontal="left" vertical="top"/>
    </xf>
    <xf numFmtId="0" fontId="12" fillId="3" borderId="0" xfId="0" applyFont="1" applyFill="1" applyBorder="1" applyAlignment="1">
      <alignment horizontal="left"/>
    </xf>
    <xf numFmtId="0" fontId="8" fillId="3" borderId="0" xfId="0" applyFont="1" applyFill="1" applyAlignment="1">
      <alignment horizontal="left"/>
    </xf>
    <xf numFmtId="0" fontId="8" fillId="3" borderId="0" xfId="0" applyFont="1" applyFill="1" applyAlignment="1">
      <alignment horizontal="left" vertical="top"/>
    </xf>
    <xf numFmtId="0" fontId="7" fillId="3" borderId="1" xfId="0" applyFont="1" applyFill="1" applyBorder="1" applyAlignment="1">
      <alignment horizontal="left" vertical="center"/>
    </xf>
    <xf numFmtId="0" fontId="7" fillId="3" borderId="1" xfId="0" applyFont="1" applyFill="1" applyBorder="1" applyAlignment="1">
      <alignment horizontal="right" vertical="center"/>
    </xf>
    <xf numFmtId="49" fontId="8" fillId="3" borderId="2" xfId="0" applyNumberFormat="1" applyFont="1" applyFill="1" applyBorder="1"/>
    <xf numFmtId="3" fontId="43" fillId="3" borderId="2" xfId="0" applyNumberFormat="1" applyFont="1" applyFill="1" applyBorder="1"/>
    <xf numFmtId="3" fontId="43" fillId="3" borderId="0" xfId="0" applyNumberFormat="1" applyFont="1" applyFill="1" applyBorder="1"/>
    <xf numFmtId="0" fontId="42" fillId="0" borderId="0" xfId="0" applyNumberFormat="1" applyFont="1"/>
    <xf numFmtId="3" fontId="48" fillId="0" borderId="0" xfId="14" applyNumberFormat="1" applyFont="1"/>
    <xf numFmtId="0" fontId="6" fillId="0" borderId="0" xfId="4" applyFont="1" applyFill="1" applyBorder="1"/>
    <xf numFmtId="0" fontId="8" fillId="0" borderId="0" xfId="4" applyFont="1" applyFill="1" applyBorder="1"/>
    <xf numFmtId="0" fontId="8" fillId="0" borderId="2" xfId="4" applyFont="1" applyFill="1" applyBorder="1"/>
    <xf numFmtId="0" fontId="7" fillId="0" borderId="3" xfId="4" applyFont="1" applyFill="1" applyBorder="1"/>
    <xf numFmtId="0" fontId="7" fillId="0" borderId="3" xfId="4" applyFont="1" applyFill="1" applyBorder="1" applyAlignment="1">
      <alignment horizontal="right"/>
    </xf>
    <xf numFmtId="0" fontId="7" fillId="0" borderId="3" xfId="4" applyFont="1" applyFill="1" applyBorder="1" applyAlignment="1">
      <alignment horizontal="right" vertical="center" wrapText="1"/>
    </xf>
    <xf numFmtId="0" fontId="7" fillId="0" borderId="0" xfId="4" applyFont="1" applyFill="1" applyBorder="1" applyAlignment="1">
      <alignment horizontal="right"/>
    </xf>
    <xf numFmtId="0" fontId="8" fillId="0" borderId="3" xfId="4" applyFont="1" applyFill="1" applyBorder="1"/>
    <xf numFmtId="0" fontId="7" fillId="0" borderId="3" xfId="4" applyFont="1" applyFill="1" applyBorder="1" applyAlignment="1">
      <alignment horizontal="right" wrapText="1"/>
    </xf>
    <xf numFmtId="0" fontId="7" fillId="0" borderId="2" xfId="4" applyFont="1" applyFill="1" applyBorder="1"/>
    <xf numFmtId="0" fontId="7" fillId="0" borderId="2" xfId="4" applyFont="1" applyFill="1" applyBorder="1" applyAlignment="1">
      <alignment horizontal="right"/>
    </xf>
    <xf numFmtId="0" fontId="21" fillId="0" borderId="2" xfId="4" applyFont="1" applyFill="1" applyBorder="1" applyAlignment="1">
      <alignment vertical="center"/>
    </xf>
    <xf numFmtId="0" fontId="21" fillId="0" borderId="0" xfId="4" applyFont="1" applyFill="1" applyBorder="1" applyAlignment="1">
      <alignment vertical="center"/>
    </xf>
    <xf numFmtId="0" fontId="7" fillId="0" borderId="0" xfId="4" applyFont="1" applyFill="1" applyBorder="1" applyAlignment="1">
      <alignment horizontal="left"/>
    </xf>
    <xf numFmtId="0" fontId="8" fillId="0" borderId="0" xfId="4" quotePrefix="1" applyFont="1" applyFill="1" applyBorder="1" applyAlignment="1">
      <alignment horizontal="right"/>
    </xf>
    <xf numFmtId="173" fontId="8" fillId="0" borderId="0" xfId="4" quotePrefix="1" applyNumberFormat="1" applyFont="1" applyFill="1" applyBorder="1" applyAlignment="1">
      <alignment horizontal="right"/>
    </xf>
    <xf numFmtId="0" fontId="8" fillId="0" borderId="0" xfId="4" applyFont="1" applyFill="1" applyBorder="1" applyAlignment="1">
      <alignment horizontal="right"/>
    </xf>
    <xf numFmtId="173" fontId="8" fillId="0" borderId="0" xfId="4" applyNumberFormat="1" applyFont="1" applyFill="1" applyBorder="1" applyAlignment="1">
      <alignment horizontal="right"/>
    </xf>
    <xf numFmtId="173" fontId="8" fillId="0" borderId="0" xfId="4" applyNumberFormat="1" applyFont="1" applyFill="1" applyBorder="1"/>
    <xf numFmtId="171" fontId="8" fillId="0" borderId="0" xfId="4" applyNumberFormat="1" applyFont="1" applyFill="1" applyBorder="1"/>
    <xf numFmtId="173" fontId="8" fillId="0" borderId="0" xfId="4" applyNumberFormat="1" applyFont="1" applyFill="1" applyBorder="1" applyAlignment="1">
      <alignment vertical="center"/>
    </xf>
    <xf numFmtId="0" fontId="25" fillId="0" borderId="0" xfId="4" applyFont="1" applyFill="1" applyBorder="1"/>
    <xf numFmtId="0" fontId="9" fillId="0" borderId="0" xfId="11" applyFont="1" applyFill="1" applyBorder="1"/>
    <xf numFmtId="0" fontId="9" fillId="0" borderId="0" xfId="4" applyFont="1" applyFill="1" applyBorder="1"/>
    <xf numFmtId="3" fontId="7" fillId="0" borderId="0" xfId="0" applyNumberFormat="1" applyFont="1" applyAlignment="1">
      <alignment horizontal="right"/>
    </xf>
    <xf numFmtId="0" fontId="7" fillId="0" borderId="1" xfId="8" applyFont="1" applyBorder="1" applyAlignment="1">
      <alignment horizontal="right"/>
    </xf>
    <xf numFmtId="3" fontId="7" fillId="0" borderId="2" xfId="14" applyNumberFormat="1" applyFont="1" applyBorder="1"/>
    <xf numFmtId="3" fontId="8" fillId="0" borderId="0" xfId="14" applyNumberFormat="1" applyFont="1"/>
    <xf numFmtId="3" fontId="8" fillId="0" borderId="4" xfId="0" applyNumberFormat="1" applyFont="1" applyBorder="1" applyAlignment="1">
      <alignment horizontal="right"/>
    </xf>
    <xf numFmtId="3" fontId="8" fillId="0" borderId="0" xfId="0" applyNumberFormat="1" applyFont="1" applyAlignment="1">
      <alignment horizontal="right" vertical="center"/>
    </xf>
    <xf numFmtId="3" fontId="7" fillId="0" borderId="0" xfId="0" applyNumberFormat="1" applyFont="1" applyAlignment="1">
      <alignment horizontal="right"/>
    </xf>
    <xf numFmtId="0" fontId="7" fillId="0" borderId="1" xfId="8" applyFont="1" applyBorder="1" applyAlignment="1">
      <alignment horizontal="right"/>
    </xf>
    <xf numFmtId="3" fontId="7" fillId="0" borderId="2" xfId="14" applyNumberFormat="1" applyFont="1" applyBorder="1"/>
    <xf numFmtId="3" fontId="8" fillId="0" borderId="0" xfId="14" applyNumberFormat="1" applyFont="1"/>
    <xf numFmtId="3" fontId="8" fillId="0" borderId="4" xfId="14" applyNumberFormat="1" applyFont="1" applyBorder="1"/>
    <xf numFmtId="3" fontId="8" fillId="0" borderId="0" xfId="0" applyNumberFormat="1" applyFont="1" applyAlignment="1">
      <alignment horizontal="right" vertical="center"/>
    </xf>
    <xf numFmtId="0" fontId="0" fillId="0" borderId="0" xfId="0"/>
    <xf numFmtId="0" fontId="6" fillId="0" borderId="0" xfId="8" applyFont="1"/>
    <xf numFmtId="0" fontId="8" fillId="0" borderId="0" xfId="8" applyFont="1"/>
    <xf numFmtId="0" fontId="45" fillId="0" borderId="0" xfId="14" applyFont="1"/>
    <xf numFmtId="10" fontId="0" fillId="0" borderId="0" xfId="0" applyNumberFormat="1"/>
    <xf numFmtId="0" fontId="8" fillId="0" borderId="0" xfId="4" applyFont="1" applyFill="1"/>
    <xf numFmtId="3" fontId="8" fillId="2" borderId="0" xfId="20" applyNumberFormat="1" applyFont="1" applyFill="1" applyBorder="1" applyAlignment="1">
      <alignment horizontal="right" wrapText="1"/>
    </xf>
    <xf numFmtId="0" fontId="7" fillId="0" borderId="2" xfId="4" applyFont="1" applyFill="1" applyBorder="1" applyAlignment="1">
      <alignment horizontal="left"/>
    </xf>
    <xf numFmtId="0" fontId="45" fillId="0" borderId="2" xfId="14" applyFont="1" applyBorder="1"/>
    <xf numFmtId="173" fontId="8" fillId="0" borderId="2" xfId="4" applyNumberFormat="1" applyFont="1" applyFill="1" applyBorder="1"/>
    <xf numFmtId="0" fontId="17" fillId="0" borderId="0" xfId="17" applyFont="1"/>
    <xf numFmtId="3" fontId="26" fillId="0" borderId="0" xfId="17" applyNumberFormat="1" applyFont="1"/>
    <xf numFmtId="3" fontId="17" fillId="0" borderId="0" xfId="17" applyNumberFormat="1" applyFont="1"/>
    <xf numFmtId="177" fontId="8" fillId="0" borderId="0" xfId="17" applyNumberFormat="1" applyFont="1"/>
    <xf numFmtId="177" fontId="26" fillId="0" borderId="0" xfId="17" applyNumberFormat="1" applyFont="1"/>
    <xf numFmtId="177" fontId="7" fillId="0" borderId="0" xfId="17" applyNumberFormat="1" applyFont="1"/>
    <xf numFmtId="177" fontId="13" fillId="0" borderId="0" xfId="17" applyNumberFormat="1" applyFont="1"/>
    <xf numFmtId="3" fontId="17" fillId="0" borderId="0" xfId="3" applyNumberFormat="1" applyFont="1"/>
    <xf numFmtId="0" fontId="53" fillId="0" borderId="0" xfId="3" applyFont="1"/>
    <xf numFmtId="0" fontId="8" fillId="3" borderId="0" xfId="4" applyFont="1" applyFill="1"/>
    <xf numFmtId="0" fontId="8" fillId="3" borderId="0" xfId="4" applyFont="1" applyFill="1" applyBorder="1"/>
    <xf numFmtId="0" fontId="52" fillId="3" borderId="0" xfId="4" applyFont="1" applyFill="1"/>
    <xf numFmtId="3" fontId="8" fillId="0" borderId="0" xfId="17" applyNumberFormat="1" applyFont="1"/>
    <xf numFmtId="0" fontId="7" fillId="0" borderId="0" xfId="17" applyNumberFormat="1" applyFont="1" applyFill="1" applyAlignment="1"/>
    <xf numFmtId="0" fontId="7" fillId="0" borderId="0" xfId="17" applyFont="1"/>
    <xf numFmtId="0" fontId="8" fillId="0" borderId="0" xfId="17" applyNumberFormat="1" applyFont="1" applyFill="1" applyAlignment="1"/>
    <xf numFmtId="0" fontId="13" fillId="0" borderId="0" xfId="17" applyFont="1"/>
    <xf numFmtId="3" fontId="8" fillId="0" borderId="0" xfId="3" applyNumberFormat="1" applyFont="1"/>
    <xf numFmtId="0" fontId="8" fillId="0" borderId="0" xfId="3" applyFont="1"/>
    <xf numFmtId="3" fontId="7" fillId="0" borderId="0" xfId="3" applyNumberFormat="1" applyFont="1"/>
    <xf numFmtId="178" fontId="8" fillId="0" borderId="0" xfId="3" applyNumberFormat="1" applyFont="1"/>
    <xf numFmtId="181" fontId="8" fillId="0" borderId="0" xfId="26" applyNumberFormat="1" applyFont="1" applyProtection="1">
      <protection locked="0"/>
    </xf>
    <xf numFmtId="181" fontId="8" fillId="0" borderId="0" xfId="26" applyNumberFormat="1" applyFont="1"/>
    <xf numFmtId="178" fontId="7" fillId="0" borderId="0" xfId="3" applyNumberFormat="1" applyFont="1"/>
    <xf numFmtId="181" fontId="7" fillId="0" borderId="0" xfId="26" applyNumberFormat="1" applyFont="1"/>
    <xf numFmtId="178" fontId="8" fillId="0" borderId="0" xfId="3" applyNumberFormat="1" applyFont="1" applyFill="1"/>
    <xf numFmtId="178" fontId="8" fillId="0" borderId="0" xfId="17" applyNumberFormat="1" applyFont="1"/>
    <xf numFmtId="0" fontId="7" fillId="0" borderId="0" xfId="3" applyFont="1"/>
    <xf numFmtId="173" fontId="45" fillId="3" borderId="4" xfId="14" applyNumberFormat="1" applyFont="1" applyFill="1" applyBorder="1"/>
    <xf numFmtId="173" fontId="45" fillId="3" borderId="0" xfId="14" applyNumberFormat="1" applyFont="1" applyFill="1"/>
    <xf numFmtId="0" fontId="43" fillId="0" borderId="5" xfId="0" applyNumberFormat="1" applyFont="1" applyBorder="1"/>
    <xf numFmtId="0" fontId="42" fillId="0" borderId="4" xfId="0" applyFont="1" applyBorder="1"/>
    <xf numFmtId="49" fontId="7" fillId="0" borderId="4" xfId="0" applyNumberFormat="1" applyFont="1" applyBorder="1"/>
    <xf numFmtId="49" fontId="7" fillId="0" borderId="4" xfId="0" applyNumberFormat="1" applyFont="1" applyBorder="1" applyAlignment="1">
      <alignment wrapText="1"/>
    </xf>
    <xf numFmtId="3" fontId="43" fillId="0" borderId="4" xfId="0" applyNumberFormat="1" applyFont="1" applyBorder="1"/>
    <xf numFmtId="0" fontId="42" fillId="0" borderId="6" xfId="0" applyFont="1" applyBorder="1"/>
    <xf numFmtId="49" fontId="7" fillId="0" borderId="6" xfId="0" applyNumberFormat="1" applyFont="1" applyBorder="1"/>
    <xf numFmtId="0" fontId="7" fillId="0" borderId="6" xfId="8" applyFont="1" applyBorder="1" applyAlignment="1">
      <alignment wrapText="1"/>
    </xf>
    <xf numFmtId="3" fontId="43" fillId="0" borderId="6" xfId="0" applyNumberFormat="1" applyFont="1" applyBorder="1"/>
    <xf numFmtId="3" fontId="7" fillId="0" borderId="6" xfId="8" applyNumberFormat="1" applyFont="1" applyBorder="1"/>
    <xf numFmtId="49" fontId="8" fillId="0" borderId="6" xfId="0" applyNumberFormat="1" applyFont="1" applyBorder="1"/>
    <xf numFmtId="49" fontId="7" fillId="0" borderId="6" xfId="0" applyNumberFormat="1" applyFont="1" applyBorder="1" applyAlignment="1">
      <alignment wrapText="1"/>
    </xf>
    <xf numFmtId="0" fontId="43" fillId="0" borderId="6" xfId="0" applyFont="1" applyBorder="1"/>
    <xf numFmtId="0" fontId="43" fillId="0" borderId="4" xfId="0" applyFont="1" applyBorder="1"/>
    <xf numFmtId="0" fontId="7" fillId="0" borderId="4" xfId="8" applyFont="1" applyBorder="1" applyAlignment="1">
      <alignment wrapText="1"/>
    </xf>
    <xf numFmtId="3" fontId="7" fillId="0" borderId="4" xfId="8" applyNumberFormat="1" applyFont="1" applyBorder="1"/>
    <xf numFmtId="3" fontId="7" fillId="0" borderId="4" xfId="0" applyNumberFormat="1" applyFont="1" applyFill="1" applyBorder="1" applyAlignment="1">
      <alignment horizontal="right"/>
    </xf>
    <xf numFmtId="3" fontId="7" fillId="0" borderId="4" xfId="0" applyNumberFormat="1" applyFont="1" applyFill="1" applyBorder="1" applyAlignment="1" applyProtection="1">
      <alignment horizontal="right"/>
    </xf>
    <xf numFmtId="3" fontId="8" fillId="0" borderId="2" xfId="0" applyNumberFormat="1" applyFont="1" applyBorder="1" applyAlignment="1">
      <alignment horizontal="right"/>
    </xf>
    <xf numFmtId="0" fontId="8" fillId="0" borderId="1" xfId="0" applyFont="1" applyBorder="1" applyAlignment="1">
      <alignment horizontal="left" vertical="top" wrapText="1"/>
    </xf>
    <xf numFmtId="179" fontId="7" fillId="0" borderId="5" xfId="17" applyNumberFormat="1" applyFont="1" applyFill="1" applyBorder="1" applyAlignment="1">
      <alignment horizontal="right"/>
    </xf>
    <xf numFmtId="0" fontId="7" fillId="0" borderId="5" xfId="17" applyFont="1" applyFill="1" applyBorder="1"/>
    <xf numFmtId="0" fontId="7" fillId="0" borderId="5" xfId="3" applyNumberFormat="1" applyFont="1" applyBorder="1" applyAlignment="1">
      <alignment horizontal="center"/>
    </xf>
    <xf numFmtId="0" fontId="7" fillId="0" borderId="0" xfId="17" applyNumberFormat="1" applyFont="1" applyFill="1" applyBorder="1" applyAlignment="1"/>
    <xf numFmtId="0" fontId="7" fillId="0" borderId="0" xfId="4" applyFont="1" applyBorder="1"/>
    <xf numFmtId="3" fontId="7" fillId="0" borderId="0" xfId="4" applyNumberFormat="1" applyFont="1" applyBorder="1"/>
    <xf numFmtId="0" fontId="8" fillId="2" borderId="0" xfId="20" applyFont="1" applyFill="1" applyBorder="1" applyAlignment="1">
      <alignment horizontal="right" wrapText="1"/>
    </xf>
    <xf numFmtId="182" fontId="8" fillId="2" borderId="0" xfId="20" applyNumberFormat="1" applyFont="1" applyFill="1" applyBorder="1" applyAlignment="1">
      <alignment horizontal="right" wrapText="1"/>
    </xf>
    <xf numFmtId="182" fontId="13" fillId="2" borderId="0" xfId="20" applyNumberFormat="1" applyFont="1" applyFill="1" applyBorder="1" applyAlignment="1">
      <alignment horizontal="right" wrapText="1"/>
    </xf>
    <xf numFmtId="182" fontId="7" fillId="2" borderId="0" xfId="20" applyNumberFormat="1" applyFont="1" applyFill="1" applyBorder="1" applyAlignment="1"/>
    <xf numFmtId="0" fontId="7" fillId="0" borderId="0" xfId="0" applyFont="1" applyBorder="1" applyAlignment="1">
      <alignment horizontal="left" vertical="center" wrapText="1"/>
    </xf>
    <xf numFmtId="0" fontId="7" fillId="0" borderId="3" xfId="0" applyFont="1" applyBorder="1" applyAlignment="1">
      <alignment horizontal="left" vertical="center" wrapText="1"/>
    </xf>
    <xf numFmtId="0" fontId="7" fillId="0" borderId="0" xfId="0" applyFont="1" applyBorder="1" applyAlignment="1">
      <alignment horizontal="left"/>
    </xf>
  </cellXfs>
  <cellStyles count="27">
    <cellStyle name="Normal" xfId="0" builtinId="0"/>
    <cellStyle name="Normal 2" xfId="1"/>
    <cellStyle name="Normal 2 2" xfId="20"/>
    <cellStyle name="Normal 2 3" xfId="22"/>
    <cellStyle name="Normal 3" xfId="14"/>
    <cellStyle name="Normal 4" xfId="15"/>
    <cellStyle name="Normal 4 2" xfId="21"/>
    <cellStyle name="Normal 4 3" xfId="23"/>
    <cellStyle name="Normal 5" xfId="17"/>
    <cellStyle name="Normal 6" xfId="18"/>
    <cellStyle name="Normal 6 2" xfId="24"/>
    <cellStyle name="Normal 7" xfId="19"/>
    <cellStyle name="Normal 7 2" xfId="25"/>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tab1" xfId="9"/>
    <cellStyle name="Normal_undsaldotab22" xfId="10"/>
    <cellStyle name="Normal_undsaldotab22 2" xfId="11"/>
    <cellStyle name="Procent" xfId="16" builtinId="5"/>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EC9526"/>
      <color rgb="FF0083C2"/>
      <color rgb="FF6280A2"/>
      <color rgb="FF54735F"/>
      <color rgb="FF39B54A"/>
      <color rgb="FFCB4A6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'[1]2'!$W$9</c:f>
              <c:strCache>
                <c:ptCount val="1"/>
                <c:pt idx="0">
                  <c:v>Takbegränsade utgifter</c:v>
                </c:pt>
              </c:strCache>
            </c:strRef>
          </c:tx>
          <c:cat>
            <c:numRef>
              <c:f>'[1]2'!$X$8:$AO$8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'[1]2'!$X$9:$AO$9</c:f>
              <c:numCache>
                <c:formatCode>General</c:formatCode>
                <c:ptCount val="18"/>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1066231.514</c:v>
                </c:pt>
                <c:pt idx="17">
                  <c:v>1095534.0007857201</c:v>
                </c:pt>
              </c:numCache>
            </c:numRef>
          </c:val>
        </c:ser>
        <c:ser>
          <c:idx val="1"/>
          <c:order val="2"/>
          <c:tx>
            <c:strRef>
              <c:f>'[1]2'!$W$10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'[1]2'!$X$8:$AO$8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'[1]2'!$X$10:$AO$10</c:f>
              <c:numCache>
                <c:formatCode>General</c:formatCode>
                <c:ptCount val="18"/>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28768.486000000034</c:v>
                </c:pt>
                <c:pt idx="17">
                  <c:v>11465.999214279931</c:v>
                </c:pt>
              </c:numCache>
            </c:numRef>
          </c:val>
        </c:ser>
        <c:dLbls>
          <c:showLegendKey val="0"/>
          <c:showVal val="0"/>
          <c:showCatName val="0"/>
          <c:showSerName val="0"/>
          <c:showPercent val="0"/>
          <c:showBubbleSize val="0"/>
        </c:dLbls>
        <c:axId val="107874176"/>
        <c:axId val="107875712"/>
      </c:areaChart>
      <c:lineChart>
        <c:grouping val="standard"/>
        <c:varyColors val="0"/>
        <c:ser>
          <c:idx val="2"/>
          <c:order val="0"/>
          <c:tx>
            <c:strRef>
              <c:f>'[1]2'!$W$11</c:f>
              <c:strCache>
                <c:ptCount val="1"/>
                <c:pt idx="0">
                  <c:v>Utgiftstak för staten</c:v>
                </c:pt>
              </c:strCache>
            </c:strRef>
          </c:tx>
          <c:spPr>
            <a:ln>
              <a:solidFill>
                <a:schemeClr val="tx1"/>
              </a:solidFill>
            </a:ln>
          </c:spPr>
          <c:marker>
            <c:symbol val="none"/>
          </c:marker>
          <c:cat>
            <c:numRef>
              <c:f>'[1]2'!$X$8:$AO$8</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'[1]2'!$X$11:$AO$11</c:f>
              <c:numCache>
                <c:formatCode>General</c:formatCode>
                <c:ptCount val="18"/>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numCache>
            </c:numRef>
          </c:val>
          <c:smooth val="0"/>
        </c:ser>
        <c:dLbls>
          <c:showLegendKey val="0"/>
          <c:showVal val="0"/>
          <c:showCatName val="0"/>
          <c:showSerName val="0"/>
          <c:showPercent val="0"/>
          <c:showBubbleSize val="0"/>
        </c:dLbls>
        <c:marker val="1"/>
        <c:smooth val="0"/>
        <c:axId val="107874176"/>
        <c:axId val="107875712"/>
      </c:lineChart>
      <c:catAx>
        <c:axId val="107874176"/>
        <c:scaling>
          <c:orientation val="minMax"/>
        </c:scaling>
        <c:delete val="0"/>
        <c:axPos val="b"/>
        <c:numFmt formatCode="@" sourceLinked="0"/>
        <c:majorTickMark val="out"/>
        <c:minorTickMark val="none"/>
        <c:tickLblPos val="nextTo"/>
        <c:crossAx val="107875712"/>
        <c:crosses val="autoZero"/>
        <c:auto val="1"/>
        <c:lblAlgn val="ctr"/>
        <c:lblOffset val="100"/>
        <c:tickLblSkip val="1"/>
        <c:noMultiLvlLbl val="0"/>
      </c:catAx>
      <c:valAx>
        <c:axId val="107875712"/>
        <c:scaling>
          <c:orientation val="minMax"/>
          <c:min val="650000"/>
        </c:scaling>
        <c:delete val="0"/>
        <c:axPos val="l"/>
        <c:majorGridlines/>
        <c:numFmt formatCode="General" sourceLinked="1"/>
        <c:majorTickMark val="out"/>
        <c:minorTickMark val="none"/>
        <c:tickLblPos val="nextTo"/>
        <c:crossAx val="107874176"/>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'19.1'!$A$7</c:f>
              <c:strCache>
                <c:ptCount val="1"/>
                <c:pt idx="0">
                  <c:v>Transfereringar</c:v>
                </c:pt>
              </c:strCache>
            </c:strRef>
          </c:tx>
          <c:spPr>
            <a:solidFill>
              <a:srgbClr val="0083C2"/>
            </a:solidFill>
          </c:spPr>
          <c:invertIfNegative val="0"/>
          <c:cat>
            <c:numRef>
              <c:f>('19.1'!$B$5,'19.1'!$G$5,'19.1'!$L$5,'19.1'!$Q$5,'19.1'!$U$5)</c:f>
              <c:numCache>
                <c:formatCode>General</c:formatCode>
                <c:ptCount val="5"/>
                <c:pt idx="0">
                  <c:v>1995</c:v>
                </c:pt>
                <c:pt idx="1">
                  <c:v>2000</c:v>
                </c:pt>
                <c:pt idx="2">
                  <c:v>2005</c:v>
                </c:pt>
                <c:pt idx="3">
                  <c:v>2010</c:v>
                </c:pt>
                <c:pt idx="4">
                  <c:v>2014</c:v>
                </c:pt>
              </c:numCache>
            </c:numRef>
          </c:cat>
          <c:val>
            <c:numRef>
              <c:f>('19.1'!$B$7,'19.1'!$G$7,'19.1'!$L$7,'19.1'!$Q$7,'19.1'!$U$7)</c:f>
              <c:numCache>
                <c:formatCode>#,##0</c:formatCode>
                <c:ptCount val="5"/>
                <c:pt idx="0">
                  <c:v>361349</c:v>
                </c:pt>
                <c:pt idx="1">
                  <c:v>462824</c:v>
                </c:pt>
                <c:pt idx="2">
                  <c:v>506169.33</c:v>
                </c:pt>
                <c:pt idx="3">
                  <c:v>530025</c:v>
                </c:pt>
                <c:pt idx="4">
                  <c:v>581691.92500000005</c:v>
                </c:pt>
              </c:numCache>
            </c:numRef>
          </c:val>
        </c:ser>
        <c:ser>
          <c:idx val="1"/>
          <c:order val="1"/>
          <c:tx>
            <c:strRef>
              <c:f>'19.1'!$A$8</c:f>
              <c:strCache>
                <c:ptCount val="1"/>
                <c:pt idx="0">
                  <c:v>Konsumtion</c:v>
                </c:pt>
              </c:strCache>
            </c:strRef>
          </c:tx>
          <c:spPr>
            <a:solidFill>
              <a:srgbClr val="CB4A64"/>
            </a:solidFill>
          </c:spPr>
          <c:invertIfNegative val="0"/>
          <c:cat>
            <c:numRef>
              <c:f>('19.1'!$B$5,'19.1'!$G$5,'19.1'!$L$5,'19.1'!$Q$5,'19.1'!$U$5)</c:f>
              <c:numCache>
                <c:formatCode>General</c:formatCode>
                <c:ptCount val="5"/>
                <c:pt idx="0">
                  <c:v>1995</c:v>
                </c:pt>
                <c:pt idx="1">
                  <c:v>2000</c:v>
                </c:pt>
                <c:pt idx="2">
                  <c:v>2005</c:v>
                </c:pt>
                <c:pt idx="3">
                  <c:v>2010</c:v>
                </c:pt>
                <c:pt idx="4">
                  <c:v>2014</c:v>
                </c:pt>
              </c:numCache>
            </c:numRef>
          </c:cat>
          <c:val>
            <c:numRef>
              <c:f>('19.1'!$B$8,'19.1'!$G$8,'19.1'!$L$8,'19.1'!$Q$8,'19.1'!$U$8)</c:f>
              <c:numCache>
                <c:formatCode>#,##0</c:formatCode>
                <c:ptCount val="5"/>
                <c:pt idx="0">
                  <c:v>117276</c:v>
                </c:pt>
                <c:pt idx="1">
                  <c:v>124156</c:v>
                </c:pt>
                <c:pt idx="2">
                  <c:v>149266.56</c:v>
                </c:pt>
                <c:pt idx="3">
                  <c:v>189698</c:v>
                </c:pt>
                <c:pt idx="4">
                  <c:v>214320.236</c:v>
                </c:pt>
              </c:numCache>
            </c:numRef>
          </c:val>
        </c:ser>
        <c:ser>
          <c:idx val="2"/>
          <c:order val="2"/>
          <c:tx>
            <c:strRef>
              <c:f>'19.1'!$A$9</c:f>
              <c:strCache>
                <c:ptCount val="1"/>
                <c:pt idx="0">
                  <c:v>Investeringar</c:v>
                </c:pt>
              </c:strCache>
            </c:strRef>
          </c:tx>
          <c:spPr>
            <a:solidFill>
              <a:srgbClr val="39B54A"/>
            </a:solidFill>
          </c:spPr>
          <c:invertIfNegative val="0"/>
          <c:cat>
            <c:numRef>
              <c:f>('19.1'!$B$5,'19.1'!$G$5,'19.1'!$L$5,'19.1'!$Q$5,'19.1'!$U$5)</c:f>
              <c:numCache>
                <c:formatCode>General</c:formatCode>
                <c:ptCount val="5"/>
                <c:pt idx="0">
                  <c:v>1995</c:v>
                </c:pt>
                <c:pt idx="1">
                  <c:v>2000</c:v>
                </c:pt>
                <c:pt idx="2">
                  <c:v>2005</c:v>
                </c:pt>
                <c:pt idx="3">
                  <c:v>2010</c:v>
                </c:pt>
                <c:pt idx="4">
                  <c:v>2014</c:v>
                </c:pt>
              </c:numCache>
            </c:numRef>
          </c:cat>
          <c:val>
            <c:numRef>
              <c:f>('19.1'!$B$9,'19.1'!$G$9,'19.1'!$L$9,'19.1'!$Q$9,'19.1'!$U$9)</c:f>
              <c:numCache>
                <c:formatCode>#,##0</c:formatCode>
                <c:ptCount val="5"/>
                <c:pt idx="0">
                  <c:v>33202</c:v>
                </c:pt>
                <c:pt idx="1">
                  <c:v>20701</c:v>
                </c:pt>
                <c:pt idx="2">
                  <c:v>23779.440000000002</c:v>
                </c:pt>
                <c:pt idx="3">
                  <c:v>27079</c:v>
                </c:pt>
                <c:pt idx="4">
                  <c:v>28977.786</c:v>
                </c:pt>
              </c:numCache>
            </c:numRef>
          </c:val>
        </c:ser>
        <c:ser>
          <c:idx val="3"/>
          <c:order val="3"/>
          <c:tx>
            <c:strRef>
              <c:f>'19.1'!$A$10</c:f>
              <c:strCache>
                <c:ptCount val="1"/>
                <c:pt idx="0">
                  <c:v>Räntor</c:v>
                </c:pt>
              </c:strCache>
            </c:strRef>
          </c:tx>
          <c:spPr>
            <a:solidFill>
              <a:srgbClr val="54735F"/>
            </a:solidFill>
          </c:spPr>
          <c:invertIfNegative val="0"/>
          <c:cat>
            <c:numRef>
              <c:f>('19.1'!$B$5,'19.1'!$G$5,'19.1'!$L$5,'19.1'!$Q$5,'19.1'!$U$5)</c:f>
              <c:numCache>
                <c:formatCode>General</c:formatCode>
                <c:ptCount val="5"/>
                <c:pt idx="0">
                  <c:v>1995</c:v>
                </c:pt>
                <c:pt idx="1">
                  <c:v>2000</c:v>
                </c:pt>
                <c:pt idx="2">
                  <c:v>2005</c:v>
                </c:pt>
                <c:pt idx="3">
                  <c:v>2010</c:v>
                </c:pt>
                <c:pt idx="4">
                  <c:v>2014</c:v>
                </c:pt>
              </c:numCache>
            </c:numRef>
          </c:cat>
          <c:val>
            <c:numRef>
              <c:f>('19.1'!$B$10,'19.1'!$G$10,'19.1'!$L$10,'19.1'!$Q$10,'19.1'!$U$10)</c:f>
              <c:numCache>
                <c:formatCode>#,##0</c:formatCode>
                <c:ptCount val="5"/>
                <c:pt idx="0">
                  <c:v>104749</c:v>
                </c:pt>
                <c:pt idx="1">
                  <c:v>96269</c:v>
                </c:pt>
                <c:pt idx="2">
                  <c:v>38933.24</c:v>
                </c:pt>
                <c:pt idx="3">
                  <c:v>29087</c:v>
                </c:pt>
                <c:pt idx="4">
                  <c:v>5588.558</c:v>
                </c:pt>
              </c:numCache>
            </c:numRef>
          </c:val>
        </c:ser>
        <c:ser>
          <c:idx val="4"/>
          <c:order val="4"/>
          <c:tx>
            <c:strRef>
              <c:f>'19.1'!$A$11</c:f>
              <c:strCache>
                <c:ptCount val="1"/>
                <c:pt idx="0">
                  <c:v>Övrigt finansiellt</c:v>
                </c:pt>
              </c:strCache>
            </c:strRef>
          </c:tx>
          <c:spPr>
            <a:solidFill>
              <a:srgbClr val="EC9526"/>
            </a:solidFill>
          </c:spPr>
          <c:invertIfNegative val="0"/>
          <c:cat>
            <c:numRef>
              <c:f>('19.1'!$B$5,'19.1'!$G$5,'19.1'!$L$5,'19.1'!$Q$5,'19.1'!$U$5)</c:f>
              <c:numCache>
                <c:formatCode>General</c:formatCode>
                <c:ptCount val="5"/>
                <c:pt idx="0">
                  <c:v>1995</c:v>
                </c:pt>
                <c:pt idx="1">
                  <c:v>2000</c:v>
                </c:pt>
                <c:pt idx="2">
                  <c:v>2005</c:v>
                </c:pt>
                <c:pt idx="3">
                  <c:v>2010</c:v>
                </c:pt>
                <c:pt idx="4">
                  <c:v>2014</c:v>
                </c:pt>
              </c:numCache>
            </c:numRef>
          </c:cat>
          <c:val>
            <c:numRef>
              <c:f>('19.1'!$B$11,'19.1'!$G$11,'19.1'!$L$11,'19.1'!$Q$11,'19.1'!$U$11)</c:f>
              <c:numCache>
                <c:formatCode>#,##0</c:formatCode>
                <c:ptCount val="5"/>
                <c:pt idx="0">
                  <c:v>1612</c:v>
                </c:pt>
                <c:pt idx="1">
                  <c:v>5616</c:v>
                </c:pt>
                <c:pt idx="2">
                  <c:v>6807.47</c:v>
                </c:pt>
                <c:pt idx="3">
                  <c:v>10500</c:v>
                </c:pt>
                <c:pt idx="4">
                  <c:v>10293.231</c:v>
                </c:pt>
              </c:numCache>
            </c:numRef>
          </c:val>
        </c:ser>
        <c:dLbls>
          <c:showLegendKey val="0"/>
          <c:showVal val="0"/>
          <c:showCatName val="0"/>
          <c:showSerName val="0"/>
          <c:showPercent val="0"/>
          <c:showBubbleSize val="0"/>
        </c:dLbls>
        <c:gapWidth val="150"/>
        <c:overlap val="100"/>
        <c:axId val="118552832"/>
        <c:axId val="118562816"/>
      </c:barChart>
      <c:catAx>
        <c:axId val="118552832"/>
        <c:scaling>
          <c:orientation val="minMax"/>
        </c:scaling>
        <c:delete val="0"/>
        <c:axPos val="b"/>
        <c:numFmt formatCode="General" sourceLinked="1"/>
        <c:majorTickMark val="out"/>
        <c:minorTickMark val="none"/>
        <c:tickLblPos val="nextTo"/>
        <c:crossAx val="118562816"/>
        <c:crosses val="autoZero"/>
        <c:auto val="1"/>
        <c:lblAlgn val="ctr"/>
        <c:lblOffset val="100"/>
        <c:noMultiLvlLbl val="0"/>
      </c:catAx>
      <c:valAx>
        <c:axId val="118562816"/>
        <c:scaling>
          <c:orientation val="minMax"/>
        </c:scaling>
        <c:delete val="0"/>
        <c:axPos val="l"/>
        <c:majorGridlines/>
        <c:numFmt formatCode="#,##0" sourceLinked="1"/>
        <c:majorTickMark val="out"/>
        <c:minorTickMark val="none"/>
        <c:tickLblPos val="nextTo"/>
        <c:crossAx val="1185528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43756104561001E-2"/>
          <c:y val="9.8246043641327677E-2"/>
          <c:w val="0.52388321830141604"/>
          <c:h val="0.79635867232413637"/>
        </c:manualLayout>
      </c:layout>
      <c:pieChart>
        <c:varyColors val="1"/>
        <c:ser>
          <c:idx val="0"/>
          <c:order val="0"/>
          <c:spPr>
            <a:ln>
              <a:solidFill>
                <a:schemeClr val="bg1"/>
              </a:solidFill>
            </a:ln>
          </c:spPr>
          <c:dLbls>
            <c:dLbl>
              <c:idx val="0"/>
              <c:layout/>
              <c:tx>
                <c:rich>
                  <a:bodyPr/>
                  <a:lstStyle/>
                  <a:p>
                    <a:r>
                      <a:rPr lang="en-US"/>
                      <a:t>Sjukdom och funktionshinder</a:t>
                    </a:r>
                  </a:p>
                </c:rich>
              </c:tx>
              <c:showLegendKey val="0"/>
              <c:showVal val="1"/>
              <c:showCatName val="0"/>
              <c:showSerName val="0"/>
              <c:showPercent val="0"/>
              <c:showBubbleSize val="0"/>
            </c:dLbl>
            <c:dLbl>
              <c:idx val="1"/>
              <c:layout/>
              <c:tx>
                <c:rich>
                  <a:bodyPr/>
                  <a:lstStyle/>
                  <a:p>
                    <a:r>
                      <a:rPr lang="en-US"/>
                      <a:t>Ålderdom</a:t>
                    </a:r>
                  </a:p>
                </c:rich>
              </c:tx>
              <c:showLegendKey val="0"/>
              <c:showVal val="1"/>
              <c:showCatName val="0"/>
              <c:showSerName val="0"/>
              <c:showPercent val="0"/>
              <c:showBubbleSize val="0"/>
            </c:dLbl>
            <c:dLbl>
              <c:idx val="2"/>
              <c:layout>
                <c:manualLayout>
                  <c:x val="2.708293728320171E-2"/>
                  <c:y val="-3.2524431786452222E-2"/>
                </c:manualLayout>
              </c:layout>
              <c:tx>
                <c:rich>
                  <a:bodyPr/>
                  <a:lstStyle/>
                  <a:p>
                    <a:r>
                      <a:rPr lang="en-US"/>
                      <a:t>Efterlevande</a:t>
                    </a:r>
                  </a:p>
                </c:rich>
              </c:tx>
              <c:showLegendKey val="0"/>
              <c:showVal val="1"/>
              <c:showCatName val="0"/>
              <c:showSerName val="0"/>
              <c:showPercent val="0"/>
              <c:showBubbleSize val="0"/>
            </c:dLbl>
            <c:dLbl>
              <c:idx val="3"/>
              <c:layout/>
              <c:tx>
                <c:rich>
                  <a:bodyPr/>
                  <a:lstStyle/>
                  <a:p>
                    <a:r>
                      <a:rPr lang="en-US"/>
                      <a:t>Familj</a:t>
                    </a:r>
                    <a:r>
                      <a:rPr lang="en-US" baseline="0"/>
                      <a:t> och barn</a:t>
                    </a:r>
                    <a:endParaRPr lang="en-US"/>
                  </a:p>
                </c:rich>
              </c:tx>
              <c:showLegendKey val="0"/>
              <c:showVal val="1"/>
              <c:showCatName val="0"/>
              <c:showSerName val="0"/>
              <c:showPercent val="0"/>
              <c:showBubbleSize val="0"/>
            </c:dLbl>
            <c:dLbl>
              <c:idx val="4"/>
              <c:layout/>
              <c:tx>
                <c:rich>
                  <a:bodyPr/>
                  <a:lstStyle/>
                  <a:p>
                    <a:r>
                      <a:rPr lang="en-US"/>
                      <a:t>Arbetslöshet</a:t>
                    </a:r>
                  </a:p>
                </c:rich>
              </c:tx>
              <c:showLegendKey val="0"/>
              <c:showVal val="1"/>
              <c:showCatName val="0"/>
              <c:showSerName val="0"/>
              <c:showPercent val="0"/>
              <c:showBubbleSize val="0"/>
            </c:dLbl>
            <c:dLbl>
              <c:idx val="5"/>
              <c:layout/>
              <c:tx>
                <c:rich>
                  <a:bodyPr/>
                  <a:lstStyle/>
                  <a:p>
                    <a:r>
                      <a:rPr lang="en-US"/>
                      <a:t>Boende</a:t>
                    </a:r>
                  </a:p>
                  <a:p>
                    <a:endParaRPr lang="en-US"/>
                  </a:p>
                </c:rich>
              </c:tx>
              <c:showLegendKey val="0"/>
              <c:showVal val="1"/>
              <c:showCatName val="0"/>
              <c:showSerName val="0"/>
              <c:showPercent val="0"/>
              <c:showBubbleSize val="0"/>
            </c:dLbl>
            <c:dLbl>
              <c:idx val="6"/>
              <c:layout/>
              <c:tx>
                <c:rich>
                  <a:bodyPr/>
                  <a:lstStyle/>
                  <a:p>
                    <a:r>
                      <a:rPr lang="en-US"/>
                      <a:t>Övrig</a:t>
                    </a:r>
                    <a:r>
                      <a:rPr lang="en-US" baseline="0"/>
                      <a:t> social utsatthet</a:t>
                    </a:r>
                  </a:p>
                  <a:p>
                    <a:endParaRPr lang="en-US"/>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'[2]Diagram 22'!$R$6:$R$12</c:f>
              <c:strCache>
                <c:ptCount val="7"/>
                <c:pt idx="0">
                  <c:v>Sjukdom och funktionshinder 41%</c:v>
                </c:pt>
                <c:pt idx="1">
                  <c:v>Ålderdom 11%</c:v>
                </c:pt>
                <c:pt idx="2">
                  <c:v>Efterlevande 5%</c:v>
                </c:pt>
                <c:pt idx="3">
                  <c:v>Familj och barn 25%</c:v>
                </c:pt>
                <c:pt idx="4">
                  <c:v>Arbetslöshet 12%</c:v>
                </c:pt>
                <c:pt idx="5">
                  <c:v>Boende 5%</c:v>
                </c:pt>
                <c:pt idx="6">
                  <c:v>Övrig social utsatthet 1%</c:v>
                </c:pt>
              </c:strCache>
            </c:strRef>
          </c:cat>
          <c:val>
            <c:numRef>
              <c:f>'[2]Diagram 22'!$S$6:$S$12</c:f>
              <c:numCache>
                <c:formatCode>General</c:formatCode>
                <c:ptCount val="7"/>
                <c:pt idx="0">
                  <c:v>108357.64747700001</c:v>
                </c:pt>
                <c:pt idx="1">
                  <c:v>29364.736144999999</c:v>
                </c:pt>
                <c:pt idx="2">
                  <c:v>13911.687005</c:v>
                </c:pt>
                <c:pt idx="3">
                  <c:v>65068.452426000003</c:v>
                </c:pt>
                <c:pt idx="4">
                  <c:v>30885.205215999998</c:v>
                </c:pt>
                <c:pt idx="5">
                  <c:v>14174.570285</c:v>
                </c:pt>
                <c:pt idx="6">
                  <c:v>2984.490765</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1920294485872329"/>
          <c:y val="0.1549109286871056"/>
          <c:w val="0.35835908751479106"/>
          <c:h val="0.72563864102568965"/>
        </c:manualLayout>
      </c:layout>
      <c:overlay val="0"/>
    </c:legend>
    <c:plotVisOnly val="1"/>
    <c:dispBlanksAs val="gap"/>
    <c:showDLblsOverMax val="0"/>
  </c:chart>
  <c:spPr>
    <a:ln>
      <a:solidFill>
        <a:schemeClr val="accent1"/>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3</xdr:row>
      <xdr:rowOff>142875</xdr:rowOff>
    </xdr:from>
    <xdr:to>
      <xdr:col>13</xdr:col>
      <xdr:colOff>19050</xdr:colOff>
      <xdr:row>24</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0.1102</cdr:x>
      <cdr:y>0.07602</cdr:y>
    </cdr:to>
    <cdr:sp macro="" textlink="">
      <cdr:nvSpPr>
        <cdr:cNvPr id="3" name="textruta 2"/>
        <cdr:cNvSpPr txBox="1"/>
      </cdr:nvSpPr>
      <cdr:spPr>
        <a:xfrm xmlns:a="http://schemas.openxmlformats.org/drawingml/2006/main">
          <a:off x="0" y="57150"/>
          <a:ext cx="63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Mkr</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114300</xdr:colOff>
      <xdr:row>69</xdr:row>
      <xdr:rowOff>66675</xdr:rowOff>
    </xdr:from>
    <xdr:to>
      <xdr:col>22</xdr:col>
      <xdr:colOff>57150</xdr:colOff>
      <xdr:row>80</xdr:row>
      <xdr:rowOff>0</xdr:rowOff>
    </xdr:to>
    <xdr:sp macro="" textlink="">
      <xdr:nvSpPr>
        <xdr:cNvPr id="2" name="textruta 1"/>
        <xdr:cNvSpPr txBox="1"/>
      </xdr:nvSpPr>
      <xdr:spPr>
        <a:xfrm>
          <a:off x="200025" y="10972800"/>
          <a:ext cx="8677275" cy="174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80</xdr:row>
      <xdr:rowOff>0</xdr:rowOff>
    </xdr:from>
    <xdr:ext cx="8734425" cy="9477375"/>
    <xdr:sp macro="" textlink="">
      <xdr:nvSpPr>
        <xdr:cNvPr id="3" name="textruta 2"/>
        <xdr:cNvSpPr txBox="1"/>
      </xdr:nvSpPr>
      <xdr:spPr>
        <a:xfrm>
          <a:off x="123824" y="13011150"/>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69</xdr:row>
      <xdr:rowOff>66675</xdr:rowOff>
    </xdr:from>
    <xdr:to>
      <xdr:col>22</xdr:col>
      <xdr:colOff>57150</xdr:colOff>
      <xdr:row>80</xdr:row>
      <xdr:rowOff>0</xdr:rowOff>
    </xdr:to>
    <xdr:sp macro="" textlink="">
      <xdr:nvSpPr>
        <xdr:cNvPr id="4" name="textruta 3"/>
        <xdr:cNvSpPr txBox="1"/>
      </xdr:nvSpPr>
      <xdr:spPr>
        <a:xfrm>
          <a:off x="200025" y="11296650"/>
          <a:ext cx="8677275"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80</xdr:row>
      <xdr:rowOff>0</xdr:rowOff>
    </xdr:from>
    <xdr:ext cx="8734425" cy="9477375"/>
    <xdr:sp macro="" textlink="">
      <xdr:nvSpPr>
        <xdr:cNvPr id="5" name="textruta 4"/>
        <xdr:cNvSpPr txBox="1"/>
      </xdr:nvSpPr>
      <xdr:spPr>
        <a:xfrm>
          <a:off x="123824" y="13011150"/>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228600</xdr:colOff>
      <xdr:row>5</xdr:row>
      <xdr:rowOff>19050</xdr:rowOff>
    </xdr:from>
    <xdr:to>
      <xdr:col>8</xdr:col>
      <xdr:colOff>523875</xdr:colOff>
      <xdr:row>22</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5</xdr:row>
      <xdr:rowOff>161924</xdr:rowOff>
    </xdr:from>
    <xdr:to>
      <xdr:col>10</xdr:col>
      <xdr:colOff>381000</xdr:colOff>
      <xdr:row>27</xdr:row>
      <xdr:rowOff>152399</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B\Tidsserier%20tom%202014\Annika\Tabell_1-26_2012_att%20utg&#229;%20fr&#229;n%202013_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B\Tidsserier%20tom%202014\Annika\Tabell_1-26_2014_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6.1"/>
      <sheetName val="6.2"/>
      <sheetName val="7"/>
      <sheetName val="7.1"/>
      <sheetName val="7.2"/>
      <sheetName val="7.3"/>
      <sheetName val="8"/>
      <sheetName val="9"/>
      <sheetName val="10"/>
      <sheetName val="10.1"/>
      <sheetName val="10.2"/>
      <sheetName val="10.3"/>
      <sheetName val="11"/>
      <sheetName val="12"/>
      <sheetName val="13.1"/>
      <sheetName val="13.2"/>
      <sheetName val="14.1"/>
      <sheetName val="14.2"/>
      <sheetName val="15.1"/>
      <sheetName val="15.2"/>
      <sheetName val="16"/>
      <sheetName val="16.1"/>
      <sheetName val="16.2"/>
      <sheetName val="16.3"/>
      <sheetName val="16.4"/>
      <sheetName val="16.5"/>
      <sheetName val="16.6"/>
      <sheetName val="16.7"/>
      <sheetName val="16.8"/>
      <sheetName val="16.9"/>
      <sheetName val="16.10"/>
      <sheetName val="16.11"/>
      <sheetName val="16.12"/>
      <sheetName val="16.13"/>
      <sheetName val="16.14"/>
      <sheetName val="17"/>
      <sheetName val="17.1"/>
      <sheetName val="17.2"/>
      <sheetName val="17.3"/>
      <sheetName val="17.4"/>
      <sheetName val="17.5"/>
      <sheetName val="17.6"/>
      <sheetName val="17.7"/>
      <sheetName val="17.8"/>
      <sheetName val="17.9"/>
      <sheetName val="17.10"/>
      <sheetName val="17.11"/>
      <sheetName val="17.12"/>
      <sheetName val="17.13"/>
      <sheetName val="17.14"/>
      <sheetName val="18.1"/>
      <sheetName val="18.2"/>
      <sheetName val="18.3."/>
      <sheetName val="18.4."/>
      <sheetName val="18.5."/>
      <sheetName val="18.6."/>
      <sheetName val="18.7"/>
      <sheetName val="18.8"/>
      <sheetName val="18.9"/>
      <sheetName val="18.10"/>
      <sheetName val="18.11"/>
      <sheetName val="18.12"/>
      <sheetName val="18.13"/>
      <sheetName val="18.14"/>
      <sheetName val="19"/>
      <sheetName val="19.1"/>
      <sheetName val="20"/>
      <sheetName val="21.1"/>
      <sheetName val="21.2"/>
      <sheetName val="22.1"/>
      <sheetName val="22.2"/>
      <sheetName val="23.1"/>
      <sheetName val="23.2"/>
      <sheetName val="24"/>
      <sheetName val="25"/>
      <sheetName val="26"/>
    </sheetNames>
    <sheetDataSet>
      <sheetData sheetId="0" refreshError="1"/>
      <sheetData sheetId="1">
        <row r="8">
          <cell r="X8">
            <v>1997</v>
          </cell>
          <cell r="Y8">
            <v>1998</v>
          </cell>
          <cell r="Z8">
            <v>1999</v>
          </cell>
          <cell r="AA8">
            <v>2000</v>
          </cell>
          <cell r="AB8">
            <v>2001</v>
          </cell>
          <cell r="AC8">
            <v>2002</v>
          </cell>
          <cell r="AD8">
            <v>2003</v>
          </cell>
          <cell r="AE8">
            <v>2004</v>
          </cell>
          <cell r="AF8">
            <v>2005</v>
          </cell>
          <cell r="AG8">
            <v>2006</v>
          </cell>
          <cell r="AH8">
            <v>2007</v>
          </cell>
          <cell r="AI8">
            <v>2008</v>
          </cell>
          <cell r="AJ8">
            <v>2009</v>
          </cell>
          <cell r="AK8">
            <v>2010</v>
          </cell>
          <cell r="AL8">
            <v>2011</v>
          </cell>
          <cell r="AM8">
            <v>2012</v>
          </cell>
          <cell r="AN8">
            <v>2013</v>
          </cell>
          <cell r="AO8">
            <v>2014</v>
          </cell>
        </row>
        <row r="9">
          <cell r="W9" t="str">
            <v>Takbegränsade utgifter</v>
          </cell>
          <cell r="X9">
            <v>698892</v>
          </cell>
          <cell r="Y9">
            <v>718029</v>
          </cell>
          <cell r="Z9">
            <v>751530.95989000006</v>
          </cell>
          <cell r="AA9">
            <v>760010.44418000011</v>
          </cell>
          <cell r="AB9">
            <v>786284.15978999995</v>
          </cell>
          <cell r="AC9">
            <v>811637.10352539993</v>
          </cell>
          <cell r="AD9">
            <v>819076.75723650004</v>
          </cell>
          <cell r="AE9">
            <v>855546.39875000005</v>
          </cell>
          <cell r="AF9">
            <v>864331.80503000005</v>
          </cell>
          <cell r="AG9">
            <v>895203.38610089989</v>
          </cell>
          <cell r="AH9">
            <v>910143.929</v>
          </cell>
          <cell r="AI9">
            <v>943443</v>
          </cell>
          <cell r="AJ9">
            <v>964609</v>
          </cell>
          <cell r="AK9">
            <v>985925</v>
          </cell>
          <cell r="AL9">
            <v>988990</v>
          </cell>
          <cell r="AM9">
            <v>1022184</v>
          </cell>
          <cell r="AN9">
            <v>1066231.514</v>
          </cell>
          <cell r="AO9">
            <v>1095534.0007857201</v>
          </cell>
        </row>
        <row r="10">
          <cell r="W10" t="str">
            <v>Marginal till utgiftstaket</v>
          </cell>
          <cell r="X10">
            <v>24108</v>
          </cell>
          <cell r="Y10">
            <v>1971</v>
          </cell>
          <cell r="Z10">
            <v>1469.0401099999435</v>
          </cell>
          <cell r="AA10">
            <v>4989.5558199998923</v>
          </cell>
          <cell r="AB10">
            <v>4715.840210000053</v>
          </cell>
          <cell r="AC10">
            <v>362.89647460007109</v>
          </cell>
          <cell r="AD10">
            <v>2923.2427634999622</v>
          </cell>
          <cell r="AE10">
            <v>2453.6012499999488</v>
          </cell>
          <cell r="AF10">
            <v>5668.1949699999532</v>
          </cell>
          <cell r="AG10">
            <v>11796.613899100106</v>
          </cell>
          <cell r="AH10">
            <v>27856.070999999996</v>
          </cell>
          <cell r="AI10">
            <v>13557</v>
          </cell>
          <cell r="AJ10">
            <v>24391</v>
          </cell>
          <cell r="AK10">
            <v>38075</v>
          </cell>
          <cell r="AL10">
            <v>74010</v>
          </cell>
          <cell r="AM10">
            <v>61816</v>
          </cell>
          <cell r="AN10">
            <v>28768.486000000034</v>
          </cell>
          <cell r="AO10">
            <v>11465.999214279931</v>
          </cell>
        </row>
        <row r="11">
          <cell r="W11" t="str">
            <v>Utgiftstak för staten</v>
          </cell>
          <cell r="X11">
            <v>723000</v>
          </cell>
          <cell r="Y11">
            <v>720000</v>
          </cell>
          <cell r="Z11">
            <v>753000</v>
          </cell>
          <cell r="AA11">
            <v>765000</v>
          </cell>
          <cell r="AB11">
            <v>791000</v>
          </cell>
          <cell r="AC11">
            <v>812000</v>
          </cell>
          <cell r="AD11">
            <v>822000</v>
          </cell>
          <cell r="AE11">
            <v>858000</v>
          </cell>
          <cell r="AF11">
            <v>870000</v>
          </cell>
          <cell r="AG11">
            <v>907000</v>
          </cell>
          <cell r="AH11">
            <v>938000</v>
          </cell>
          <cell r="AI11">
            <v>957000</v>
          </cell>
          <cell r="AJ11">
            <v>989000</v>
          </cell>
          <cell r="AK11">
            <v>1024000</v>
          </cell>
          <cell r="AL11">
            <v>1063000</v>
          </cell>
          <cell r="AM11">
            <v>1084000</v>
          </cell>
          <cell r="AN11">
            <v>1095000</v>
          </cell>
          <cell r="AO11">
            <v>1107000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Diagram 2"/>
      <sheetName val="3"/>
      <sheetName val="4"/>
      <sheetName val="5"/>
      <sheetName val="6.1"/>
      <sheetName val="6.2"/>
      <sheetName val="6.3"/>
      <sheetName val="7.1"/>
      <sheetName val="7.2"/>
      <sheetName val="7.3"/>
      <sheetName val="7.4"/>
      <sheetName val="8.1"/>
      <sheetName val="8.2"/>
      <sheetName val="9.1"/>
      <sheetName val="9.2"/>
      <sheetName val="10.1"/>
      <sheetName val="10.2"/>
      <sheetName val="10.3"/>
      <sheetName val="10.4"/>
      <sheetName val="10.5"/>
      <sheetName val="11.1"/>
      <sheetName val="11.2"/>
      <sheetName val="12.1"/>
      <sheetName val="12.2"/>
      <sheetName val="13.1"/>
      <sheetName val="13.2"/>
      <sheetName val="14.1"/>
      <sheetName val="14.2"/>
      <sheetName val="15.1"/>
      <sheetName val="15.2"/>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8.1"/>
      <sheetName val="18.2"/>
      <sheetName val="18.3"/>
      <sheetName val="18.4"/>
      <sheetName val="18.5"/>
      <sheetName val="18.6"/>
      <sheetName val="18.7"/>
      <sheetName val="18.8"/>
      <sheetName val="18.9"/>
      <sheetName val="18.10"/>
      <sheetName val="18.11"/>
      <sheetName val="18.12"/>
      <sheetName val="18.13"/>
      <sheetName val="18.14"/>
      <sheetName val="18.15"/>
      <sheetName val="19.1"/>
      <sheetName val="19.2"/>
      <sheetName val="Diagram 19"/>
      <sheetName val="20"/>
      <sheetName val="21.1"/>
      <sheetName val="21.2"/>
      <sheetName val="22.1"/>
      <sheetName val="22.2"/>
      <sheetName val="Diagram 22"/>
      <sheetName val="23.1"/>
      <sheetName val="23.2"/>
      <sheetName val="24.1"/>
      <sheetName val="24.2"/>
      <sheetName val="25"/>
      <sheetName val="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6">
          <cell r="R6" t="str">
            <v>Sjukdom och funktionshinder 41%</v>
          </cell>
          <cell r="S6">
            <v>108357.64747700001</v>
          </cell>
        </row>
        <row r="7">
          <cell r="R7" t="str">
            <v>Ålderdom 11%</v>
          </cell>
          <cell r="S7">
            <v>29364.736144999999</v>
          </cell>
        </row>
        <row r="8">
          <cell r="R8" t="str">
            <v>Efterlevande 5%</v>
          </cell>
          <cell r="S8">
            <v>13911.687005</v>
          </cell>
        </row>
        <row r="9">
          <cell r="R9" t="str">
            <v>Familj och barn 25%</v>
          </cell>
          <cell r="S9">
            <v>65068.452426000003</v>
          </cell>
        </row>
        <row r="10">
          <cell r="R10" t="str">
            <v>Arbetslöshet 12%</v>
          </cell>
          <cell r="S10">
            <v>30885.205215999998</v>
          </cell>
        </row>
        <row r="11">
          <cell r="R11" t="str">
            <v>Boende 5%</v>
          </cell>
          <cell r="S11">
            <v>14174.570285</v>
          </cell>
        </row>
        <row r="12">
          <cell r="R12" t="str">
            <v>Övrig social utsatthet 1%</v>
          </cell>
          <cell r="S12">
            <v>2984.490765</v>
          </cell>
        </row>
      </sheetData>
      <sheetData sheetId="88" refreshError="1"/>
      <sheetData sheetId="89" refreshError="1"/>
      <sheetData sheetId="90" refreshError="1"/>
      <sheetData sheetId="91" refreshError="1"/>
      <sheetData sheetId="92" refreshError="1"/>
      <sheetData sheetId="93"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abSelected="1" workbookViewId="0">
      <selection activeCell="F49" sqref="F49"/>
    </sheetView>
  </sheetViews>
  <sheetFormatPr defaultRowHeight="12.75"/>
  <cols>
    <col min="1" max="1" width="7.83203125" style="443" customWidth="1"/>
    <col min="2" max="2" width="10.83203125" style="443" bestFit="1" customWidth="1"/>
    <col min="3" max="5" width="9.33203125" style="443"/>
    <col min="6" max="6" width="1.83203125" style="443" bestFit="1" customWidth="1"/>
    <col min="7" max="7" width="10.6640625" style="443" bestFit="1" customWidth="1"/>
    <col min="8" max="8" width="1.83203125" style="443" bestFit="1" customWidth="1"/>
    <col min="9" max="9" width="9.33203125" style="443"/>
    <col min="10" max="10" width="1.83203125" style="443" bestFit="1" customWidth="1"/>
    <col min="11" max="11" width="14.6640625" style="443" bestFit="1" customWidth="1"/>
    <col min="12" max="12" width="1.83203125" style="443" bestFit="1" customWidth="1"/>
    <col min="13" max="16384" width="9.33203125" style="443"/>
  </cols>
  <sheetData>
    <row r="1" spans="1:13">
      <c r="A1" s="639" t="s">
        <v>406</v>
      </c>
      <c r="B1" s="640"/>
      <c r="C1" s="640"/>
      <c r="D1" s="640"/>
      <c r="E1" s="640"/>
      <c r="F1" s="640"/>
      <c r="G1" s="640"/>
      <c r="H1" s="640"/>
      <c r="I1" s="640"/>
      <c r="J1" s="640"/>
      <c r="K1" s="640"/>
      <c r="L1" s="640"/>
      <c r="M1" s="640"/>
    </row>
    <row r="2" spans="1:13">
      <c r="A2" s="639" t="s">
        <v>1672</v>
      </c>
      <c r="B2" s="640"/>
      <c r="C2" s="640"/>
      <c r="D2" s="640"/>
      <c r="E2" s="640"/>
      <c r="F2" s="640"/>
      <c r="G2" s="640"/>
      <c r="H2" s="640"/>
      <c r="I2" s="640"/>
      <c r="J2" s="640"/>
      <c r="K2" s="640"/>
      <c r="L2" s="640"/>
      <c r="M2" s="640"/>
    </row>
    <row r="3" spans="1:13">
      <c r="A3" s="639" t="s">
        <v>2001</v>
      </c>
      <c r="B3" s="640"/>
      <c r="C3" s="640"/>
      <c r="D3" s="640"/>
      <c r="E3" s="640"/>
      <c r="F3" s="640"/>
      <c r="G3" s="640"/>
      <c r="H3" s="640"/>
      <c r="I3" s="640"/>
      <c r="J3" s="640"/>
      <c r="K3" s="640"/>
      <c r="L3" s="640"/>
      <c r="M3" s="640"/>
    </row>
    <row r="4" spans="1:13">
      <c r="A4" s="640" t="s">
        <v>2002</v>
      </c>
      <c r="B4" s="640"/>
      <c r="C4" s="640"/>
      <c r="D4" s="640"/>
      <c r="E4" s="640"/>
      <c r="F4" s="640"/>
      <c r="G4" s="640"/>
      <c r="H4" s="640"/>
      <c r="I4" s="640"/>
      <c r="J4" s="640"/>
      <c r="K4" s="640"/>
      <c r="L4" s="640"/>
      <c r="M4" s="640"/>
    </row>
    <row r="5" spans="1:13" ht="13.5" thickBot="1">
      <c r="A5" s="640"/>
      <c r="B5" s="640"/>
      <c r="C5" s="640"/>
      <c r="D5" s="640"/>
      <c r="E5" s="640"/>
      <c r="F5" s="641"/>
      <c r="G5" s="640"/>
      <c r="H5" s="641"/>
      <c r="I5" s="640"/>
      <c r="J5" s="640"/>
      <c r="K5" s="640"/>
      <c r="L5" s="640"/>
      <c r="M5" s="640"/>
    </row>
    <row r="6" spans="1:13" ht="22.5">
      <c r="A6" s="642" t="s">
        <v>1753</v>
      </c>
      <c r="B6" s="643" t="s">
        <v>1465</v>
      </c>
      <c r="C6" s="643" t="s">
        <v>1466</v>
      </c>
      <c r="D6" s="644" t="s">
        <v>645</v>
      </c>
      <c r="E6" s="643" t="s">
        <v>1467</v>
      </c>
      <c r="F6" s="640"/>
      <c r="G6" s="643" t="s">
        <v>1468</v>
      </c>
      <c r="H6" s="645"/>
      <c r="I6" s="643" t="s">
        <v>1469</v>
      </c>
      <c r="J6" s="646"/>
      <c r="K6" s="647" t="s">
        <v>1469</v>
      </c>
      <c r="L6" s="640"/>
      <c r="M6" s="640"/>
    </row>
    <row r="7" spans="1:13" ht="13.5" thickBot="1">
      <c r="A7" s="648"/>
      <c r="B7" s="649"/>
      <c r="C7" s="649"/>
      <c r="D7" s="649"/>
      <c r="E7" s="649" t="s">
        <v>1470</v>
      </c>
      <c r="F7" s="650" t="s">
        <v>1471</v>
      </c>
      <c r="G7" s="649" t="s">
        <v>1472</v>
      </c>
      <c r="H7" s="650" t="s">
        <v>439</v>
      </c>
      <c r="I7" s="649" t="s">
        <v>440</v>
      </c>
      <c r="J7" s="650" t="s">
        <v>654</v>
      </c>
      <c r="K7" s="649" t="s">
        <v>925</v>
      </c>
      <c r="L7" s="651" t="s">
        <v>1493</v>
      </c>
      <c r="M7" s="640"/>
    </row>
    <row r="8" spans="1:13">
      <c r="A8" s="652" t="s">
        <v>441</v>
      </c>
      <c r="B8" s="640">
        <v>12.7</v>
      </c>
      <c r="C8" s="653">
        <v>14</v>
      </c>
      <c r="D8" s="654">
        <v>0.56899999999999995</v>
      </c>
      <c r="E8" s="655">
        <v>-1.1000000000000001</v>
      </c>
      <c r="F8" s="655"/>
      <c r="G8" s="655" t="s">
        <v>442</v>
      </c>
      <c r="H8" s="655"/>
      <c r="I8" s="655">
        <v>19.100000000000001</v>
      </c>
      <c r="J8" s="640"/>
      <c r="K8" s="640"/>
      <c r="L8" s="654"/>
      <c r="M8" s="640"/>
    </row>
    <row r="9" spans="1:13">
      <c r="A9" s="652" t="s">
        <v>443</v>
      </c>
      <c r="B9" s="640">
        <v>13.2</v>
      </c>
      <c r="C9" s="655">
        <v>14.7</v>
      </c>
      <c r="D9" s="656">
        <v>0.59899999999999998</v>
      </c>
      <c r="E9" s="655">
        <v>-1.4</v>
      </c>
      <c r="F9" s="655"/>
      <c r="G9" s="655" t="s">
        <v>442</v>
      </c>
      <c r="H9" s="655"/>
      <c r="I9" s="655">
        <v>19.899999999999999</v>
      </c>
      <c r="J9" s="640"/>
      <c r="K9" s="640"/>
      <c r="L9" s="656"/>
      <c r="M9" s="640"/>
    </row>
    <row r="10" spans="1:13">
      <c r="A10" s="652" t="s">
        <v>444</v>
      </c>
      <c r="B10" s="640">
        <v>14.4</v>
      </c>
      <c r="C10" s="655">
        <v>16.2</v>
      </c>
      <c r="D10" s="656">
        <v>0.73599999999999999</v>
      </c>
      <c r="E10" s="655">
        <v>-1.6</v>
      </c>
      <c r="F10" s="655"/>
      <c r="G10" s="655" t="s">
        <v>442</v>
      </c>
      <c r="H10" s="655"/>
      <c r="I10" s="655">
        <v>21.8</v>
      </c>
      <c r="J10" s="640"/>
      <c r="K10" s="640"/>
      <c r="L10" s="656"/>
      <c r="M10" s="640"/>
    </row>
    <row r="11" spans="1:13">
      <c r="A11" s="652" t="s">
        <v>445</v>
      </c>
      <c r="B11" s="640">
        <v>17.5</v>
      </c>
      <c r="C11" s="655">
        <v>17.100000000000001</v>
      </c>
      <c r="D11" s="656">
        <v>0.86399999999999999</v>
      </c>
      <c r="E11" s="655">
        <v>0.39999999999999858</v>
      </c>
      <c r="F11" s="655"/>
      <c r="G11" s="655" t="s">
        <v>442</v>
      </c>
      <c r="H11" s="655"/>
      <c r="I11" s="655">
        <v>22.8</v>
      </c>
      <c r="J11" s="640"/>
      <c r="K11" s="640"/>
      <c r="L11" s="656"/>
      <c r="M11" s="640"/>
    </row>
    <row r="12" spans="1:13">
      <c r="A12" s="652" t="s">
        <v>446</v>
      </c>
      <c r="B12" s="640">
        <v>18.899999999999999</v>
      </c>
      <c r="C12" s="655">
        <v>18.399999999999999</v>
      </c>
      <c r="D12" s="656">
        <v>0.871</v>
      </c>
      <c r="E12" s="655">
        <v>0.5</v>
      </c>
      <c r="F12" s="655"/>
      <c r="G12" s="655" t="s">
        <v>442</v>
      </c>
      <c r="H12" s="655"/>
      <c r="I12" s="655">
        <v>22.4</v>
      </c>
      <c r="J12" s="640"/>
      <c r="K12" s="640"/>
      <c r="L12" s="656"/>
      <c r="M12" s="640"/>
    </row>
    <row r="13" spans="1:13">
      <c r="A13" s="652" t="s">
        <v>447</v>
      </c>
      <c r="B13" s="653">
        <v>21</v>
      </c>
      <c r="C13" s="655">
        <v>20.6</v>
      </c>
      <c r="D13" s="656">
        <v>0.76800000000000002</v>
      </c>
      <c r="E13" s="655">
        <v>0.3</v>
      </c>
      <c r="F13" s="655"/>
      <c r="G13" s="655" t="s">
        <v>442</v>
      </c>
      <c r="H13" s="655"/>
      <c r="I13" s="655">
        <v>21.3</v>
      </c>
      <c r="J13" s="640"/>
      <c r="K13" s="640"/>
      <c r="L13" s="656"/>
      <c r="M13" s="640"/>
    </row>
    <row r="14" spans="1:13">
      <c r="A14" s="652" t="s">
        <v>448</v>
      </c>
      <c r="B14" s="653">
        <v>22</v>
      </c>
      <c r="C14" s="653">
        <v>22</v>
      </c>
      <c r="D14" s="654">
        <v>0.79200000000000004</v>
      </c>
      <c r="E14" s="655">
        <v>-0.1</v>
      </c>
      <c r="F14" s="655"/>
      <c r="G14" s="655" t="s">
        <v>442</v>
      </c>
      <c r="H14" s="655"/>
      <c r="I14" s="655">
        <v>21.5</v>
      </c>
      <c r="J14" s="640"/>
      <c r="K14" s="640"/>
      <c r="L14" s="654"/>
      <c r="M14" s="640"/>
    </row>
    <row r="15" spans="1:13">
      <c r="A15" s="652" t="s">
        <v>1426</v>
      </c>
      <c r="B15" s="640">
        <v>25.6</v>
      </c>
      <c r="C15" s="655">
        <v>25.7</v>
      </c>
      <c r="D15" s="656">
        <v>0.84899999999999998</v>
      </c>
      <c r="E15" s="655">
        <v>-0.2</v>
      </c>
      <c r="F15" s="655"/>
      <c r="G15" s="655" t="s">
        <v>442</v>
      </c>
      <c r="H15" s="655"/>
      <c r="I15" s="655">
        <v>21.8</v>
      </c>
      <c r="J15" s="640"/>
      <c r="K15" s="640"/>
      <c r="L15" s="656"/>
      <c r="M15" s="640"/>
    </row>
    <row r="16" spans="1:13">
      <c r="A16" s="652" t="s">
        <v>1427</v>
      </c>
      <c r="B16" s="640">
        <v>29.2</v>
      </c>
      <c r="C16" s="655">
        <v>29.6</v>
      </c>
      <c r="D16" s="656">
        <v>0.88500000000000001</v>
      </c>
      <c r="E16" s="655">
        <v>-0.40000000000000213</v>
      </c>
      <c r="F16" s="655"/>
      <c r="G16" s="655" t="s">
        <v>442</v>
      </c>
      <c r="H16" s="655"/>
      <c r="I16" s="655">
        <v>21.5</v>
      </c>
      <c r="J16" s="640"/>
      <c r="K16" s="640"/>
      <c r="L16" s="656"/>
      <c r="M16" s="640"/>
    </row>
    <row r="17" spans="1:13">
      <c r="A17" s="652" t="s">
        <v>1428</v>
      </c>
      <c r="B17" s="640">
        <v>31.7</v>
      </c>
      <c r="C17" s="655">
        <v>33.4</v>
      </c>
      <c r="D17" s="656">
        <v>0.91900000000000004</v>
      </c>
      <c r="E17" s="655">
        <v>-1.6</v>
      </c>
      <c r="F17" s="655"/>
      <c r="G17" s="655" t="s">
        <v>442</v>
      </c>
      <c r="H17" s="655"/>
      <c r="I17" s="655">
        <v>23.2</v>
      </c>
      <c r="J17" s="640"/>
      <c r="K17" s="640"/>
      <c r="L17" s="656"/>
      <c r="M17" s="640"/>
    </row>
    <row r="18" spans="1:13">
      <c r="A18" s="652" t="s">
        <v>1429</v>
      </c>
      <c r="B18" s="640">
        <v>33.4</v>
      </c>
      <c r="C18" s="655">
        <v>36.299999999999997</v>
      </c>
      <c r="D18" s="656">
        <v>1.075</v>
      </c>
      <c r="E18" s="655">
        <v>-2.8999999999999986</v>
      </c>
      <c r="F18" s="655"/>
      <c r="G18" s="655" t="s">
        <v>442</v>
      </c>
      <c r="H18" s="655"/>
      <c r="I18" s="655">
        <v>25.8</v>
      </c>
      <c r="J18" s="640"/>
      <c r="K18" s="640"/>
      <c r="L18" s="656"/>
      <c r="M18" s="640"/>
    </row>
    <row r="19" spans="1:13">
      <c r="A19" s="652" t="s">
        <v>1430</v>
      </c>
      <c r="B19" s="640">
        <v>36.200000000000003</v>
      </c>
      <c r="C19" s="655">
        <v>38.9</v>
      </c>
      <c r="D19" s="656">
        <v>1.2969999999999999</v>
      </c>
      <c r="E19" s="655">
        <v>-2.6</v>
      </c>
      <c r="F19" s="655"/>
      <c r="G19" s="655" t="s">
        <v>442</v>
      </c>
      <c r="H19" s="655"/>
      <c r="I19" s="655">
        <v>29.4</v>
      </c>
      <c r="J19" s="640"/>
      <c r="K19" s="640"/>
      <c r="L19" s="656"/>
      <c r="M19" s="640"/>
    </row>
    <row r="20" spans="1:13">
      <c r="A20" s="652" t="s">
        <v>1431</v>
      </c>
      <c r="B20" s="640">
        <v>40.4</v>
      </c>
      <c r="C20" s="655">
        <v>44.2</v>
      </c>
      <c r="D20" s="656">
        <v>1.679</v>
      </c>
      <c r="E20" s="655">
        <v>-3.8000000000000043</v>
      </c>
      <c r="F20" s="655"/>
      <c r="G20" s="655" t="s">
        <v>442</v>
      </c>
      <c r="H20" s="655"/>
      <c r="I20" s="655">
        <v>39.9</v>
      </c>
      <c r="J20" s="640"/>
      <c r="K20" s="640"/>
      <c r="L20" s="656"/>
      <c r="M20" s="640"/>
    </row>
    <row r="21" spans="1:13">
      <c r="A21" s="652">
        <v>1970</v>
      </c>
      <c r="B21" s="640">
        <v>42.3</v>
      </c>
      <c r="C21" s="640">
        <v>45.6</v>
      </c>
      <c r="D21" s="657">
        <v>1.774</v>
      </c>
      <c r="E21" s="640">
        <v>-3.3</v>
      </c>
      <c r="F21" s="640"/>
      <c r="G21" s="655" t="s">
        <v>442</v>
      </c>
      <c r="H21" s="655"/>
      <c r="I21" s="657">
        <v>36.155000000000001</v>
      </c>
      <c r="J21" s="640"/>
      <c r="K21" s="640"/>
      <c r="L21" s="657"/>
      <c r="M21" s="640"/>
    </row>
    <row r="22" spans="1:13">
      <c r="A22" s="652">
        <v>1971</v>
      </c>
      <c r="B22" s="640">
        <v>48.4</v>
      </c>
      <c r="C22" s="640">
        <v>51.6</v>
      </c>
      <c r="D22" s="657">
        <v>1.9890000000000001</v>
      </c>
      <c r="E22" s="640">
        <v>-3.2</v>
      </c>
      <c r="F22" s="640"/>
      <c r="G22" s="655" t="s">
        <v>442</v>
      </c>
      <c r="H22" s="655"/>
      <c r="I22" s="657">
        <v>38.786000000000001</v>
      </c>
      <c r="J22" s="640"/>
      <c r="K22" s="640"/>
      <c r="L22" s="657"/>
      <c r="M22" s="640"/>
    </row>
    <row r="23" spans="1:13">
      <c r="A23" s="652">
        <v>1972</v>
      </c>
      <c r="B23" s="658">
        <v>52</v>
      </c>
      <c r="C23" s="640">
        <v>58.6</v>
      </c>
      <c r="D23" s="657">
        <v>2.0609999999999999</v>
      </c>
      <c r="E23" s="640">
        <v>-6.6</v>
      </c>
      <c r="F23" s="640"/>
      <c r="G23" s="655" t="s">
        <v>442</v>
      </c>
      <c r="H23" s="655"/>
      <c r="I23" s="657">
        <v>45.136000000000003</v>
      </c>
      <c r="J23" s="640"/>
      <c r="K23" s="640"/>
      <c r="L23" s="657"/>
      <c r="M23" s="640"/>
    </row>
    <row r="24" spans="1:13">
      <c r="A24" s="652">
        <v>1973</v>
      </c>
      <c r="B24" s="658">
        <v>57</v>
      </c>
      <c r="C24" s="640">
        <v>63.2</v>
      </c>
      <c r="D24" s="657">
        <v>2.2799999999999998</v>
      </c>
      <c r="E24" s="640">
        <v>-6.2</v>
      </c>
      <c r="F24" s="640"/>
      <c r="G24" s="655" t="s">
        <v>442</v>
      </c>
      <c r="H24" s="655"/>
      <c r="I24" s="657">
        <v>51.286999999999999</v>
      </c>
      <c r="J24" s="640"/>
      <c r="K24" s="640"/>
      <c r="L24" s="657"/>
      <c r="M24" s="640"/>
    </row>
    <row r="25" spans="1:13">
      <c r="A25" s="652">
        <v>1974</v>
      </c>
      <c r="B25" s="640">
        <v>67.3</v>
      </c>
      <c r="C25" s="640">
        <v>77.7</v>
      </c>
      <c r="D25" s="657">
        <v>3.1459999999999999</v>
      </c>
      <c r="E25" s="640">
        <v>-10.4</v>
      </c>
      <c r="F25" s="640"/>
      <c r="G25" s="655" t="s">
        <v>442</v>
      </c>
      <c r="H25" s="655"/>
      <c r="I25" s="657">
        <v>62.014000000000003</v>
      </c>
      <c r="J25" s="640"/>
      <c r="K25" s="640"/>
      <c r="L25" s="657"/>
      <c r="M25" s="640"/>
    </row>
    <row r="26" spans="1:13">
      <c r="A26" s="652">
        <v>1975</v>
      </c>
      <c r="B26" s="640">
        <v>79.099999999999994</v>
      </c>
      <c r="C26" s="640">
        <v>90.6</v>
      </c>
      <c r="D26" s="657">
        <v>4.0640000000000001</v>
      </c>
      <c r="E26" s="640">
        <v>-11.6</v>
      </c>
      <c r="F26" s="640"/>
      <c r="G26" s="655" t="s">
        <v>442</v>
      </c>
      <c r="H26" s="655"/>
      <c r="I26" s="657">
        <v>73.466999999999999</v>
      </c>
      <c r="J26" s="640"/>
      <c r="K26" s="640"/>
      <c r="L26" s="657"/>
      <c r="M26" s="640"/>
    </row>
    <row r="27" spans="1:13">
      <c r="A27" s="652">
        <v>1976</v>
      </c>
      <c r="B27" s="640">
        <v>100.7</v>
      </c>
      <c r="C27" s="658">
        <v>107</v>
      </c>
      <c r="D27" s="657">
        <v>4.4059999999999997</v>
      </c>
      <c r="E27" s="640">
        <v>-6.2</v>
      </c>
      <c r="F27" s="640"/>
      <c r="G27" s="656">
        <v>6.48</v>
      </c>
      <c r="H27" s="656"/>
      <c r="I27" s="657">
        <v>80.411000000000001</v>
      </c>
      <c r="J27" s="640"/>
      <c r="K27" s="640"/>
      <c r="L27" s="657"/>
      <c r="M27" s="640"/>
    </row>
    <row r="28" spans="1:13">
      <c r="A28" s="652">
        <v>1977</v>
      </c>
      <c r="B28" s="658">
        <v>106</v>
      </c>
      <c r="C28" s="640">
        <v>124.2</v>
      </c>
      <c r="D28" s="657">
        <v>6.0730000000000004</v>
      </c>
      <c r="E28" s="640">
        <v>-18.2</v>
      </c>
      <c r="F28" s="640"/>
      <c r="G28" s="657">
        <v>17.219000000000001</v>
      </c>
      <c r="H28" s="657"/>
      <c r="I28" s="657">
        <v>97.981999999999999</v>
      </c>
      <c r="J28" s="640"/>
      <c r="K28" s="640"/>
      <c r="L28" s="657"/>
      <c r="M28" s="640"/>
    </row>
    <row r="29" spans="1:13">
      <c r="A29" s="652">
        <v>1978</v>
      </c>
      <c r="B29" s="640">
        <v>113.1</v>
      </c>
      <c r="C29" s="640">
        <v>145.69999999999999</v>
      </c>
      <c r="D29" s="657">
        <v>7.4960000000000004</v>
      </c>
      <c r="E29" s="640">
        <v>-32.6</v>
      </c>
      <c r="F29" s="640"/>
      <c r="G29" s="657">
        <v>32.96</v>
      </c>
      <c r="H29" s="657"/>
      <c r="I29" s="657">
        <v>131.17500000000001</v>
      </c>
      <c r="J29" s="640"/>
      <c r="K29" s="640"/>
      <c r="L29" s="657"/>
      <c r="M29" s="640"/>
    </row>
    <row r="30" spans="1:13">
      <c r="A30" s="652">
        <v>1979</v>
      </c>
      <c r="B30" s="640">
        <v>125.5</v>
      </c>
      <c r="C30" s="658">
        <v>171</v>
      </c>
      <c r="D30" s="657">
        <v>10.297000000000001</v>
      </c>
      <c r="E30" s="640">
        <v>-45.5</v>
      </c>
      <c r="F30" s="640"/>
      <c r="G30" s="657">
        <v>43.709000000000003</v>
      </c>
      <c r="H30" s="657"/>
      <c r="I30" s="657">
        <v>175.14500000000001</v>
      </c>
      <c r="J30" s="640"/>
      <c r="K30" s="640"/>
      <c r="L30" s="657"/>
      <c r="M30" s="640"/>
    </row>
    <row r="31" spans="1:13">
      <c r="A31" s="652">
        <v>1980</v>
      </c>
      <c r="B31" s="640">
        <v>142.1</v>
      </c>
      <c r="C31" s="658">
        <v>195</v>
      </c>
      <c r="D31" s="657">
        <v>14.319000000000001</v>
      </c>
      <c r="E31" s="640">
        <v>-52.9</v>
      </c>
      <c r="F31" s="640"/>
      <c r="G31" s="657">
        <v>53.191000000000003</v>
      </c>
      <c r="H31" s="657"/>
      <c r="I31" s="657">
        <v>229.589</v>
      </c>
      <c r="J31" s="640"/>
      <c r="K31" s="640"/>
      <c r="L31" s="640"/>
      <c r="M31" s="640"/>
    </row>
    <row r="32" spans="1:13">
      <c r="A32" s="652">
        <v>1981</v>
      </c>
      <c r="B32" s="640">
        <v>161.30000000000001</v>
      </c>
      <c r="C32" s="640">
        <v>227.5</v>
      </c>
      <c r="D32" s="657">
        <v>27.274999999999999</v>
      </c>
      <c r="E32" s="640">
        <v>-66.3</v>
      </c>
      <c r="F32" s="640"/>
      <c r="G32" s="657">
        <v>67.813999999999993</v>
      </c>
      <c r="H32" s="657"/>
      <c r="I32" s="657">
        <v>295.58999999999997</v>
      </c>
      <c r="J32" s="640"/>
      <c r="K32" s="640"/>
      <c r="L32" s="640"/>
      <c r="M32" s="640"/>
    </row>
    <row r="33" spans="1:13">
      <c r="A33" s="652">
        <v>1982</v>
      </c>
      <c r="B33" s="640">
        <v>171.5</v>
      </c>
      <c r="C33" s="640">
        <v>254.7</v>
      </c>
      <c r="D33" s="657">
        <v>40.173999999999999</v>
      </c>
      <c r="E33" s="640">
        <v>-83.1</v>
      </c>
      <c r="F33" s="640"/>
      <c r="G33" s="657">
        <v>80.766999999999996</v>
      </c>
      <c r="H33" s="657"/>
      <c r="I33" s="657">
        <v>377.089</v>
      </c>
      <c r="J33" s="640"/>
      <c r="K33" s="640"/>
      <c r="L33" s="640"/>
      <c r="M33" s="640"/>
    </row>
    <row r="34" spans="1:13">
      <c r="A34" s="652">
        <v>1983</v>
      </c>
      <c r="B34" s="640">
        <v>206.3</v>
      </c>
      <c r="C34" s="640">
        <v>286.3</v>
      </c>
      <c r="D34" s="657">
        <v>51.436</v>
      </c>
      <c r="E34" s="658">
        <v>-80</v>
      </c>
      <c r="F34" s="658"/>
      <c r="G34" s="657">
        <v>83.111999999999995</v>
      </c>
      <c r="H34" s="657"/>
      <c r="I34" s="657">
        <v>460.19600000000003</v>
      </c>
      <c r="J34" s="640"/>
      <c r="K34" s="640"/>
      <c r="L34" s="640"/>
      <c r="M34" s="640"/>
    </row>
    <row r="35" spans="1:13">
      <c r="A35" s="652">
        <v>1984</v>
      </c>
      <c r="B35" s="640">
        <v>232.1</v>
      </c>
      <c r="C35" s="640">
        <v>307.5</v>
      </c>
      <c r="D35" s="657">
        <v>65.352000000000004</v>
      </c>
      <c r="E35" s="640">
        <v>-75.400000000000006</v>
      </c>
      <c r="F35" s="640"/>
      <c r="G35" s="657">
        <v>74.421999999999997</v>
      </c>
      <c r="H35" s="657"/>
      <c r="I35" s="657">
        <v>534.62199999999996</v>
      </c>
      <c r="J35" s="640"/>
      <c r="K35" s="640"/>
      <c r="L35" s="640"/>
      <c r="M35" s="640"/>
    </row>
    <row r="36" spans="1:13">
      <c r="A36" s="652">
        <v>1985</v>
      </c>
      <c r="B36" s="658">
        <v>274</v>
      </c>
      <c r="C36" s="640">
        <v>331.3</v>
      </c>
      <c r="D36" s="657">
        <v>73.558999999999997</v>
      </c>
      <c r="E36" s="640">
        <v>-57.3</v>
      </c>
      <c r="F36" s="640"/>
      <c r="G36" s="657">
        <v>61.05</v>
      </c>
      <c r="H36" s="657"/>
      <c r="I36" s="657">
        <v>595.69500000000005</v>
      </c>
      <c r="J36" s="640"/>
      <c r="K36" s="640"/>
      <c r="L36" s="640"/>
      <c r="M36" s="640"/>
    </row>
    <row r="37" spans="1:13">
      <c r="A37" s="652">
        <v>1986</v>
      </c>
      <c r="B37" s="640">
        <v>291.3</v>
      </c>
      <c r="C37" s="640">
        <v>330.5</v>
      </c>
      <c r="D37" s="657">
        <v>66.334000000000003</v>
      </c>
      <c r="E37" s="640">
        <v>-39.200000000000003</v>
      </c>
      <c r="F37" s="640"/>
      <c r="G37" s="657">
        <v>35.948</v>
      </c>
      <c r="H37" s="657"/>
      <c r="I37" s="657">
        <v>630.78399999999999</v>
      </c>
      <c r="J37" s="640"/>
      <c r="K37" s="640"/>
      <c r="L37" s="640"/>
      <c r="M37" s="640"/>
    </row>
    <row r="38" spans="1:13">
      <c r="A38" s="652">
        <v>1987</v>
      </c>
      <c r="B38" s="640">
        <v>327.5</v>
      </c>
      <c r="C38" s="640">
        <v>337.5</v>
      </c>
      <c r="D38" s="657">
        <v>58.71</v>
      </c>
      <c r="E38" s="658">
        <v>-10</v>
      </c>
      <c r="F38" s="658"/>
      <c r="G38" s="657">
        <v>-11</v>
      </c>
      <c r="H38" s="657"/>
      <c r="I38" s="657">
        <v>622.27200000000005</v>
      </c>
      <c r="J38" s="640"/>
      <c r="K38" s="640"/>
      <c r="L38" s="640"/>
      <c r="M38" s="640"/>
    </row>
    <row r="39" spans="1:13">
      <c r="A39" s="652">
        <v>1988</v>
      </c>
      <c r="B39" s="640">
        <v>344.9</v>
      </c>
      <c r="C39" s="640">
        <v>336.6</v>
      </c>
      <c r="D39" s="657">
        <v>50.4</v>
      </c>
      <c r="E39" s="640">
        <v>8.4</v>
      </c>
      <c r="F39" s="640"/>
      <c r="G39" s="657">
        <v>-9.9</v>
      </c>
      <c r="H39" s="657"/>
      <c r="I39" s="657">
        <v>609.94000000000005</v>
      </c>
      <c r="J39" s="640"/>
      <c r="K39" s="640"/>
      <c r="L39" s="640"/>
      <c r="M39" s="640"/>
    </row>
    <row r="40" spans="1:13">
      <c r="A40" s="652">
        <v>1989</v>
      </c>
      <c r="B40" s="640">
        <v>390.4</v>
      </c>
      <c r="C40" s="640">
        <v>365.1</v>
      </c>
      <c r="D40" s="657">
        <v>55.143000000000001</v>
      </c>
      <c r="E40" s="640">
        <v>25.3</v>
      </c>
      <c r="F40" s="640"/>
      <c r="G40" s="657">
        <v>-12.9</v>
      </c>
      <c r="H40" s="657"/>
      <c r="I40" s="657">
        <v>600.04700000000003</v>
      </c>
      <c r="J40" s="640"/>
      <c r="K40" s="640"/>
      <c r="L40" s="640"/>
      <c r="M40" s="640"/>
    </row>
    <row r="41" spans="1:13">
      <c r="A41" s="652">
        <v>1990</v>
      </c>
      <c r="B41" s="640">
        <v>403.2</v>
      </c>
      <c r="C41" s="640">
        <v>417.3</v>
      </c>
      <c r="D41" s="657">
        <v>62.234999999999999</v>
      </c>
      <c r="E41" s="640">
        <v>-14.1</v>
      </c>
      <c r="F41" s="640"/>
      <c r="G41" s="657">
        <v>19.420000000000002</v>
      </c>
      <c r="H41" s="657"/>
      <c r="I41" s="657">
        <v>618.57000000000005</v>
      </c>
      <c r="J41" s="640"/>
      <c r="K41" s="640"/>
      <c r="L41" s="640"/>
      <c r="M41" s="640"/>
    </row>
    <row r="42" spans="1:13">
      <c r="A42" s="652">
        <v>1991</v>
      </c>
      <c r="B42" s="640">
        <v>397.4</v>
      </c>
      <c r="C42" s="640">
        <v>458.3</v>
      </c>
      <c r="D42" s="657">
        <v>60.222999999999999</v>
      </c>
      <c r="E42" s="640">
        <v>-60.9</v>
      </c>
      <c r="F42" s="640"/>
      <c r="G42" s="657">
        <v>81.405000000000001</v>
      </c>
      <c r="H42" s="657"/>
      <c r="I42" s="657">
        <v>692.95799999999997</v>
      </c>
      <c r="J42" s="640"/>
      <c r="K42" s="640"/>
      <c r="L42" s="640"/>
      <c r="M42" s="640"/>
    </row>
    <row r="43" spans="1:13">
      <c r="A43" s="652">
        <v>1992</v>
      </c>
      <c r="B43" s="640">
        <v>372.5</v>
      </c>
      <c r="C43" s="640">
        <v>516.29999999999995</v>
      </c>
      <c r="D43" s="657">
        <v>63.037999999999997</v>
      </c>
      <c r="E43" s="640">
        <v>-143.80000000000001</v>
      </c>
      <c r="F43" s="640"/>
      <c r="G43" s="657">
        <v>161.066</v>
      </c>
      <c r="H43" s="657"/>
      <c r="I43" s="657">
        <v>880.80200000000002</v>
      </c>
      <c r="J43" s="640"/>
      <c r="K43" s="640"/>
      <c r="L43" s="640"/>
      <c r="M43" s="640"/>
    </row>
    <row r="44" spans="1:13">
      <c r="A44" s="652">
        <v>1993</v>
      </c>
      <c r="B44" s="640">
        <v>370.1</v>
      </c>
      <c r="C44" s="640">
        <v>573.20000000000005</v>
      </c>
      <c r="D44" s="657">
        <v>82.135999999999996</v>
      </c>
      <c r="E44" s="640">
        <v>-203.1</v>
      </c>
      <c r="F44" s="640"/>
      <c r="G44" s="657">
        <v>249.95500000000001</v>
      </c>
      <c r="H44" s="657"/>
      <c r="I44" s="657">
        <v>1132.2670000000001</v>
      </c>
      <c r="J44" s="640"/>
      <c r="K44" s="640"/>
      <c r="L44" s="640"/>
      <c r="M44" s="640"/>
    </row>
    <row r="45" spans="1:13">
      <c r="A45" s="652">
        <v>1994</v>
      </c>
      <c r="B45" s="658">
        <v>419</v>
      </c>
      <c r="C45" s="640">
        <v>553.70000000000005</v>
      </c>
      <c r="D45" s="657">
        <v>104.14</v>
      </c>
      <c r="E45" s="640">
        <v>-134.69999999999999</v>
      </c>
      <c r="F45" s="640"/>
      <c r="G45" s="657">
        <v>184.869</v>
      </c>
      <c r="H45" s="657"/>
      <c r="I45" s="657">
        <v>1286.597</v>
      </c>
      <c r="J45" s="640"/>
      <c r="K45" s="640"/>
      <c r="L45" s="640"/>
      <c r="M45" s="640"/>
    </row>
    <row r="46" spans="1:13">
      <c r="A46" s="652">
        <v>1995</v>
      </c>
      <c r="B46" s="640">
        <v>465.6</v>
      </c>
      <c r="C46" s="640">
        <v>618.1</v>
      </c>
      <c r="D46" s="657">
        <v>104.749</v>
      </c>
      <c r="E46" s="640">
        <v>-152.5</v>
      </c>
      <c r="F46" s="640"/>
      <c r="G46" s="657">
        <v>138.55199999999999</v>
      </c>
      <c r="H46" s="657"/>
      <c r="I46" s="657">
        <v>1386.165</v>
      </c>
      <c r="J46" s="640"/>
      <c r="K46" s="640"/>
      <c r="L46" s="640"/>
      <c r="M46" s="640"/>
    </row>
    <row r="47" spans="1:13">
      <c r="A47" s="652">
        <v>1996</v>
      </c>
      <c r="B47" s="640">
        <v>600.5</v>
      </c>
      <c r="C47" s="640">
        <v>658.8</v>
      </c>
      <c r="D47" s="659">
        <v>99.533000000000001</v>
      </c>
      <c r="E47" s="640">
        <v>-58.3</v>
      </c>
      <c r="F47" s="640"/>
      <c r="G47" s="657">
        <v>21.001999999999999</v>
      </c>
      <c r="H47" s="657"/>
      <c r="I47" s="657">
        <v>1411.193</v>
      </c>
      <c r="J47" s="640"/>
      <c r="K47" s="640"/>
      <c r="L47" s="640"/>
      <c r="M47" s="640"/>
    </row>
    <row r="48" spans="1:13">
      <c r="A48" s="652">
        <v>1997</v>
      </c>
      <c r="B48" s="640">
        <v>648.9</v>
      </c>
      <c r="C48" s="640">
        <v>655.20000000000005</v>
      </c>
      <c r="D48" s="657">
        <v>98.36</v>
      </c>
      <c r="E48" s="640">
        <v>-6.2</v>
      </c>
      <c r="F48" s="640"/>
      <c r="G48" s="657">
        <v>6.2279999999999998</v>
      </c>
      <c r="H48" s="657"/>
      <c r="I48" s="657">
        <v>1432.076</v>
      </c>
      <c r="J48" s="640"/>
      <c r="K48" s="640"/>
      <c r="L48" s="640"/>
      <c r="M48" s="640"/>
    </row>
    <row r="49" spans="1:13">
      <c r="A49" s="652">
        <v>1998</v>
      </c>
      <c r="B49" s="640">
        <v>706.3</v>
      </c>
      <c r="C49" s="640">
        <v>696.7</v>
      </c>
      <c r="D49" s="657">
        <v>113.31100000000001</v>
      </c>
      <c r="E49" s="640">
        <v>9.6999999999999993</v>
      </c>
      <c r="F49" s="640"/>
      <c r="G49" s="657">
        <v>-9.6999999999999993</v>
      </c>
      <c r="H49" s="657"/>
      <c r="I49" s="657">
        <v>1448.8589999999999</v>
      </c>
      <c r="J49" s="640"/>
      <c r="K49" s="640"/>
      <c r="L49" s="640"/>
      <c r="M49" s="640"/>
    </row>
    <row r="50" spans="1:13">
      <c r="A50" s="652">
        <v>1999</v>
      </c>
      <c r="B50" s="640">
        <v>725.1</v>
      </c>
      <c r="C50" s="640">
        <v>643.1</v>
      </c>
      <c r="D50" s="657">
        <v>89.825000000000003</v>
      </c>
      <c r="E50" s="658">
        <v>82</v>
      </c>
      <c r="F50" s="658"/>
      <c r="G50" s="657">
        <v>-82</v>
      </c>
      <c r="H50" s="657"/>
      <c r="I50" s="657">
        <v>1374.18</v>
      </c>
      <c r="J50" s="640"/>
      <c r="K50" s="640"/>
      <c r="L50" s="640"/>
      <c r="M50" s="640"/>
    </row>
    <row r="51" spans="1:13">
      <c r="A51" s="652">
        <v>2000</v>
      </c>
      <c r="B51" s="640">
        <v>800</v>
      </c>
      <c r="C51" s="640">
        <v>698.1</v>
      </c>
      <c r="D51" s="657">
        <v>90.191000000000003</v>
      </c>
      <c r="E51" s="658">
        <v>101.9</v>
      </c>
      <c r="F51" s="658"/>
      <c r="G51" s="657">
        <v>-101.9</v>
      </c>
      <c r="H51" s="657"/>
      <c r="I51" s="657">
        <v>1279.2049999999999</v>
      </c>
      <c r="J51" s="640"/>
      <c r="K51" s="640"/>
      <c r="L51" s="640"/>
      <c r="M51" s="640"/>
    </row>
    <row r="52" spans="1:13">
      <c r="A52" s="652">
        <v>2001</v>
      </c>
      <c r="B52" s="658">
        <v>755.12599999999998</v>
      </c>
      <c r="C52" s="658">
        <v>716.37900000000002</v>
      </c>
      <c r="D52" s="657">
        <v>81.070999999999998</v>
      </c>
      <c r="E52" s="658">
        <v>38.747</v>
      </c>
      <c r="F52" s="640"/>
      <c r="G52" s="658">
        <v>-38.747</v>
      </c>
      <c r="H52" s="640"/>
      <c r="I52" s="657">
        <v>1156.827</v>
      </c>
      <c r="J52" s="657"/>
      <c r="K52" s="640"/>
      <c r="L52" s="640"/>
      <c r="M52" s="640"/>
    </row>
    <row r="53" spans="1:13">
      <c r="A53" s="652">
        <v>2002</v>
      </c>
      <c r="B53" s="658">
        <v>730.48800000000006</v>
      </c>
      <c r="C53" s="658">
        <v>726.99800000000005</v>
      </c>
      <c r="D53" s="657">
        <v>67.183000000000007</v>
      </c>
      <c r="E53" s="658">
        <v>3.4900000000000091</v>
      </c>
      <c r="F53" s="640"/>
      <c r="G53" s="658">
        <v>-3.5</v>
      </c>
      <c r="H53" s="640"/>
      <c r="I53" s="657">
        <v>1160.329</v>
      </c>
      <c r="J53" s="640"/>
      <c r="K53" s="657">
        <v>1121.4000000000001</v>
      </c>
      <c r="L53" s="640"/>
      <c r="M53" s="640"/>
    </row>
    <row r="54" spans="1:13">
      <c r="A54" s="652">
        <v>2003</v>
      </c>
      <c r="B54" s="658">
        <v>661.73099999999999</v>
      </c>
      <c r="C54" s="658">
        <v>708.28300000000002</v>
      </c>
      <c r="D54" s="657">
        <v>42.015000000000001</v>
      </c>
      <c r="E54" s="658">
        <v>-46.552000000000021</v>
      </c>
      <c r="F54" s="640"/>
      <c r="G54" s="658">
        <v>46.6</v>
      </c>
      <c r="H54" s="640"/>
      <c r="I54" s="657">
        <v>1228.741</v>
      </c>
      <c r="J54" s="640"/>
      <c r="K54" s="657">
        <v>1185.8489999999999</v>
      </c>
      <c r="L54" s="640"/>
      <c r="M54" s="640"/>
    </row>
    <row r="55" spans="1:13">
      <c r="A55" s="652">
        <v>2004</v>
      </c>
      <c r="B55" s="657">
        <v>694.41800000000001</v>
      </c>
      <c r="C55" s="657">
        <v>744.93100000000004</v>
      </c>
      <c r="D55" s="659">
        <v>52.596423000000001</v>
      </c>
      <c r="E55" s="658">
        <v>-50.513000000000034</v>
      </c>
      <c r="F55" s="640"/>
      <c r="G55" s="640">
        <v>50.5</v>
      </c>
      <c r="H55" s="640"/>
      <c r="I55" s="657">
        <v>1257.326</v>
      </c>
      <c r="J55" s="640"/>
      <c r="K55" s="657">
        <v>1213.1199999999999</v>
      </c>
      <c r="L55" s="640"/>
      <c r="M55" s="640"/>
    </row>
    <row r="56" spans="1:13">
      <c r="A56" s="652">
        <v>2005</v>
      </c>
      <c r="B56" s="657">
        <v>745.82500000000005</v>
      </c>
      <c r="C56" s="657">
        <v>731.77099999999996</v>
      </c>
      <c r="D56" s="657">
        <v>32.561</v>
      </c>
      <c r="E56" s="658">
        <v>14.054000000000087</v>
      </c>
      <c r="F56" s="657"/>
      <c r="G56" s="657">
        <v>-14.054</v>
      </c>
      <c r="H56" s="657"/>
      <c r="I56" s="657">
        <v>1308.5719999999999</v>
      </c>
      <c r="J56" s="640"/>
      <c r="K56" s="657">
        <v>1261.6110000000001</v>
      </c>
      <c r="L56" s="640"/>
      <c r="M56" s="640"/>
    </row>
    <row r="57" spans="1:13">
      <c r="A57" s="652">
        <v>2006</v>
      </c>
      <c r="B57" s="657">
        <v>810.31498599999998</v>
      </c>
      <c r="C57" s="657">
        <v>791.94179399999996</v>
      </c>
      <c r="D57" s="657">
        <v>49.374070000000003</v>
      </c>
      <c r="E57" s="658">
        <v>18.373192</v>
      </c>
      <c r="F57" s="657"/>
      <c r="G57" s="658">
        <v>-18.373192</v>
      </c>
      <c r="H57" s="657"/>
      <c r="I57" s="657">
        <v>1269.9570000000001</v>
      </c>
      <c r="J57" s="640"/>
      <c r="K57" s="657">
        <v>1220.2170000000001</v>
      </c>
      <c r="L57" s="640"/>
      <c r="M57" s="660"/>
    </row>
    <row r="58" spans="1:13">
      <c r="A58" s="652">
        <v>2007</v>
      </c>
      <c r="B58" s="657">
        <v>863.71628199999998</v>
      </c>
      <c r="C58" s="657">
        <v>760.50656800000002</v>
      </c>
      <c r="D58" s="657">
        <v>47.166370000000001</v>
      </c>
      <c r="E58" s="658">
        <v>103.21</v>
      </c>
      <c r="F58" s="657"/>
      <c r="G58" s="658">
        <v>-103.21</v>
      </c>
      <c r="H58" s="657"/>
      <c r="I58" s="657">
        <v>1168.0132060000001</v>
      </c>
      <c r="J58" s="640"/>
      <c r="K58" s="657">
        <v>1114.893</v>
      </c>
      <c r="L58" s="640"/>
      <c r="M58" s="660"/>
    </row>
    <row r="59" spans="1:13">
      <c r="A59" s="652">
        <v>2008</v>
      </c>
      <c r="B59" s="657">
        <v>901.3</v>
      </c>
      <c r="C59" s="657">
        <v>766.1</v>
      </c>
      <c r="D59" s="657">
        <v>33.1</v>
      </c>
      <c r="E59" s="658">
        <v>135.19999999999999</v>
      </c>
      <c r="F59" s="657"/>
      <c r="G59" s="658">
        <v>-135.19999999999999</v>
      </c>
      <c r="H59" s="657"/>
      <c r="I59" s="657">
        <v>1119</v>
      </c>
      <c r="J59" s="640"/>
      <c r="K59" s="657">
        <v>1061.8</v>
      </c>
      <c r="L59" s="640"/>
      <c r="M59" s="660"/>
    </row>
    <row r="60" spans="1:13">
      <c r="A60" s="652">
        <v>2009</v>
      </c>
      <c r="B60" s="657">
        <v>709.5</v>
      </c>
      <c r="C60" s="657">
        <v>885.7</v>
      </c>
      <c r="D60" s="657">
        <v>31.1</v>
      </c>
      <c r="E60" s="658">
        <v>-176.1</v>
      </c>
      <c r="F60" s="657"/>
      <c r="G60" s="658">
        <v>176.1</v>
      </c>
      <c r="H60" s="657"/>
      <c r="I60" s="657">
        <v>1189.2</v>
      </c>
      <c r="J60" s="640"/>
      <c r="K60" s="657">
        <v>1149.4000000000001</v>
      </c>
      <c r="L60" s="640"/>
      <c r="M60" s="660"/>
    </row>
    <row r="61" spans="1:13">
      <c r="A61" s="652">
        <v>2010</v>
      </c>
      <c r="B61" s="657">
        <v>779.52</v>
      </c>
      <c r="C61" s="657">
        <v>780.57299999999998</v>
      </c>
      <c r="D61" s="657">
        <v>23.251999999999999</v>
      </c>
      <c r="E61" s="658">
        <v>-1.052</v>
      </c>
      <c r="F61" s="657"/>
      <c r="G61" s="658">
        <v>1.052</v>
      </c>
      <c r="H61" s="657"/>
      <c r="I61" s="657">
        <v>1151.4680000000001</v>
      </c>
      <c r="J61" s="640"/>
      <c r="K61" s="657">
        <v>1113.306</v>
      </c>
      <c r="L61" s="640"/>
      <c r="M61" s="660"/>
    </row>
    <row r="62" spans="1:13">
      <c r="A62" s="652">
        <v>2011</v>
      </c>
      <c r="B62" s="657">
        <v>872.4</v>
      </c>
      <c r="C62" s="657">
        <v>804.6</v>
      </c>
      <c r="D62" s="657">
        <v>34.5</v>
      </c>
      <c r="E62" s="658">
        <v>67.8</v>
      </c>
      <c r="F62" s="657"/>
      <c r="G62" s="658">
        <v>-67.8</v>
      </c>
      <c r="H62" s="657"/>
      <c r="I62" s="657">
        <v>1107.7</v>
      </c>
      <c r="J62" s="640"/>
      <c r="K62" s="657">
        <v>1075.5</v>
      </c>
      <c r="L62" s="640"/>
      <c r="M62" s="660"/>
    </row>
    <row r="63" spans="1:13">
      <c r="A63" s="652">
        <v>2012</v>
      </c>
      <c r="B63" s="657">
        <v>787.6</v>
      </c>
      <c r="C63" s="657">
        <v>812.5</v>
      </c>
      <c r="D63" s="657">
        <v>27.4</v>
      </c>
      <c r="E63" s="658">
        <v>-24.9</v>
      </c>
      <c r="F63" s="657"/>
      <c r="G63" s="658">
        <v>24.9</v>
      </c>
      <c r="H63" s="657"/>
      <c r="I63" s="657">
        <v>1146.8070170000001</v>
      </c>
      <c r="J63" s="640"/>
      <c r="K63" s="657">
        <v>1112.817</v>
      </c>
      <c r="L63" s="640"/>
      <c r="M63" s="660"/>
    </row>
    <row r="64" spans="1:13">
      <c r="A64" s="652">
        <v>2013</v>
      </c>
      <c r="B64" s="657">
        <v>790.5</v>
      </c>
      <c r="C64" s="657">
        <v>921.4</v>
      </c>
      <c r="D64" s="657">
        <v>16.8</v>
      </c>
      <c r="E64" s="658">
        <v>-130.9</v>
      </c>
      <c r="F64" s="657"/>
      <c r="G64" s="658">
        <v>130.9</v>
      </c>
      <c r="H64" s="657"/>
      <c r="I64" s="657">
        <v>1277.0836119999999</v>
      </c>
      <c r="J64" s="640"/>
      <c r="K64" s="657">
        <v>1236.4000000000001</v>
      </c>
      <c r="L64" s="640"/>
      <c r="M64" s="660"/>
    </row>
    <row r="65" spans="1:13" ht="13.5" thickBot="1">
      <c r="A65" s="682">
        <v>2014</v>
      </c>
      <c r="B65" s="684">
        <v>790.2</v>
      </c>
      <c r="C65" s="684">
        <v>862.4</v>
      </c>
      <c r="D65" s="684">
        <v>3.3</v>
      </c>
      <c r="E65" s="684">
        <v>-72.2</v>
      </c>
      <c r="F65" s="684"/>
      <c r="G65" s="684">
        <v>72.2</v>
      </c>
      <c r="H65" s="684"/>
      <c r="I65" s="684">
        <v>1394.3136549999999</v>
      </c>
      <c r="J65" s="683"/>
      <c r="K65" s="684">
        <v>1346.6</v>
      </c>
      <c r="L65" s="640"/>
      <c r="M65" s="660"/>
    </row>
    <row r="66" spans="1:13">
      <c r="A66" s="661" t="s">
        <v>179</v>
      </c>
      <c r="B66" s="640"/>
      <c r="C66" s="640"/>
      <c r="D66" s="640"/>
      <c r="E66" s="640"/>
      <c r="F66" s="640"/>
      <c r="G66" s="640"/>
      <c r="H66" s="640"/>
      <c r="I66" s="640"/>
      <c r="J66" s="640"/>
      <c r="K66" s="640"/>
      <c r="L66" s="640"/>
      <c r="M66" s="662"/>
    </row>
    <row r="67" spans="1:13">
      <c r="A67" s="660" t="s">
        <v>1708</v>
      </c>
      <c r="B67" s="640"/>
      <c r="C67" s="640"/>
      <c r="D67" s="640"/>
      <c r="E67" s="640"/>
      <c r="F67" s="640"/>
      <c r="G67" s="640"/>
      <c r="H67" s="640"/>
      <c r="I67" s="640"/>
      <c r="J67" s="640"/>
      <c r="K67" s="640"/>
      <c r="L67" s="640"/>
      <c r="M67" s="662"/>
    </row>
    <row r="68" spans="1:13">
      <c r="A68" s="662" t="s">
        <v>1707</v>
      </c>
      <c r="B68" s="640"/>
      <c r="C68" s="640"/>
      <c r="D68" s="640"/>
      <c r="E68" s="640"/>
      <c r="F68" s="640"/>
      <c r="G68" s="640"/>
      <c r="H68" s="640"/>
      <c r="I68" s="640"/>
      <c r="J68" s="640"/>
      <c r="K68" s="640"/>
      <c r="L68" s="640"/>
      <c r="M68" s="662"/>
    </row>
    <row r="69" spans="1:13">
      <c r="A69" s="660" t="s">
        <v>1742</v>
      </c>
      <c r="B69" s="640"/>
      <c r="C69" s="640"/>
      <c r="D69" s="640"/>
      <c r="E69" s="640"/>
      <c r="F69" s="640"/>
      <c r="G69" s="640"/>
      <c r="H69" s="640"/>
      <c r="I69" s="640"/>
      <c r="J69" s="640"/>
      <c r="K69" s="640"/>
      <c r="L69" s="640"/>
      <c r="M69" s="662"/>
    </row>
    <row r="70" spans="1:13">
      <c r="A70" s="662" t="s">
        <v>1324</v>
      </c>
      <c r="B70" s="640"/>
      <c r="C70" s="640"/>
      <c r="D70" s="640"/>
      <c r="E70" s="640"/>
      <c r="F70" s="640"/>
      <c r="G70" s="640"/>
      <c r="H70" s="640"/>
      <c r="I70" s="640"/>
      <c r="J70" s="640"/>
      <c r="K70" s="640"/>
      <c r="L70" s="640"/>
      <c r="M70" s="662"/>
    </row>
    <row r="71" spans="1:13">
      <c r="A71" s="662" t="s">
        <v>1216</v>
      </c>
      <c r="B71" s="640"/>
      <c r="C71" s="640"/>
      <c r="D71" s="640"/>
      <c r="E71" s="640"/>
      <c r="F71" s="640"/>
      <c r="G71" s="640"/>
      <c r="H71" s="640"/>
      <c r="I71" s="640"/>
      <c r="J71" s="640"/>
      <c r="K71" s="640"/>
      <c r="L71" s="640"/>
      <c r="M71" s="662"/>
    </row>
    <row r="72" spans="1:13">
      <c r="A72" s="660" t="s">
        <v>1725</v>
      </c>
      <c r="B72" s="640"/>
      <c r="C72" s="640"/>
      <c r="D72" s="640"/>
      <c r="E72" s="640"/>
      <c r="F72" s="640"/>
      <c r="G72" s="640"/>
      <c r="H72" s="640"/>
      <c r="I72" s="640"/>
      <c r="J72" s="640"/>
      <c r="K72" s="640"/>
      <c r="L72" s="640"/>
      <c r="M72" s="662"/>
    </row>
    <row r="73" spans="1:13">
      <c r="A73" s="660" t="s">
        <v>1741</v>
      </c>
      <c r="B73" s="640"/>
      <c r="C73" s="640"/>
      <c r="D73" s="640"/>
      <c r="E73" s="640"/>
      <c r="F73" s="640"/>
      <c r="G73" s="640"/>
      <c r="H73" s="640"/>
      <c r="I73" s="640"/>
      <c r="J73" s="640"/>
      <c r="K73" s="640"/>
      <c r="L73" s="640"/>
      <c r="M73" s="662"/>
    </row>
    <row r="74" spans="1:13">
      <c r="A74" s="662" t="s">
        <v>1245</v>
      </c>
      <c r="B74" s="640"/>
      <c r="C74" s="640"/>
      <c r="D74" s="640"/>
      <c r="E74" s="640"/>
      <c r="F74" s="640"/>
      <c r="G74" s="640"/>
      <c r="H74" s="640"/>
      <c r="I74" s="640"/>
      <c r="J74" s="640"/>
      <c r="K74" s="640"/>
      <c r="L74" s="640"/>
      <c r="M74" s="662"/>
    </row>
    <row r="75" spans="1:13">
      <c r="A75" s="662" t="s">
        <v>2056</v>
      </c>
      <c r="B75" s="640"/>
      <c r="C75" s="640"/>
      <c r="D75" s="640"/>
      <c r="E75" s="640"/>
      <c r="F75" s="640"/>
      <c r="G75" s="640"/>
      <c r="H75" s="640"/>
      <c r="I75" s="640"/>
      <c r="J75" s="640"/>
      <c r="K75" s="640"/>
      <c r="L75" s="640"/>
      <c r="M75" s="662"/>
    </row>
    <row r="76" spans="1:13">
      <c r="A76" s="660" t="s">
        <v>1740</v>
      </c>
      <c r="B76" s="640"/>
      <c r="C76" s="640"/>
      <c r="D76" s="640"/>
      <c r="E76" s="640"/>
      <c r="F76" s="640"/>
      <c r="G76" s="640"/>
      <c r="H76" s="640"/>
      <c r="I76" s="640"/>
      <c r="J76" s="640"/>
      <c r="K76" s="640"/>
      <c r="L76" s="640"/>
      <c r="M76" s="640"/>
    </row>
    <row r="77" spans="1:13">
      <c r="A77" s="662" t="s">
        <v>2056</v>
      </c>
      <c r="B77" s="640"/>
      <c r="C77" s="640"/>
      <c r="D77" s="640"/>
      <c r="E77" s="640"/>
      <c r="F77" s="640"/>
      <c r="G77" s="640"/>
      <c r="H77" s="640"/>
      <c r="I77" s="640"/>
      <c r="J77" s="640"/>
      <c r="K77" s="640"/>
      <c r="L77" s="640"/>
      <c r="M77" s="640"/>
    </row>
    <row r="78" spans="1:13">
      <c r="A78" s="640"/>
      <c r="B78" s="640"/>
      <c r="C78" s="640"/>
      <c r="D78" s="640"/>
      <c r="E78" s="640"/>
      <c r="F78" s="640"/>
      <c r="G78" s="640"/>
      <c r="H78" s="640"/>
      <c r="I78" s="640"/>
      <c r="J78" s="640"/>
      <c r="K78" s="640"/>
      <c r="L78" s="640"/>
      <c r="M78" s="640"/>
    </row>
    <row r="79" spans="1:13">
      <c r="A79" s="640"/>
      <c r="B79" s="640"/>
      <c r="C79" s="640"/>
      <c r="D79" s="640"/>
      <c r="E79" s="640"/>
      <c r="F79" s="640"/>
      <c r="G79" s="640"/>
      <c r="H79" s="640"/>
      <c r="I79" s="640"/>
      <c r="J79" s="640"/>
      <c r="K79" s="640"/>
      <c r="L79" s="640"/>
      <c r="M79" s="640"/>
    </row>
  </sheetData>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
  <sheetViews>
    <sheetView workbookViewId="0">
      <selection activeCell="F49" sqref="F49"/>
    </sheetView>
  </sheetViews>
  <sheetFormatPr defaultColWidth="10.6640625" defaultRowHeight="12.75"/>
  <cols>
    <col min="1" max="1" width="51.1640625" style="137" customWidth="1"/>
    <col min="2" max="16" width="8" style="137" customWidth="1"/>
    <col min="17" max="16384" width="10.6640625" style="137"/>
  </cols>
  <sheetData>
    <row r="1" spans="1:16">
      <c r="A1" s="136" t="s">
        <v>1302</v>
      </c>
      <c r="B1" s="138"/>
      <c r="C1" s="138"/>
      <c r="D1" s="154"/>
      <c r="E1" s="154"/>
      <c r="F1" s="154"/>
      <c r="G1" s="154"/>
      <c r="H1" s="154"/>
      <c r="I1" s="165"/>
      <c r="J1" s="165"/>
      <c r="K1" s="165"/>
      <c r="L1" s="167"/>
      <c r="M1" s="167"/>
      <c r="N1" s="167"/>
      <c r="O1" s="167"/>
      <c r="P1" s="167"/>
    </row>
    <row r="2" spans="1:16">
      <c r="A2" s="136" t="s">
        <v>1717</v>
      </c>
      <c r="B2" s="138"/>
      <c r="C2" s="138"/>
      <c r="D2" s="154"/>
      <c r="E2" s="154"/>
      <c r="F2" s="154"/>
      <c r="G2" s="154"/>
      <c r="H2" s="154"/>
      <c r="I2" s="165"/>
      <c r="J2" s="165"/>
      <c r="K2" s="165"/>
      <c r="L2" s="168"/>
      <c r="M2" s="168"/>
      <c r="N2" s="168"/>
      <c r="O2" s="168"/>
      <c r="P2" s="168"/>
    </row>
    <row r="3" spans="1:16">
      <c r="A3" s="138" t="s">
        <v>1718</v>
      </c>
      <c r="B3" s="138"/>
      <c r="C3" s="138"/>
      <c r="D3" s="154"/>
      <c r="E3" s="154"/>
      <c r="F3" s="154"/>
      <c r="G3" s="154"/>
      <c r="H3" s="154"/>
      <c r="I3" s="165"/>
      <c r="J3" s="165"/>
      <c r="K3" s="165"/>
      <c r="L3" s="167"/>
      <c r="M3" s="167"/>
      <c r="N3" s="167"/>
      <c r="O3" s="167"/>
      <c r="P3" s="167"/>
    </row>
    <row r="4" spans="1:16" ht="13.5" thickBot="1">
      <c r="A4" s="138"/>
      <c r="B4" s="138"/>
      <c r="C4" s="138"/>
      <c r="D4" s="154"/>
      <c r="E4" s="154"/>
      <c r="F4" s="154"/>
      <c r="G4" s="154"/>
      <c r="H4" s="154"/>
      <c r="I4" s="165"/>
      <c r="J4" s="165"/>
      <c r="K4" s="165"/>
      <c r="L4" s="167"/>
      <c r="M4" s="167"/>
      <c r="N4" s="167"/>
      <c r="O4" s="167"/>
      <c r="P4" s="167"/>
    </row>
    <row r="5" spans="1:16" ht="13.5" thickBot="1">
      <c r="A5" s="139" t="s">
        <v>958</v>
      </c>
      <c r="B5" s="140" t="s">
        <v>631</v>
      </c>
      <c r="C5" s="140" t="s">
        <v>632</v>
      </c>
      <c r="D5" s="140" t="s">
        <v>633</v>
      </c>
      <c r="E5" s="140" t="s">
        <v>634</v>
      </c>
      <c r="F5" s="140" t="s">
        <v>635</v>
      </c>
      <c r="G5" s="140" t="s">
        <v>1554</v>
      </c>
      <c r="H5" s="140" t="s">
        <v>1555</v>
      </c>
      <c r="I5" s="141" t="s">
        <v>1556</v>
      </c>
      <c r="J5" s="173"/>
      <c r="K5" s="173"/>
      <c r="L5" s="173"/>
      <c r="M5" s="173"/>
      <c r="N5" s="173"/>
      <c r="O5" s="173"/>
      <c r="P5" s="173"/>
    </row>
    <row r="6" spans="1:16">
      <c r="A6" s="143"/>
      <c r="B6" s="144"/>
      <c r="C6" s="144"/>
      <c r="D6" s="144"/>
      <c r="E6" s="144"/>
      <c r="F6" s="144"/>
      <c r="G6" s="144"/>
      <c r="H6" s="158"/>
      <c r="I6" s="153"/>
      <c r="J6" s="153"/>
      <c r="K6" s="153"/>
      <c r="L6" s="153"/>
      <c r="M6" s="153"/>
      <c r="N6" s="153"/>
      <c r="O6" s="153"/>
      <c r="P6" s="153"/>
    </row>
    <row r="7" spans="1:16">
      <c r="A7" s="149" t="s">
        <v>970</v>
      </c>
      <c r="B7" s="150">
        <v>134818.29999999999</v>
      </c>
      <c r="C7" s="150">
        <v>140471.29999999999</v>
      </c>
      <c r="D7" s="150">
        <v>159429</v>
      </c>
      <c r="E7" s="150">
        <v>187701.2</v>
      </c>
      <c r="F7" s="150">
        <v>222114.7</v>
      </c>
      <c r="G7" s="150">
        <v>233085.3</v>
      </c>
      <c r="H7" s="150">
        <v>274045.59999999998</v>
      </c>
      <c r="I7" s="150">
        <v>293351.3</v>
      </c>
      <c r="J7" s="150"/>
      <c r="K7" s="150"/>
      <c r="L7" s="150"/>
      <c r="M7" s="150"/>
      <c r="N7" s="150"/>
      <c r="O7" s="150"/>
      <c r="P7" s="150"/>
    </row>
    <row r="8" spans="1:16">
      <c r="A8" s="160"/>
      <c r="B8" s="151"/>
      <c r="C8" s="151"/>
      <c r="D8" s="151"/>
      <c r="E8" s="151"/>
      <c r="F8" s="151"/>
      <c r="G8" s="151"/>
      <c r="H8" s="158"/>
      <c r="I8" s="153"/>
      <c r="J8" s="153"/>
      <c r="K8" s="153"/>
      <c r="L8" s="153"/>
      <c r="M8" s="153"/>
      <c r="N8" s="153"/>
      <c r="O8" s="153"/>
      <c r="P8" s="153"/>
    </row>
    <row r="9" spans="1:16">
      <c r="A9" s="160" t="s">
        <v>971</v>
      </c>
      <c r="B9" s="150">
        <v>34057.300000000003</v>
      </c>
      <c r="C9" s="150">
        <v>36250.699999999997</v>
      </c>
      <c r="D9" s="150">
        <v>39534.1</v>
      </c>
      <c r="E9" s="150">
        <v>48902.7</v>
      </c>
      <c r="F9" s="150">
        <v>67787.600000000006</v>
      </c>
      <c r="G9" s="150">
        <v>60410.6</v>
      </c>
      <c r="H9" s="150">
        <v>77284.7</v>
      </c>
      <c r="I9" s="150">
        <v>83289.2</v>
      </c>
      <c r="J9" s="150"/>
      <c r="K9" s="150"/>
      <c r="L9" s="150"/>
      <c r="M9" s="150"/>
      <c r="N9" s="150"/>
      <c r="O9" s="150"/>
      <c r="P9" s="150"/>
    </row>
    <row r="10" spans="1:16">
      <c r="A10" s="143" t="s">
        <v>972</v>
      </c>
      <c r="B10" s="153">
        <v>30214.3</v>
      </c>
      <c r="C10" s="158">
        <v>29759.5</v>
      </c>
      <c r="D10" s="158">
        <v>28923.5</v>
      </c>
      <c r="E10" s="151">
        <v>35590.199999999997</v>
      </c>
      <c r="F10" s="151">
        <v>52332.800000000003</v>
      </c>
      <c r="G10" s="151">
        <v>43346.8</v>
      </c>
      <c r="H10" s="166">
        <v>50870.9</v>
      </c>
      <c r="I10" s="153">
        <v>58224.7</v>
      </c>
      <c r="J10" s="153"/>
      <c r="K10" s="153"/>
      <c r="L10" s="153"/>
      <c r="M10" s="153"/>
      <c r="N10" s="153"/>
      <c r="O10" s="153"/>
      <c r="P10" s="153"/>
    </row>
    <row r="11" spans="1:16">
      <c r="A11" s="143" t="s">
        <v>973</v>
      </c>
      <c r="B11" s="153">
        <v>1703.6</v>
      </c>
      <c r="C11" s="158">
        <v>3074.4</v>
      </c>
      <c r="D11" s="158">
        <v>8477.7999999999993</v>
      </c>
      <c r="E11" s="151">
        <v>10842.8</v>
      </c>
      <c r="F11" s="151">
        <v>11682.5</v>
      </c>
      <c r="G11" s="151">
        <v>15902.3</v>
      </c>
      <c r="H11" s="166">
        <v>22953.9</v>
      </c>
      <c r="I11" s="153">
        <v>22955.5</v>
      </c>
      <c r="J11" s="153"/>
      <c r="K11" s="153"/>
      <c r="L11" s="153"/>
      <c r="M11" s="153"/>
      <c r="N11" s="153"/>
      <c r="O11" s="153"/>
      <c r="P11" s="153"/>
    </row>
    <row r="12" spans="1:16">
      <c r="A12" s="143" t="s">
        <v>1303</v>
      </c>
      <c r="B12" s="153"/>
      <c r="C12" s="158"/>
      <c r="D12" s="158"/>
      <c r="E12" s="151"/>
      <c r="F12" s="151"/>
      <c r="G12" s="151"/>
      <c r="H12" s="166"/>
      <c r="I12" s="153"/>
      <c r="J12" s="153"/>
      <c r="K12" s="153"/>
      <c r="L12" s="153"/>
      <c r="M12" s="153"/>
      <c r="N12" s="153"/>
      <c r="O12" s="153"/>
      <c r="P12" s="153"/>
    </row>
    <row r="13" spans="1:16">
      <c r="A13" s="143" t="s">
        <v>974</v>
      </c>
      <c r="B13" s="153"/>
      <c r="C13" s="158"/>
      <c r="D13" s="158"/>
      <c r="E13" s="151"/>
      <c r="F13" s="151"/>
      <c r="G13" s="151"/>
      <c r="H13" s="166"/>
      <c r="I13" s="153"/>
      <c r="J13" s="153"/>
      <c r="K13" s="153"/>
      <c r="L13" s="153"/>
      <c r="M13" s="153"/>
      <c r="N13" s="153"/>
      <c r="O13" s="153"/>
      <c r="P13" s="153"/>
    </row>
    <row r="14" spans="1:16">
      <c r="A14" s="143" t="s">
        <v>975</v>
      </c>
      <c r="B14" s="153">
        <v>1470.3</v>
      </c>
      <c r="C14" s="158">
        <v>2661.5</v>
      </c>
      <c r="D14" s="158">
        <v>1290.2</v>
      </c>
      <c r="E14" s="151">
        <v>1484.3</v>
      </c>
      <c r="F14" s="151">
        <v>2465.6</v>
      </c>
      <c r="G14" s="151">
        <v>-377.4</v>
      </c>
      <c r="H14" s="166">
        <v>1570.2</v>
      </c>
      <c r="I14" s="153">
        <v>-1.8</v>
      </c>
      <c r="J14" s="153"/>
      <c r="K14" s="153"/>
      <c r="L14" s="153"/>
      <c r="M14" s="153"/>
      <c r="N14" s="153"/>
      <c r="O14" s="153"/>
      <c r="P14" s="153"/>
    </row>
    <row r="15" spans="1:16">
      <c r="A15" s="143" t="s">
        <v>976</v>
      </c>
      <c r="B15" s="153">
        <v>37.4</v>
      </c>
      <c r="C15" s="158">
        <v>43</v>
      </c>
      <c r="D15" s="158">
        <v>54.7</v>
      </c>
      <c r="E15" s="151">
        <v>80.599999999999994</v>
      </c>
      <c r="F15" s="151">
        <v>102.7</v>
      </c>
      <c r="G15" s="151">
        <v>136.80000000000001</v>
      </c>
      <c r="H15" s="166">
        <v>204.8</v>
      </c>
      <c r="I15" s="153">
        <v>227</v>
      </c>
      <c r="J15" s="153"/>
      <c r="K15" s="153"/>
      <c r="L15" s="153"/>
      <c r="M15" s="153"/>
      <c r="N15" s="153"/>
      <c r="O15" s="153"/>
      <c r="P15" s="153"/>
    </row>
    <row r="16" spans="1:16">
      <c r="A16" s="143" t="s">
        <v>1304</v>
      </c>
      <c r="B16" s="153">
        <v>15.3</v>
      </c>
      <c r="C16" s="158">
        <v>20.9</v>
      </c>
      <c r="D16" s="158">
        <v>32</v>
      </c>
      <c r="E16" s="151">
        <v>21.7</v>
      </c>
      <c r="F16" s="151">
        <v>4.7</v>
      </c>
      <c r="G16" s="151">
        <v>11.5</v>
      </c>
      <c r="H16" s="166">
        <v>4.3</v>
      </c>
      <c r="I16" s="153">
        <v>8.6999999999999993</v>
      </c>
      <c r="J16" s="153"/>
      <c r="K16" s="153"/>
      <c r="L16" s="153"/>
      <c r="M16" s="153"/>
      <c r="N16" s="153"/>
      <c r="O16" s="153"/>
      <c r="P16" s="153"/>
    </row>
    <row r="17" spans="1:16">
      <c r="A17" s="143" t="s">
        <v>1305</v>
      </c>
      <c r="B17" s="153">
        <v>3.5</v>
      </c>
      <c r="C17" s="158">
        <v>2.9</v>
      </c>
      <c r="D17" s="158">
        <v>3.2</v>
      </c>
      <c r="E17" s="151">
        <v>4.3</v>
      </c>
      <c r="F17" s="151">
        <v>4.7</v>
      </c>
      <c r="G17" s="151">
        <v>3.4</v>
      </c>
      <c r="H17" s="166">
        <v>5.3</v>
      </c>
      <c r="I17" s="153">
        <v>5.2</v>
      </c>
      <c r="J17" s="153"/>
      <c r="K17" s="153"/>
      <c r="L17" s="153"/>
      <c r="M17" s="153"/>
      <c r="N17" s="153"/>
      <c r="O17" s="153"/>
      <c r="P17" s="153"/>
    </row>
    <row r="18" spans="1:16">
      <c r="A18" s="143" t="s">
        <v>977</v>
      </c>
      <c r="B18" s="153">
        <v>612.9</v>
      </c>
      <c r="C18" s="158">
        <v>688.5</v>
      </c>
      <c r="D18" s="158">
        <v>752.7</v>
      </c>
      <c r="E18" s="151">
        <v>878.8</v>
      </c>
      <c r="F18" s="151">
        <v>1194.5999999999999</v>
      </c>
      <c r="G18" s="151">
        <v>1387.2</v>
      </c>
      <c r="H18" s="166">
        <v>1675.3</v>
      </c>
      <c r="I18" s="153">
        <v>1869.9</v>
      </c>
      <c r="J18" s="153"/>
      <c r="K18" s="153"/>
      <c r="L18" s="153"/>
      <c r="M18" s="153"/>
      <c r="N18" s="153"/>
      <c r="O18" s="153"/>
      <c r="P18" s="153"/>
    </row>
    <row r="19" spans="1:16">
      <c r="A19" s="143"/>
      <c r="B19" s="151"/>
      <c r="C19" s="151"/>
      <c r="D19" s="151"/>
      <c r="E19" s="151"/>
      <c r="F19" s="151"/>
      <c r="G19" s="151"/>
      <c r="H19" s="158"/>
      <c r="I19" s="153"/>
      <c r="J19" s="153"/>
      <c r="K19" s="153"/>
      <c r="L19" s="153"/>
      <c r="M19" s="153"/>
      <c r="N19" s="153"/>
      <c r="O19" s="153"/>
      <c r="P19" s="153"/>
    </row>
    <row r="20" spans="1:16">
      <c r="A20" s="149" t="s">
        <v>978</v>
      </c>
      <c r="B20" s="150">
        <v>33889.599999999999</v>
      </c>
      <c r="C20" s="150">
        <v>31250.400000000001</v>
      </c>
      <c r="D20" s="150">
        <v>36032.1</v>
      </c>
      <c r="E20" s="150">
        <v>47058.5</v>
      </c>
      <c r="F20" s="150">
        <v>42526.5</v>
      </c>
      <c r="G20" s="150">
        <v>50819</v>
      </c>
      <c r="H20" s="150">
        <v>58581.9</v>
      </c>
      <c r="I20" s="150">
        <v>55391.1</v>
      </c>
      <c r="J20" s="150"/>
      <c r="K20" s="150"/>
      <c r="L20" s="150"/>
      <c r="M20" s="150"/>
      <c r="N20" s="150"/>
      <c r="O20" s="150"/>
      <c r="P20" s="150"/>
    </row>
    <row r="21" spans="1:16">
      <c r="A21" s="143" t="s">
        <v>979</v>
      </c>
      <c r="B21" s="153">
        <v>23351.7</v>
      </c>
      <c r="C21" s="158">
        <v>23567.8</v>
      </c>
      <c r="D21" s="158">
        <v>26527.8</v>
      </c>
      <c r="E21" s="151">
        <v>30865</v>
      </c>
      <c r="F21" s="151">
        <v>30942.5</v>
      </c>
      <c r="G21" s="151">
        <v>36405</v>
      </c>
      <c r="H21" s="158">
        <v>40192</v>
      </c>
      <c r="I21" s="153">
        <v>42809.4</v>
      </c>
      <c r="J21" s="153"/>
      <c r="K21" s="153"/>
      <c r="L21" s="153"/>
      <c r="M21" s="153"/>
      <c r="N21" s="153"/>
      <c r="O21" s="153"/>
      <c r="P21" s="153"/>
    </row>
    <row r="22" spans="1:16">
      <c r="A22" s="142" t="s">
        <v>892</v>
      </c>
      <c r="B22" s="151"/>
      <c r="C22" s="151"/>
      <c r="D22" s="151"/>
      <c r="E22" s="151"/>
      <c r="F22" s="158"/>
      <c r="G22" s="151"/>
      <c r="H22" s="166"/>
      <c r="I22" s="153"/>
      <c r="J22" s="153"/>
      <c r="K22" s="153"/>
      <c r="L22" s="153"/>
      <c r="M22" s="153"/>
      <c r="N22" s="153"/>
      <c r="O22" s="153"/>
      <c r="P22" s="153"/>
    </row>
    <row r="23" spans="1:16">
      <c r="A23" s="143" t="s">
        <v>893</v>
      </c>
      <c r="B23" s="153">
        <v>4414</v>
      </c>
      <c r="C23" s="158">
        <v>1096.9000000000001</v>
      </c>
      <c r="D23" s="158">
        <v>-642.1</v>
      </c>
      <c r="E23" s="151">
        <v>812.2</v>
      </c>
      <c r="F23" s="158">
        <v>-1758.5</v>
      </c>
      <c r="G23" s="151">
        <v>-3564.6</v>
      </c>
      <c r="H23" s="166">
        <v>-1325.3</v>
      </c>
      <c r="I23" s="153">
        <v>-3687.2</v>
      </c>
      <c r="J23" s="153"/>
      <c r="K23" s="153"/>
      <c r="L23" s="153"/>
      <c r="M23" s="153"/>
      <c r="N23" s="153"/>
      <c r="O23" s="153"/>
      <c r="P23" s="153"/>
    </row>
    <row r="24" spans="1:16">
      <c r="A24" s="143" t="s">
        <v>894</v>
      </c>
      <c r="B24" s="151"/>
      <c r="C24" s="151"/>
      <c r="D24" s="151"/>
      <c r="E24" s="151"/>
      <c r="F24" s="158"/>
      <c r="G24" s="151"/>
      <c r="H24" s="166"/>
      <c r="I24" s="153"/>
      <c r="J24" s="153"/>
      <c r="K24" s="153"/>
      <c r="L24" s="153"/>
      <c r="M24" s="153"/>
      <c r="N24" s="153"/>
      <c r="O24" s="153"/>
      <c r="P24" s="153"/>
    </row>
    <row r="25" spans="1:16">
      <c r="A25" s="143" t="s">
        <v>895</v>
      </c>
      <c r="B25" s="153">
        <v>5443.5</v>
      </c>
      <c r="C25" s="158">
        <v>6110.7</v>
      </c>
      <c r="D25" s="158">
        <v>6569.5</v>
      </c>
      <c r="E25" s="151">
        <v>7247.2</v>
      </c>
      <c r="F25" s="151">
        <v>7196.2</v>
      </c>
      <c r="G25" s="151">
        <v>8449.4</v>
      </c>
      <c r="H25" s="151">
        <v>9361.9</v>
      </c>
      <c r="I25" s="151">
        <v>9970</v>
      </c>
      <c r="J25" s="156"/>
      <c r="K25" s="156"/>
      <c r="L25" s="153"/>
      <c r="M25" s="153"/>
      <c r="N25" s="153"/>
      <c r="O25" s="153"/>
      <c r="P25" s="153"/>
    </row>
    <row r="26" spans="1:16">
      <c r="A26" s="143" t="s">
        <v>896</v>
      </c>
      <c r="B26" s="151">
        <v>673.4</v>
      </c>
      <c r="C26" s="158">
        <v>672.3</v>
      </c>
      <c r="D26" s="151">
        <v>716.1</v>
      </c>
      <c r="E26" s="151">
        <v>788.3</v>
      </c>
      <c r="F26" s="151">
        <v>783.9</v>
      </c>
      <c r="G26" s="151">
        <v>974.3</v>
      </c>
      <c r="H26" s="151">
        <v>1086</v>
      </c>
      <c r="I26" s="151">
        <v>1177.4000000000001</v>
      </c>
      <c r="J26" s="156"/>
      <c r="K26" s="156"/>
      <c r="L26" s="153"/>
      <c r="M26" s="153"/>
      <c r="N26" s="153"/>
      <c r="O26" s="153"/>
      <c r="P26" s="153"/>
    </row>
    <row r="27" spans="1:16">
      <c r="A27" s="142" t="s">
        <v>1306</v>
      </c>
      <c r="B27" s="153">
        <v>-109.8</v>
      </c>
      <c r="C27" s="158">
        <v>-317.39999999999998</v>
      </c>
      <c r="D27" s="158">
        <v>84.1</v>
      </c>
      <c r="E27" s="151">
        <v>-377.6</v>
      </c>
      <c r="F27" s="158">
        <v>-1367.9</v>
      </c>
      <c r="G27" s="158">
        <v>451.8</v>
      </c>
      <c r="H27" s="166">
        <v>633.1</v>
      </c>
      <c r="I27" s="153">
        <v>-1127.4000000000001</v>
      </c>
      <c r="J27" s="153"/>
      <c r="K27" s="153"/>
      <c r="L27" s="153"/>
      <c r="M27" s="153"/>
      <c r="N27" s="153"/>
      <c r="O27" s="153"/>
      <c r="P27" s="153"/>
    </row>
    <row r="28" spans="1:16">
      <c r="A28" s="157" t="s">
        <v>1307</v>
      </c>
      <c r="B28" s="153">
        <v>48.8</v>
      </c>
      <c r="C28" s="158">
        <v>51.3</v>
      </c>
      <c r="D28" s="158">
        <v>54.5</v>
      </c>
      <c r="E28" s="151">
        <v>58.9</v>
      </c>
      <c r="F28" s="158">
        <v>60.1</v>
      </c>
      <c r="G28" s="151">
        <v>71.400000000000006</v>
      </c>
      <c r="H28" s="151" t="s">
        <v>1499</v>
      </c>
      <c r="I28" s="151" t="s">
        <v>1499</v>
      </c>
      <c r="J28" s="156"/>
      <c r="K28" s="156"/>
      <c r="L28" s="153"/>
      <c r="M28" s="153"/>
      <c r="N28" s="153"/>
      <c r="O28" s="153"/>
      <c r="P28" s="153"/>
    </row>
    <row r="29" spans="1:16">
      <c r="A29" s="157" t="s">
        <v>809</v>
      </c>
      <c r="B29" s="151"/>
      <c r="C29" s="151"/>
      <c r="D29" s="158"/>
      <c r="E29" s="158"/>
      <c r="F29" s="158"/>
      <c r="G29" s="158"/>
      <c r="H29" s="158"/>
      <c r="I29" s="153"/>
      <c r="J29" s="153"/>
      <c r="K29" s="153"/>
      <c r="L29" s="153"/>
      <c r="M29" s="153"/>
      <c r="N29" s="153"/>
      <c r="O29" s="153"/>
      <c r="P29" s="153"/>
    </row>
    <row r="30" spans="1:16">
      <c r="A30" s="157" t="s">
        <v>946</v>
      </c>
      <c r="B30" s="153">
        <v>68</v>
      </c>
      <c r="C30" s="151">
        <v>68.8</v>
      </c>
      <c r="D30" s="151">
        <v>73.2</v>
      </c>
      <c r="E30" s="151">
        <v>80.599999999999994</v>
      </c>
      <c r="F30" s="151">
        <v>79.7</v>
      </c>
      <c r="G30" s="151">
        <v>106.8</v>
      </c>
      <c r="H30" s="151">
        <v>126.2</v>
      </c>
      <c r="I30" s="151">
        <v>139.1</v>
      </c>
      <c r="J30" s="156"/>
      <c r="K30" s="156"/>
      <c r="L30" s="153"/>
      <c r="M30" s="153"/>
      <c r="N30" s="153"/>
      <c r="O30" s="153"/>
      <c r="P30" s="153"/>
    </row>
    <row r="31" spans="1:16">
      <c r="A31" s="143" t="s">
        <v>947</v>
      </c>
      <c r="B31" s="153"/>
      <c r="C31" s="158"/>
      <c r="D31" s="158">
        <v>2649</v>
      </c>
      <c r="E31" s="151">
        <v>7583.9</v>
      </c>
      <c r="F31" s="158">
        <v>6590.5</v>
      </c>
      <c r="G31" s="158">
        <v>7924.9</v>
      </c>
      <c r="H31" s="166">
        <v>8508</v>
      </c>
      <c r="I31" s="153">
        <v>6109.8</v>
      </c>
      <c r="J31" s="153"/>
      <c r="K31" s="153"/>
      <c r="L31" s="153"/>
      <c r="M31" s="153"/>
      <c r="N31" s="153"/>
      <c r="O31" s="153"/>
      <c r="P31" s="153"/>
    </row>
    <row r="32" spans="1:16">
      <c r="A32" s="143" t="s">
        <v>948</v>
      </c>
      <c r="B32" s="153"/>
      <c r="C32" s="158"/>
      <c r="D32" s="158"/>
      <c r="E32" s="151"/>
      <c r="F32" s="158"/>
      <c r="G32" s="158"/>
      <c r="H32" s="166"/>
      <c r="I32" s="153"/>
      <c r="J32" s="153"/>
      <c r="K32" s="153"/>
      <c r="L32" s="153"/>
      <c r="M32" s="153"/>
      <c r="N32" s="153"/>
      <c r="O32" s="153"/>
      <c r="P32" s="153"/>
    </row>
    <row r="33" spans="1:16">
      <c r="A33" s="143" t="s">
        <v>949</v>
      </c>
      <c r="B33" s="153"/>
      <c r="C33" s="158"/>
      <c r="D33" s="158"/>
      <c r="E33" s="151"/>
      <c r="F33" s="158"/>
      <c r="G33" s="158"/>
      <c r="H33" s="166"/>
      <c r="I33" s="153"/>
      <c r="J33" s="153"/>
      <c r="K33" s="153"/>
      <c r="L33" s="153"/>
      <c r="M33" s="153"/>
      <c r="N33" s="153"/>
      <c r="O33" s="153"/>
      <c r="P33" s="153"/>
    </row>
    <row r="34" spans="1:16">
      <c r="A34" s="143"/>
      <c r="B34" s="151"/>
      <c r="C34" s="151"/>
      <c r="D34" s="151"/>
      <c r="E34" s="151"/>
      <c r="F34" s="151"/>
      <c r="G34" s="151"/>
      <c r="H34" s="158"/>
      <c r="I34" s="153"/>
      <c r="J34" s="153"/>
      <c r="K34" s="153"/>
      <c r="L34" s="153"/>
      <c r="M34" s="153"/>
      <c r="N34" s="153"/>
      <c r="O34" s="153"/>
      <c r="P34" s="153"/>
    </row>
    <row r="35" spans="1:16">
      <c r="A35" s="160" t="s">
        <v>950</v>
      </c>
      <c r="B35" s="150">
        <v>2358.1999999999998</v>
      </c>
      <c r="C35" s="150">
        <v>2741.2</v>
      </c>
      <c r="D35" s="150">
        <v>3284</v>
      </c>
      <c r="E35" s="150">
        <v>4172.3</v>
      </c>
      <c r="F35" s="150">
        <v>7530.3</v>
      </c>
      <c r="G35" s="150">
        <v>8159</v>
      </c>
      <c r="H35" s="150">
        <v>13360.5</v>
      </c>
      <c r="I35" s="150">
        <v>16589.599999999999</v>
      </c>
      <c r="J35" s="150"/>
      <c r="K35" s="150"/>
      <c r="L35" s="150"/>
      <c r="M35" s="150"/>
      <c r="N35" s="150"/>
      <c r="O35" s="150"/>
      <c r="P35" s="150"/>
    </row>
    <row r="36" spans="1:16">
      <c r="A36" s="143" t="s">
        <v>951</v>
      </c>
      <c r="B36" s="153">
        <v>16.2</v>
      </c>
      <c r="C36" s="151">
        <v>55</v>
      </c>
      <c r="D36" s="158">
        <v>228.4</v>
      </c>
      <c r="E36" s="158">
        <v>312.3</v>
      </c>
      <c r="F36" s="151">
        <v>262</v>
      </c>
      <c r="G36" s="151">
        <v>372.5</v>
      </c>
      <c r="H36" s="158">
        <v>449.8</v>
      </c>
      <c r="I36" s="156">
        <v>424.9</v>
      </c>
      <c r="J36" s="156"/>
      <c r="K36" s="156"/>
      <c r="L36" s="153"/>
      <c r="M36" s="153"/>
      <c r="N36" s="153"/>
      <c r="O36" s="153"/>
      <c r="P36" s="153"/>
    </row>
    <row r="37" spans="1:16">
      <c r="A37" s="159" t="s">
        <v>1308</v>
      </c>
      <c r="B37" s="153" t="s">
        <v>1499</v>
      </c>
      <c r="C37" s="158" t="s">
        <v>1499</v>
      </c>
      <c r="D37" s="151" t="s">
        <v>1499</v>
      </c>
      <c r="E37" s="151" t="s">
        <v>1499</v>
      </c>
      <c r="F37" s="158">
        <v>675</v>
      </c>
      <c r="G37" s="158">
        <v>951.1</v>
      </c>
      <c r="H37" s="148"/>
      <c r="I37" s="148"/>
      <c r="J37" s="146"/>
      <c r="K37" s="146"/>
      <c r="L37" s="146"/>
      <c r="M37" s="148"/>
      <c r="N37" s="146"/>
      <c r="O37" s="148"/>
      <c r="P37" s="148"/>
    </row>
    <row r="38" spans="1:16">
      <c r="A38" s="159" t="s">
        <v>1309</v>
      </c>
      <c r="B38" s="153"/>
      <c r="C38" s="158"/>
      <c r="D38" s="151"/>
      <c r="E38" s="151"/>
      <c r="F38" s="158"/>
      <c r="G38" s="158"/>
      <c r="H38" s="166">
        <v>3598.8</v>
      </c>
      <c r="I38" s="153">
        <v>4572.8999999999996</v>
      </c>
      <c r="J38" s="153"/>
      <c r="K38" s="153"/>
      <c r="L38" s="153"/>
      <c r="M38" s="153"/>
      <c r="N38" s="153"/>
      <c r="O38" s="153"/>
      <c r="P38" s="153"/>
    </row>
    <row r="39" spans="1:16">
      <c r="A39" s="143" t="s">
        <v>953</v>
      </c>
      <c r="B39" s="153">
        <v>588.1</v>
      </c>
      <c r="C39" s="158">
        <v>702.2</v>
      </c>
      <c r="D39" s="151">
        <v>717.9</v>
      </c>
      <c r="E39" s="151">
        <v>901.4</v>
      </c>
      <c r="F39" s="158">
        <v>2574.5</v>
      </c>
      <c r="G39" s="158">
        <v>1482</v>
      </c>
      <c r="H39" s="166">
        <v>1826.1</v>
      </c>
      <c r="I39" s="153">
        <v>2632.2</v>
      </c>
      <c r="J39" s="153"/>
      <c r="K39" s="153"/>
      <c r="L39" s="153"/>
      <c r="M39" s="153"/>
      <c r="N39" s="153"/>
      <c r="O39" s="153"/>
      <c r="P39" s="153"/>
    </row>
    <row r="40" spans="1:16">
      <c r="A40" s="143" t="s">
        <v>954</v>
      </c>
      <c r="B40" s="153">
        <v>14.3</v>
      </c>
      <c r="C40" s="158">
        <v>14.8</v>
      </c>
      <c r="D40" s="151">
        <v>22.7</v>
      </c>
      <c r="E40" s="151">
        <v>22.5</v>
      </c>
      <c r="F40" s="158">
        <v>28.3</v>
      </c>
      <c r="G40" s="158">
        <v>29.5</v>
      </c>
      <c r="H40" s="166">
        <v>44.4</v>
      </c>
      <c r="I40" s="153">
        <v>58.8</v>
      </c>
      <c r="J40" s="153"/>
      <c r="K40" s="153"/>
      <c r="L40" s="153"/>
      <c r="M40" s="153"/>
      <c r="N40" s="153"/>
      <c r="O40" s="153"/>
      <c r="P40" s="153"/>
    </row>
    <row r="41" spans="1:16">
      <c r="A41" s="143" t="s">
        <v>955</v>
      </c>
      <c r="B41" s="153">
        <v>466.9</v>
      </c>
      <c r="C41" s="158">
        <v>545.6</v>
      </c>
      <c r="D41" s="151">
        <v>559.70000000000005</v>
      </c>
      <c r="E41" s="151">
        <v>757</v>
      </c>
      <c r="F41" s="158">
        <v>891.7</v>
      </c>
      <c r="G41" s="158">
        <v>943.4</v>
      </c>
      <c r="H41" s="166">
        <v>997.3</v>
      </c>
      <c r="I41" s="153">
        <v>909.7</v>
      </c>
      <c r="J41" s="153"/>
      <c r="K41" s="153"/>
      <c r="L41" s="153"/>
      <c r="M41" s="153"/>
      <c r="N41" s="153"/>
      <c r="O41" s="153"/>
      <c r="P41" s="153"/>
    </row>
    <row r="42" spans="1:16">
      <c r="A42" s="143" t="s">
        <v>100</v>
      </c>
      <c r="B42" s="153">
        <v>51.4</v>
      </c>
      <c r="C42" s="158">
        <v>92.4</v>
      </c>
      <c r="D42" s="151">
        <v>134.5</v>
      </c>
      <c r="E42" s="151">
        <v>152.80000000000001</v>
      </c>
      <c r="F42" s="158">
        <v>197.7</v>
      </c>
      <c r="G42" s="158">
        <v>197.3</v>
      </c>
      <c r="H42" s="166">
        <v>125.3</v>
      </c>
      <c r="I42" s="153">
        <v>179.9</v>
      </c>
      <c r="J42" s="153"/>
      <c r="K42" s="153"/>
      <c r="L42" s="153"/>
      <c r="M42" s="153"/>
      <c r="N42" s="153"/>
      <c r="O42" s="153"/>
      <c r="P42" s="153"/>
    </row>
    <row r="43" spans="1:16">
      <c r="A43" s="143" t="s">
        <v>101</v>
      </c>
      <c r="B43" s="153">
        <v>1221.3</v>
      </c>
      <c r="C43" s="158">
        <v>1331.2</v>
      </c>
      <c r="D43" s="151">
        <v>1620.8</v>
      </c>
      <c r="E43" s="151">
        <v>1659.5</v>
      </c>
      <c r="F43" s="158">
        <v>1807.9</v>
      </c>
      <c r="G43" s="158">
        <v>2605.1999999999998</v>
      </c>
      <c r="H43" s="166">
        <v>3005.9</v>
      </c>
      <c r="I43" s="153">
        <v>3741.9</v>
      </c>
      <c r="J43" s="153"/>
      <c r="K43" s="153"/>
      <c r="L43" s="153"/>
      <c r="M43" s="153"/>
      <c r="N43" s="153"/>
      <c r="O43" s="153"/>
      <c r="P43" s="153"/>
    </row>
    <row r="44" spans="1:16">
      <c r="A44" s="143" t="s">
        <v>1310</v>
      </c>
      <c r="B44" s="153"/>
      <c r="C44" s="158"/>
      <c r="D44" s="151"/>
      <c r="E44" s="151">
        <v>366.8</v>
      </c>
      <c r="F44" s="158">
        <v>1093.2</v>
      </c>
      <c r="G44" s="158">
        <v>1578</v>
      </c>
      <c r="H44" s="166">
        <v>3312.9</v>
      </c>
      <c r="I44" s="153">
        <v>4069.3</v>
      </c>
      <c r="J44" s="153"/>
      <c r="K44" s="153"/>
      <c r="L44" s="153"/>
      <c r="M44" s="153"/>
      <c r="N44" s="153"/>
      <c r="O44" s="153"/>
      <c r="P44" s="153"/>
    </row>
    <row r="45" spans="1:16">
      <c r="A45" s="143"/>
      <c r="B45" s="151"/>
      <c r="C45" s="151"/>
      <c r="D45" s="151"/>
      <c r="E45" s="151"/>
      <c r="F45" s="151"/>
      <c r="G45" s="151"/>
      <c r="H45" s="158"/>
      <c r="I45" s="153"/>
      <c r="J45" s="153"/>
      <c r="K45" s="153"/>
      <c r="L45" s="153"/>
      <c r="M45" s="153"/>
      <c r="N45" s="153"/>
      <c r="O45" s="153"/>
      <c r="P45" s="153"/>
    </row>
    <row r="46" spans="1:16">
      <c r="A46" s="160" t="s">
        <v>102</v>
      </c>
      <c r="B46" s="150">
        <v>64513.2</v>
      </c>
      <c r="C46" s="150">
        <v>70229</v>
      </c>
      <c r="D46" s="150">
        <v>80578.8</v>
      </c>
      <c r="E46" s="150">
        <v>87567.7</v>
      </c>
      <c r="F46" s="150">
        <v>104270.3</v>
      </c>
      <c r="G46" s="150">
        <v>113696.7</v>
      </c>
      <c r="H46" s="150">
        <v>124818.5</v>
      </c>
      <c r="I46" s="150">
        <v>138081.4</v>
      </c>
      <c r="J46" s="150"/>
      <c r="K46" s="150"/>
      <c r="L46" s="150"/>
      <c r="M46" s="150"/>
      <c r="N46" s="150"/>
      <c r="O46" s="150"/>
      <c r="P46" s="150"/>
    </row>
    <row r="47" spans="1:16">
      <c r="A47" s="143" t="s">
        <v>1193</v>
      </c>
      <c r="B47" s="153">
        <v>37304.9</v>
      </c>
      <c r="C47" s="158">
        <v>40664.800000000003</v>
      </c>
      <c r="D47" s="151">
        <v>45423.1</v>
      </c>
      <c r="E47" s="151">
        <v>48520.4</v>
      </c>
      <c r="F47" s="158">
        <v>59296.2</v>
      </c>
      <c r="G47" s="158">
        <v>63524.4</v>
      </c>
      <c r="H47" s="166">
        <v>72292</v>
      </c>
      <c r="I47" s="153">
        <v>79960</v>
      </c>
      <c r="J47" s="153"/>
      <c r="K47" s="153"/>
      <c r="L47" s="153"/>
      <c r="M47" s="153"/>
      <c r="N47" s="153"/>
      <c r="O47" s="153"/>
      <c r="P47" s="153"/>
    </row>
    <row r="48" spans="1:16">
      <c r="A48" s="143" t="s">
        <v>1194</v>
      </c>
      <c r="B48" s="153">
        <v>4774</v>
      </c>
      <c r="C48" s="158">
        <v>5286.1</v>
      </c>
      <c r="D48" s="166">
        <v>6659.6</v>
      </c>
      <c r="E48" s="166">
        <v>6736.7</v>
      </c>
      <c r="F48" s="166">
        <v>8524</v>
      </c>
      <c r="G48" s="166">
        <v>12600</v>
      </c>
      <c r="H48" s="166">
        <v>11943.8</v>
      </c>
      <c r="I48" s="166">
        <v>14000.6</v>
      </c>
      <c r="J48" s="153"/>
      <c r="K48" s="153"/>
      <c r="L48" s="153"/>
      <c r="M48" s="153"/>
      <c r="N48" s="153"/>
      <c r="O48" s="153"/>
      <c r="P48" s="153"/>
    </row>
    <row r="49" spans="1:16">
      <c r="A49" s="143" t="s">
        <v>1195</v>
      </c>
      <c r="B49" s="153">
        <v>661.2</v>
      </c>
      <c r="C49" s="166">
        <v>663.1</v>
      </c>
      <c r="D49" s="166">
        <v>685.5</v>
      </c>
      <c r="E49" s="166">
        <v>739.7</v>
      </c>
      <c r="F49" s="166">
        <v>844.3</v>
      </c>
      <c r="G49" s="166">
        <v>858.7</v>
      </c>
      <c r="H49" s="166">
        <v>958.9</v>
      </c>
      <c r="I49" s="166">
        <v>1009.9</v>
      </c>
      <c r="J49" s="169"/>
      <c r="K49" s="169"/>
      <c r="L49" s="153"/>
      <c r="M49" s="153"/>
      <c r="N49" s="153"/>
      <c r="O49" s="153"/>
      <c r="P49" s="153"/>
    </row>
    <row r="50" spans="1:16">
      <c r="A50" s="143" t="s">
        <v>1196</v>
      </c>
      <c r="B50" s="153">
        <v>522.20000000000005</v>
      </c>
      <c r="C50" s="158">
        <v>583.9</v>
      </c>
      <c r="D50" s="151">
        <v>642.5</v>
      </c>
      <c r="E50" s="151">
        <v>725.4</v>
      </c>
      <c r="F50" s="158">
        <v>1019.3</v>
      </c>
      <c r="G50" s="158">
        <v>1412.5</v>
      </c>
      <c r="H50" s="166">
        <v>1710.9</v>
      </c>
      <c r="I50" s="153">
        <v>2092.6999999999998</v>
      </c>
      <c r="J50" s="153"/>
      <c r="K50" s="153"/>
      <c r="L50" s="153"/>
      <c r="M50" s="153"/>
      <c r="N50" s="153"/>
      <c r="O50" s="153"/>
      <c r="P50" s="153"/>
    </row>
    <row r="51" spans="1:16">
      <c r="A51" s="143" t="s">
        <v>1197</v>
      </c>
      <c r="B51" s="153">
        <v>2999.1</v>
      </c>
      <c r="C51" s="158">
        <v>3090.5</v>
      </c>
      <c r="D51" s="151">
        <v>3008.2</v>
      </c>
      <c r="E51" s="151">
        <v>4057.6</v>
      </c>
      <c r="F51" s="158">
        <v>3901.3</v>
      </c>
      <c r="G51" s="158">
        <v>3935.9</v>
      </c>
      <c r="H51" s="166">
        <v>4048.4</v>
      </c>
      <c r="I51" s="153">
        <v>4550.3</v>
      </c>
      <c r="J51" s="153"/>
      <c r="K51" s="153"/>
      <c r="L51" s="153"/>
      <c r="M51" s="153"/>
      <c r="N51" s="153"/>
      <c r="O51" s="153"/>
      <c r="P51" s="153"/>
    </row>
    <row r="52" spans="1:16">
      <c r="A52" s="143" t="s">
        <v>1311</v>
      </c>
      <c r="B52" s="153">
        <v>4457.2</v>
      </c>
      <c r="C52" s="158">
        <v>4633.1000000000004</v>
      </c>
      <c r="D52" s="151">
        <v>4931</v>
      </c>
      <c r="E52" s="151">
        <v>5877.3</v>
      </c>
      <c r="F52" s="158">
        <v>5247.4</v>
      </c>
      <c r="G52" s="158">
        <v>5347.3</v>
      </c>
      <c r="H52" s="166">
        <v>5851.9</v>
      </c>
      <c r="I52" s="153">
        <v>5856.3</v>
      </c>
      <c r="J52" s="153"/>
      <c r="K52" s="153"/>
      <c r="L52" s="153"/>
      <c r="M52" s="153"/>
      <c r="N52" s="153"/>
      <c r="O52" s="153"/>
      <c r="P52" s="153"/>
    </row>
    <row r="53" spans="1:16">
      <c r="A53" s="143" t="s">
        <v>1199</v>
      </c>
      <c r="B53" s="153">
        <v>992.1</v>
      </c>
      <c r="C53" s="158">
        <v>1114.7</v>
      </c>
      <c r="D53" s="151">
        <v>1282.8</v>
      </c>
      <c r="E53" s="151">
        <v>1802.7</v>
      </c>
      <c r="F53" s="151">
        <v>1852.1</v>
      </c>
      <c r="G53" s="153">
        <v>2049.4</v>
      </c>
      <c r="H53" s="153">
        <v>2176</v>
      </c>
      <c r="I53" s="153">
        <v>2387.6999999999998</v>
      </c>
      <c r="J53" s="153"/>
      <c r="K53" s="153"/>
      <c r="L53" s="153"/>
      <c r="M53" s="153"/>
      <c r="N53" s="153"/>
      <c r="O53" s="153"/>
      <c r="P53" s="153"/>
    </row>
    <row r="54" spans="1:16">
      <c r="A54" s="143" t="s">
        <v>1200</v>
      </c>
      <c r="B54" s="153">
        <v>1013.1</v>
      </c>
      <c r="C54" s="158">
        <v>1047.5999999999999</v>
      </c>
      <c r="D54" s="151">
        <v>1036.9000000000001</v>
      </c>
      <c r="E54" s="151">
        <v>1284.3</v>
      </c>
      <c r="F54" s="151">
        <v>1265.3</v>
      </c>
      <c r="G54" s="153">
        <v>1394.7</v>
      </c>
      <c r="H54" s="153">
        <v>1571.7</v>
      </c>
      <c r="I54" s="153">
        <v>1799.3</v>
      </c>
      <c r="J54" s="153"/>
      <c r="K54" s="153"/>
      <c r="L54" s="153"/>
      <c r="M54" s="153"/>
      <c r="N54" s="153"/>
      <c r="O54" s="153"/>
      <c r="P54" s="153"/>
    </row>
    <row r="55" spans="1:16">
      <c r="A55" s="143" t="s">
        <v>1201</v>
      </c>
      <c r="B55" s="153">
        <v>5854.3</v>
      </c>
      <c r="C55" s="158">
        <v>6906.9</v>
      </c>
      <c r="D55" s="151">
        <v>8272.2000000000007</v>
      </c>
      <c r="E55" s="151">
        <v>9214</v>
      </c>
      <c r="F55" s="151">
        <v>11423.9</v>
      </c>
      <c r="G55" s="158">
        <v>11039.2</v>
      </c>
      <c r="H55" s="166">
        <v>12132.9</v>
      </c>
      <c r="I55" s="153">
        <v>13048.2</v>
      </c>
      <c r="J55" s="153"/>
      <c r="K55" s="153"/>
      <c r="L55" s="153"/>
      <c r="M55" s="153"/>
      <c r="N55" s="153"/>
      <c r="O55" s="153"/>
      <c r="P55" s="153"/>
    </row>
    <row r="56" spans="1:16">
      <c r="A56" s="143" t="s">
        <v>1312</v>
      </c>
      <c r="B56" s="153">
        <v>0.4</v>
      </c>
      <c r="C56" s="158">
        <v>4.8</v>
      </c>
      <c r="D56" s="151">
        <v>4</v>
      </c>
      <c r="E56" s="151">
        <v>1.7</v>
      </c>
      <c r="F56" s="151">
        <v>1.3</v>
      </c>
      <c r="G56" s="158">
        <v>0.1</v>
      </c>
      <c r="H56" s="166">
        <v>0</v>
      </c>
      <c r="I56" s="153">
        <v>0</v>
      </c>
      <c r="J56" s="153"/>
      <c r="K56" s="153"/>
      <c r="L56" s="153"/>
      <c r="M56" s="153"/>
      <c r="N56" s="153"/>
      <c r="O56" s="153"/>
      <c r="P56" s="153"/>
    </row>
    <row r="57" spans="1:16">
      <c r="A57" s="143" t="s">
        <v>1313</v>
      </c>
      <c r="B57" s="153">
        <v>0</v>
      </c>
      <c r="C57" s="158">
        <v>0</v>
      </c>
      <c r="D57" s="151">
        <v>1437.3</v>
      </c>
      <c r="E57" s="151">
        <v>472.4</v>
      </c>
      <c r="F57" s="151">
        <v>1468.9</v>
      </c>
      <c r="G57" s="158">
        <v>1600.3</v>
      </c>
      <c r="H57" s="166">
        <v>1606.5</v>
      </c>
      <c r="I57" s="153">
        <v>1286.8</v>
      </c>
      <c r="J57" s="153"/>
      <c r="K57" s="153"/>
      <c r="L57" s="153"/>
      <c r="M57" s="153"/>
      <c r="N57" s="153"/>
      <c r="O57" s="153"/>
      <c r="P57" s="153"/>
    </row>
    <row r="58" spans="1:16">
      <c r="A58" s="157" t="s">
        <v>1202</v>
      </c>
      <c r="B58" s="153"/>
      <c r="C58" s="158"/>
      <c r="D58" s="151"/>
      <c r="E58" s="151"/>
      <c r="F58" s="151"/>
      <c r="G58" s="158"/>
      <c r="H58" s="166"/>
      <c r="I58" s="153"/>
      <c r="J58" s="153"/>
      <c r="K58" s="153"/>
      <c r="L58" s="153"/>
      <c r="M58" s="153"/>
      <c r="N58" s="153"/>
      <c r="O58" s="153"/>
      <c r="P58" s="153"/>
    </row>
    <row r="59" spans="1:16">
      <c r="A59" s="157" t="s">
        <v>1246</v>
      </c>
      <c r="B59" s="151"/>
      <c r="C59" s="151"/>
      <c r="D59" s="151">
        <v>15</v>
      </c>
      <c r="E59" s="151">
        <v>32.4</v>
      </c>
      <c r="F59" s="151">
        <v>49.2</v>
      </c>
      <c r="G59" s="153">
        <v>83.8</v>
      </c>
      <c r="H59" s="153">
        <v>110.6</v>
      </c>
      <c r="I59" s="153">
        <v>140.6</v>
      </c>
      <c r="J59" s="153"/>
      <c r="K59" s="153"/>
      <c r="L59" s="153"/>
      <c r="M59" s="153"/>
      <c r="N59" s="153"/>
      <c r="O59" s="153"/>
      <c r="P59" s="153"/>
    </row>
    <row r="60" spans="1:16">
      <c r="A60" s="157" t="s">
        <v>1314</v>
      </c>
      <c r="B60" s="151"/>
      <c r="C60" s="151"/>
      <c r="D60" s="151">
        <v>3.1</v>
      </c>
      <c r="E60" s="151">
        <v>57.6</v>
      </c>
      <c r="F60" s="151">
        <v>106.6</v>
      </c>
      <c r="G60" s="151">
        <v>117.3</v>
      </c>
      <c r="H60" s="151">
        <v>160.30000000000001</v>
      </c>
      <c r="I60" s="153">
        <v>207.7</v>
      </c>
      <c r="J60" s="153"/>
      <c r="K60" s="153"/>
      <c r="L60" s="153"/>
      <c r="M60" s="153"/>
      <c r="N60" s="153"/>
      <c r="O60" s="153"/>
      <c r="P60" s="153"/>
    </row>
    <row r="61" spans="1:16">
      <c r="A61" s="143" t="s">
        <v>1247</v>
      </c>
      <c r="B61" s="153"/>
      <c r="C61" s="158"/>
      <c r="D61" s="151">
        <v>429.1</v>
      </c>
      <c r="E61" s="151">
        <v>1020.6</v>
      </c>
      <c r="F61" s="151">
        <v>1030.5</v>
      </c>
      <c r="G61" s="151">
        <v>1049.3</v>
      </c>
      <c r="H61" s="151">
        <v>890.2</v>
      </c>
      <c r="I61" s="153">
        <v>1107.8</v>
      </c>
      <c r="J61" s="153"/>
      <c r="K61" s="153"/>
      <c r="L61" s="153"/>
      <c r="M61" s="153"/>
      <c r="N61" s="153"/>
      <c r="O61" s="153"/>
      <c r="P61" s="153"/>
    </row>
    <row r="62" spans="1:16">
      <c r="A62" s="143" t="s">
        <v>1248</v>
      </c>
      <c r="B62" s="153"/>
      <c r="C62" s="158"/>
      <c r="D62" s="151">
        <v>5.2</v>
      </c>
      <c r="E62" s="151">
        <v>79.599999999999994</v>
      </c>
      <c r="F62" s="158">
        <v>101.8</v>
      </c>
      <c r="G62" s="158">
        <v>98.6</v>
      </c>
      <c r="H62" s="166">
        <v>93.6</v>
      </c>
      <c r="I62" s="153">
        <v>75.099999999999994</v>
      </c>
      <c r="J62" s="153"/>
      <c r="K62" s="153"/>
      <c r="L62" s="153"/>
      <c r="M62" s="153"/>
      <c r="N62" s="153"/>
      <c r="O62" s="153"/>
      <c r="P62" s="153"/>
    </row>
    <row r="63" spans="1:16">
      <c r="A63" s="157" t="s">
        <v>1249</v>
      </c>
      <c r="B63" s="151"/>
      <c r="C63" s="151"/>
      <c r="D63" s="151"/>
      <c r="E63" s="151"/>
      <c r="F63" s="151"/>
      <c r="G63" s="158"/>
      <c r="H63" s="166"/>
      <c r="I63" s="153"/>
      <c r="J63" s="153"/>
      <c r="K63" s="153"/>
      <c r="L63" s="153"/>
      <c r="M63" s="153"/>
      <c r="N63" s="153"/>
      <c r="O63" s="153"/>
      <c r="P63" s="153"/>
    </row>
    <row r="64" spans="1:16">
      <c r="A64" s="157" t="s">
        <v>1274</v>
      </c>
      <c r="B64" s="151"/>
      <c r="C64" s="151"/>
      <c r="D64" s="151"/>
      <c r="E64" s="151"/>
      <c r="F64" s="151"/>
      <c r="G64" s="151"/>
      <c r="H64" s="166"/>
      <c r="I64" s="153"/>
      <c r="J64" s="153"/>
      <c r="K64" s="153"/>
      <c r="L64" s="153"/>
      <c r="M64" s="153"/>
      <c r="N64" s="153"/>
      <c r="O64" s="153"/>
      <c r="P64" s="153"/>
    </row>
    <row r="65" spans="1:16">
      <c r="A65" s="157" t="s">
        <v>6</v>
      </c>
      <c r="B65" s="151">
        <v>114.7</v>
      </c>
      <c r="C65" s="151">
        <v>139.69999999999999</v>
      </c>
      <c r="D65" s="151">
        <v>175.5</v>
      </c>
      <c r="E65" s="151">
        <v>221.4</v>
      </c>
      <c r="F65" s="151">
        <v>278.7</v>
      </c>
      <c r="G65" s="151">
        <v>161.80000000000001</v>
      </c>
      <c r="H65" s="166">
        <v>149.30000000000001</v>
      </c>
      <c r="I65" s="153">
        <v>131.19999999999999</v>
      </c>
      <c r="J65" s="153"/>
      <c r="K65" s="153"/>
      <c r="L65" s="153"/>
      <c r="M65" s="153"/>
      <c r="N65" s="153"/>
      <c r="O65" s="153"/>
      <c r="P65" s="153"/>
    </row>
    <row r="66" spans="1:16">
      <c r="A66" s="143" t="s">
        <v>1275</v>
      </c>
      <c r="B66" s="153">
        <v>86.1</v>
      </c>
      <c r="C66" s="158">
        <v>92.4</v>
      </c>
      <c r="D66" s="151">
        <v>107</v>
      </c>
      <c r="E66" s="151">
        <v>113.3</v>
      </c>
      <c r="F66" s="158">
        <v>144.19999999999999</v>
      </c>
      <c r="G66" s="158">
        <v>136.1</v>
      </c>
      <c r="H66" s="166">
        <v>141.6</v>
      </c>
      <c r="I66" s="153">
        <v>138.4</v>
      </c>
      <c r="J66" s="153"/>
      <c r="K66" s="153"/>
      <c r="L66" s="153"/>
      <c r="M66" s="153"/>
      <c r="N66" s="153"/>
      <c r="O66" s="153"/>
      <c r="P66" s="153"/>
    </row>
    <row r="67" spans="1:16">
      <c r="A67" s="143" t="s">
        <v>1276</v>
      </c>
      <c r="B67" s="151">
        <v>123.8</v>
      </c>
      <c r="C67" s="151">
        <v>159.6</v>
      </c>
      <c r="D67" s="151">
        <v>150.80000000000001</v>
      </c>
      <c r="E67" s="151">
        <v>143.80000000000001</v>
      </c>
      <c r="F67" s="151">
        <v>148.19999999999999</v>
      </c>
      <c r="G67" s="151">
        <v>200.2</v>
      </c>
      <c r="H67" s="151">
        <v>334.2</v>
      </c>
      <c r="I67" s="153">
        <v>407.3</v>
      </c>
      <c r="J67" s="153"/>
      <c r="K67" s="153"/>
      <c r="L67" s="153"/>
      <c r="M67" s="153"/>
      <c r="N67" s="153"/>
      <c r="O67" s="153"/>
      <c r="P67" s="153"/>
    </row>
    <row r="68" spans="1:16">
      <c r="A68" s="143" t="s">
        <v>1277</v>
      </c>
      <c r="B68" s="153">
        <v>221.3</v>
      </c>
      <c r="C68" s="158">
        <v>249.8</v>
      </c>
      <c r="D68" s="151">
        <v>300.2</v>
      </c>
      <c r="E68" s="151">
        <v>375.4</v>
      </c>
      <c r="F68" s="158">
        <v>486.1</v>
      </c>
      <c r="G68" s="158">
        <v>588.20000000000005</v>
      </c>
      <c r="H68" s="166">
        <v>656.1</v>
      </c>
      <c r="I68" s="153">
        <v>763.6</v>
      </c>
      <c r="J68" s="153"/>
      <c r="K68" s="153"/>
      <c r="L68" s="153"/>
      <c r="M68" s="153"/>
      <c r="N68" s="153"/>
      <c r="O68" s="153"/>
      <c r="P68" s="153"/>
    </row>
    <row r="69" spans="1:16">
      <c r="A69" s="143" t="s">
        <v>7</v>
      </c>
      <c r="B69" s="153">
        <v>233.7</v>
      </c>
      <c r="C69" s="158">
        <v>250.7</v>
      </c>
      <c r="D69" s="151">
        <v>279</v>
      </c>
      <c r="E69" s="151">
        <v>306.10000000000002</v>
      </c>
      <c r="F69" s="158">
        <v>336.4</v>
      </c>
      <c r="G69" s="158">
        <v>396.8</v>
      </c>
      <c r="H69" s="166">
        <v>425.6</v>
      </c>
      <c r="I69" s="153">
        <v>495</v>
      </c>
      <c r="J69" s="153"/>
      <c r="K69" s="153"/>
      <c r="L69" s="153"/>
      <c r="M69" s="153"/>
      <c r="N69" s="153"/>
      <c r="O69" s="153"/>
      <c r="P69" s="153"/>
    </row>
    <row r="70" spans="1:16">
      <c r="A70" s="143" t="s">
        <v>1278</v>
      </c>
      <c r="B70" s="153">
        <v>71.3</v>
      </c>
      <c r="C70" s="158">
        <v>73.099999999999994</v>
      </c>
      <c r="D70" s="151">
        <v>81.8</v>
      </c>
      <c r="E70" s="151">
        <v>91.7</v>
      </c>
      <c r="F70" s="158">
        <v>101.7</v>
      </c>
      <c r="G70" s="158">
        <v>103.7</v>
      </c>
      <c r="H70" s="166">
        <v>109.6</v>
      </c>
      <c r="I70" s="153">
        <v>117.9</v>
      </c>
      <c r="J70" s="153"/>
      <c r="K70" s="153"/>
      <c r="L70" s="153"/>
      <c r="M70" s="153"/>
      <c r="N70" s="153"/>
      <c r="O70" s="153"/>
      <c r="P70" s="153"/>
    </row>
    <row r="71" spans="1:16">
      <c r="A71" s="143" t="s">
        <v>1279</v>
      </c>
      <c r="B71" s="153">
        <v>2295.8000000000002</v>
      </c>
      <c r="C71" s="158">
        <v>2272.3000000000002</v>
      </c>
      <c r="D71" s="151">
        <v>2302.6</v>
      </c>
      <c r="E71" s="151">
        <v>2303.9</v>
      </c>
      <c r="F71" s="158">
        <v>2916.8</v>
      </c>
      <c r="G71" s="158">
        <v>3041.4</v>
      </c>
      <c r="H71" s="166">
        <v>3129.5</v>
      </c>
      <c r="I71" s="153">
        <v>3536.2</v>
      </c>
      <c r="J71" s="153"/>
      <c r="K71" s="153"/>
      <c r="L71" s="153"/>
      <c r="M71" s="153"/>
      <c r="N71" s="153"/>
      <c r="O71" s="153"/>
      <c r="P71" s="153"/>
    </row>
    <row r="72" spans="1:16">
      <c r="A72" s="143" t="s">
        <v>597</v>
      </c>
      <c r="B72" s="151">
        <v>1472.9</v>
      </c>
      <c r="C72" s="151">
        <v>1634.2</v>
      </c>
      <c r="D72" s="151">
        <v>1687</v>
      </c>
      <c r="E72" s="151">
        <v>1735.2</v>
      </c>
      <c r="F72" s="151">
        <v>1816</v>
      </c>
      <c r="G72" s="158">
        <v>2142.9</v>
      </c>
      <c r="H72" s="166">
        <v>2177.1</v>
      </c>
      <c r="I72" s="153">
        <v>2215.9</v>
      </c>
      <c r="J72" s="153"/>
      <c r="K72" s="153"/>
      <c r="L72" s="153"/>
      <c r="M72" s="153"/>
      <c r="N72" s="153"/>
      <c r="O72" s="153"/>
      <c r="P72" s="153"/>
    </row>
    <row r="73" spans="1:16">
      <c r="A73" s="143" t="s">
        <v>598</v>
      </c>
      <c r="B73" s="153">
        <v>1315.1</v>
      </c>
      <c r="C73" s="158">
        <v>1361.7</v>
      </c>
      <c r="D73" s="151">
        <v>1659.4</v>
      </c>
      <c r="E73" s="151">
        <v>1654.5</v>
      </c>
      <c r="F73" s="158">
        <v>1910.1</v>
      </c>
      <c r="G73" s="158">
        <v>1814.1</v>
      </c>
      <c r="H73" s="166">
        <v>2147.8000000000002</v>
      </c>
      <c r="I73" s="153">
        <v>2752.9</v>
      </c>
      <c r="J73" s="153"/>
      <c r="K73" s="153"/>
      <c r="L73" s="153"/>
      <c r="M73" s="153"/>
      <c r="N73" s="153"/>
      <c r="O73" s="153"/>
      <c r="P73" s="153"/>
    </row>
    <row r="74" spans="1:16">
      <c r="A74" s="143" t="s">
        <v>599</v>
      </c>
      <c r="B74" s="153"/>
      <c r="C74" s="158"/>
      <c r="D74" s="151"/>
      <c r="E74" s="151"/>
      <c r="F74" s="158"/>
      <c r="G74" s="158"/>
      <c r="H74" s="166"/>
      <c r="I74" s="153"/>
      <c r="J74" s="153"/>
      <c r="K74" s="153"/>
      <c r="L74" s="153"/>
      <c r="M74" s="153"/>
      <c r="N74" s="153"/>
      <c r="O74" s="153"/>
      <c r="P74" s="153"/>
    </row>
    <row r="75" spans="1:16">
      <c r="A75" s="143" t="s">
        <v>600</v>
      </c>
      <c r="B75" s="153"/>
      <c r="C75" s="158"/>
      <c r="D75" s="151"/>
      <c r="E75" s="151"/>
      <c r="F75" s="158"/>
      <c r="G75" s="158"/>
      <c r="H75" s="166"/>
      <c r="I75" s="153"/>
      <c r="J75" s="153"/>
      <c r="K75" s="153"/>
      <c r="L75" s="153"/>
      <c r="M75" s="153"/>
      <c r="N75" s="153"/>
      <c r="O75" s="153"/>
      <c r="P75" s="153"/>
    </row>
    <row r="76" spans="1:16">
      <c r="A76" s="143" t="s">
        <v>601</v>
      </c>
      <c r="B76" s="153">
        <v>0</v>
      </c>
      <c r="C76" s="158">
        <v>0</v>
      </c>
      <c r="D76" s="158">
        <v>0</v>
      </c>
      <c r="E76" s="151">
        <v>0</v>
      </c>
      <c r="F76" s="158">
        <v>0</v>
      </c>
      <c r="G76" s="158">
        <v>0</v>
      </c>
      <c r="H76" s="166">
        <v>0</v>
      </c>
      <c r="I76" s="153" t="s">
        <v>1229</v>
      </c>
      <c r="J76" s="153"/>
      <c r="K76" s="153"/>
      <c r="L76" s="153"/>
      <c r="M76" s="153"/>
      <c r="N76" s="153"/>
      <c r="O76" s="153"/>
      <c r="P76" s="153"/>
    </row>
    <row r="77" spans="1:16">
      <c r="A77" s="143" t="s">
        <v>8</v>
      </c>
      <c r="B77" s="153"/>
      <c r="C77" s="158"/>
      <c r="D77" s="158"/>
      <c r="E77" s="151"/>
      <c r="F77" s="158"/>
      <c r="G77" s="158"/>
      <c r="H77" s="166"/>
      <c r="I77" s="153"/>
      <c r="J77" s="153"/>
      <c r="K77" s="153"/>
      <c r="L77" s="153"/>
      <c r="M77" s="153"/>
      <c r="N77" s="153"/>
      <c r="O77" s="153"/>
      <c r="P77" s="153"/>
    </row>
    <row r="78" spans="1:16">
      <c r="A78" s="157"/>
      <c r="B78" s="151"/>
      <c r="C78" s="151"/>
      <c r="D78" s="151"/>
      <c r="E78" s="151"/>
      <c r="F78" s="151"/>
      <c r="G78" s="151"/>
      <c r="H78" s="151"/>
      <c r="I78" s="153"/>
      <c r="J78" s="153"/>
      <c r="K78" s="153"/>
      <c r="L78" s="153"/>
      <c r="M78" s="153"/>
      <c r="N78" s="153"/>
      <c r="O78" s="153"/>
      <c r="P78" s="153"/>
    </row>
    <row r="79" spans="1:16">
      <c r="A79" s="161" t="s">
        <v>602</v>
      </c>
      <c r="B79" s="144">
        <v>0</v>
      </c>
      <c r="C79" s="144">
        <v>0</v>
      </c>
      <c r="D79" s="144">
        <v>0</v>
      </c>
      <c r="E79" s="144">
        <v>0</v>
      </c>
      <c r="F79" s="144">
        <v>0</v>
      </c>
      <c r="G79" s="144">
        <v>0</v>
      </c>
      <c r="H79" s="144">
        <v>0</v>
      </c>
      <c r="I79" s="144">
        <v>0</v>
      </c>
      <c r="J79" s="150"/>
      <c r="K79" s="150"/>
      <c r="L79" s="150"/>
      <c r="M79" s="150"/>
      <c r="N79" s="150"/>
      <c r="O79" s="150"/>
      <c r="P79" s="150"/>
    </row>
    <row r="80" spans="1:16">
      <c r="A80" s="157" t="s">
        <v>603</v>
      </c>
      <c r="B80" s="144"/>
      <c r="C80" s="158"/>
      <c r="D80" s="151"/>
      <c r="E80" s="151"/>
      <c r="F80" s="158"/>
      <c r="G80" s="158"/>
      <c r="H80" s="166"/>
      <c r="I80" s="153"/>
      <c r="J80" s="153"/>
      <c r="K80" s="153"/>
      <c r="L80" s="153"/>
      <c r="M80" s="153"/>
      <c r="N80" s="153"/>
      <c r="O80" s="153"/>
      <c r="P80" s="153"/>
    </row>
    <row r="81" spans="1:16">
      <c r="A81" s="157" t="s">
        <v>9</v>
      </c>
      <c r="B81" s="151"/>
      <c r="C81" s="158"/>
      <c r="D81" s="151"/>
      <c r="E81" s="151"/>
      <c r="F81" s="158"/>
      <c r="G81" s="158"/>
      <c r="H81" s="166"/>
      <c r="I81" s="153"/>
      <c r="J81" s="153"/>
      <c r="K81" s="153"/>
      <c r="L81" s="153"/>
      <c r="M81" s="153"/>
      <c r="N81" s="153"/>
      <c r="O81" s="153"/>
      <c r="P81" s="153"/>
    </row>
    <row r="82" spans="1:16">
      <c r="A82" s="157" t="s">
        <v>10</v>
      </c>
      <c r="B82" s="151"/>
      <c r="C82" s="158"/>
      <c r="D82" s="151"/>
      <c r="E82" s="151"/>
      <c r="F82" s="158"/>
      <c r="G82" s="158"/>
      <c r="H82" s="166"/>
      <c r="I82" s="153"/>
      <c r="J82" s="153"/>
      <c r="K82" s="153"/>
      <c r="L82" s="153"/>
      <c r="M82" s="153"/>
      <c r="N82" s="153"/>
      <c r="O82" s="153"/>
      <c r="P82" s="153"/>
    </row>
    <row r="83" spans="1:16">
      <c r="A83" s="157"/>
      <c r="B83" s="151"/>
      <c r="C83" s="151"/>
      <c r="D83" s="151"/>
      <c r="E83" s="151"/>
      <c r="F83" s="151"/>
      <c r="G83" s="151"/>
      <c r="H83" s="158"/>
      <c r="I83" s="153"/>
      <c r="J83" s="153"/>
      <c r="K83" s="153"/>
      <c r="L83" s="153"/>
      <c r="M83" s="153"/>
      <c r="N83" s="153"/>
      <c r="O83" s="153"/>
      <c r="P83" s="153"/>
    </row>
    <row r="84" spans="1:16">
      <c r="A84" s="160" t="s">
        <v>619</v>
      </c>
      <c r="B84" s="150">
        <v>14551.6</v>
      </c>
      <c r="C84" s="150">
        <v>17762.5</v>
      </c>
      <c r="D84" s="150">
        <v>22407.3</v>
      </c>
      <c r="E84" s="150">
        <v>23007.599999999999</v>
      </c>
      <c r="F84" s="150">
        <v>26687.8</v>
      </c>
      <c r="G84" s="150">
        <v>29683.3</v>
      </c>
      <c r="H84" s="150">
        <v>31603.5</v>
      </c>
      <c r="I84" s="150">
        <v>28422.6</v>
      </c>
      <c r="J84" s="150"/>
      <c r="K84" s="150"/>
      <c r="L84" s="150"/>
      <c r="M84" s="150"/>
      <c r="N84" s="150"/>
      <c r="O84" s="150"/>
      <c r="P84" s="150"/>
    </row>
    <row r="85" spans="1:16">
      <c r="A85" s="143"/>
      <c r="B85" s="151"/>
      <c r="C85" s="151"/>
      <c r="D85" s="151"/>
      <c r="E85" s="151"/>
      <c r="F85" s="151"/>
      <c r="G85" s="151"/>
      <c r="H85" s="151"/>
      <c r="I85" s="153"/>
      <c r="J85" s="153"/>
      <c r="K85" s="153"/>
      <c r="L85" s="153"/>
      <c r="M85" s="153"/>
      <c r="N85" s="153"/>
      <c r="O85" s="153"/>
      <c r="P85" s="153"/>
    </row>
    <row r="86" spans="1:16">
      <c r="A86" s="160" t="s">
        <v>620</v>
      </c>
      <c r="B86" s="150">
        <v>3941.5</v>
      </c>
      <c r="C86" s="150">
        <v>5553.7</v>
      </c>
      <c r="D86" s="150">
        <v>8067.9</v>
      </c>
      <c r="E86" s="150">
        <v>8640.5</v>
      </c>
      <c r="F86" s="150">
        <v>10741.8</v>
      </c>
      <c r="G86" s="150">
        <v>12476.1</v>
      </c>
      <c r="H86" s="150">
        <v>11891.1</v>
      </c>
      <c r="I86" s="150">
        <v>11240</v>
      </c>
      <c r="J86" s="150"/>
      <c r="K86" s="150"/>
      <c r="L86" s="150"/>
      <c r="M86" s="150"/>
      <c r="N86" s="150"/>
      <c r="O86" s="150"/>
      <c r="P86" s="150"/>
    </row>
    <row r="87" spans="1:16">
      <c r="A87" s="143" t="s">
        <v>11</v>
      </c>
      <c r="B87" s="151">
        <v>61.8</v>
      </c>
      <c r="C87" s="151">
        <v>81.599999999999994</v>
      </c>
      <c r="D87" s="151">
        <v>81.5</v>
      </c>
      <c r="E87" s="151">
        <v>73.900000000000006</v>
      </c>
      <c r="F87" s="151">
        <v>40.1</v>
      </c>
      <c r="G87" s="151">
        <v>46.1</v>
      </c>
      <c r="H87" s="151">
        <v>49.6</v>
      </c>
      <c r="I87" s="151">
        <v>46.2</v>
      </c>
      <c r="J87" s="153"/>
      <c r="K87" s="153"/>
      <c r="L87" s="153"/>
      <c r="M87" s="153"/>
      <c r="N87" s="153"/>
      <c r="O87" s="153"/>
      <c r="P87" s="153"/>
    </row>
    <row r="88" spans="1:16">
      <c r="A88" s="143" t="s">
        <v>12</v>
      </c>
      <c r="B88" s="153">
        <v>176.5</v>
      </c>
      <c r="C88" s="158">
        <v>201.1</v>
      </c>
      <c r="D88" s="151">
        <v>246.7</v>
      </c>
      <c r="E88" s="151">
        <v>284.39999999999998</v>
      </c>
      <c r="F88" s="158">
        <v>345</v>
      </c>
      <c r="G88" s="151">
        <v>319.8</v>
      </c>
      <c r="H88" s="151">
        <v>304</v>
      </c>
      <c r="I88" s="151">
        <v>182.6</v>
      </c>
      <c r="J88" s="153"/>
      <c r="K88" s="153"/>
      <c r="L88" s="153"/>
      <c r="M88" s="153"/>
      <c r="N88" s="153"/>
      <c r="O88" s="153"/>
      <c r="P88" s="153"/>
    </row>
    <row r="89" spans="1:16">
      <c r="A89" s="143" t="s">
        <v>621</v>
      </c>
      <c r="B89" s="151" t="s">
        <v>1229</v>
      </c>
      <c r="C89" s="151" t="s">
        <v>1229</v>
      </c>
      <c r="D89" s="151" t="s">
        <v>1229</v>
      </c>
      <c r="E89" s="151">
        <v>109</v>
      </c>
      <c r="F89" s="151" t="s">
        <v>1229</v>
      </c>
      <c r="G89" s="151" t="s">
        <v>1229</v>
      </c>
      <c r="H89" s="151">
        <v>125.2</v>
      </c>
      <c r="I89" s="153" t="s">
        <v>1229</v>
      </c>
      <c r="J89" s="153"/>
      <c r="K89" s="153"/>
      <c r="L89" s="153"/>
      <c r="M89" s="153"/>
      <c r="N89" s="153"/>
      <c r="O89" s="153"/>
      <c r="P89" s="153"/>
    </row>
    <row r="90" spans="1:16">
      <c r="A90" s="143" t="s">
        <v>622</v>
      </c>
      <c r="B90" s="153">
        <v>38.1</v>
      </c>
      <c r="C90" s="158">
        <v>66.3</v>
      </c>
      <c r="D90" s="151">
        <v>78.900000000000006</v>
      </c>
      <c r="E90" s="151">
        <v>71.900000000000006</v>
      </c>
      <c r="F90" s="158">
        <v>68.099999999999994</v>
      </c>
      <c r="G90" s="151">
        <v>91.2</v>
      </c>
      <c r="H90" s="151">
        <v>144.19999999999999</v>
      </c>
      <c r="I90" s="153">
        <v>169.4</v>
      </c>
      <c r="J90" s="153"/>
      <c r="K90" s="153"/>
      <c r="L90" s="153"/>
      <c r="M90" s="153"/>
      <c r="N90" s="153"/>
      <c r="O90" s="153"/>
      <c r="P90" s="153"/>
    </row>
    <row r="91" spans="1:16">
      <c r="A91" s="143" t="s">
        <v>13</v>
      </c>
      <c r="B91" s="153">
        <v>48.7</v>
      </c>
      <c r="C91" s="158">
        <v>50.3</v>
      </c>
      <c r="D91" s="151">
        <v>40.4</v>
      </c>
      <c r="E91" s="151">
        <v>67.3</v>
      </c>
      <c r="F91" s="158">
        <v>49</v>
      </c>
      <c r="G91" s="151">
        <v>86</v>
      </c>
      <c r="H91" s="153">
        <v>72.7</v>
      </c>
      <c r="I91" s="153">
        <v>75</v>
      </c>
      <c r="J91" s="153"/>
      <c r="K91" s="153"/>
      <c r="L91" s="153"/>
      <c r="M91" s="153"/>
      <c r="N91" s="153"/>
      <c r="O91" s="153"/>
      <c r="P91" s="153"/>
    </row>
    <row r="92" spans="1:16">
      <c r="A92" s="143" t="s">
        <v>14</v>
      </c>
      <c r="B92" s="151">
        <v>1408.9</v>
      </c>
      <c r="C92" s="151">
        <v>1665.9</v>
      </c>
      <c r="D92" s="151">
        <v>1900</v>
      </c>
      <c r="E92" s="151">
        <v>2227.6999999999998</v>
      </c>
      <c r="F92" s="151">
        <v>2931</v>
      </c>
      <c r="G92" s="158">
        <v>3123.1</v>
      </c>
      <c r="H92" s="166">
        <v>2450.6999999999998</v>
      </c>
      <c r="I92" s="153">
        <v>2834.7</v>
      </c>
      <c r="J92" s="153"/>
      <c r="K92" s="153"/>
      <c r="L92" s="153"/>
      <c r="M92" s="153"/>
      <c r="N92" s="153"/>
      <c r="O92" s="153"/>
      <c r="P92" s="153"/>
    </row>
    <row r="93" spans="1:16">
      <c r="A93" s="143" t="s">
        <v>623</v>
      </c>
      <c r="B93" s="151"/>
      <c r="C93" s="151"/>
      <c r="D93" s="151"/>
      <c r="E93" s="151"/>
      <c r="F93" s="151"/>
      <c r="G93" s="151"/>
      <c r="H93" s="158"/>
      <c r="I93" s="153"/>
      <c r="J93" s="153"/>
      <c r="K93" s="153"/>
      <c r="L93" s="153"/>
      <c r="M93" s="153"/>
      <c r="N93" s="153"/>
      <c r="O93" s="153"/>
      <c r="P93" s="153"/>
    </row>
    <row r="94" spans="1:16">
      <c r="A94" s="143" t="s">
        <v>624</v>
      </c>
      <c r="B94" s="148"/>
      <c r="C94" s="148"/>
      <c r="D94" s="148"/>
      <c r="E94" s="148"/>
      <c r="F94" s="148"/>
      <c r="G94" s="148"/>
      <c r="H94" s="148"/>
      <c r="I94" s="148"/>
      <c r="J94" s="146"/>
      <c r="K94" s="146"/>
      <c r="L94" s="153"/>
      <c r="M94" s="153"/>
      <c r="N94" s="153"/>
      <c r="O94" s="153"/>
      <c r="P94" s="153"/>
    </row>
    <row r="95" spans="1:16">
      <c r="A95" s="143" t="s">
        <v>15</v>
      </c>
      <c r="B95" s="151">
        <v>110.5</v>
      </c>
      <c r="C95" s="151">
        <v>97.4</v>
      </c>
      <c r="D95" s="151">
        <v>89.3</v>
      </c>
      <c r="E95" s="151">
        <v>47.7</v>
      </c>
      <c r="F95" s="151">
        <v>164.4</v>
      </c>
      <c r="G95" s="158">
        <v>176.9</v>
      </c>
      <c r="H95" s="166">
        <v>168.1</v>
      </c>
      <c r="I95" s="153">
        <v>30.5</v>
      </c>
      <c r="J95" s="153"/>
      <c r="K95" s="153"/>
      <c r="L95" s="153"/>
      <c r="M95" s="153"/>
      <c r="N95" s="153"/>
      <c r="O95" s="153"/>
      <c r="P95" s="153"/>
    </row>
    <row r="96" spans="1:16">
      <c r="A96" s="143" t="s">
        <v>625</v>
      </c>
      <c r="B96" s="151"/>
      <c r="C96" s="151"/>
      <c r="D96" s="151"/>
      <c r="E96" s="151"/>
      <c r="F96" s="151"/>
      <c r="G96" s="158">
        <v>51.3</v>
      </c>
      <c r="H96" s="166">
        <v>48.6</v>
      </c>
      <c r="I96" s="153" t="s">
        <v>1229</v>
      </c>
      <c r="J96" s="153"/>
      <c r="K96" s="153"/>
      <c r="L96" s="153"/>
      <c r="M96" s="153"/>
      <c r="N96" s="153"/>
      <c r="O96" s="153"/>
      <c r="P96" s="153"/>
    </row>
    <row r="97" spans="1:16">
      <c r="A97" s="143" t="s">
        <v>16</v>
      </c>
      <c r="B97" s="151"/>
      <c r="C97" s="151"/>
      <c r="D97" s="151"/>
      <c r="E97" s="151"/>
      <c r="F97" s="151"/>
      <c r="G97" s="158" t="s">
        <v>1499</v>
      </c>
      <c r="H97" s="166" t="s">
        <v>1499</v>
      </c>
      <c r="I97" s="153" t="s">
        <v>1499</v>
      </c>
      <c r="J97" s="153"/>
      <c r="K97" s="153"/>
      <c r="L97" s="153"/>
      <c r="M97" s="153"/>
      <c r="N97" s="153"/>
      <c r="O97" s="153"/>
      <c r="P97" s="153"/>
    </row>
    <row r="98" spans="1:16">
      <c r="A98" s="143" t="s">
        <v>17</v>
      </c>
      <c r="B98" s="153">
        <v>16</v>
      </c>
      <c r="C98" s="158">
        <v>31.3</v>
      </c>
      <c r="D98" s="151">
        <v>29.2</v>
      </c>
      <c r="E98" s="151">
        <v>29.5</v>
      </c>
      <c r="F98" s="158">
        <v>31.9</v>
      </c>
      <c r="G98" s="158">
        <v>35.5</v>
      </c>
      <c r="H98" s="158">
        <v>37.200000000000003</v>
      </c>
      <c r="I98" s="156">
        <v>37.799999999999997</v>
      </c>
      <c r="J98" s="156"/>
      <c r="K98" s="156"/>
      <c r="L98" s="153"/>
      <c r="M98" s="153"/>
      <c r="N98" s="153"/>
      <c r="O98" s="153"/>
      <c r="P98" s="153"/>
    </row>
    <row r="99" spans="1:16">
      <c r="A99" s="143" t="s">
        <v>18</v>
      </c>
      <c r="B99" s="153">
        <v>64</v>
      </c>
      <c r="C99" s="158">
        <v>73.599999999999994</v>
      </c>
      <c r="D99" s="151">
        <v>62.2</v>
      </c>
      <c r="E99" s="151">
        <v>63.7</v>
      </c>
      <c r="F99" s="158">
        <v>59.9</v>
      </c>
      <c r="G99" s="158"/>
      <c r="H99" s="158"/>
      <c r="I99" s="156"/>
      <c r="J99" s="156"/>
      <c r="K99" s="156"/>
      <c r="L99" s="153"/>
      <c r="M99" s="153"/>
      <c r="N99" s="153"/>
      <c r="O99" s="153"/>
      <c r="P99" s="153"/>
    </row>
    <row r="100" spans="1:16">
      <c r="A100" s="143" t="s">
        <v>19</v>
      </c>
      <c r="B100" s="153">
        <v>28.6</v>
      </c>
      <c r="C100" s="158">
        <v>35.200000000000003</v>
      </c>
      <c r="D100" s="151">
        <v>38</v>
      </c>
      <c r="E100" s="151">
        <v>43.1</v>
      </c>
      <c r="F100" s="158">
        <v>49.2</v>
      </c>
      <c r="G100" s="158">
        <v>60.1</v>
      </c>
      <c r="H100" s="158">
        <v>55.7</v>
      </c>
      <c r="I100" s="156">
        <v>55.2</v>
      </c>
      <c r="J100" s="156"/>
      <c r="K100" s="156"/>
      <c r="L100" s="153"/>
      <c r="M100" s="153"/>
      <c r="N100" s="153"/>
      <c r="O100" s="153"/>
      <c r="P100" s="153"/>
    </row>
    <row r="101" spans="1:16">
      <c r="A101" s="143" t="s">
        <v>626</v>
      </c>
      <c r="B101" s="151"/>
      <c r="C101" s="151"/>
      <c r="D101" s="151"/>
      <c r="E101" s="151"/>
      <c r="F101" s="151"/>
      <c r="G101" s="151"/>
      <c r="H101" s="158"/>
      <c r="I101" s="153"/>
      <c r="J101" s="153"/>
      <c r="K101" s="153"/>
      <c r="L101" s="153"/>
      <c r="M101" s="153"/>
      <c r="N101" s="153"/>
      <c r="O101" s="153"/>
      <c r="P101" s="153"/>
    </row>
    <row r="102" spans="1:16">
      <c r="A102" s="143" t="s">
        <v>627</v>
      </c>
      <c r="B102" s="153"/>
      <c r="C102" s="158"/>
      <c r="D102" s="151"/>
      <c r="E102" s="151"/>
      <c r="F102" s="158"/>
      <c r="G102" s="151" t="s">
        <v>1499</v>
      </c>
      <c r="H102" s="158" t="s">
        <v>1499</v>
      </c>
      <c r="I102" s="153" t="s">
        <v>1499</v>
      </c>
      <c r="J102" s="153"/>
      <c r="K102" s="153"/>
      <c r="L102" s="153"/>
      <c r="M102" s="153"/>
      <c r="N102" s="153"/>
      <c r="O102" s="153"/>
      <c r="P102" s="153"/>
    </row>
    <row r="103" spans="1:16">
      <c r="A103" s="143" t="s">
        <v>628</v>
      </c>
      <c r="B103" s="151"/>
      <c r="C103" s="151"/>
      <c r="D103" s="151"/>
      <c r="E103" s="151"/>
      <c r="F103" s="151"/>
      <c r="G103" s="151"/>
      <c r="H103" s="158"/>
      <c r="I103" s="153"/>
      <c r="J103" s="153"/>
      <c r="K103" s="153"/>
      <c r="L103" s="153"/>
      <c r="M103" s="153"/>
      <c r="N103" s="153"/>
      <c r="O103" s="153"/>
      <c r="P103" s="153"/>
    </row>
    <row r="104" spans="1:16">
      <c r="A104" s="143" t="s">
        <v>629</v>
      </c>
      <c r="B104" s="151"/>
      <c r="C104" s="158"/>
      <c r="D104" s="151"/>
      <c r="E104" s="151"/>
      <c r="F104" s="151"/>
      <c r="G104" s="151"/>
      <c r="H104" s="151"/>
      <c r="I104" s="153"/>
      <c r="J104" s="153"/>
      <c r="K104" s="153"/>
      <c r="L104" s="153"/>
      <c r="M104" s="153"/>
      <c r="N104" s="153"/>
      <c r="O104" s="153"/>
      <c r="P104" s="153"/>
    </row>
    <row r="105" spans="1:16">
      <c r="A105" s="143" t="s">
        <v>1110</v>
      </c>
      <c r="B105" s="153"/>
      <c r="C105" s="158"/>
      <c r="D105" s="151"/>
      <c r="E105" s="151"/>
      <c r="F105" s="158"/>
      <c r="G105" s="158"/>
      <c r="H105" s="158"/>
      <c r="I105" s="153"/>
      <c r="J105" s="153"/>
      <c r="K105" s="153"/>
      <c r="L105" s="153"/>
      <c r="M105" s="153"/>
      <c r="N105" s="153"/>
      <c r="O105" s="153"/>
      <c r="P105" s="153"/>
    </row>
    <row r="106" spans="1:16">
      <c r="A106" s="143" t="s">
        <v>1111</v>
      </c>
      <c r="B106" s="153">
        <v>850</v>
      </c>
      <c r="C106" s="158">
        <v>2000</v>
      </c>
      <c r="D106" s="151">
        <v>4000</v>
      </c>
      <c r="E106" s="151">
        <v>4000</v>
      </c>
      <c r="F106" s="158">
        <v>5400.9</v>
      </c>
      <c r="G106" s="158">
        <v>6844</v>
      </c>
      <c r="H106" s="158">
        <v>6296.3</v>
      </c>
      <c r="I106" s="153">
        <v>5583.8</v>
      </c>
      <c r="J106" s="153"/>
      <c r="K106" s="153"/>
      <c r="L106" s="153"/>
      <c r="M106" s="153"/>
      <c r="N106" s="153"/>
      <c r="O106" s="153"/>
      <c r="P106" s="153"/>
    </row>
    <row r="107" spans="1:16">
      <c r="A107" s="143" t="s">
        <v>20</v>
      </c>
      <c r="B107" s="153">
        <v>148.69999999999999</v>
      </c>
      <c r="C107" s="158">
        <v>91.2</v>
      </c>
      <c r="D107" s="151">
        <v>230.4</v>
      </c>
      <c r="E107" s="151">
        <v>175</v>
      </c>
      <c r="F107" s="158">
        <v>125.7</v>
      </c>
      <c r="G107" s="158">
        <v>-47.6</v>
      </c>
      <c r="H107" s="158" t="s">
        <v>1499</v>
      </c>
      <c r="I107" s="153" t="s">
        <v>1499</v>
      </c>
      <c r="J107" s="153"/>
      <c r="K107" s="153"/>
      <c r="L107" s="153"/>
      <c r="M107" s="153"/>
      <c r="N107" s="153"/>
      <c r="O107" s="153"/>
      <c r="P107" s="153"/>
    </row>
    <row r="108" spans="1:16">
      <c r="A108" s="143" t="s">
        <v>1112</v>
      </c>
      <c r="B108" s="153">
        <v>610.79999999999995</v>
      </c>
      <c r="C108" s="158">
        <v>777.5</v>
      </c>
      <c r="D108" s="151">
        <v>874.6</v>
      </c>
      <c r="E108" s="153">
        <v>1027.3</v>
      </c>
      <c r="F108" s="151">
        <v>1049.4000000000001</v>
      </c>
      <c r="G108" s="158">
        <v>1223.2</v>
      </c>
      <c r="H108" s="158">
        <v>1292.9000000000001</v>
      </c>
      <c r="I108" s="158">
        <v>1270</v>
      </c>
      <c r="J108" s="156"/>
      <c r="K108" s="156"/>
      <c r="L108" s="153"/>
      <c r="M108" s="153"/>
      <c r="N108" s="153"/>
      <c r="O108" s="153"/>
      <c r="P108" s="153"/>
    </row>
    <row r="109" spans="1:16">
      <c r="A109" s="143" t="s">
        <v>1113</v>
      </c>
      <c r="B109" s="153">
        <v>378.9</v>
      </c>
      <c r="C109" s="158">
        <v>382.3</v>
      </c>
      <c r="D109" s="151">
        <v>396.7</v>
      </c>
      <c r="E109" s="151">
        <v>420</v>
      </c>
      <c r="F109" s="151">
        <v>427.2</v>
      </c>
      <c r="G109" s="151">
        <v>466.5</v>
      </c>
      <c r="H109" s="151">
        <v>845.9</v>
      </c>
      <c r="I109" s="151">
        <v>954.8</v>
      </c>
      <c r="J109" s="153"/>
      <c r="K109" s="153"/>
      <c r="L109" s="153"/>
      <c r="M109" s="153"/>
      <c r="N109" s="153"/>
      <c r="O109" s="153"/>
      <c r="P109" s="153"/>
    </row>
    <row r="110" spans="1:16">
      <c r="A110" s="143" t="s">
        <v>1114</v>
      </c>
      <c r="B110" s="153"/>
      <c r="C110" s="158"/>
      <c r="D110" s="151"/>
      <c r="E110" s="151"/>
      <c r="F110" s="158"/>
      <c r="G110" s="158"/>
      <c r="H110" s="158"/>
      <c r="I110" s="153"/>
      <c r="J110" s="153"/>
      <c r="K110" s="153"/>
      <c r="L110" s="153"/>
      <c r="M110" s="153"/>
      <c r="N110" s="153"/>
      <c r="O110" s="153"/>
      <c r="P110" s="153"/>
    </row>
    <row r="111" spans="1:16">
      <c r="A111" s="143"/>
      <c r="B111" s="151"/>
      <c r="C111" s="151"/>
      <c r="D111" s="151"/>
      <c r="E111" s="151"/>
      <c r="F111" s="151"/>
      <c r="G111" s="151"/>
      <c r="H111" s="158"/>
      <c r="I111" s="153"/>
      <c r="J111" s="153"/>
      <c r="K111" s="153"/>
      <c r="L111" s="153"/>
      <c r="M111" s="153"/>
      <c r="N111" s="153"/>
      <c r="O111" s="153"/>
      <c r="P111" s="153"/>
    </row>
    <row r="112" spans="1:16">
      <c r="A112" s="161" t="s">
        <v>1115</v>
      </c>
      <c r="B112" s="150">
        <v>738.3</v>
      </c>
      <c r="C112" s="150">
        <v>317.2</v>
      </c>
      <c r="D112" s="150">
        <v>135.1</v>
      </c>
      <c r="E112" s="150">
        <v>398.6</v>
      </c>
      <c r="F112" s="150">
        <v>372.4</v>
      </c>
      <c r="G112" s="150">
        <v>459.4</v>
      </c>
      <c r="H112" s="150">
        <v>507.7</v>
      </c>
      <c r="I112" s="150">
        <v>580</v>
      </c>
      <c r="J112" s="150"/>
      <c r="K112" s="150"/>
      <c r="L112" s="150"/>
      <c r="M112" s="150"/>
      <c r="N112" s="150"/>
      <c r="O112" s="150"/>
      <c r="P112" s="150"/>
    </row>
    <row r="113" spans="1:16">
      <c r="A113" s="157" t="s">
        <v>1316</v>
      </c>
      <c r="B113" s="153">
        <v>1.4</v>
      </c>
      <c r="C113" s="153">
        <v>0.4</v>
      </c>
      <c r="D113" s="153">
        <v>0.2</v>
      </c>
      <c r="E113" s="153">
        <v>0.1</v>
      </c>
      <c r="F113" s="153">
        <v>0.5</v>
      </c>
      <c r="G113" s="151">
        <v>0.5</v>
      </c>
      <c r="H113" s="151">
        <v>4.7</v>
      </c>
      <c r="I113" s="151">
        <v>0.5</v>
      </c>
      <c r="J113" s="153"/>
      <c r="K113" s="153"/>
      <c r="L113" s="153"/>
      <c r="M113" s="153"/>
      <c r="N113" s="153"/>
      <c r="O113" s="153"/>
      <c r="P113" s="153"/>
    </row>
    <row r="114" spans="1:16">
      <c r="A114" s="157" t="s">
        <v>1317</v>
      </c>
      <c r="B114" s="153">
        <v>46.2</v>
      </c>
      <c r="C114" s="153">
        <v>26</v>
      </c>
      <c r="D114" s="153" t="s">
        <v>1229</v>
      </c>
      <c r="E114" s="153" t="s">
        <v>1229</v>
      </c>
      <c r="F114" s="153" t="s">
        <v>1229</v>
      </c>
      <c r="G114" s="151" t="s">
        <v>1229</v>
      </c>
      <c r="H114" s="151" t="s">
        <v>1229</v>
      </c>
      <c r="I114" s="151" t="s">
        <v>1229</v>
      </c>
      <c r="J114" s="153"/>
      <c r="K114" s="153"/>
      <c r="L114" s="153"/>
      <c r="M114" s="153"/>
      <c r="N114" s="153"/>
      <c r="O114" s="153"/>
      <c r="P114" s="153"/>
    </row>
    <row r="115" spans="1:16">
      <c r="A115" s="157" t="s">
        <v>1127</v>
      </c>
      <c r="B115" s="153" t="s">
        <v>1229</v>
      </c>
      <c r="C115" s="153">
        <v>3.6</v>
      </c>
      <c r="D115" s="151" t="s">
        <v>1229</v>
      </c>
      <c r="E115" s="151" t="s">
        <v>1229</v>
      </c>
      <c r="F115" s="151" t="s">
        <v>1229</v>
      </c>
      <c r="G115" s="151"/>
      <c r="H115" s="151"/>
      <c r="I115" s="153"/>
      <c r="J115" s="153"/>
      <c r="K115" s="153"/>
      <c r="L115" s="153"/>
      <c r="M115" s="153"/>
      <c r="N115" s="153"/>
      <c r="O115" s="153"/>
      <c r="P115" s="153"/>
    </row>
    <row r="116" spans="1:16">
      <c r="A116" s="157" t="s">
        <v>1116</v>
      </c>
      <c r="B116" s="153">
        <v>689.9</v>
      </c>
      <c r="C116" s="151">
        <v>286.60000000000002</v>
      </c>
      <c r="D116" s="151">
        <v>134.1</v>
      </c>
      <c r="E116" s="151">
        <v>397.9</v>
      </c>
      <c r="F116" s="151">
        <v>366.9</v>
      </c>
      <c r="G116" s="151">
        <v>456.4</v>
      </c>
      <c r="H116" s="151">
        <v>501.4</v>
      </c>
      <c r="I116" s="151">
        <v>579.5</v>
      </c>
      <c r="J116" s="153"/>
      <c r="K116" s="153"/>
      <c r="L116" s="153"/>
      <c r="M116" s="153"/>
      <c r="N116" s="153"/>
      <c r="O116" s="153"/>
      <c r="P116" s="153"/>
    </row>
    <row r="117" spans="1:16">
      <c r="A117" s="157" t="s">
        <v>1117</v>
      </c>
      <c r="B117" s="153">
        <v>0.1</v>
      </c>
      <c r="C117" s="151">
        <v>0.6</v>
      </c>
      <c r="D117" s="151">
        <v>0.8</v>
      </c>
      <c r="E117" s="151">
        <v>0.6</v>
      </c>
      <c r="F117" s="158">
        <v>5</v>
      </c>
      <c r="G117" s="158">
        <v>2.5</v>
      </c>
      <c r="H117" s="158">
        <v>1.6</v>
      </c>
      <c r="I117" s="153" t="s">
        <v>1229</v>
      </c>
      <c r="J117" s="153"/>
      <c r="K117" s="153"/>
      <c r="L117" s="153"/>
      <c r="M117" s="153"/>
      <c r="N117" s="153"/>
      <c r="O117" s="153"/>
      <c r="P117" s="153"/>
    </row>
    <row r="118" spans="1:16">
      <c r="A118" s="157" t="s">
        <v>1128</v>
      </c>
      <c r="B118" s="153">
        <v>0.7</v>
      </c>
      <c r="C118" s="151" t="s">
        <v>1229</v>
      </c>
      <c r="D118" s="151" t="s">
        <v>1229</v>
      </c>
      <c r="E118" s="151" t="s">
        <v>1229</v>
      </c>
      <c r="F118" s="158" t="s">
        <v>1229</v>
      </c>
      <c r="G118" s="158"/>
      <c r="H118" s="158"/>
      <c r="I118" s="153"/>
      <c r="J118" s="153"/>
      <c r="K118" s="153"/>
      <c r="L118" s="153"/>
      <c r="M118" s="153"/>
      <c r="N118" s="153"/>
      <c r="O118" s="153"/>
      <c r="P118" s="153"/>
    </row>
    <row r="119" spans="1:16">
      <c r="A119" s="155"/>
      <c r="B119" s="151"/>
      <c r="C119" s="151"/>
      <c r="D119" s="151"/>
      <c r="E119" s="151"/>
      <c r="F119" s="151"/>
      <c r="G119" s="151"/>
      <c r="H119" s="158"/>
      <c r="I119" s="153"/>
      <c r="J119" s="153"/>
      <c r="K119" s="153"/>
      <c r="L119" s="153"/>
      <c r="M119" s="153"/>
      <c r="N119" s="153"/>
      <c r="O119" s="153"/>
      <c r="P119" s="153"/>
    </row>
    <row r="120" spans="1:16">
      <c r="A120" s="160" t="s">
        <v>1118</v>
      </c>
      <c r="B120" s="150">
        <v>5887.9</v>
      </c>
      <c r="C120" s="150">
        <v>8794.5</v>
      </c>
      <c r="D120" s="150">
        <v>10251.5</v>
      </c>
      <c r="E120" s="150">
        <v>11405.2</v>
      </c>
      <c r="F120" s="150">
        <v>11873.2</v>
      </c>
      <c r="G120" s="150">
        <v>12261.1</v>
      </c>
      <c r="H120" s="150">
        <v>12861.7</v>
      </c>
      <c r="I120" s="150">
        <v>9511.5</v>
      </c>
      <c r="J120" s="150"/>
      <c r="K120" s="150"/>
      <c r="L120" s="150"/>
      <c r="M120" s="150"/>
      <c r="N120" s="150"/>
      <c r="O120" s="150"/>
      <c r="P120" s="150"/>
    </row>
    <row r="121" spans="1:16">
      <c r="A121" s="157" t="s">
        <v>1129</v>
      </c>
      <c r="B121" s="153">
        <v>291.7</v>
      </c>
      <c r="C121" s="153">
        <v>338.7</v>
      </c>
      <c r="D121" s="153">
        <v>313.10000000000002</v>
      </c>
      <c r="E121" s="153">
        <v>297.39999999999998</v>
      </c>
      <c r="F121" s="153">
        <v>294.7</v>
      </c>
      <c r="G121" s="153">
        <v>323.8</v>
      </c>
      <c r="H121" s="153">
        <v>253.6</v>
      </c>
      <c r="I121" s="153">
        <v>188.9</v>
      </c>
      <c r="J121" s="153"/>
      <c r="K121" s="153"/>
      <c r="L121" s="153"/>
      <c r="M121" s="153"/>
      <c r="N121" s="153"/>
      <c r="O121" s="153"/>
      <c r="P121" s="153"/>
    </row>
    <row r="122" spans="1:16">
      <c r="A122" s="157" t="s">
        <v>154</v>
      </c>
      <c r="B122" s="153">
        <v>0.8</v>
      </c>
      <c r="C122" s="153">
        <v>1.9</v>
      </c>
      <c r="D122" s="153">
        <v>0.5</v>
      </c>
      <c r="E122" s="153">
        <v>0.4</v>
      </c>
      <c r="F122" s="153">
        <v>0.3</v>
      </c>
      <c r="G122" s="151">
        <v>0.3</v>
      </c>
      <c r="H122" s="151">
        <v>0.2</v>
      </c>
      <c r="I122" s="153">
        <v>0.2</v>
      </c>
      <c r="J122" s="153"/>
      <c r="K122" s="153"/>
      <c r="L122" s="153"/>
      <c r="M122" s="153"/>
      <c r="N122" s="153"/>
      <c r="O122" s="153"/>
      <c r="P122" s="153"/>
    </row>
    <row r="123" spans="1:16">
      <c r="A123" s="157" t="s">
        <v>1119</v>
      </c>
      <c r="B123" s="153">
        <v>2.1</v>
      </c>
      <c r="C123" s="158">
        <v>2.2999999999999998</v>
      </c>
      <c r="D123" s="151">
        <v>3.6</v>
      </c>
      <c r="E123" s="151">
        <v>4</v>
      </c>
      <c r="F123" s="158">
        <v>3.2</v>
      </c>
      <c r="G123" s="158">
        <v>9.1999999999999993</v>
      </c>
      <c r="H123" s="158">
        <v>5.0999999999999996</v>
      </c>
      <c r="I123" s="153">
        <v>8.8000000000000007</v>
      </c>
      <c r="J123" s="153"/>
      <c r="K123" s="153"/>
      <c r="L123" s="153"/>
      <c r="M123" s="153"/>
      <c r="N123" s="153"/>
      <c r="O123" s="153"/>
      <c r="P123" s="153"/>
    </row>
    <row r="124" spans="1:16">
      <c r="A124" s="157" t="s">
        <v>732</v>
      </c>
      <c r="B124" s="153">
        <v>0.3</v>
      </c>
      <c r="C124" s="158">
        <v>0.3</v>
      </c>
      <c r="D124" s="151">
        <v>0.4</v>
      </c>
      <c r="E124" s="151">
        <v>1</v>
      </c>
      <c r="F124" s="158">
        <v>1.2</v>
      </c>
      <c r="G124" s="158"/>
      <c r="H124" s="158"/>
      <c r="I124" s="153"/>
      <c r="J124" s="153"/>
      <c r="K124" s="153"/>
      <c r="L124" s="153"/>
      <c r="M124" s="153"/>
      <c r="N124" s="153"/>
      <c r="O124" s="153"/>
      <c r="P124" s="153"/>
    </row>
    <row r="125" spans="1:16">
      <c r="A125" s="143" t="s">
        <v>1120</v>
      </c>
      <c r="B125" s="153">
        <v>0.3</v>
      </c>
      <c r="C125" s="158">
        <v>0.2</v>
      </c>
      <c r="D125" s="153">
        <v>0.3</v>
      </c>
      <c r="E125" s="151">
        <v>0.2</v>
      </c>
      <c r="F125" s="158">
        <v>0.2</v>
      </c>
      <c r="G125" s="156">
        <v>0.2</v>
      </c>
      <c r="H125" s="158">
        <v>0.2</v>
      </c>
      <c r="I125" s="153">
        <v>0.2</v>
      </c>
      <c r="J125" s="153"/>
      <c r="K125" s="153"/>
      <c r="L125" s="153"/>
      <c r="M125" s="153"/>
      <c r="N125" s="153"/>
      <c r="O125" s="153"/>
      <c r="P125" s="153"/>
    </row>
    <row r="126" spans="1:16">
      <c r="A126" s="143" t="s">
        <v>733</v>
      </c>
      <c r="B126" s="153">
        <v>2.2000000000000002</v>
      </c>
      <c r="C126" s="158">
        <v>2.2000000000000002</v>
      </c>
      <c r="D126" s="153">
        <v>2.1</v>
      </c>
      <c r="E126" s="151">
        <v>2</v>
      </c>
      <c r="F126" s="158">
        <v>1.9</v>
      </c>
      <c r="G126" s="156">
        <v>1.8</v>
      </c>
      <c r="H126" s="158">
        <v>2.2999999999999998</v>
      </c>
      <c r="I126" s="153">
        <v>0</v>
      </c>
      <c r="J126" s="153"/>
      <c r="K126" s="153"/>
      <c r="L126" s="153"/>
      <c r="M126" s="153"/>
      <c r="N126" s="153"/>
      <c r="O126" s="153"/>
      <c r="P126" s="153"/>
    </row>
    <row r="127" spans="1:16">
      <c r="A127" s="143" t="s">
        <v>1121</v>
      </c>
      <c r="B127" s="153"/>
      <c r="C127" s="158"/>
      <c r="D127" s="151"/>
      <c r="E127" s="151"/>
      <c r="F127" s="151"/>
      <c r="G127" s="151"/>
      <c r="H127" s="158"/>
      <c r="I127" s="153"/>
      <c r="J127" s="153"/>
      <c r="K127" s="153"/>
      <c r="L127" s="153"/>
      <c r="M127" s="153"/>
      <c r="N127" s="153"/>
      <c r="O127" s="153"/>
      <c r="P127" s="153"/>
    </row>
    <row r="128" spans="1:16">
      <c r="A128" s="143" t="s">
        <v>1122</v>
      </c>
      <c r="B128" s="153">
        <v>11.2</v>
      </c>
      <c r="C128" s="158">
        <v>14.4</v>
      </c>
      <c r="D128" s="151">
        <v>17.5</v>
      </c>
      <c r="E128" s="151">
        <v>18</v>
      </c>
      <c r="F128" s="151">
        <v>25.6</v>
      </c>
      <c r="G128" s="151">
        <v>25.1</v>
      </c>
      <c r="H128" s="151">
        <v>16.100000000000001</v>
      </c>
      <c r="I128" s="153">
        <v>9.8000000000000007</v>
      </c>
      <c r="J128" s="153"/>
      <c r="K128" s="170"/>
      <c r="L128" s="153"/>
      <c r="M128" s="153"/>
      <c r="N128" s="153"/>
      <c r="O128" s="153"/>
      <c r="P128" s="153"/>
    </row>
    <row r="129" spans="1:16">
      <c r="A129" s="143" t="s">
        <v>734</v>
      </c>
      <c r="B129" s="153">
        <v>0</v>
      </c>
      <c r="C129" s="158">
        <v>0</v>
      </c>
      <c r="D129" s="158">
        <v>0</v>
      </c>
      <c r="E129" s="158">
        <v>0</v>
      </c>
      <c r="F129" s="158">
        <v>0</v>
      </c>
      <c r="G129" s="158">
        <v>0</v>
      </c>
      <c r="H129" s="158">
        <v>0</v>
      </c>
      <c r="I129" s="158" t="s">
        <v>1229</v>
      </c>
      <c r="J129" s="156"/>
      <c r="K129" s="170"/>
      <c r="L129" s="153"/>
      <c r="M129" s="153"/>
      <c r="N129" s="153"/>
      <c r="O129" s="153"/>
      <c r="P129" s="153"/>
    </row>
    <row r="130" spans="1:16">
      <c r="A130" s="143" t="s">
        <v>1123</v>
      </c>
      <c r="B130" s="153">
        <v>0.1</v>
      </c>
      <c r="C130" s="158">
        <v>0.1</v>
      </c>
      <c r="D130" s="151">
        <v>0.1</v>
      </c>
      <c r="E130" s="151">
        <v>0.1</v>
      </c>
      <c r="F130" s="158">
        <v>0.1</v>
      </c>
      <c r="G130" s="156">
        <v>0</v>
      </c>
      <c r="H130" s="156">
        <v>0</v>
      </c>
      <c r="I130" s="156">
        <v>0</v>
      </c>
      <c r="J130" s="156"/>
      <c r="K130" s="153"/>
      <c r="L130" s="153"/>
      <c r="M130" s="153"/>
      <c r="N130" s="153"/>
      <c r="O130" s="153"/>
      <c r="P130" s="153"/>
    </row>
    <row r="131" spans="1:16">
      <c r="A131" s="143" t="s">
        <v>1124</v>
      </c>
      <c r="B131" s="153">
        <v>29.2</v>
      </c>
      <c r="C131" s="158">
        <v>55.3</v>
      </c>
      <c r="D131" s="151">
        <v>84.2</v>
      </c>
      <c r="E131" s="151">
        <v>152.69999999999999</v>
      </c>
      <c r="F131" s="158">
        <v>172.4</v>
      </c>
      <c r="G131" s="156">
        <v>181.4</v>
      </c>
      <c r="H131" s="158">
        <v>170.3</v>
      </c>
      <c r="I131" s="153">
        <v>187.4</v>
      </c>
      <c r="J131" s="153"/>
      <c r="K131" s="153"/>
      <c r="L131" s="153"/>
      <c r="M131" s="153"/>
      <c r="N131" s="153"/>
      <c r="O131" s="153"/>
      <c r="P131" s="153"/>
    </row>
    <row r="132" spans="1:16">
      <c r="A132" s="143" t="s">
        <v>1125</v>
      </c>
      <c r="B132" s="153">
        <v>2.2000000000000002</v>
      </c>
      <c r="C132" s="158">
        <v>2.8</v>
      </c>
      <c r="D132" s="151">
        <v>3</v>
      </c>
      <c r="E132" s="151">
        <v>3</v>
      </c>
      <c r="F132" s="158">
        <v>3.2</v>
      </c>
      <c r="G132" s="156">
        <v>3.2</v>
      </c>
      <c r="H132" s="158">
        <v>2.8</v>
      </c>
      <c r="I132" s="153">
        <v>2.4</v>
      </c>
      <c r="J132" s="153"/>
      <c r="K132" s="153"/>
      <c r="L132" s="153"/>
      <c r="M132" s="153"/>
      <c r="N132" s="153"/>
      <c r="O132" s="153"/>
      <c r="P132" s="153"/>
    </row>
    <row r="133" spans="1:16">
      <c r="A133" s="143" t="s">
        <v>735</v>
      </c>
      <c r="B133" s="153" t="s">
        <v>1499</v>
      </c>
      <c r="C133" s="158" t="s">
        <v>1499</v>
      </c>
      <c r="D133" s="151" t="s">
        <v>1499</v>
      </c>
      <c r="E133" s="151" t="s">
        <v>1499</v>
      </c>
      <c r="F133" s="158">
        <v>290</v>
      </c>
      <c r="G133" s="158">
        <v>272.7</v>
      </c>
      <c r="H133" s="158">
        <v>267.10000000000002</v>
      </c>
      <c r="I133" s="153">
        <v>244.9</v>
      </c>
      <c r="J133" s="153"/>
      <c r="K133" s="153"/>
      <c r="L133" s="153"/>
      <c r="M133" s="153"/>
      <c r="N133" s="153"/>
      <c r="O133" s="153"/>
      <c r="P133" s="153"/>
    </row>
    <row r="134" spans="1:16">
      <c r="A134" s="143" t="s">
        <v>736</v>
      </c>
      <c r="B134" s="153"/>
      <c r="C134" s="158"/>
      <c r="D134" s="151"/>
      <c r="E134" s="151"/>
      <c r="F134" s="158"/>
      <c r="G134" s="158">
        <v>50.3</v>
      </c>
      <c r="H134" s="158">
        <v>49.3</v>
      </c>
      <c r="I134" s="153">
        <v>45.2</v>
      </c>
      <c r="J134" s="153"/>
      <c r="K134" s="153"/>
      <c r="L134" s="153"/>
      <c r="M134" s="153"/>
      <c r="N134" s="153"/>
      <c r="O134" s="153"/>
      <c r="P134" s="153"/>
    </row>
    <row r="135" spans="1:16">
      <c r="A135" s="143" t="s">
        <v>737</v>
      </c>
      <c r="B135" s="153"/>
      <c r="C135" s="158"/>
      <c r="D135" s="151"/>
      <c r="E135" s="151"/>
      <c r="F135" s="158"/>
      <c r="G135" s="158" t="s">
        <v>1499</v>
      </c>
      <c r="H135" s="158" t="s">
        <v>1499</v>
      </c>
      <c r="I135" s="153" t="s">
        <v>1499</v>
      </c>
      <c r="J135" s="153"/>
      <c r="K135" s="153"/>
      <c r="L135" s="153"/>
      <c r="M135" s="153"/>
      <c r="N135" s="153"/>
      <c r="O135" s="153"/>
      <c r="P135" s="153"/>
    </row>
    <row r="136" spans="1:16">
      <c r="A136" s="143" t="s">
        <v>738</v>
      </c>
      <c r="B136" s="153"/>
      <c r="C136" s="158"/>
      <c r="D136" s="151"/>
      <c r="E136" s="151"/>
      <c r="F136" s="158"/>
      <c r="G136" s="158" t="s">
        <v>1499</v>
      </c>
      <c r="H136" s="158" t="s">
        <v>1499</v>
      </c>
      <c r="I136" s="153" t="s">
        <v>1499</v>
      </c>
      <c r="J136" s="153"/>
      <c r="K136" s="153"/>
      <c r="L136" s="153"/>
      <c r="M136" s="153"/>
      <c r="N136" s="153"/>
      <c r="O136" s="153"/>
      <c r="P136" s="153"/>
    </row>
    <row r="137" spans="1:16">
      <c r="A137" s="143" t="s">
        <v>739</v>
      </c>
      <c r="B137" s="153">
        <v>0</v>
      </c>
      <c r="C137" s="158">
        <v>0</v>
      </c>
      <c r="D137" s="151">
        <v>0</v>
      </c>
      <c r="E137" s="151">
        <v>0</v>
      </c>
      <c r="F137" s="158">
        <v>0</v>
      </c>
      <c r="G137" s="158">
        <v>0</v>
      </c>
      <c r="H137" s="158">
        <v>0</v>
      </c>
      <c r="I137" s="153">
        <v>0</v>
      </c>
      <c r="J137" s="153"/>
      <c r="K137" s="153"/>
      <c r="L137" s="153"/>
      <c r="M137" s="153"/>
      <c r="N137" s="153"/>
      <c r="O137" s="153"/>
      <c r="P137" s="153"/>
    </row>
    <row r="138" spans="1:16">
      <c r="A138" s="143" t="s">
        <v>103</v>
      </c>
      <c r="B138" s="153">
        <v>4810.8999999999996</v>
      </c>
      <c r="C138" s="158">
        <v>6293.4</v>
      </c>
      <c r="D138" s="151">
        <v>7228.7</v>
      </c>
      <c r="E138" s="151">
        <v>7986.7</v>
      </c>
      <c r="F138" s="151">
        <v>7904.6</v>
      </c>
      <c r="G138" s="151">
        <v>8345.6</v>
      </c>
      <c r="H138" s="151">
        <v>9048.6</v>
      </c>
      <c r="I138" s="153">
        <v>6292.5</v>
      </c>
      <c r="J138" s="153"/>
      <c r="K138" s="153"/>
      <c r="L138" s="153"/>
      <c r="M138" s="153"/>
      <c r="N138" s="153"/>
      <c r="O138" s="153"/>
      <c r="P138" s="153"/>
    </row>
    <row r="139" spans="1:16">
      <c r="A139" s="143" t="s">
        <v>104</v>
      </c>
      <c r="B139" s="151"/>
      <c r="C139" s="151"/>
      <c r="D139" s="151"/>
      <c r="E139" s="151"/>
      <c r="F139" s="151"/>
      <c r="G139" s="151"/>
      <c r="H139" s="158"/>
      <c r="I139" s="153"/>
      <c r="J139" s="153"/>
      <c r="K139" s="153"/>
      <c r="L139" s="153"/>
      <c r="M139" s="153"/>
      <c r="N139" s="153"/>
      <c r="O139" s="153"/>
      <c r="P139" s="153"/>
    </row>
    <row r="140" spans="1:16">
      <c r="A140" s="157" t="s">
        <v>906</v>
      </c>
      <c r="B140" s="153">
        <v>0.4</v>
      </c>
      <c r="C140" s="151">
        <v>0.4</v>
      </c>
      <c r="D140" s="151">
        <v>0.4</v>
      </c>
      <c r="E140" s="151">
        <v>0.4</v>
      </c>
      <c r="F140" s="151">
        <v>0.4</v>
      </c>
      <c r="G140" s="151">
        <v>0.3</v>
      </c>
      <c r="H140" s="151">
        <v>0.2</v>
      </c>
      <c r="I140" s="151">
        <v>0.2</v>
      </c>
      <c r="J140" s="153"/>
      <c r="K140" s="153"/>
      <c r="L140" s="153"/>
      <c r="M140" s="153"/>
      <c r="N140" s="153"/>
      <c r="O140" s="153"/>
      <c r="P140" s="153"/>
    </row>
    <row r="141" spans="1:16">
      <c r="A141" s="143" t="s">
        <v>907</v>
      </c>
      <c r="B141" s="153">
        <v>0.3</v>
      </c>
      <c r="C141" s="151">
        <v>0.5</v>
      </c>
      <c r="D141" s="151">
        <v>0.3</v>
      </c>
      <c r="E141" s="151">
        <v>0.2</v>
      </c>
      <c r="F141" s="151">
        <v>0.3</v>
      </c>
      <c r="G141" s="151">
        <v>0.3</v>
      </c>
      <c r="H141" s="151">
        <v>0.5</v>
      </c>
      <c r="I141" s="153">
        <v>0.7</v>
      </c>
      <c r="J141" s="153"/>
      <c r="K141" s="153"/>
      <c r="L141" s="153"/>
      <c r="M141" s="153"/>
      <c r="N141" s="153"/>
      <c r="O141" s="153"/>
      <c r="P141" s="153"/>
    </row>
    <row r="142" spans="1:16">
      <c r="A142" s="157" t="s">
        <v>908</v>
      </c>
      <c r="B142" s="151"/>
      <c r="C142" s="151"/>
      <c r="D142" s="151"/>
      <c r="E142" s="151"/>
      <c r="F142" s="151"/>
      <c r="G142" s="151"/>
      <c r="H142" s="158"/>
      <c r="I142" s="153"/>
      <c r="J142" s="153"/>
      <c r="K142" s="153"/>
      <c r="L142" s="153"/>
      <c r="M142" s="153"/>
      <c r="N142" s="153"/>
      <c r="O142" s="153"/>
      <c r="P142" s="153"/>
    </row>
    <row r="143" spans="1:16">
      <c r="A143" s="157" t="s">
        <v>909</v>
      </c>
      <c r="B143" s="151">
        <v>0</v>
      </c>
      <c r="C143" s="151">
        <v>0</v>
      </c>
      <c r="D143" s="151">
        <v>0</v>
      </c>
      <c r="E143" s="151">
        <v>0</v>
      </c>
      <c r="F143" s="151">
        <v>0</v>
      </c>
      <c r="G143" s="158">
        <v>0</v>
      </c>
      <c r="H143" s="158">
        <v>0</v>
      </c>
      <c r="I143" s="156">
        <v>0.1</v>
      </c>
      <c r="J143" s="156"/>
      <c r="K143" s="156"/>
      <c r="L143" s="153"/>
      <c r="M143" s="153"/>
      <c r="N143" s="153"/>
      <c r="O143" s="153"/>
      <c r="P143" s="153"/>
    </row>
    <row r="144" spans="1:16">
      <c r="A144" s="143" t="s">
        <v>1286</v>
      </c>
      <c r="B144" s="153">
        <v>40.200000000000003</v>
      </c>
      <c r="C144" s="158">
        <v>37.9</v>
      </c>
      <c r="D144" s="151">
        <v>41.4</v>
      </c>
      <c r="E144" s="151">
        <v>39.6</v>
      </c>
      <c r="F144" s="158">
        <v>34.9</v>
      </c>
      <c r="G144" s="158">
        <v>35.799999999999997</v>
      </c>
      <c r="H144" s="158">
        <v>31.4</v>
      </c>
      <c r="I144" s="153">
        <v>27.8</v>
      </c>
      <c r="J144" s="153"/>
      <c r="K144" s="153"/>
      <c r="L144" s="153"/>
      <c r="M144" s="153"/>
      <c r="N144" s="153"/>
      <c r="O144" s="153"/>
      <c r="P144" s="153"/>
    </row>
    <row r="145" spans="1:16">
      <c r="A145" s="143" t="s">
        <v>1287</v>
      </c>
      <c r="B145" s="153"/>
      <c r="C145" s="158"/>
      <c r="D145" s="151"/>
      <c r="E145" s="151"/>
      <c r="F145" s="158"/>
      <c r="G145" s="158"/>
      <c r="H145" s="158"/>
      <c r="I145" s="153"/>
      <c r="J145" s="153"/>
      <c r="K145" s="153"/>
      <c r="L145" s="153"/>
      <c r="M145" s="153"/>
      <c r="N145" s="153"/>
      <c r="O145" s="153"/>
      <c r="P145" s="153"/>
    </row>
    <row r="146" spans="1:16">
      <c r="A146" s="143" t="s">
        <v>1288</v>
      </c>
      <c r="B146" s="153">
        <v>191.6</v>
      </c>
      <c r="C146" s="151">
        <v>295.8</v>
      </c>
      <c r="D146" s="151">
        <v>373</v>
      </c>
      <c r="E146" s="151">
        <v>442</v>
      </c>
      <c r="F146" s="151">
        <v>454.8</v>
      </c>
      <c r="G146" s="151">
        <v>481</v>
      </c>
      <c r="H146" s="151">
        <v>502.1</v>
      </c>
      <c r="I146" s="153">
        <v>343.8</v>
      </c>
      <c r="J146" s="153"/>
      <c r="K146" s="153"/>
      <c r="L146" s="153"/>
      <c r="M146" s="153"/>
      <c r="N146" s="153"/>
      <c r="O146" s="153"/>
      <c r="P146" s="153"/>
    </row>
    <row r="147" spans="1:16">
      <c r="A147" s="143" t="s">
        <v>54</v>
      </c>
      <c r="B147" s="153">
        <v>80.599999999999994</v>
      </c>
      <c r="C147" s="158">
        <v>91.4</v>
      </c>
      <c r="D147" s="151">
        <v>144.1</v>
      </c>
      <c r="E147" s="151">
        <v>7</v>
      </c>
      <c r="F147" s="158">
        <v>7.9</v>
      </c>
      <c r="G147" s="151">
        <v>9</v>
      </c>
      <c r="H147" s="151">
        <v>5.8</v>
      </c>
      <c r="I147" s="153">
        <v>1.9</v>
      </c>
      <c r="J147" s="153"/>
      <c r="K147" s="153"/>
      <c r="L147" s="153"/>
      <c r="M147" s="153"/>
      <c r="N147" s="153"/>
      <c r="O147" s="153"/>
      <c r="P147" s="153"/>
    </row>
    <row r="148" spans="1:16">
      <c r="A148" s="143" t="s">
        <v>740</v>
      </c>
      <c r="B148" s="153">
        <v>3.2</v>
      </c>
      <c r="C148" s="158">
        <v>3.4</v>
      </c>
      <c r="D148" s="151">
        <v>3.5</v>
      </c>
      <c r="E148" s="151" t="s">
        <v>1499</v>
      </c>
      <c r="F148" s="158" t="s">
        <v>1499</v>
      </c>
      <c r="G148" s="151"/>
      <c r="H148" s="151"/>
      <c r="I148" s="153"/>
      <c r="J148" s="153"/>
      <c r="K148" s="153"/>
      <c r="L148" s="153"/>
      <c r="M148" s="153"/>
      <c r="N148" s="153"/>
      <c r="O148" s="153"/>
      <c r="P148" s="153"/>
    </row>
    <row r="149" spans="1:16">
      <c r="A149" s="143" t="s">
        <v>741</v>
      </c>
      <c r="B149" s="153">
        <v>0.4</v>
      </c>
      <c r="C149" s="158">
        <v>0.4</v>
      </c>
      <c r="D149" s="151">
        <v>0.3</v>
      </c>
      <c r="E149" s="151" t="s">
        <v>1229</v>
      </c>
      <c r="F149" s="158" t="s">
        <v>1229</v>
      </c>
      <c r="G149" s="151"/>
      <c r="H149" s="151"/>
      <c r="I149" s="153"/>
      <c r="J149" s="153"/>
      <c r="K149" s="153"/>
      <c r="L149" s="153"/>
      <c r="M149" s="153"/>
      <c r="N149" s="153"/>
      <c r="O149" s="153"/>
      <c r="P149" s="153"/>
    </row>
    <row r="150" spans="1:16">
      <c r="A150" s="143" t="s">
        <v>742</v>
      </c>
      <c r="B150" s="153">
        <v>9.9</v>
      </c>
      <c r="C150" s="158">
        <v>10.3</v>
      </c>
      <c r="D150" s="151">
        <v>10.3</v>
      </c>
      <c r="E150" s="151" t="s">
        <v>1229</v>
      </c>
      <c r="F150" s="158" t="s">
        <v>1229</v>
      </c>
      <c r="G150" s="151"/>
      <c r="H150" s="151"/>
      <c r="I150" s="153"/>
      <c r="J150" s="153"/>
      <c r="K150" s="153"/>
      <c r="L150" s="153"/>
      <c r="M150" s="153"/>
      <c r="N150" s="153"/>
      <c r="O150" s="153"/>
      <c r="P150" s="153"/>
    </row>
    <row r="151" spans="1:16">
      <c r="A151" s="143" t="s">
        <v>743</v>
      </c>
      <c r="B151" s="153">
        <v>21.3</v>
      </c>
      <c r="C151" s="158">
        <v>22.3</v>
      </c>
      <c r="D151" s="151">
        <v>21.7</v>
      </c>
      <c r="E151" s="151">
        <v>1.3</v>
      </c>
      <c r="F151" s="158" t="s">
        <v>1499</v>
      </c>
      <c r="G151" s="151"/>
      <c r="H151" s="151"/>
      <c r="I151" s="153"/>
      <c r="J151" s="153"/>
      <c r="K151" s="153"/>
      <c r="L151" s="153"/>
      <c r="M151" s="153"/>
      <c r="N151" s="153"/>
      <c r="O151" s="153"/>
      <c r="P151" s="153"/>
    </row>
    <row r="152" spans="1:16">
      <c r="A152" s="143" t="s">
        <v>744</v>
      </c>
      <c r="B152" s="153"/>
      <c r="C152" s="158"/>
      <c r="D152" s="151"/>
      <c r="E152" s="151"/>
      <c r="F152" s="158"/>
      <c r="G152" s="151"/>
      <c r="H152" s="151"/>
      <c r="I152" s="153"/>
      <c r="J152" s="153"/>
      <c r="K152" s="153"/>
      <c r="L152" s="153"/>
      <c r="M152" s="153"/>
      <c r="N152" s="153"/>
      <c r="O152" s="153"/>
      <c r="P152" s="153"/>
    </row>
    <row r="153" spans="1:16">
      <c r="A153" s="143" t="s">
        <v>745</v>
      </c>
      <c r="B153" s="153">
        <v>0.1</v>
      </c>
      <c r="C153" s="158">
        <v>0.1</v>
      </c>
      <c r="D153" s="151">
        <v>0.1</v>
      </c>
      <c r="E153" s="151" t="s">
        <v>1229</v>
      </c>
      <c r="F153" s="158" t="s">
        <v>1499</v>
      </c>
      <c r="G153" s="151"/>
      <c r="H153" s="151"/>
      <c r="I153" s="153"/>
      <c r="J153" s="153"/>
      <c r="K153" s="153"/>
      <c r="L153" s="153"/>
      <c r="M153" s="153"/>
      <c r="N153" s="153"/>
      <c r="O153" s="153"/>
      <c r="P153" s="153"/>
    </row>
    <row r="154" spans="1:16">
      <c r="A154" s="143" t="s">
        <v>79</v>
      </c>
      <c r="B154" s="153">
        <v>152.30000000000001</v>
      </c>
      <c r="C154" s="158">
        <v>437.4</v>
      </c>
      <c r="D154" s="151">
        <v>667.2</v>
      </c>
      <c r="E154" s="151">
        <v>951.6</v>
      </c>
      <c r="F154" s="151">
        <v>1120.0999999999999</v>
      </c>
      <c r="G154" s="151">
        <v>935</v>
      </c>
      <c r="H154" s="151">
        <v>903.6</v>
      </c>
      <c r="I154" s="153">
        <v>660.5</v>
      </c>
      <c r="J154" s="153"/>
      <c r="K154" s="153"/>
      <c r="L154" s="153"/>
      <c r="M154" s="153"/>
      <c r="N154" s="153"/>
      <c r="O154" s="153"/>
      <c r="P154" s="153"/>
    </row>
    <row r="155" spans="1:16">
      <c r="A155" s="143" t="s">
        <v>983</v>
      </c>
      <c r="B155" s="153">
        <v>0.6</v>
      </c>
      <c r="C155" s="158">
        <v>0.7</v>
      </c>
      <c r="D155" s="151">
        <v>0.9</v>
      </c>
      <c r="E155" s="151">
        <v>1.3</v>
      </c>
      <c r="F155" s="151">
        <v>1.5</v>
      </c>
      <c r="G155" s="151">
        <v>1.2</v>
      </c>
      <c r="H155" s="151">
        <v>0.4</v>
      </c>
      <c r="I155" s="153">
        <v>0</v>
      </c>
      <c r="J155" s="153"/>
      <c r="K155" s="153"/>
      <c r="L155" s="153"/>
      <c r="M155" s="153"/>
      <c r="N155" s="153"/>
      <c r="O155" s="153"/>
      <c r="P155" s="153"/>
    </row>
    <row r="156" spans="1:16">
      <c r="A156" s="143" t="s">
        <v>984</v>
      </c>
      <c r="B156" s="153">
        <v>0.2</v>
      </c>
      <c r="C156" s="158">
        <v>0.3</v>
      </c>
      <c r="D156" s="151">
        <v>0.3</v>
      </c>
      <c r="E156" s="151">
        <v>0.4</v>
      </c>
      <c r="F156" s="151">
        <v>0.2</v>
      </c>
      <c r="G156" s="151">
        <v>0</v>
      </c>
      <c r="H156" s="151" t="s">
        <v>1229</v>
      </c>
      <c r="I156" s="153" t="s">
        <v>1229</v>
      </c>
      <c r="J156" s="153"/>
      <c r="K156" s="153"/>
      <c r="L156" s="153"/>
      <c r="M156" s="153"/>
      <c r="N156" s="153"/>
      <c r="O156" s="153"/>
      <c r="P156" s="153"/>
    </row>
    <row r="157" spans="1:16">
      <c r="A157" s="157" t="s">
        <v>80</v>
      </c>
      <c r="B157" s="151">
        <v>24.4</v>
      </c>
      <c r="C157" s="158">
        <v>26.7</v>
      </c>
      <c r="D157" s="151">
        <v>20.5</v>
      </c>
      <c r="E157" s="151">
        <v>13.3</v>
      </c>
      <c r="F157" s="151">
        <v>8.9</v>
      </c>
      <c r="G157" s="151">
        <v>3.9</v>
      </c>
      <c r="H157" s="151">
        <v>3</v>
      </c>
      <c r="I157" s="153">
        <v>1.5</v>
      </c>
      <c r="J157" s="153"/>
      <c r="K157" s="153"/>
      <c r="L157" s="153"/>
      <c r="M157" s="153"/>
      <c r="N157" s="153"/>
      <c r="O157" s="153"/>
      <c r="P157" s="153"/>
    </row>
    <row r="158" spans="1:16">
      <c r="A158" s="157" t="s">
        <v>985</v>
      </c>
      <c r="B158" s="151">
        <v>92.9</v>
      </c>
      <c r="C158" s="158">
        <v>113.8</v>
      </c>
      <c r="D158" s="151">
        <v>105.5</v>
      </c>
      <c r="E158" s="151">
        <v>82.3</v>
      </c>
      <c r="F158" s="151">
        <v>51.9</v>
      </c>
      <c r="G158" s="151">
        <v>36</v>
      </c>
      <c r="H158" s="151">
        <v>4.8</v>
      </c>
      <c r="I158" s="153">
        <v>0.2</v>
      </c>
      <c r="J158" s="153"/>
      <c r="K158" s="153"/>
      <c r="L158" s="153"/>
      <c r="M158" s="153"/>
      <c r="N158" s="153"/>
      <c r="O158" s="153"/>
      <c r="P158" s="153"/>
    </row>
    <row r="159" spans="1:16">
      <c r="A159" s="157" t="s">
        <v>81</v>
      </c>
      <c r="B159" s="153">
        <v>0.1</v>
      </c>
      <c r="C159" s="158">
        <v>0.2</v>
      </c>
      <c r="D159" s="158">
        <v>0.1</v>
      </c>
      <c r="E159" s="151">
        <v>0.1</v>
      </c>
      <c r="F159" s="151">
        <v>0.1</v>
      </c>
      <c r="G159" s="151">
        <v>0.1</v>
      </c>
      <c r="H159" s="151" t="s">
        <v>1229</v>
      </c>
      <c r="I159" s="153" t="s">
        <v>1229</v>
      </c>
      <c r="J159" s="153"/>
      <c r="K159" s="153"/>
      <c r="L159" s="153"/>
      <c r="M159" s="153"/>
      <c r="N159" s="153"/>
      <c r="O159" s="153"/>
      <c r="P159" s="153"/>
    </row>
    <row r="160" spans="1:16">
      <c r="A160" s="143" t="s">
        <v>82</v>
      </c>
      <c r="B160" s="153">
        <v>6.8</v>
      </c>
      <c r="C160" s="151">
        <v>9.1</v>
      </c>
      <c r="D160" s="151">
        <v>10.5</v>
      </c>
      <c r="E160" s="151">
        <v>11</v>
      </c>
      <c r="F160" s="151">
        <v>11</v>
      </c>
      <c r="G160" s="151">
        <v>11.6</v>
      </c>
      <c r="H160" s="151">
        <v>14.6</v>
      </c>
      <c r="I160" s="153">
        <v>12.3</v>
      </c>
      <c r="J160" s="153"/>
      <c r="K160" s="153"/>
      <c r="L160" s="153"/>
      <c r="M160" s="153"/>
      <c r="N160" s="153"/>
      <c r="O160" s="153"/>
      <c r="P160" s="153"/>
    </row>
    <row r="161" spans="1:16">
      <c r="A161" s="143" t="s">
        <v>986</v>
      </c>
      <c r="B161" s="153">
        <v>0.6</v>
      </c>
      <c r="C161" s="151">
        <v>0.4</v>
      </c>
      <c r="D161" s="151">
        <v>0.2</v>
      </c>
      <c r="E161" s="151" t="s">
        <v>1229</v>
      </c>
      <c r="F161" s="151" t="s">
        <v>1229</v>
      </c>
      <c r="G161" s="151"/>
      <c r="H161" s="151"/>
      <c r="I161" s="153"/>
      <c r="J161" s="153"/>
      <c r="K161" s="153"/>
      <c r="L161" s="153"/>
      <c r="M161" s="153"/>
      <c r="N161" s="153"/>
      <c r="O161" s="153"/>
      <c r="P161" s="153"/>
    </row>
    <row r="162" spans="1:16">
      <c r="A162" s="143" t="s">
        <v>987</v>
      </c>
      <c r="B162" s="153">
        <v>6.1</v>
      </c>
      <c r="C162" s="151" t="s">
        <v>1229</v>
      </c>
      <c r="D162" s="151" t="s">
        <v>1229</v>
      </c>
      <c r="E162" s="151" t="s">
        <v>1229</v>
      </c>
      <c r="F162" s="151" t="s">
        <v>1499</v>
      </c>
      <c r="G162" s="151"/>
      <c r="H162" s="151"/>
      <c r="I162" s="153"/>
      <c r="J162" s="153"/>
      <c r="K162" s="153"/>
      <c r="L162" s="153"/>
      <c r="M162" s="153"/>
      <c r="N162" s="153"/>
      <c r="O162" s="153"/>
      <c r="P162" s="153"/>
    </row>
    <row r="163" spans="1:16">
      <c r="A163" s="143" t="s">
        <v>83</v>
      </c>
      <c r="B163" s="153"/>
      <c r="C163" s="151"/>
      <c r="D163" s="151"/>
      <c r="E163" s="151"/>
      <c r="F163" s="151"/>
      <c r="G163" s="151"/>
      <c r="H163" s="158"/>
      <c r="I163" s="153"/>
      <c r="J163" s="153"/>
      <c r="K163" s="153"/>
      <c r="L163" s="153"/>
      <c r="M163" s="153"/>
      <c r="N163" s="153"/>
      <c r="O163" s="153"/>
      <c r="P163" s="153"/>
    </row>
    <row r="164" spans="1:16">
      <c r="A164" s="143" t="s">
        <v>85</v>
      </c>
      <c r="B164" s="153">
        <v>1.7</v>
      </c>
      <c r="C164" s="151">
        <v>3.5</v>
      </c>
      <c r="D164" s="151">
        <v>0.7</v>
      </c>
      <c r="E164" s="151">
        <v>0.5</v>
      </c>
      <c r="F164" s="151">
        <v>0.4</v>
      </c>
      <c r="G164" s="151">
        <v>0.4</v>
      </c>
      <c r="H164" s="151">
        <v>3.4</v>
      </c>
      <c r="I164" s="153">
        <v>0.2</v>
      </c>
      <c r="J164" s="153"/>
      <c r="K164" s="153"/>
      <c r="L164" s="153"/>
      <c r="M164" s="153"/>
      <c r="N164" s="153"/>
      <c r="O164" s="153"/>
      <c r="P164" s="153"/>
    </row>
    <row r="165" spans="1:16">
      <c r="A165" s="143" t="s">
        <v>86</v>
      </c>
      <c r="B165" s="153"/>
      <c r="C165" s="151"/>
      <c r="D165" s="151"/>
      <c r="E165" s="151"/>
      <c r="F165" s="151"/>
      <c r="G165" s="158"/>
      <c r="H165" s="158"/>
      <c r="I165" s="153"/>
      <c r="J165" s="153"/>
      <c r="K165" s="153"/>
      <c r="L165" s="153"/>
      <c r="M165" s="153"/>
      <c r="N165" s="153"/>
      <c r="O165" s="153"/>
      <c r="P165" s="153"/>
    </row>
    <row r="166" spans="1:16">
      <c r="A166" s="143" t="s">
        <v>87</v>
      </c>
      <c r="B166" s="153">
        <v>10.3</v>
      </c>
      <c r="C166" s="158">
        <v>6.8</v>
      </c>
      <c r="D166" s="151">
        <v>5.3</v>
      </c>
      <c r="E166" s="151">
        <v>4.4000000000000004</v>
      </c>
      <c r="F166" s="158">
        <v>3</v>
      </c>
      <c r="G166" s="151">
        <v>3.6</v>
      </c>
      <c r="H166" s="158">
        <v>1.9</v>
      </c>
      <c r="I166" s="153">
        <v>1.5</v>
      </c>
      <c r="J166" s="153"/>
      <c r="K166" s="153"/>
      <c r="L166" s="153"/>
      <c r="M166" s="153"/>
      <c r="N166" s="153"/>
      <c r="O166" s="153"/>
      <c r="P166" s="153"/>
    </row>
    <row r="167" spans="1:16">
      <c r="A167" s="143" t="s">
        <v>88</v>
      </c>
      <c r="B167" s="153">
        <v>26</v>
      </c>
      <c r="C167" s="158">
        <v>37.700000000000003</v>
      </c>
      <c r="D167" s="151">
        <v>30.7</v>
      </c>
      <c r="E167" s="151">
        <v>21.7</v>
      </c>
      <c r="F167" s="158">
        <v>13.7</v>
      </c>
      <c r="G167" s="151">
        <v>18.5</v>
      </c>
      <c r="H167" s="158">
        <v>20</v>
      </c>
      <c r="I167" s="153">
        <v>15.1</v>
      </c>
      <c r="J167" s="153"/>
      <c r="K167" s="153"/>
      <c r="L167" s="153"/>
      <c r="M167" s="153"/>
      <c r="N167" s="153"/>
      <c r="O167" s="153"/>
      <c r="P167" s="153"/>
    </row>
    <row r="168" spans="1:16">
      <c r="A168" s="143" t="s">
        <v>89</v>
      </c>
      <c r="B168" s="153">
        <v>66.900000000000006</v>
      </c>
      <c r="C168" s="158">
        <v>58.8</v>
      </c>
      <c r="D168" s="151">
        <v>75.599999999999994</v>
      </c>
      <c r="E168" s="151">
        <v>94</v>
      </c>
      <c r="F168" s="158">
        <v>106.7</v>
      </c>
      <c r="G168" s="151">
        <v>147.80000000000001</v>
      </c>
      <c r="H168" s="158">
        <v>154.80000000000001</v>
      </c>
      <c r="I168" s="153">
        <v>132.1</v>
      </c>
      <c r="J168" s="153"/>
      <c r="K168" s="153"/>
      <c r="L168" s="153"/>
      <c r="M168" s="153"/>
      <c r="N168" s="153"/>
      <c r="O168" s="153"/>
      <c r="P168" s="153"/>
    </row>
    <row r="169" spans="1:16">
      <c r="A169" s="157" t="s">
        <v>670</v>
      </c>
      <c r="B169" s="153"/>
      <c r="C169" s="158"/>
      <c r="D169" s="151"/>
      <c r="E169" s="151"/>
      <c r="F169" s="158"/>
      <c r="G169" s="151" t="s">
        <v>1499</v>
      </c>
      <c r="H169" s="158" t="s">
        <v>1499</v>
      </c>
      <c r="I169" s="153" t="s">
        <v>1499</v>
      </c>
      <c r="J169" s="153"/>
      <c r="K169" s="153"/>
      <c r="L169" s="153"/>
      <c r="M169" s="153"/>
      <c r="N169" s="153"/>
      <c r="O169" s="153"/>
      <c r="P169" s="153"/>
    </row>
    <row r="170" spans="1:16">
      <c r="A170" s="157" t="s">
        <v>988</v>
      </c>
      <c r="B170" s="153" t="s">
        <v>1499</v>
      </c>
      <c r="C170" s="158">
        <v>925</v>
      </c>
      <c r="D170" s="151">
        <v>1085.4000000000001</v>
      </c>
      <c r="E170" s="151">
        <v>1268.5999999999999</v>
      </c>
      <c r="F170" s="158">
        <v>1360</v>
      </c>
      <c r="G170" s="151">
        <v>1363</v>
      </c>
      <c r="H170" s="158">
        <v>1399.6</v>
      </c>
      <c r="I170" s="153">
        <v>1333.3</v>
      </c>
      <c r="J170" s="153"/>
      <c r="K170" s="153"/>
      <c r="L170" s="153"/>
      <c r="M170" s="153"/>
      <c r="N170" s="153"/>
      <c r="O170" s="153"/>
      <c r="P170" s="153"/>
    </row>
    <row r="171" spans="1:16">
      <c r="A171" s="157" t="s">
        <v>671</v>
      </c>
      <c r="B171" s="153"/>
      <c r="C171" s="158"/>
      <c r="D171" s="151"/>
      <c r="E171" s="151"/>
      <c r="F171" s="158"/>
      <c r="G171" s="151"/>
      <c r="H171" s="158"/>
      <c r="I171" s="153"/>
      <c r="J171" s="153"/>
      <c r="K171" s="153"/>
      <c r="L171" s="153"/>
      <c r="M171" s="153"/>
      <c r="N171" s="153"/>
      <c r="O171" s="153"/>
      <c r="P171" s="153"/>
    </row>
    <row r="172" spans="1:16">
      <c r="A172" s="143"/>
      <c r="B172" s="151"/>
      <c r="C172" s="151"/>
      <c r="D172" s="151"/>
      <c r="E172" s="151"/>
      <c r="F172" s="151"/>
      <c r="G172" s="151"/>
      <c r="H172" s="158"/>
      <c r="I172" s="153"/>
      <c r="J172" s="153"/>
      <c r="K172" s="153"/>
      <c r="L172" s="153"/>
      <c r="M172" s="153"/>
      <c r="N172" s="153"/>
      <c r="O172" s="153"/>
      <c r="P172" s="153"/>
    </row>
    <row r="173" spans="1:16">
      <c r="A173" s="160" t="s">
        <v>672</v>
      </c>
      <c r="B173" s="150">
        <v>93.5</v>
      </c>
      <c r="C173" s="150">
        <v>122.1</v>
      </c>
      <c r="D173" s="150">
        <v>123.4</v>
      </c>
      <c r="E173" s="150">
        <v>152.69999999999999</v>
      </c>
      <c r="F173" s="150">
        <v>374.5</v>
      </c>
      <c r="G173" s="150">
        <v>396.4</v>
      </c>
      <c r="H173" s="150">
        <v>532.4</v>
      </c>
      <c r="I173" s="150">
        <v>626.1</v>
      </c>
      <c r="J173" s="150"/>
      <c r="K173" s="150"/>
      <c r="L173" s="150"/>
      <c r="M173" s="150"/>
      <c r="N173" s="150"/>
      <c r="O173" s="150"/>
      <c r="P173" s="150"/>
    </row>
    <row r="174" spans="1:16">
      <c r="A174" s="143" t="s">
        <v>673</v>
      </c>
      <c r="B174" s="153">
        <v>93.5</v>
      </c>
      <c r="C174" s="158">
        <v>122.1</v>
      </c>
      <c r="D174" s="151">
        <v>123.4</v>
      </c>
      <c r="E174" s="151">
        <v>152.69999999999999</v>
      </c>
      <c r="F174" s="158">
        <v>374.5</v>
      </c>
      <c r="G174" s="158">
        <v>396.4</v>
      </c>
      <c r="H174" s="158">
        <v>532.4</v>
      </c>
      <c r="I174" s="153">
        <v>626.1</v>
      </c>
      <c r="J174" s="153"/>
      <c r="K174" s="153"/>
      <c r="L174" s="153"/>
      <c r="M174" s="153"/>
      <c r="N174" s="153"/>
      <c r="O174" s="153"/>
      <c r="P174" s="153"/>
    </row>
    <row r="175" spans="1:16">
      <c r="A175" s="143"/>
      <c r="B175" s="151"/>
      <c r="C175" s="151"/>
      <c r="D175" s="151"/>
      <c r="E175" s="151"/>
      <c r="F175" s="151"/>
      <c r="G175" s="151"/>
      <c r="H175" s="158"/>
      <c r="I175" s="153"/>
      <c r="J175" s="153"/>
      <c r="K175" s="153"/>
      <c r="L175" s="153"/>
      <c r="M175" s="153"/>
      <c r="N175" s="153"/>
      <c r="O175" s="153"/>
      <c r="P175" s="153"/>
    </row>
    <row r="176" spans="1:16">
      <c r="A176" s="160" t="s">
        <v>1297</v>
      </c>
      <c r="B176" s="150">
        <v>869.4</v>
      </c>
      <c r="C176" s="150">
        <v>1005.5</v>
      </c>
      <c r="D176" s="150">
        <v>1072.7</v>
      </c>
      <c r="E176" s="150">
        <v>1221.4000000000001</v>
      </c>
      <c r="F176" s="150">
        <v>1587.5</v>
      </c>
      <c r="G176" s="150">
        <v>2264.9</v>
      </c>
      <c r="H176" s="150">
        <v>3767.7</v>
      </c>
      <c r="I176" s="150">
        <v>4788.7</v>
      </c>
      <c r="J176" s="150"/>
      <c r="K176" s="150"/>
      <c r="L176" s="150"/>
      <c r="M176" s="150"/>
      <c r="N176" s="150"/>
      <c r="O176" s="150"/>
      <c r="P176" s="150"/>
    </row>
    <row r="177" spans="1:16">
      <c r="A177" s="143" t="s">
        <v>675</v>
      </c>
      <c r="B177" s="153">
        <v>212.3</v>
      </c>
      <c r="C177" s="158">
        <v>285.2</v>
      </c>
      <c r="D177" s="151">
        <v>359</v>
      </c>
      <c r="E177" s="151">
        <v>379.8</v>
      </c>
      <c r="F177" s="158">
        <v>461.2</v>
      </c>
      <c r="G177" s="158">
        <v>497.4</v>
      </c>
      <c r="H177" s="158">
        <v>515.5</v>
      </c>
      <c r="I177" s="153">
        <v>543.1</v>
      </c>
      <c r="J177" s="153"/>
      <c r="K177" s="153"/>
      <c r="L177" s="153"/>
      <c r="M177" s="153"/>
      <c r="N177" s="153"/>
      <c r="O177" s="153"/>
      <c r="P177" s="153"/>
    </row>
    <row r="178" spans="1:16">
      <c r="A178" s="143" t="s">
        <v>989</v>
      </c>
      <c r="B178" s="153">
        <v>0.1</v>
      </c>
      <c r="C178" s="158">
        <v>0.1</v>
      </c>
      <c r="D178" s="151">
        <v>1.3</v>
      </c>
      <c r="E178" s="151">
        <v>0.6</v>
      </c>
      <c r="F178" s="158">
        <v>0</v>
      </c>
      <c r="G178" s="158"/>
      <c r="H178" s="158"/>
      <c r="I178" s="153"/>
      <c r="J178" s="153"/>
      <c r="K178" s="153"/>
      <c r="L178" s="153"/>
      <c r="M178" s="153"/>
      <c r="N178" s="153"/>
      <c r="O178" s="153"/>
      <c r="P178" s="153"/>
    </row>
    <row r="179" spans="1:16">
      <c r="A179" s="143" t="s">
        <v>990</v>
      </c>
      <c r="B179" s="153">
        <v>37.1</v>
      </c>
      <c r="C179" s="158">
        <v>43.7</v>
      </c>
      <c r="D179" s="151">
        <v>44.3</v>
      </c>
      <c r="E179" s="151">
        <v>46.6</v>
      </c>
      <c r="F179" s="158" t="s">
        <v>1229</v>
      </c>
      <c r="G179" s="158"/>
      <c r="H179" s="158"/>
      <c r="I179" s="153"/>
      <c r="J179" s="153"/>
      <c r="K179" s="153"/>
      <c r="L179" s="153"/>
      <c r="M179" s="153"/>
      <c r="N179" s="153"/>
      <c r="O179" s="153"/>
      <c r="P179" s="153"/>
    </row>
    <row r="180" spans="1:16">
      <c r="A180" s="143" t="s">
        <v>1172</v>
      </c>
      <c r="B180" s="153">
        <v>0</v>
      </c>
      <c r="C180" s="158">
        <v>0</v>
      </c>
      <c r="D180" s="151">
        <v>0.1</v>
      </c>
      <c r="E180" s="151">
        <v>0</v>
      </c>
      <c r="F180" s="158">
        <v>0</v>
      </c>
      <c r="G180" s="158">
        <v>0</v>
      </c>
      <c r="H180" s="158">
        <v>0</v>
      </c>
      <c r="I180" s="153" t="s">
        <v>1229</v>
      </c>
      <c r="J180" s="153"/>
      <c r="K180" s="153"/>
      <c r="L180" s="153"/>
      <c r="M180" s="153"/>
      <c r="N180" s="153"/>
      <c r="O180" s="153"/>
      <c r="P180" s="153"/>
    </row>
    <row r="181" spans="1:16">
      <c r="A181" s="143" t="s">
        <v>1173</v>
      </c>
      <c r="B181" s="153">
        <v>57.9</v>
      </c>
      <c r="C181" s="158" t="s">
        <v>1499</v>
      </c>
      <c r="D181" s="151" t="s">
        <v>1499</v>
      </c>
      <c r="E181" s="151" t="s">
        <v>1499</v>
      </c>
      <c r="F181" s="158" t="s">
        <v>1499</v>
      </c>
      <c r="G181" s="158"/>
      <c r="H181" s="158"/>
      <c r="I181" s="153"/>
      <c r="J181" s="153"/>
      <c r="K181" s="153"/>
      <c r="L181" s="153"/>
      <c r="M181" s="153"/>
      <c r="N181" s="153"/>
      <c r="O181" s="153"/>
      <c r="P181" s="153"/>
    </row>
    <row r="182" spans="1:16">
      <c r="A182" s="143" t="s">
        <v>1174</v>
      </c>
      <c r="B182" s="153">
        <v>26.3</v>
      </c>
      <c r="C182" s="158">
        <v>33.1</v>
      </c>
      <c r="D182" s="151" t="s">
        <v>1499</v>
      </c>
      <c r="E182" s="151" t="s">
        <v>1499</v>
      </c>
      <c r="F182" s="158" t="s">
        <v>1499</v>
      </c>
      <c r="G182" s="158"/>
      <c r="H182" s="158"/>
      <c r="I182" s="153"/>
      <c r="J182" s="153"/>
      <c r="K182" s="153"/>
      <c r="L182" s="153"/>
      <c r="M182" s="153"/>
      <c r="N182" s="153"/>
      <c r="O182" s="153"/>
      <c r="P182" s="153"/>
    </row>
    <row r="183" spans="1:16">
      <c r="A183" s="143" t="s">
        <v>1175</v>
      </c>
      <c r="B183" s="153">
        <v>116.6</v>
      </c>
      <c r="C183" s="158">
        <v>159.4</v>
      </c>
      <c r="D183" s="151" t="s">
        <v>1499</v>
      </c>
      <c r="E183" s="151" t="s">
        <v>1499</v>
      </c>
      <c r="F183" s="158">
        <v>46.6</v>
      </c>
      <c r="G183" s="158"/>
      <c r="H183" s="158"/>
      <c r="I183" s="153"/>
      <c r="J183" s="153"/>
      <c r="K183" s="153"/>
      <c r="L183" s="153"/>
      <c r="M183" s="153"/>
      <c r="N183" s="153"/>
      <c r="O183" s="153"/>
      <c r="P183" s="153"/>
    </row>
    <row r="184" spans="1:16">
      <c r="A184" s="143" t="s">
        <v>1176</v>
      </c>
      <c r="B184" s="153"/>
      <c r="C184" s="158"/>
      <c r="D184" s="151"/>
      <c r="E184" s="151"/>
      <c r="F184" s="158"/>
      <c r="G184" s="158">
        <v>50.7</v>
      </c>
      <c r="H184" s="158">
        <v>49.9</v>
      </c>
      <c r="I184" s="153">
        <v>56.4</v>
      </c>
      <c r="J184" s="153"/>
      <c r="K184" s="153"/>
      <c r="L184" s="153"/>
      <c r="M184" s="153"/>
      <c r="N184" s="153"/>
      <c r="O184" s="153"/>
      <c r="P184" s="153"/>
    </row>
    <row r="185" spans="1:16">
      <c r="A185" s="143" t="s">
        <v>1184</v>
      </c>
      <c r="B185" s="153">
        <v>239.9</v>
      </c>
      <c r="C185" s="158">
        <v>234.2</v>
      </c>
      <c r="D185" s="151">
        <v>289.3</v>
      </c>
      <c r="E185" s="151">
        <v>316</v>
      </c>
      <c r="F185" s="158">
        <v>307.8</v>
      </c>
      <c r="G185" s="158">
        <v>343.4</v>
      </c>
      <c r="H185" s="158">
        <v>438.3</v>
      </c>
      <c r="I185" s="153" t="s">
        <v>1499</v>
      </c>
      <c r="J185" s="153"/>
      <c r="K185" s="153"/>
      <c r="L185" s="153"/>
      <c r="M185" s="153"/>
      <c r="N185" s="153"/>
      <c r="O185" s="153"/>
      <c r="P185" s="153"/>
    </row>
    <row r="186" spans="1:16">
      <c r="A186" s="143" t="s">
        <v>1262</v>
      </c>
      <c r="B186" s="151">
        <v>1.7</v>
      </c>
      <c r="C186" s="158">
        <v>2.5</v>
      </c>
      <c r="D186" s="151">
        <v>2.5</v>
      </c>
      <c r="E186" s="151">
        <v>2.4</v>
      </c>
      <c r="F186" s="158">
        <v>2.8</v>
      </c>
      <c r="G186" s="158">
        <v>2.6</v>
      </c>
      <c r="H186" s="158">
        <v>2.5</v>
      </c>
      <c r="I186" s="153" t="s">
        <v>1499</v>
      </c>
      <c r="J186" s="153"/>
      <c r="K186" s="153"/>
      <c r="L186" s="153"/>
      <c r="M186" s="153"/>
      <c r="N186" s="153"/>
      <c r="O186" s="153"/>
      <c r="P186" s="153"/>
    </row>
    <row r="187" spans="1:16">
      <c r="A187" s="157" t="s">
        <v>1263</v>
      </c>
      <c r="B187" s="153">
        <v>4.7</v>
      </c>
      <c r="C187" s="151">
        <v>4.8</v>
      </c>
      <c r="D187" s="151">
        <v>5.7</v>
      </c>
      <c r="E187" s="151">
        <v>7.1</v>
      </c>
      <c r="F187" s="158">
        <v>6</v>
      </c>
      <c r="G187" s="158">
        <v>7.5</v>
      </c>
      <c r="H187" s="158">
        <v>6.7</v>
      </c>
      <c r="I187" s="153" t="s">
        <v>1499</v>
      </c>
      <c r="J187" s="153"/>
      <c r="K187" s="153"/>
      <c r="L187" s="153"/>
      <c r="M187" s="153"/>
      <c r="N187" s="153"/>
      <c r="O187" s="153"/>
      <c r="P187" s="153"/>
    </row>
    <row r="188" spans="1:16">
      <c r="A188" s="143" t="s">
        <v>1264</v>
      </c>
      <c r="B188" s="153">
        <v>1.1000000000000001</v>
      </c>
      <c r="C188" s="158">
        <v>1.5</v>
      </c>
      <c r="D188" s="151">
        <v>2.1</v>
      </c>
      <c r="E188" s="151">
        <v>2.5</v>
      </c>
      <c r="F188" s="158">
        <v>2.7</v>
      </c>
      <c r="G188" s="158">
        <v>2.8</v>
      </c>
      <c r="H188" s="158">
        <v>2.5</v>
      </c>
      <c r="I188" s="153">
        <v>3.4</v>
      </c>
      <c r="J188" s="153"/>
      <c r="K188" s="153"/>
      <c r="L188" s="153"/>
      <c r="M188" s="153"/>
      <c r="N188" s="153"/>
      <c r="O188" s="153"/>
      <c r="P188" s="153"/>
    </row>
    <row r="189" spans="1:16">
      <c r="A189" s="143" t="s">
        <v>1265</v>
      </c>
      <c r="B189" s="153">
        <v>0.8</v>
      </c>
      <c r="C189" s="158">
        <v>0.8</v>
      </c>
      <c r="D189" s="151">
        <v>0.8</v>
      </c>
      <c r="E189" s="151">
        <v>0.8</v>
      </c>
      <c r="F189" s="158">
        <v>1.4</v>
      </c>
      <c r="G189" s="158">
        <v>1.5</v>
      </c>
      <c r="H189" s="158">
        <v>1.3</v>
      </c>
      <c r="I189" s="153">
        <v>1.5</v>
      </c>
      <c r="J189" s="153"/>
      <c r="K189" s="153"/>
      <c r="L189" s="153"/>
      <c r="M189" s="153"/>
      <c r="N189" s="153"/>
      <c r="O189" s="153"/>
      <c r="P189" s="153"/>
    </row>
    <row r="190" spans="1:16">
      <c r="A190" s="143" t="s">
        <v>1015</v>
      </c>
      <c r="B190" s="153">
        <v>2.5</v>
      </c>
      <c r="C190" s="158">
        <v>2.2000000000000002</v>
      </c>
      <c r="D190" s="151">
        <v>1.9</v>
      </c>
      <c r="E190" s="151">
        <v>2.7</v>
      </c>
      <c r="F190" s="158">
        <v>2.8</v>
      </c>
      <c r="G190" s="158">
        <v>2.9</v>
      </c>
      <c r="H190" s="151" t="s">
        <v>1499</v>
      </c>
      <c r="I190" s="153" t="s">
        <v>1499</v>
      </c>
      <c r="J190" s="153"/>
      <c r="K190" s="153"/>
      <c r="L190" s="153"/>
      <c r="M190" s="153"/>
      <c r="N190" s="153"/>
      <c r="O190" s="153"/>
      <c r="P190" s="153"/>
    </row>
    <row r="191" spans="1:16">
      <c r="A191" s="143" t="s">
        <v>1016</v>
      </c>
      <c r="B191" s="153">
        <v>7</v>
      </c>
      <c r="C191" s="158">
        <v>7</v>
      </c>
      <c r="D191" s="151">
        <v>8.6999999999999993</v>
      </c>
      <c r="E191" s="151">
        <v>8.5</v>
      </c>
      <c r="F191" s="158">
        <v>10.1</v>
      </c>
      <c r="G191" s="158"/>
      <c r="H191" s="158"/>
      <c r="I191" s="153"/>
      <c r="J191" s="153"/>
      <c r="K191" s="153"/>
      <c r="L191" s="153"/>
      <c r="M191" s="153"/>
      <c r="N191" s="153"/>
      <c r="O191" s="153"/>
      <c r="P191" s="153"/>
    </row>
    <row r="192" spans="1:16">
      <c r="A192" s="143" t="s">
        <v>1017</v>
      </c>
      <c r="B192" s="153">
        <v>23.8</v>
      </c>
      <c r="C192" s="158">
        <v>28.3</v>
      </c>
      <c r="D192" s="151">
        <v>32.9</v>
      </c>
      <c r="E192" s="151">
        <v>32.200000000000003</v>
      </c>
      <c r="F192" s="158" t="s">
        <v>1499</v>
      </c>
      <c r="G192" s="158"/>
      <c r="H192" s="158"/>
      <c r="I192" s="153"/>
      <c r="J192" s="153"/>
      <c r="K192" s="153"/>
      <c r="L192" s="153"/>
      <c r="M192" s="153"/>
      <c r="N192" s="153"/>
      <c r="O192" s="153"/>
      <c r="P192" s="153"/>
    </row>
    <row r="193" spans="1:16">
      <c r="A193" s="143" t="s">
        <v>1018</v>
      </c>
      <c r="B193" s="153">
        <v>0.5</v>
      </c>
      <c r="C193" s="158">
        <v>0.4</v>
      </c>
      <c r="D193" s="151">
        <v>0.5</v>
      </c>
      <c r="E193" s="151">
        <v>0.6</v>
      </c>
      <c r="F193" s="158">
        <v>0</v>
      </c>
      <c r="G193" s="158">
        <v>0</v>
      </c>
      <c r="H193" s="158">
        <v>-0.6</v>
      </c>
      <c r="I193" s="153">
        <v>0.3</v>
      </c>
      <c r="J193" s="153"/>
      <c r="K193" s="153"/>
      <c r="L193" s="153"/>
      <c r="M193" s="153"/>
      <c r="N193" s="153"/>
      <c r="O193" s="153"/>
      <c r="P193" s="153"/>
    </row>
    <row r="194" spans="1:16">
      <c r="A194" s="143" t="s">
        <v>1423</v>
      </c>
      <c r="B194" s="153">
        <v>5.9</v>
      </c>
      <c r="C194" s="158">
        <v>6.7</v>
      </c>
      <c r="D194" s="151">
        <v>5.2</v>
      </c>
      <c r="E194" s="151">
        <v>4.5999999999999996</v>
      </c>
      <c r="F194" s="158">
        <v>4</v>
      </c>
      <c r="G194" s="158">
        <v>3.9</v>
      </c>
      <c r="H194" s="158">
        <v>3.1</v>
      </c>
      <c r="I194" s="153">
        <v>2.9</v>
      </c>
      <c r="J194" s="153"/>
      <c r="K194" s="153"/>
      <c r="L194" s="153"/>
      <c r="M194" s="153"/>
      <c r="N194" s="153"/>
      <c r="O194" s="153"/>
      <c r="P194" s="153"/>
    </row>
    <row r="195" spans="1:16">
      <c r="A195" s="157" t="s">
        <v>105</v>
      </c>
      <c r="B195" s="153">
        <v>85.8</v>
      </c>
      <c r="C195" s="158">
        <v>103.9</v>
      </c>
      <c r="D195" s="151">
        <v>115.8</v>
      </c>
      <c r="E195" s="151">
        <v>131.80000000000001</v>
      </c>
      <c r="F195" s="158">
        <v>145.30000000000001</v>
      </c>
      <c r="G195" s="158">
        <v>153.30000000000001</v>
      </c>
      <c r="H195" s="158">
        <v>133.1</v>
      </c>
      <c r="I195" s="153">
        <v>89.4</v>
      </c>
      <c r="J195" s="153"/>
      <c r="K195" s="153"/>
      <c r="L195" s="153"/>
      <c r="M195" s="153"/>
      <c r="N195" s="153"/>
      <c r="O195" s="153"/>
      <c r="P195" s="153"/>
    </row>
    <row r="196" spans="1:16">
      <c r="A196" s="143" t="s">
        <v>106</v>
      </c>
      <c r="B196" s="153">
        <v>7.4</v>
      </c>
      <c r="C196" s="158">
        <v>20.9</v>
      </c>
      <c r="D196" s="151">
        <v>21.9</v>
      </c>
      <c r="E196" s="151">
        <v>22.5</v>
      </c>
      <c r="F196" s="158">
        <v>21.7</v>
      </c>
      <c r="G196" s="158">
        <v>21.5</v>
      </c>
      <c r="H196" s="158">
        <v>23.7</v>
      </c>
      <c r="I196" s="153">
        <v>29.2</v>
      </c>
      <c r="J196" s="153"/>
      <c r="K196" s="153"/>
      <c r="L196" s="153"/>
      <c r="M196" s="153"/>
      <c r="N196" s="153"/>
      <c r="O196" s="153"/>
      <c r="P196" s="153"/>
    </row>
    <row r="197" spans="1:16">
      <c r="A197" s="143" t="s">
        <v>107</v>
      </c>
      <c r="B197" s="153">
        <v>37.1</v>
      </c>
      <c r="C197" s="158">
        <v>70.099999999999994</v>
      </c>
      <c r="D197" s="151">
        <v>82.9</v>
      </c>
      <c r="E197" s="151">
        <v>85.8</v>
      </c>
      <c r="F197" s="158">
        <v>87.2</v>
      </c>
      <c r="G197" s="158">
        <v>92.6</v>
      </c>
      <c r="H197" s="158">
        <v>93</v>
      </c>
      <c r="I197" s="153">
        <v>96.8</v>
      </c>
      <c r="J197" s="153"/>
      <c r="K197" s="153"/>
      <c r="L197" s="153"/>
      <c r="M197" s="153"/>
      <c r="N197" s="153"/>
      <c r="O197" s="153"/>
      <c r="P197" s="153"/>
    </row>
    <row r="198" spans="1:16">
      <c r="A198" s="143" t="s">
        <v>108</v>
      </c>
      <c r="B198" s="153">
        <v>0.9</v>
      </c>
      <c r="C198" s="158">
        <v>0.7</v>
      </c>
      <c r="D198" s="151">
        <v>0.7</v>
      </c>
      <c r="E198" s="151">
        <v>0.9</v>
      </c>
      <c r="F198" s="158">
        <v>0.7</v>
      </c>
      <c r="G198" s="158">
        <v>0.7</v>
      </c>
      <c r="H198" s="151">
        <v>0.7</v>
      </c>
      <c r="I198" s="153">
        <v>0.9</v>
      </c>
      <c r="J198" s="153"/>
      <c r="K198" s="153"/>
      <c r="L198" s="153"/>
      <c r="M198" s="153"/>
      <c r="N198" s="153"/>
      <c r="O198" s="153"/>
      <c r="P198" s="153"/>
    </row>
    <row r="199" spans="1:16">
      <c r="A199" s="143" t="s">
        <v>109</v>
      </c>
      <c r="B199" s="153" t="s">
        <v>1499</v>
      </c>
      <c r="C199" s="158" t="s">
        <v>1499</v>
      </c>
      <c r="D199" s="151">
        <v>97.1</v>
      </c>
      <c r="E199" s="151">
        <v>105.2</v>
      </c>
      <c r="F199" s="158">
        <v>113.2</v>
      </c>
      <c r="G199" s="158">
        <v>126</v>
      </c>
      <c r="H199" s="158">
        <v>133</v>
      </c>
      <c r="I199" s="153">
        <v>138.5</v>
      </c>
      <c r="J199" s="153"/>
      <c r="K199" s="153"/>
      <c r="L199" s="153"/>
      <c r="M199" s="153"/>
      <c r="N199" s="153"/>
      <c r="O199" s="153"/>
      <c r="P199" s="153"/>
    </row>
    <row r="200" spans="1:16">
      <c r="A200" s="143" t="s">
        <v>110</v>
      </c>
      <c r="B200" s="153" t="s">
        <v>1499</v>
      </c>
      <c r="C200" s="158" t="s">
        <v>1499</v>
      </c>
      <c r="D200" s="151" t="s">
        <v>1499</v>
      </c>
      <c r="E200" s="151">
        <v>68</v>
      </c>
      <c r="F200" s="158">
        <v>187</v>
      </c>
      <c r="G200" s="158">
        <v>188</v>
      </c>
      <c r="H200" s="158">
        <v>151.69999999999999</v>
      </c>
      <c r="I200" s="153">
        <v>156.4</v>
      </c>
      <c r="J200" s="153"/>
      <c r="K200" s="153"/>
      <c r="L200" s="153"/>
      <c r="M200" s="153"/>
      <c r="N200" s="153"/>
      <c r="O200" s="153"/>
      <c r="P200" s="153"/>
    </row>
    <row r="201" spans="1:16">
      <c r="A201" s="143" t="s">
        <v>111</v>
      </c>
      <c r="B201" s="153" t="s">
        <v>1499</v>
      </c>
      <c r="C201" s="158" t="s">
        <v>1499</v>
      </c>
      <c r="D201" s="151" t="s">
        <v>1499</v>
      </c>
      <c r="E201" s="151">
        <v>2.8</v>
      </c>
      <c r="F201" s="158">
        <v>3</v>
      </c>
      <c r="G201" s="158">
        <v>3.1</v>
      </c>
      <c r="H201" s="158">
        <v>3.2</v>
      </c>
      <c r="I201" s="153">
        <v>3.5</v>
      </c>
      <c r="J201" s="153"/>
      <c r="K201" s="153"/>
      <c r="L201" s="153"/>
      <c r="M201" s="153"/>
      <c r="N201" s="153"/>
      <c r="O201" s="153"/>
      <c r="P201" s="153"/>
    </row>
    <row r="202" spans="1:16">
      <c r="A202" s="143" t="s">
        <v>112</v>
      </c>
      <c r="B202" s="153" t="s">
        <v>1499</v>
      </c>
      <c r="C202" s="158" t="s">
        <v>1499</v>
      </c>
      <c r="D202" s="151" t="s">
        <v>1499</v>
      </c>
      <c r="E202" s="151" t="s">
        <v>1499</v>
      </c>
      <c r="F202" s="158">
        <v>9.1999999999999993</v>
      </c>
      <c r="G202" s="158">
        <v>17.8</v>
      </c>
      <c r="H202" s="158">
        <v>20.100000000000001</v>
      </c>
      <c r="I202" s="153">
        <v>22.4</v>
      </c>
      <c r="J202" s="153"/>
      <c r="K202" s="153"/>
      <c r="L202" s="153"/>
      <c r="M202" s="153"/>
      <c r="N202" s="153"/>
      <c r="O202" s="153"/>
      <c r="P202" s="153"/>
    </row>
    <row r="203" spans="1:16">
      <c r="A203" s="143" t="s">
        <v>113</v>
      </c>
      <c r="B203" s="153" t="s">
        <v>1499</v>
      </c>
      <c r="C203" s="158" t="s">
        <v>1499</v>
      </c>
      <c r="D203" s="151" t="s">
        <v>1499</v>
      </c>
      <c r="E203" s="151" t="s">
        <v>1499</v>
      </c>
      <c r="F203" s="158">
        <v>118.7</v>
      </c>
      <c r="G203" s="158">
        <v>110.8</v>
      </c>
      <c r="H203" s="151">
        <v>109.8</v>
      </c>
      <c r="I203" s="153">
        <v>123.9</v>
      </c>
      <c r="J203" s="153"/>
      <c r="K203" s="153"/>
      <c r="L203" s="153"/>
      <c r="M203" s="153"/>
      <c r="N203" s="153"/>
      <c r="O203" s="153"/>
      <c r="P203" s="153"/>
    </row>
    <row r="204" spans="1:16">
      <c r="A204" s="143" t="s">
        <v>114</v>
      </c>
      <c r="B204" s="153" t="s">
        <v>1499</v>
      </c>
      <c r="C204" s="158" t="s">
        <v>1499</v>
      </c>
      <c r="D204" s="151" t="s">
        <v>1499</v>
      </c>
      <c r="E204" s="151" t="s">
        <v>1499</v>
      </c>
      <c r="F204" s="158">
        <v>13.2</v>
      </c>
      <c r="G204" s="158">
        <v>9</v>
      </c>
      <c r="H204" s="158">
        <v>11.4</v>
      </c>
      <c r="I204" s="153">
        <v>11.7</v>
      </c>
      <c r="J204" s="153"/>
      <c r="K204" s="153"/>
      <c r="L204" s="153"/>
      <c r="M204" s="153"/>
      <c r="N204" s="153"/>
      <c r="O204" s="153"/>
      <c r="P204" s="153"/>
    </row>
    <row r="205" spans="1:16">
      <c r="A205" s="143" t="s">
        <v>115</v>
      </c>
      <c r="B205" s="153" t="s">
        <v>1499</v>
      </c>
      <c r="C205" s="158" t="s">
        <v>1499</v>
      </c>
      <c r="D205" s="151" t="s">
        <v>1499</v>
      </c>
      <c r="E205" s="151" t="s">
        <v>1499</v>
      </c>
      <c r="F205" s="158">
        <v>18.899999999999999</v>
      </c>
      <c r="G205" s="158">
        <v>28.9</v>
      </c>
      <c r="H205" s="158">
        <v>37.9</v>
      </c>
      <c r="I205" s="153">
        <v>71.2</v>
      </c>
      <c r="J205" s="153"/>
      <c r="K205" s="153"/>
      <c r="L205" s="153"/>
      <c r="M205" s="153"/>
      <c r="N205" s="153"/>
      <c r="O205" s="153"/>
      <c r="P205" s="153"/>
    </row>
    <row r="206" spans="1:16">
      <c r="A206" s="157" t="s">
        <v>116</v>
      </c>
      <c r="B206" s="153" t="s">
        <v>1499</v>
      </c>
      <c r="C206" s="158" t="s">
        <v>1499</v>
      </c>
      <c r="D206" s="151" t="s">
        <v>1499</v>
      </c>
      <c r="E206" s="151" t="s">
        <v>1499</v>
      </c>
      <c r="F206" s="158">
        <v>24</v>
      </c>
      <c r="G206" s="158">
        <v>20.8</v>
      </c>
      <c r="H206" s="158">
        <v>15.8</v>
      </c>
      <c r="I206" s="153">
        <v>8.9</v>
      </c>
      <c r="J206" s="153"/>
      <c r="K206" s="153"/>
      <c r="L206" s="153"/>
      <c r="M206" s="153"/>
      <c r="N206" s="153"/>
      <c r="O206" s="153"/>
      <c r="P206" s="153"/>
    </row>
    <row r="207" spans="1:16">
      <c r="A207" s="143" t="s">
        <v>1185</v>
      </c>
      <c r="B207" s="153"/>
      <c r="C207" s="151"/>
      <c r="D207" s="151"/>
      <c r="E207" s="151"/>
      <c r="F207" s="158"/>
      <c r="G207" s="158">
        <v>579.70000000000005</v>
      </c>
      <c r="H207" s="158">
        <v>2009</v>
      </c>
      <c r="I207" s="153">
        <v>3415.5</v>
      </c>
      <c r="J207" s="153"/>
      <c r="K207" s="153"/>
      <c r="L207" s="153"/>
      <c r="M207" s="153"/>
      <c r="N207" s="153"/>
      <c r="O207" s="153"/>
      <c r="P207" s="153"/>
    </row>
    <row r="208" spans="1:16">
      <c r="A208" s="157" t="s">
        <v>118</v>
      </c>
      <c r="B208" s="153"/>
      <c r="C208" s="158"/>
      <c r="D208" s="151"/>
      <c r="E208" s="151"/>
      <c r="F208" s="158"/>
      <c r="G208" s="158" t="s">
        <v>1499</v>
      </c>
      <c r="H208" s="158">
        <v>3.7</v>
      </c>
      <c r="I208" s="153">
        <v>6.5</v>
      </c>
      <c r="J208" s="153"/>
      <c r="K208" s="153"/>
      <c r="L208" s="153"/>
      <c r="M208" s="153"/>
      <c r="N208" s="153"/>
      <c r="O208" s="153"/>
      <c r="P208" s="153"/>
    </row>
    <row r="209" spans="1:16">
      <c r="A209" s="143" t="s">
        <v>119</v>
      </c>
      <c r="B209" s="153"/>
      <c r="C209" s="158"/>
      <c r="D209" s="151"/>
      <c r="E209" s="151"/>
      <c r="F209" s="151"/>
      <c r="G209" s="151" t="s">
        <v>1499</v>
      </c>
      <c r="H209" s="151">
        <v>2.4</v>
      </c>
      <c r="I209" s="153">
        <v>2.8</v>
      </c>
      <c r="J209" s="153"/>
      <c r="K209" s="153"/>
      <c r="L209" s="153"/>
      <c r="M209" s="153"/>
      <c r="N209" s="153"/>
      <c r="O209" s="153"/>
      <c r="P209" s="153"/>
    </row>
    <row r="210" spans="1:16">
      <c r="A210" s="143" t="s">
        <v>120</v>
      </c>
      <c r="B210" s="153"/>
      <c r="C210" s="158"/>
      <c r="D210" s="151"/>
      <c r="E210" s="151"/>
      <c r="F210" s="158"/>
      <c r="G210" s="158" t="s">
        <v>1499</v>
      </c>
      <c r="H210" s="158" t="s">
        <v>1499</v>
      </c>
      <c r="I210" s="153">
        <v>3.5</v>
      </c>
      <c r="J210" s="153"/>
      <c r="K210" s="153"/>
      <c r="L210" s="153"/>
      <c r="M210" s="153"/>
      <c r="N210" s="153"/>
      <c r="O210" s="153"/>
      <c r="P210" s="153"/>
    </row>
    <row r="211" spans="1:16">
      <c r="A211" s="157" t="s">
        <v>121</v>
      </c>
      <c r="B211" s="153"/>
      <c r="C211" s="158"/>
      <c r="D211" s="151"/>
      <c r="E211" s="151"/>
      <c r="F211" s="158"/>
      <c r="G211" s="158" t="s">
        <v>1499</v>
      </c>
      <c r="H211" s="151" t="s">
        <v>1499</v>
      </c>
      <c r="I211" s="153" t="s">
        <v>1499</v>
      </c>
      <c r="J211" s="153"/>
      <c r="K211" s="153"/>
      <c r="L211" s="153"/>
      <c r="M211" s="153"/>
      <c r="N211" s="153"/>
      <c r="O211" s="153"/>
      <c r="P211" s="153"/>
    </row>
    <row r="212" spans="1:16">
      <c r="A212" s="157" t="s">
        <v>353</v>
      </c>
      <c r="B212" s="153"/>
      <c r="C212" s="158"/>
      <c r="D212" s="151"/>
      <c r="E212" s="151"/>
      <c r="F212" s="158"/>
      <c r="G212" s="158"/>
      <c r="H212" s="158"/>
      <c r="I212" s="153"/>
      <c r="J212" s="153"/>
      <c r="K212" s="153"/>
      <c r="L212" s="153"/>
      <c r="M212" s="153"/>
      <c r="N212" s="153"/>
      <c r="O212" s="153"/>
      <c r="P212" s="153"/>
    </row>
    <row r="213" spans="1:16">
      <c r="A213" s="143" t="s">
        <v>354</v>
      </c>
      <c r="B213" s="153"/>
      <c r="C213" s="158"/>
      <c r="D213" s="151"/>
      <c r="E213" s="151"/>
      <c r="F213" s="151"/>
      <c r="G213" s="151"/>
      <c r="H213" s="151"/>
      <c r="I213" s="153"/>
      <c r="J213" s="153"/>
      <c r="K213" s="153"/>
      <c r="L213" s="153"/>
      <c r="M213" s="153"/>
      <c r="N213" s="153"/>
      <c r="O213" s="153"/>
      <c r="P213" s="153"/>
    </row>
    <row r="214" spans="1:16">
      <c r="A214" s="143" t="s">
        <v>355</v>
      </c>
      <c r="B214" s="153"/>
      <c r="C214" s="158"/>
      <c r="D214" s="151"/>
      <c r="E214" s="151"/>
      <c r="F214" s="158"/>
      <c r="G214" s="158"/>
      <c r="H214" s="158"/>
      <c r="I214" s="153"/>
      <c r="J214" s="153"/>
      <c r="K214" s="153"/>
      <c r="L214" s="153"/>
      <c r="M214" s="153"/>
      <c r="N214" s="153"/>
      <c r="O214" s="153"/>
      <c r="P214" s="153"/>
    </row>
    <row r="215" spans="1:16">
      <c r="A215" s="143" t="s">
        <v>875</v>
      </c>
      <c r="B215" s="153"/>
      <c r="C215" s="158"/>
      <c r="D215" s="151"/>
      <c r="E215" s="151"/>
      <c r="F215" s="158"/>
      <c r="G215" s="158"/>
      <c r="H215" s="158"/>
      <c r="I215" s="153"/>
      <c r="J215" s="153"/>
      <c r="K215" s="153"/>
      <c r="L215" s="153"/>
      <c r="M215" s="153"/>
      <c r="N215" s="153"/>
      <c r="O215" s="153"/>
      <c r="P215" s="153"/>
    </row>
    <row r="216" spans="1:16">
      <c r="A216" s="143"/>
      <c r="B216" s="151"/>
      <c r="C216" s="151"/>
      <c r="D216" s="151"/>
      <c r="E216" s="151"/>
      <c r="F216" s="151"/>
      <c r="G216" s="151"/>
      <c r="H216" s="158"/>
      <c r="I216" s="153"/>
      <c r="J216" s="153"/>
      <c r="K216" s="153"/>
      <c r="L216" s="153"/>
      <c r="M216" s="153"/>
      <c r="N216" s="153"/>
      <c r="O216" s="153"/>
      <c r="P216" s="153"/>
    </row>
    <row r="217" spans="1:16">
      <c r="A217" s="160" t="s">
        <v>1484</v>
      </c>
      <c r="B217" s="150">
        <v>888.9</v>
      </c>
      <c r="C217" s="150">
        <v>602.5</v>
      </c>
      <c r="D217" s="150">
        <v>241.6</v>
      </c>
      <c r="E217" s="150">
        <v>265.39999999999998</v>
      </c>
      <c r="F217" s="150">
        <v>255.2</v>
      </c>
      <c r="G217" s="150">
        <v>765.4</v>
      </c>
      <c r="H217" s="150">
        <v>1218.5</v>
      </c>
      <c r="I217" s="150">
        <v>584.20000000000005</v>
      </c>
      <c r="J217" s="150"/>
      <c r="K217" s="150"/>
      <c r="L217" s="150"/>
      <c r="M217" s="150"/>
      <c r="N217" s="150"/>
      <c r="O217" s="150"/>
      <c r="P217" s="150"/>
    </row>
    <row r="218" spans="1:16">
      <c r="A218" s="157" t="s">
        <v>1485</v>
      </c>
      <c r="B218" s="153">
        <v>99.7</v>
      </c>
      <c r="C218" s="151">
        <v>102.5</v>
      </c>
      <c r="D218" s="151">
        <v>106.3</v>
      </c>
      <c r="E218" s="151">
        <v>120.1</v>
      </c>
      <c r="F218" s="151">
        <v>118.8</v>
      </c>
      <c r="G218" s="151">
        <v>145.4</v>
      </c>
      <c r="H218" s="151">
        <v>138.80000000000001</v>
      </c>
      <c r="I218" s="153">
        <v>155.5</v>
      </c>
      <c r="J218" s="153"/>
      <c r="K218" s="153"/>
      <c r="L218" s="153"/>
      <c r="M218" s="153"/>
      <c r="N218" s="153"/>
      <c r="O218" s="153"/>
      <c r="P218" s="153"/>
    </row>
    <row r="219" spans="1:16">
      <c r="A219" s="157" t="s">
        <v>1186</v>
      </c>
      <c r="B219" s="153">
        <v>1.6</v>
      </c>
      <c r="C219" s="151">
        <v>6.2</v>
      </c>
      <c r="D219" s="151">
        <v>7.3</v>
      </c>
      <c r="E219" s="151">
        <v>8.5</v>
      </c>
      <c r="F219" s="151">
        <v>8.6999999999999993</v>
      </c>
      <c r="G219" s="151">
        <v>8.1</v>
      </c>
      <c r="H219" s="151">
        <v>8.6</v>
      </c>
      <c r="I219" s="153">
        <v>14.7</v>
      </c>
      <c r="J219" s="153"/>
      <c r="K219" s="153"/>
      <c r="L219" s="153"/>
      <c r="M219" s="153"/>
      <c r="N219" s="153"/>
      <c r="O219" s="153"/>
      <c r="P219" s="153"/>
    </row>
    <row r="220" spans="1:16">
      <c r="A220" s="157" t="s">
        <v>1187</v>
      </c>
      <c r="B220" s="153">
        <v>640.4</v>
      </c>
      <c r="C220" s="151">
        <v>308.2</v>
      </c>
      <c r="D220" s="151" t="s">
        <v>1499</v>
      </c>
      <c r="E220" s="151" t="s">
        <v>1499</v>
      </c>
      <c r="F220" s="151" t="s">
        <v>1499</v>
      </c>
      <c r="G220" s="151"/>
      <c r="H220" s="151"/>
      <c r="I220" s="153"/>
      <c r="J220" s="153"/>
      <c r="K220" s="153"/>
      <c r="L220" s="153"/>
      <c r="M220" s="153"/>
      <c r="N220" s="153"/>
      <c r="O220" s="153"/>
      <c r="P220" s="153"/>
    </row>
    <row r="221" spans="1:16">
      <c r="A221" s="157" t="s">
        <v>1188</v>
      </c>
      <c r="B221" s="153">
        <v>0.3</v>
      </c>
      <c r="C221" s="151">
        <v>0.4</v>
      </c>
      <c r="D221" s="151">
        <v>0.1</v>
      </c>
      <c r="E221" s="151" t="s">
        <v>1229</v>
      </c>
      <c r="F221" s="151" t="s">
        <v>1229</v>
      </c>
      <c r="G221" s="151"/>
      <c r="H221" s="151"/>
      <c r="I221" s="153"/>
      <c r="J221" s="153"/>
      <c r="K221" s="153"/>
      <c r="L221" s="153"/>
      <c r="M221" s="153"/>
      <c r="N221" s="153"/>
      <c r="O221" s="153"/>
      <c r="P221" s="153"/>
    </row>
    <row r="222" spans="1:16">
      <c r="A222" s="157" t="s">
        <v>1189</v>
      </c>
      <c r="B222" s="153">
        <v>3.1</v>
      </c>
      <c r="C222" s="151">
        <v>5.7</v>
      </c>
      <c r="D222" s="151">
        <v>8.1999999999999993</v>
      </c>
      <c r="E222" s="151">
        <v>11.5</v>
      </c>
      <c r="F222" s="151">
        <v>13.3</v>
      </c>
      <c r="G222" s="151" t="s">
        <v>1229</v>
      </c>
      <c r="H222" s="151" t="s">
        <v>1499</v>
      </c>
      <c r="I222" s="153" t="s">
        <v>1499</v>
      </c>
      <c r="J222" s="153"/>
      <c r="K222" s="153"/>
      <c r="L222" s="153"/>
      <c r="M222" s="153"/>
      <c r="N222" s="153"/>
      <c r="O222" s="153"/>
      <c r="P222" s="153"/>
    </row>
    <row r="223" spans="1:16">
      <c r="A223" s="157" t="s">
        <v>43</v>
      </c>
      <c r="B223" s="153">
        <v>5.9</v>
      </c>
      <c r="C223" s="151">
        <v>9.6999999999999993</v>
      </c>
      <c r="D223" s="151">
        <v>9</v>
      </c>
      <c r="E223" s="151">
        <v>7</v>
      </c>
      <c r="F223" s="151">
        <v>7.8</v>
      </c>
      <c r="G223" s="151">
        <v>10.8</v>
      </c>
      <c r="H223" s="151">
        <v>7.9</v>
      </c>
      <c r="I223" s="153" t="s">
        <v>1499</v>
      </c>
      <c r="J223" s="153"/>
      <c r="K223" s="153"/>
      <c r="L223" s="153"/>
      <c r="M223" s="153"/>
      <c r="N223" s="153"/>
      <c r="O223" s="153"/>
      <c r="P223" s="153"/>
    </row>
    <row r="224" spans="1:16">
      <c r="A224" s="157" t="s">
        <v>44</v>
      </c>
      <c r="B224" s="153">
        <v>28</v>
      </c>
      <c r="C224" s="151">
        <v>38.1</v>
      </c>
      <c r="D224" s="151">
        <v>50.6</v>
      </c>
      <c r="E224" s="151">
        <v>61.2</v>
      </c>
      <c r="F224" s="151">
        <v>63.9</v>
      </c>
      <c r="G224" s="151">
        <v>71</v>
      </c>
      <c r="H224" s="151">
        <v>69.7</v>
      </c>
      <c r="I224" s="153" t="s">
        <v>1499</v>
      </c>
      <c r="J224" s="153"/>
      <c r="K224" s="153"/>
      <c r="L224" s="153"/>
      <c r="M224" s="153"/>
      <c r="N224" s="153"/>
      <c r="O224" s="153"/>
      <c r="P224" s="153"/>
    </row>
    <row r="225" spans="1:16">
      <c r="A225" s="157" t="s">
        <v>45</v>
      </c>
      <c r="B225" s="153">
        <v>52.8</v>
      </c>
      <c r="C225" s="151">
        <v>54.1</v>
      </c>
      <c r="D225" s="151" t="s">
        <v>1499</v>
      </c>
      <c r="E225" s="151" t="s">
        <v>1499</v>
      </c>
      <c r="F225" s="151" t="s">
        <v>1499</v>
      </c>
      <c r="G225" s="151"/>
      <c r="H225" s="151"/>
      <c r="I225" s="153"/>
      <c r="J225" s="153"/>
      <c r="K225" s="153"/>
      <c r="L225" s="153"/>
      <c r="M225" s="153"/>
      <c r="N225" s="153"/>
      <c r="O225" s="153"/>
      <c r="P225" s="153"/>
    </row>
    <row r="226" spans="1:16">
      <c r="A226" s="157" t="s">
        <v>46</v>
      </c>
      <c r="B226" s="153">
        <v>14.2</v>
      </c>
      <c r="C226" s="151">
        <v>20</v>
      </c>
      <c r="D226" s="151">
        <v>17.399999999999999</v>
      </c>
      <c r="E226" s="151">
        <v>0.3</v>
      </c>
      <c r="F226" s="151">
        <v>0.3</v>
      </c>
      <c r="G226" s="151" t="s">
        <v>1229</v>
      </c>
      <c r="H226" s="151">
        <v>0.3</v>
      </c>
      <c r="I226" s="153">
        <v>0.1</v>
      </c>
      <c r="J226" s="153"/>
      <c r="K226" s="153"/>
      <c r="L226" s="153"/>
      <c r="M226" s="153"/>
      <c r="N226" s="153"/>
      <c r="O226" s="153"/>
      <c r="P226" s="153"/>
    </row>
    <row r="227" spans="1:16">
      <c r="A227" s="157" t="s">
        <v>47</v>
      </c>
      <c r="B227" s="153">
        <v>6</v>
      </c>
      <c r="C227" s="151">
        <v>6.8</v>
      </c>
      <c r="D227" s="151">
        <v>7.8</v>
      </c>
      <c r="E227" s="151">
        <v>6.7</v>
      </c>
      <c r="F227" s="151" t="s">
        <v>1499</v>
      </c>
      <c r="G227" s="151"/>
      <c r="H227" s="151"/>
      <c r="I227" s="153"/>
      <c r="J227" s="153"/>
      <c r="K227" s="153"/>
      <c r="L227" s="153"/>
      <c r="M227" s="153"/>
      <c r="N227" s="153"/>
      <c r="O227" s="153"/>
      <c r="P227" s="153"/>
    </row>
    <row r="228" spans="1:16">
      <c r="A228" s="157" t="s">
        <v>48</v>
      </c>
      <c r="B228" s="153">
        <v>1.2</v>
      </c>
      <c r="C228" s="151">
        <v>1.8</v>
      </c>
      <c r="D228" s="151">
        <v>1.5</v>
      </c>
      <c r="E228" s="151">
        <v>1.7</v>
      </c>
      <c r="F228" s="151">
        <v>2.7</v>
      </c>
      <c r="G228" s="151"/>
      <c r="H228" s="151"/>
      <c r="I228" s="153"/>
      <c r="J228" s="153"/>
      <c r="K228" s="153"/>
      <c r="L228" s="153"/>
      <c r="M228" s="153"/>
      <c r="N228" s="153"/>
      <c r="O228" s="153"/>
      <c r="P228" s="153"/>
    </row>
    <row r="229" spans="1:16">
      <c r="A229" s="157" t="s">
        <v>49</v>
      </c>
      <c r="B229" s="153">
        <v>12.9</v>
      </c>
      <c r="C229" s="151">
        <v>12.2</v>
      </c>
      <c r="D229" s="151" t="s">
        <v>1229</v>
      </c>
      <c r="E229" s="151" t="s">
        <v>1229</v>
      </c>
      <c r="F229" s="151" t="s">
        <v>1229</v>
      </c>
      <c r="G229" s="151"/>
      <c r="H229" s="151"/>
      <c r="I229" s="153"/>
      <c r="J229" s="153"/>
      <c r="K229" s="153"/>
      <c r="L229" s="153"/>
      <c r="M229" s="153"/>
      <c r="N229" s="153"/>
      <c r="O229" s="153"/>
      <c r="P229" s="153"/>
    </row>
    <row r="230" spans="1:16">
      <c r="A230" s="157" t="s">
        <v>1486</v>
      </c>
      <c r="B230" s="153">
        <v>22.8</v>
      </c>
      <c r="C230" s="158">
        <v>36.799999999999997</v>
      </c>
      <c r="D230" s="151">
        <v>33.4</v>
      </c>
      <c r="E230" s="151">
        <v>48.4</v>
      </c>
      <c r="F230" s="158">
        <v>39.700000000000003</v>
      </c>
      <c r="G230" s="158">
        <v>48.5</v>
      </c>
      <c r="H230" s="158">
        <v>52.7</v>
      </c>
      <c r="I230" s="153">
        <v>70.5</v>
      </c>
      <c r="J230" s="153"/>
      <c r="K230" s="153"/>
      <c r="L230" s="153"/>
      <c r="M230" s="153"/>
      <c r="N230" s="153"/>
      <c r="O230" s="153"/>
      <c r="P230" s="153"/>
    </row>
    <row r="231" spans="1:16">
      <c r="A231" s="143" t="s">
        <v>1487</v>
      </c>
      <c r="B231" s="153" t="s">
        <v>1229</v>
      </c>
      <c r="C231" s="158" t="s">
        <v>1229</v>
      </c>
      <c r="D231" s="151" t="s">
        <v>1229</v>
      </c>
      <c r="E231" s="151" t="s">
        <v>1229</v>
      </c>
      <c r="F231" s="158" t="s">
        <v>1229</v>
      </c>
      <c r="G231" s="158">
        <v>481.6</v>
      </c>
      <c r="H231" s="158">
        <v>940.5</v>
      </c>
      <c r="I231" s="153">
        <v>343.4</v>
      </c>
      <c r="J231" s="153"/>
      <c r="K231" s="153"/>
      <c r="L231" s="153"/>
      <c r="M231" s="153"/>
      <c r="N231" s="153"/>
      <c r="O231" s="153"/>
      <c r="P231" s="153"/>
    </row>
    <row r="232" spans="1:16">
      <c r="A232" s="143" t="s">
        <v>1488</v>
      </c>
      <c r="B232" s="153"/>
      <c r="C232" s="158"/>
      <c r="D232" s="151"/>
      <c r="E232" s="151"/>
      <c r="F232" s="151"/>
      <c r="G232" s="151" t="s">
        <v>1499</v>
      </c>
      <c r="H232" s="151" t="s">
        <v>1499</v>
      </c>
      <c r="I232" s="153" t="s">
        <v>1499</v>
      </c>
      <c r="J232" s="153"/>
      <c r="K232" s="153"/>
      <c r="L232" s="153"/>
      <c r="M232" s="153"/>
      <c r="N232" s="153"/>
      <c r="O232" s="153"/>
      <c r="P232" s="153"/>
    </row>
    <row r="233" spans="1:16">
      <c r="A233" s="143" t="s">
        <v>1489</v>
      </c>
      <c r="B233" s="153"/>
      <c r="C233" s="158"/>
      <c r="D233" s="151"/>
      <c r="E233" s="151"/>
      <c r="F233" s="158"/>
      <c r="G233" s="158"/>
      <c r="H233" s="158"/>
      <c r="I233" s="153"/>
      <c r="J233" s="153"/>
      <c r="K233" s="153"/>
      <c r="L233" s="153"/>
      <c r="M233" s="153"/>
      <c r="N233" s="153"/>
      <c r="O233" s="153"/>
      <c r="P233" s="153"/>
    </row>
    <row r="234" spans="1:16">
      <c r="A234" s="143"/>
      <c r="B234" s="151"/>
      <c r="C234" s="151"/>
      <c r="D234" s="151"/>
      <c r="E234" s="151"/>
      <c r="F234" s="151"/>
      <c r="G234" s="151"/>
      <c r="H234" s="158"/>
      <c r="I234" s="153"/>
      <c r="J234" s="153"/>
      <c r="K234" s="153"/>
      <c r="L234" s="153"/>
      <c r="M234" s="153"/>
      <c r="N234" s="153"/>
      <c r="O234" s="153"/>
      <c r="P234" s="153"/>
    </row>
    <row r="235" spans="1:16">
      <c r="A235" s="160" t="s">
        <v>1490</v>
      </c>
      <c r="B235" s="150">
        <v>210.3</v>
      </c>
      <c r="C235" s="150">
        <v>287.10000000000002</v>
      </c>
      <c r="D235" s="150">
        <v>345.2</v>
      </c>
      <c r="E235" s="150">
        <v>423.7</v>
      </c>
      <c r="F235" s="150">
        <v>427.2</v>
      </c>
      <c r="G235" s="150">
        <v>469.9</v>
      </c>
      <c r="H235" s="150">
        <v>463.5</v>
      </c>
      <c r="I235" s="150">
        <v>511.8</v>
      </c>
      <c r="J235" s="150"/>
      <c r="K235" s="150"/>
      <c r="L235" s="150"/>
      <c r="M235" s="150"/>
      <c r="N235" s="150"/>
      <c r="O235" s="150"/>
      <c r="P235" s="150"/>
    </row>
    <row r="236" spans="1:16">
      <c r="A236" s="143" t="s">
        <v>1491</v>
      </c>
      <c r="B236" s="153">
        <v>97.1</v>
      </c>
      <c r="C236" s="158">
        <v>148.69999999999999</v>
      </c>
      <c r="D236" s="151">
        <v>171</v>
      </c>
      <c r="E236" s="151">
        <v>245.7</v>
      </c>
      <c r="F236" s="158">
        <v>250.6</v>
      </c>
      <c r="G236" s="158">
        <v>278.10000000000002</v>
      </c>
      <c r="H236" s="158">
        <v>260.10000000000002</v>
      </c>
      <c r="I236" s="153">
        <v>286.2</v>
      </c>
      <c r="J236" s="153"/>
      <c r="K236" s="153"/>
      <c r="L236" s="153"/>
      <c r="M236" s="153"/>
      <c r="N236" s="153"/>
      <c r="O236" s="153"/>
      <c r="P236" s="153"/>
    </row>
    <row r="237" spans="1:16">
      <c r="A237" s="143" t="s">
        <v>842</v>
      </c>
      <c r="B237" s="153">
        <v>113.2</v>
      </c>
      <c r="C237" s="158">
        <v>138.4</v>
      </c>
      <c r="D237" s="151">
        <v>174.2</v>
      </c>
      <c r="E237" s="151">
        <v>178</v>
      </c>
      <c r="F237" s="158">
        <v>176.5</v>
      </c>
      <c r="G237" s="158">
        <v>191.6</v>
      </c>
      <c r="H237" s="158">
        <v>203.3</v>
      </c>
      <c r="I237" s="153">
        <v>225.5</v>
      </c>
      <c r="J237" s="153"/>
      <c r="K237" s="153"/>
      <c r="L237" s="153"/>
      <c r="M237" s="153"/>
      <c r="N237" s="153"/>
      <c r="O237" s="153"/>
      <c r="P237" s="153"/>
    </row>
    <row r="238" spans="1:16">
      <c r="A238" s="143" t="s">
        <v>843</v>
      </c>
      <c r="B238" s="153" t="s">
        <v>1499</v>
      </c>
      <c r="C238" s="158" t="s">
        <v>1499</v>
      </c>
      <c r="D238" s="151" t="s">
        <v>1499</v>
      </c>
      <c r="E238" s="151">
        <v>0</v>
      </c>
      <c r="F238" s="158">
        <v>0.1</v>
      </c>
      <c r="G238" s="158">
        <v>0.2</v>
      </c>
      <c r="H238" s="158">
        <v>0.1</v>
      </c>
      <c r="I238" s="153">
        <v>0.1</v>
      </c>
      <c r="J238" s="153"/>
      <c r="K238" s="153"/>
      <c r="L238" s="153"/>
      <c r="M238" s="153"/>
      <c r="N238" s="153"/>
      <c r="O238" s="153"/>
      <c r="P238" s="153"/>
    </row>
    <row r="239" spans="1:16">
      <c r="A239" s="143" t="s">
        <v>844</v>
      </c>
      <c r="B239" s="153"/>
      <c r="C239" s="158"/>
      <c r="D239" s="151"/>
      <c r="E239" s="151"/>
      <c r="F239" s="158"/>
      <c r="G239" s="158"/>
      <c r="H239" s="158"/>
      <c r="I239" s="153"/>
      <c r="J239" s="153"/>
      <c r="K239" s="153"/>
      <c r="L239" s="153"/>
      <c r="M239" s="153"/>
      <c r="N239" s="153"/>
      <c r="O239" s="153"/>
      <c r="P239" s="153"/>
    </row>
    <row r="240" spans="1:16">
      <c r="A240" s="143"/>
      <c r="B240" s="151"/>
      <c r="C240" s="151"/>
      <c r="D240" s="151"/>
      <c r="E240" s="151"/>
      <c r="F240" s="151"/>
      <c r="G240" s="151"/>
      <c r="H240" s="158"/>
      <c r="I240" s="153"/>
      <c r="J240" s="153"/>
      <c r="K240" s="153"/>
      <c r="L240" s="153"/>
      <c r="M240" s="153"/>
      <c r="N240" s="153"/>
      <c r="O240" s="153"/>
      <c r="P240" s="153"/>
    </row>
    <row r="241" spans="1:16">
      <c r="A241" s="161" t="s">
        <v>847</v>
      </c>
      <c r="B241" s="150">
        <v>1921.8</v>
      </c>
      <c r="C241" s="150">
        <v>1079.9000000000001</v>
      </c>
      <c r="D241" s="150">
        <v>2169.9</v>
      </c>
      <c r="E241" s="150">
        <v>500.1</v>
      </c>
      <c r="F241" s="150">
        <v>1056</v>
      </c>
      <c r="G241" s="150">
        <v>590.1</v>
      </c>
      <c r="H241" s="150">
        <v>360.9</v>
      </c>
      <c r="I241" s="150">
        <v>580.29999999999995</v>
      </c>
      <c r="J241" s="150"/>
      <c r="K241" s="150"/>
      <c r="L241" s="150"/>
      <c r="M241" s="150"/>
      <c r="N241" s="150"/>
      <c r="O241" s="150"/>
      <c r="P241" s="150"/>
    </row>
    <row r="242" spans="1:16">
      <c r="A242" s="157" t="s">
        <v>848</v>
      </c>
      <c r="B242" s="153">
        <v>1921.8</v>
      </c>
      <c r="C242" s="158">
        <v>1079.9000000000001</v>
      </c>
      <c r="D242" s="151">
        <v>2169.9</v>
      </c>
      <c r="E242" s="151">
        <v>500.1</v>
      </c>
      <c r="F242" s="158">
        <v>1056</v>
      </c>
      <c r="G242" s="158">
        <v>590.1</v>
      </c>
      <c r="H242" s="158">
        <v>360.9</v>
      </c>
      <c r="I242" s="153">
        <v>580.29999999999995</v>
      </c>
      <c r="J242" s="153"/>
      <c r="K242" s="153"/>
      <c r="L242" s="153"/>
      <c r="M242" s="153"/>
      <c r="N242" s="153"/>
      <c r="O242" s="153"/>
      <c r="P242" s="153"/>
    </row>
    <row r="243" spans="1:16">
      <c r="A243" s="143"/>
      <c r="B243" s="151"/>
      <c r="C243" s="151"/>
      <c r="D243" s="151"/>
      <c r="E243" s="151"/>
      <c r="F243" s="151"/>
      <c r="G243" s="151"/>
      <c r="H243" s="158"/>
      <c r="I243" s="153"/>
      <c r="J243" s="153"/>
      <c r="K243" s="153"/>
      <c r="L243" s="153"/>
      <c r="M243" s="153"/>
      <c r="N243" s="153"/>
      <c r="O243" s="153"/>
      <c r="P243" s="153"/>
    </row>
    <row r="244" spans="1:16">
      <c r="A244" s="160" t="s">
        <v>850</v>
      </c>
      <c r="B244" s="150">
        <v>76.7</v>
      </c>
      <c r="C244" s="150">
        <v>49.1</v>
      </c>
      <c r="D244" s="150">
        <v>189.9</v>
      </c>
      <c r="E244" s="150">
        <v>52.5</v>
      </c>
      <c r="F244" s="150">
        <v>1549.6</v>
      </c>
      <c r="G244" s="150">
        <v>287.7</v>
      </c>
      <c r="H244" s="150">
        <v>1244.4000000000001</v>
      </c>
      <c r="I244" s="150">
        <v>81.5</v>
      </c>
      <c r="J244" s="150"/>
      <c r="K244" s="150"/>
      <c r="L244" s="150"/>
      <c r="M244" s="150"/>
      <c r="N244" s="150"/>
      <c r="O244" s="150"/>
      <c r="P244" s="150"/>
    </row>
    <row r="245" spans="1:16">
      <c r="A245" s="160"/>
      <c r="B245" s="151"/>
      <c r="C245" s="151"/>
      <c r="D245" s="151"/>
      <c r="E245" s="151"/>
      <c r="F245" s="151"/>
      <c r="G245" s="151"/>
      <c r="H245" s="158"/>
      <c r="I245" s="153"/>
      <c r="J245" s="153"/>
      <c r="K245" s="153"/>
      <c r="L245" s="153"/>
      <c r="M245" s="153"/>
      <c r="N245" s="153"/>
      <c r="O245" s="153"/>
      <c r="P245" s="153"/>
    </row>
    <row r="246" spans="1:16">
      <c r="A246" s="161" t="s">
        <v>851</v>
      </c>
      <c r="B246" s="144">
        <v>63.1</v>
      </c>
      <c r="C246" s="144">
        <v>29.8</v>
      </c>
      <c r="D246" s="144">
        <v>184</v>
      </c>
      <c r="E246" s="144">
        <v>28</v>
      </c>
      <c r="F246" s="144">
        <v>34.9</v>
      </c>
      <c r="G246" s="144">
        <v>46.7</v>
      </c>
      <c r="H246" s="144">
        <v>327.5</v>
      </c>
      <c r="I246" s="144">
        <v>56.9</v>
      </c>
      <c r="J246" s="150"/>
      <c r="K246" s="150"/>
      <c r="L246" s="150"/>
      <c r="M246" s="150"/>
      <c r="N246" s="150"/>
      <c r="O246" s="150"/>
      <c r="P246" s="150"/>
    </row>
    <row r="247" spans="1:16">
      <c r="A247" s="157" t="s">
        <v>991</v>
      </c>
      <c r="B247" s="151" t="s">
        <v>1229</v>
      </c>
      <c r="C247" s="153">
        <v>1.5</v>
      </c>
      <c r="D247" s="153">
        <v>-1.3</v>
      </c>
      <c r="E247" s="153">
        <v>0.3</v>
      </c>
      <c r="F247" s="153">
        <v>0.3</v>
      </c>
      <c r="G247" s="153"/>
      <c r="H247" s="150"/>
      <c r="I247" s="153"/>
      <c r="J247" s="150"/>
      <c r="K247" s="150"/>
      <c r="L247" s="150"/>
      <c r="M247" s="150"/>
      <c r="N247" s="150"/>
      <c r="O247" s="150"/>
      <c r="P247" s="150"/>
    </row>
    <row r="248" spans="1:16">
      <c r="A248" s="157" t="s">
        <v>992</v>
      </c>
      <c r="B248" s="151" t="s">
        <v>1229</v>
      </c>
      <c r="C248" s="153">
        <v>3.2</v>
      </c>
      <c r="D248" s="153">
        <v>9.3000000000000007</v>
      </c>
      <c r="E248" s="153">
        <v>7.7</v>
      </c>
      <c r="F248" s="153" t="s">
        <v>1229</v>
      </c>
      <c r="G248" s="150"/>
      <c r="H248" s="150"/>
      <c r="I248" s="153"/>
      <c r="J248" s="150"/>
      <c r="K248" s="150"/>
      <c r="L248" s="150"/>
      <c r="M248" s="150"/>
      <c r="N248" s="150"/>
      <c r="O248" s="150"/>
      <c r="P248" s="150"/>
    </row>
    <row r="249" spans="1:16">
      <c r="A249" s="157" t="s">
        <v>993</v>
      </c>
      <c r="B249" s="151">
        <v>18.899999999999999</v>
      </c>
      <c r="C249" s="153" t="s">
        <v>1229</v>
      </c>
      <c r="D249" s="153">
        <v>132.80000000000001</v>
      </c>
      <c r="E249" s="153">
        <v>-46.4</v>
      </c>
      <c r="F249" s="153">
        <v>1.2</v>
      </c>
      <c r="G249" s="153">
        <v>13.5</v>
      </c>
      <c r="H249" s="153">
        <v>14.9</v>
      </c>
      <c r="I249" s="153">
        <v>12.7</v>
      </c>
      <c r="J249" s="153"/>
      <c r="K249" s="153"/>
      <c r="L249" s="153"/>
      <c r="M249" s="153"/>
      <c r="N249" s="153"/>
      <c r="O249" s="153"/>
      <c r="P249" s="153"/>
    </row>
    <row r="250" spans="1:16">
      <c r="A250" s="157" t="s">
        <v>994</v>
      </c>
      <c r="B250" s="151" t="s">
        <v>1229</v>
      </c>
      <c r="C250" s="153" t="s">
        <v>1229</v>
      </c>
      <c r="D250" s="153" t="s">
        <v>1229</v>
      </c>
      <c r="E250" s="153">
        <v>1.8</v>
      </c>
      <c r="F250" s="153" t="s">
        <v>1229</v>
      </c>
      <c r="G250" s="150"/>
      <c r="H250" s="150"/>
      <c r="I250" s="153"/>
      <c r="J250" s="153"/>
      <c r="K250" s="153"/>
      <c r="L250" s="153"/>
      <c r="M250" s="153"/>
      <c r="N250" s="153"/>
      <c r="O250" s="153"/>
      <c r="P250" s="153"/>
    </row>
    <row r="251" spans="1:16">
      <c r="A251" s="157" t="s">
        <v>995</v>
      </c>
      <c r="B251" s="151" t="s">
        <v>1229</v>
      </c>
      <c r="C251" s="153" t="s">
        <v>1229</v>
      </c>
      <c r="D251" s="153" t="s">
        <v>1229</v>
      </c>
      <c r="E251" s="153">
        <v>5.6</v>
      </c>
      <c r="F251" s="153">
        <v>2</v>
      </c>
      <c r="G251" s="153">
        <v>2</v>
      </c>
      <c r="H251" s="153">
        <v>5.6</v>
      </c>
      <c r="I251" s="153">
        <v>4.8</v>
      </c>
      <c r="J251" s="153"/>
      <c r="K251" s="153"/>
      <c r="L251" s="153"/>
      <c r="M251" s="153"/>
      <c r="N251" s="153"/>
      <c r="O251" s="153"/>
      <c r="P251" s="153"/>
    </row>
    <row r="252" spans="1:16">
      <c r="A252" s="157" t="s">
        <v>996</v>
      </c>
      <c r="B252" s="151">
        <v>42.8</v>
      </c>
      <c r="C252" s="153">
        <v>17.8</v>
      </c>
      <c r="D252" s="153">
        <v>29</v>
      </c>
      <c r="E252" s="153">
        <v>44.9</v>
      </c>
      <c r="F252" s="153">
        <v>19.600000000000001</v>
      </c>
      <c r="G252" s="153">
        <v>21.8</v>
      </c>
      <c r="H252" s="153">
        <v>292.2</v>
      </c>
      <c r="I252" s="153">
        <v>33.200000000000003</v>
      </c>
      <c r="J252" s="153"/>
      <c r="K252" s="153"/>
      <c r="L252" s="153"/>
      <c r="M252" s="153"/>
      <c r="N252" s="153"/>
      <c r="O252" s="153"/>
      <c r="P252" s="153"/>
    </row>
    <row r="253" spans="1:16">
      <c r="A253" s="157" t="s">
        <v>997</v>
      </c>
      <c r="B253" s="151" t="s">
        <v>1229</v>
      </c>
      <c r="C253" s="153" t="s">
        <v>1229</v>
      </c>
      <c r="D253" s="153" t="s">
        <v>1229</v>
      </c>
      <c r="E253" s="153" t="s">
        <v>1229</v>
      </c>
      <c r="F253" s="153" t="s">
        <v>1229</v>
      </c>
      <c r="G253" s="150"/>
      <c r="H253" s="150"/>
      <c r="I253" s="153"/>
      <c r="J253" s="150"/>
      <c r="K253" s="150"/>
      <c r="L253" s="150"/>
      <c r="M253" s="150"/>
      <c r="N253" s="150"/>
      <c r="O253" s="150"/>
      <c r="P253" s="150"/>
    </row>
    <row r="254" spans="1:16">
      <c r="A254" s="157" t="s">
        <v>1064</v>
      </c>
      <c r="B254" s="151">
        <v>0.1</v>
      </c>
      <c r="C254" s="153">
        <v>0.1</v>
      </c>
      <c r="D254" s="153">
        <v>0.1</v>
      </c>
      <c r="E254" s="153">
        <v>0.3</v>
      </c>
      <c r="F254" s="153">
        <v>0.1</v>
      </c>
      <c r="G254" s="153">
        <v>0.4</v>
      </c>
      <c r="H254" s="153">
        <v>0.4</v>
      </c>
      <c r="I254" s="153">
        <v>0.3</v>
      </c>
      <c r="J254" s="153"/>
      <c r="K254" s="153"/>
      <c r="L254" s="153"/>
      <c r="M254" s="153"/>
      <c r="N254" s="153"/>
      <c r="O254" s="153"/>
      <c r="P254" s="153"/>
    </row>
    <row r="255" spans="1:16">
      <c r="A255" s="157" t="s">
        <v>1065</v>
      </c>
      <c r="B255" s="151">
        <v>0.7</v>
      </c>
      <c r="C255" s="153">
        <v>5.4</v>
      </c>
      <c r="D255" s="153">
        <v>3.5</v>
      </c>
      <c r="E255" s="153">
        <v>4.8</v>
      </c>
      <c r="F255" s="153">
        <v>4.4000000000000004</v>
      </c>
      <c r="G255" s="153" t="s">
        <v>1229</v>
      </c>
      <c r="H255" s="153">
        <v>3</v>
      </c>
      <c r="I255" s="153">
        <v>3.1</v>
      </c>
      <c r="J255" s="153"/>
      <c r="K255" s="153"/>
      <c r="L255" s="153"/>
      <c r="M255" s="153"/>
      <c r="N255" s="153"/>
      <c r="O255" s="153"/>
      <c r="P255" s="153"/>
    </row>
    <row r="256" spans="1:16">
      <c r="A256" s="157" t="s">
        <v>1066</v>
      </c>
      <c r="B256" s="151">
        <v>0.3</v>
      </c>
      <c r="C256" s="153">
        <v>1.7</v>
      </c>
      <c r="D256" s="153">
        <v>8</v>
      </c>
      <c r="E256" s="153">
        <v>0.7</v>
      </c>
      <c r="F256" s="153">
        <v>2.6</v>
      </c>
      <c r="G256" s="153">
        <v>0.4</v>
      </c>
      <c r="H256" s="153">
        <v>0.1</v>
      </c>
      <c r="I256" s="153" t="s">
        <v>1229</v>
      </c>
      <c r="J256" s="153"/>
      <c r="K256" s="153"/>
      <c r="L256" s="153"/>
      <c r="M256" s="153"/>
      <c r="N256" s="153"/>
      <c r="O256" s="153"/>
      <c r="P256" s="153"/>
    </row>
    <row r="257" spans="1:16">
      <c r="A257" s="157" t="s">
        <v>852</v>
      </c>
      <c r="B257" s="151">
        <v>0.3</v>
      </c>
      <c r="C257" s="151">
        <v>0.1</v>
      </c>
      <c r="D257" s="151">
        <v>0.2</v>
      </c>
      <c r="E257" s="151">
        <v>1.2</v>
      </c>
      <c r="F257" s="151">
        <v>0.8</v>
      </c>
      <c r="G257" s="151">
        <v>0.5</v>
      </c>
      <c r="H257" s="151">
        <v>0</v>
      </c>
      <c r="I257" s="153" t="s">
        <v>1229</v>
      </c>
      <c r="J257" s="153"/>
      <c r="K257" s="153"/>
      <c r="L257" s="153"/>
      <c r="M257" s="153"/>
      <c r="N257" s="153"/>
      <c r="O257" s="153"/>
      <c r="P257" s="153"/>
    </row>
    <row r="258" spans="1:16">
      <c r="A258" s="142" t="s">
        <v>853</v>
      </c>
      <c r="B258" s="151" t="s">
        <v>1229</v>
      </c>
      <c r="C258" s="158" t="s">
        <v>1229</v>
      </c>
      <c r="D258" s="151">
        <v>2.4</v>
      </c>
      <c r="E258" s="151">
        <v>6.8</v>
      </c>
      <c r="F258" s="151">
        <v>2.7</v>
      </c>
      <c r="G258" s="151">
        <v>8</v>
      </c>
      <c r="H258" s="151">
        <v>11.1</v>
      </c>
      <c r="I258" s="153">
        <v>2.8</v>
      </c>
      <c r="J258" s="153"/>
      <c r="K258" s="153"/>
      <c r="L258" s="153"/>
      <c r="M258" s="153"/>
      <c r="N258" s="153"/>
      <c r="O258" s="153"/>
      <c r="P258" s="153"/>
    </row>
    <row r="259" spans="1:16">
      <c r="A259" s="143" t="s">
        <v>1067</v>
      </c>
      <c r="B259" s="151" t="s">
        <v>1229</v>
      </c>
      <c r="C259" s="158" t="s">
        <v>1229</v>
      </c>
      <c r="D259" s="151">
        <v>0</v>
      </c>
      <c r="E259" s="151">
        <v>0.3</v>
      </c>
      <c r="F259" s="151">
        <v>1.2</v>
      </c>
      <c r="G259" s="151">
        <v>0.1</v>
      </c>
      <c r="H259" s="151">
        <v>0.2</v>
      </c>
      <c r="I259" s="153" t="s">
        <v>1229</v>
      </c>
      <c r="J259" s="153"/>
      <c r="K259" s="153"/>
      <c r="L259" s="153"/>
      <c r="M259" s="153"/>
      <c r="N259" s="153"/>
      <c r="O259" s="153"/>
      <c r="P259" s="153"/>
    </row>
    <row r="260" spans="1:16">
      <c r="A260" s="155"/>
      <c r="B260" s="151"/>
      <c r="C260" s="151"/>
      <c r="D260" s="151"/>
      <c r="E260" s="151"/>
      <c r="F260" s="151"/>
      <c r="G260" s="151"/>
      <c r="H260" s="158"/>
      <c r="I260" s="150"/>
      <c r="J260" s="150"/>
      <c r="K260" s="150"/>
      <c r="L260" s="153"/>
      <c r="M260" s="153"/>
      <c r="N260" s="153"/>
      <c r="O260" s="153"/>
      <c r="P260" s="153"/>
    </row>
    <row r="261" spans="1:16">
      <c r="A261" s="160" t="s">
        <v>854</v>
      </c>
      <c r="B261" s="150">
        <v>0</v>
      </c>
      <c r="C261" s="150">
        <v>4.3</v>
      </c>
      <c r="D261" s="150">
        <v>1.2</v>
      </c>
      <c r="E261" s="150">
        <v>4.0999999999999996</v>
      </c>
      <c r="F261" s="150">
        <v>1.8</v>
      </c>
      <c r="G261" s="150">
        <v>2.9</v>
      </c>
      <c r="H261" s="150">
        <v>6.6</v>
      </c>
      <c r="I261" s="150">
        <v>3.8</v>
      </c>
      <c r="J261" s="150"/>
      <c r="K261" s="150"/>
      <c r="L261" s="150"/>
      <c r="M261" s="150"/>
      <c r="N261" s="150"/>
      <c r="O261" s="150"/>
      <c r="P261" s="150"/>
    </row>
    <row r="262" spans="1:16">
      <c r="A262" s="143" t="s">
        <v>855</v>
      </c>
      <c r="B262" s="151">
        <v>0</v>
      </c>
      <c r="C262" s="151">
        <v>4.3</v>
      </c>
      <c r="D262" s="151">
        <v>1.2</v>
      </c>
      <c r="E262" s="151">
        <v>4.0999999999999996</v>
      </c>
      <c r="F262" s="151">
        <v>1.8</v>
      </c>
      <c r="G262" s="151">
        <v>2.9</v>
      </c>
      <c r="H262" s="151">
        <v>6.6</v>
      </c>
      <c r="I262" s="153">
        <v>3.8</v>
      </c>
      <c r="J262" s="153"/>
      <c r="K262" s="153"/>
      <c r="L262" s="153"/>
      <c r="M262" s="153"/>
      <c r="N262" s="153"/>
      <c r="O262" s="153"/>
      <c r="P262" s="153"/>
    </row>
    <row r="263" spans="1:16">
      <c r="A263" s="143"/>
      <c r="B263" s="151"/>
      <c r="C263" s="151"/>
      <c r="D263" s="151"/>
      <c r="E263" s="151"/>
      <c r="F263" s="151"/>
      <c r="G263" s="151"/>
      <c r="H263" s="158"/>
      <c r="I263" s="153"/>
      <c r="J263" s="153"/>
      <c r="K263" s="153"/>
      <c r="L263" s="153"/>
      <c r="M263" s="153"/>
      <c r="N263" s="153"/>
      <c r="O263" s="153"/>
      <c r="P263" s="153"/>
    </row>
    <row r="264" spans="1:16">
      <c r="A264" s="160" t="s">
        <v>570</v>
      </c>
      <c r="B264" s="150">
        <v>13.6</v>
      </c>
      <c r="C264" s="150">
        <v>15</v>
      </c>
      <c r="D264" s="150">
        <v>4.7</v>
      </c>
      <c r="E264" s="150">
        <v>20.399999999999999</v>
      </c>
      <c r="F264" s="150">
        <v>1512.9</v>
      </c>
      <c r="G264" s="150">
        <v>238.1</v>
      </c>
      <c r="H264" s="150">
        <v>910.3</v>
      </c>
      <c r="I264" s="150">
        <v>20.8</v>
      </c>
      <c r="J264" s="150"/>
      <c r="K264" s="150"/>
      <c r="L264" s="150"/>
      <c r="M264" s="150"/>
      <c r="N264" s="150"/>
      <c r="O264" s="150"/>
      <c r="P264" s="150"/>
    </row>
    <row r="265" spans="1:16">
      <c r="A265" s="143" t="s">
        <v>1019</v>
      </c>
      <c r="B265" s="153">
        <v>13.6</v>
      </c>
      <c r="C265" s="158">
        <v>15</v>
      </c>
      <c r="D265" s="151">
        <v>4.7</v>
      </c>
      <c r="E265" s="151">
        <v>20.399999999999999</v>
      </c>
      <c r="F265" s="151">
        <v>26.9</v>
      </c>
      <c r="G265" s="151">
        <v>30.9</v>
      </c>
      <c r="H265" s="151">
        <v>20.7</v>
      </c>
      <c r="I265" s="153">
        <v>20.8</v>
      </c>
      <c r="J265" s="153"/>
      <c r="K265" s="153"/>
      <c r="L265" s="153"/>
      <c r="M265" s="153"/>
      <c r="N265" s="153"/>
      <c r="O265" s="153"/>
      <c r="P265" s="153"/>
    </row>
    <row r="266" spans="1:16">
      <c r="A266" s="143" t="s">
        <v>572</v>
      </c>
      <c r="B266" s="153" t="s">
        <v>1499</v>
      </c>
      <c r="C266" s="158" t="s">
        <v>1499</v>
      </c>
      <c r="D266" s="151" t="s">
        <v>1499</v>
      </c>
      <c r="E266" s="151" t="s">
        <v>1499</v>
      </c>
      <c r="F266" s="158">
        <v>18.899999999999999</v>
      </c>
      <c r="G266" s="158">
        <v>207.2</v>
      </c>
      <c r="H266" s="158">
        <v>889.6</v>
      </c>
      <c r="I266" s="153" t="s">
        <v>1229</v>
      </c>
      <c r="J266" s="153"/>
      <c r="K266" s="153"/>
      <c r="L266" s="153"/>
      <c r="M266" s="153"/>
      <c r="N266" s="153"/>
      <c r="O266" s="153"/>
      <c r="P266" s="153"/>
    </row>
    <row r="267" spans="1:16">
      <c r="A267" s="143" t="s">
        <v>1020</v>
      </c>
      <c r="B267" s="153" t="s">
        <v>1499</v>
      </c>
      <c r="C267" s="158" t="s">
        <v>1499</v>
      </c>
      <c r="D267" s="151" t="s">
        <v>1499</v>
      </c>
      <c r="E267" s="151" t="s">
        <v>1499</v>
      </c>
      <c r="F267" s="158">
        <v>1467.1</v>
      </c>
      <c r="G267" s="158"/>
      <c r="H267" s="158"/>
      <c r="I267" s="153"/>
      <c r="J267" s="153"/>
      <c r="K267" s="153"/>
      <c r="L267" s="153"/>
      <c r="M267" s="153"/>
      <c r="N267" s="153"/>
      <c r="O267" s="153"/>
      <c r="P267" s="153"/>
    </row>
    <row r="268" spans="1:16">
      <c r="A268" s="143"/>
      <c r="B268" s="151"/>
      <c r="C268" s="151"/>
      <c r="D268" s="151"/>
      <c r="E268" s="151"/>
      <c r="F268" s="151"/>
      <c r="G268" s="151"/>
      <c r="H268" s="158"/>
      <c r="I268" s="153"/>
      <c r="J268" s="153"/>
      <c r="K268" s="153"/>
      <c r="L268" s="153"/>
      <c r="M268" s="153"/>
      <c r="N268" s="153"/>
      <c r="O268" s="153"/>
      <c r="P268" s="153"/>
    </row>
    <row r="269" spans="1:16">
      <c r="A269" s="160" t="s">
        <v>573</v>
      </c>
      <c r="B269" s="150">
        <v>2405.9</v>
      </c>
      <c r="C269" s="150">
        <v>2643.7</v>
      </c>
      <c r="D269" s="150">
        <v>2978.5</v>
      </c>
      <c r="E269" s="150">
        <v>4357.5</v>
      </c>
      <c r="F269" s="150">
        <v>4662.6000000000004</v>
      </c>
      <c r="G269" s="150">
        <v>7605.5</v>
      </c>
      <c r="H269" s="150">
        <v>8793.9</v>
      </c>
      <c r="I269" s="150">
        <v>5940.1</v>
      </c>
      <c r="J269" s="150"/>
      <c r="K269" s="150"/>
      <c r="L269" s="150"/>
      <c r="M269" s="150"/>
      <c r="N269" s="150"/>
      <c r="O269" s="150"/>
      <c r="P269" s="150"/>
    </row>
    <row r="270" spans="1:16">
      <c r="A270" s="143"/>
      <c r="B270" s="151"/>
      <c r="C270" s="151"/>
      <c r="D270" s="151"/>
      <c r="E270" s="151"/>
      <c r="F270" s="151"/>
      <c r="G270" s="151"/>
      <c r="H270" s="158"/>
      <c r="I270" s="153"/>
      <c r="J270" s="153"/>
      <c r="K270" s="153"/>
      <c r="L270" s="153"/>
      <c r="M270" s="153"/>
      <c r="N270" s="153"/>
      <c r="O270" s="153"/>
      <c r="P270" s="153"/>
    </row>
    <row r="271" spans="1:16">
      <c r="A271" s="160" t="s">
        <v>574</v>
      </c>
      <c r="B271" s="150">
        <v>332.9</v>
      </c>
      <c r="C271" s="150">
        <v>337.2</v>
      </c>
      <c r="D271" s="150">
        <v>365.7</v>
      </c>
      <c r="E271" s="150">
        <v>546.70000000000005</v>
      </c>
      <c r="F271" s="150">
        <v>590.5</v>
      </c>
      <c r="G271" s="150">
        <v>698.8</v>
      </c>
      <c r="H271" s="150">
        <v>1378</v>
      </c>
      <c r="I271" s="150">
        <v>887.5</v>
      </c>
      <c r="J271" s="150"/>
      <c r="K271" s="150"/>
      <c r="L271" s="150"/>
      <c r="M271" s="150"/>
      <c r="N271" s="150"/>
      <c r="O271" s="150"/>
      <c r="P271" s="150"/>
    </row>
    <row r="272" spans="1:16">
      <c r="A272" s="143" t="s">
        <v>90</v>
      </c>
      <c r="B272" s="153">
        <v>227</v>
      </c>
      <c r="C272" s="153">
        <v>283.8</v>
      </c>
      <c r="D272" s="153">
        <v>290.2</v>
      </c>
      <c r="E272" s="153">
        <v>414.8</v>
      </c>
      <c r="F272" s="153">
        <v>341.9</v>
      </c>
      <c r="G272" s="153">
        <v>392.2</v>
      </c>
      <c r="H272" s="153">
        <v>727.9</v>
      </c>
      <c r="I272" s="153">
        <v>419.8</v>
      </c>
      <c r="J272" s="153"/>
      <c r="K272" s="153"/>
      <c r="L272" s="153"/>
      <c r="M272" s="153"/>
      <c r="N272" s="153"/>
      <c r="O272" s="153"/>
      <c r="P272" s="153"/>
    </row>
    <row r="273" spans="1:16">
      <c r="A273" s="143" t="s">
        <v>91</v>
      </c>
      <c r="B273" s="153">
        <v>0.1</v>
      </c>
      <c r="C273" s="153">
        <v>0</v>
      </c>
      <c r="D273" s="153" t="s">
        <v>1229</v>
      </c>
      <c r="E273" s="153" t="s">
        <v>1229</v>
      </c>
      <c r="F273" s="153" t="s">
        <v>1499</v>
      </c>
      <c r="G273" s="153"/>
      <c r="H273" s="153"/>
      <c r="I273" s="153"/>
      <c r="J273" s="153"/>
      <c r="K273" s="153"/>
      <c r="L273" s="153"/>
      <c r="M273" s="153"/>
      <c r="N273" s="153"/>
      <c r="O273" s="153"/>
      <c r="P273" s="153"/>
    </row>
    <row r="274" spans="1:16">
      <c r="A274" s="143" t="s">
        <v>877</v>
      </c>
      <c r="B274" s="153">
        <v>2.6</v>
      </c>
      <c r="C274" s="153">
        <v>1.6</v>
      </c>
      <c r="D274" s="153">
        <v>1.4</v>
      </c>
      <c r="E274" s="153">
        <v>1.3</v>
      </c>
      <c r="F274" s="153">
        <v>1</v>
      </c>
      <c r="G274" s="153">
        <v>0.8</v>
      </c>
      <c r="H274" s="153">
        <v>0.5</v>
      </c>
      <c r="I274" s="153">
        <v>0.7</v>
      </c>
      <c r="J274" s="153"/>
      <c r="K274" s="153"/>
      <c r="L274" s="153"/>
      <c r="M274" s="153"/>
      <c r="N274" s="153"/>
      <c r="O274" s="153"/>
      <c r="P274" s="153"/>
    </row>
    <row r="275" spans="1:16">
      <c r="A275" s="143" t="s">
        <v>575</v>
      </c>
      <c r="B275" s="153">
        <v>10.7</v>
      </c>
      <c r="C275" s="158">
        <v>9</v>
      </c>
      <c r="D275" s="151">
        <v>17.7</v>
      </c>
      <c r="E275" s="151">
        <v>16.399999999999999</v>
      </c>
      <c r="F275" s="158">
        <v>10.8</v>
      </c>
      <c r="G275" s="158">
        <v>26.5</v>
      </c>
      <c r="H275" s="158">
        <v>22.1</v>
      </c>
      <c r="I275" s="153">
        <v>31.8</v>
      </c>
      <c r="J275" s="153"/>
      <c r="K275" s="153"/>
      <c r="L275" s="153"/>
      <c r="M275" s="153"/>
      <c r="N275" s="153"/>
      <c r="O275" s="153"/>
      <c r="P275" s="153"/>
    </row>
    <row r="276" spans="1:16">
      <c r="A276" s="143" t="s">
        <v>878</v>
      </c>
      <c r="B276" s="153">
        <v>0.7</v>
      </c>
      <c r="C276" s="158">
        <v>0.9</v>
      </c>
      <c r="D276" s="151">
        <v>1.3</v>
      </c>
      <c r="E276" s="151">
        <v>4.3</v>
      </c>
      <c r="F276" s="158">
        <v>3</v>
      </c>
      <c r="G276" s="158"/>
      <c r="H276" s="158"/>
      <c r="I276" s="153"/>
      <c r="J276" s="153"/>
      <c r="K276" s="153"/>
      <c r="L276" s="153"/>
      <c r="M276" s="153"/>
      <c r="N276" s="153"/>
      <c r="O276" s="153"/>
      <c r="P276" s="153"/>
    </row>
    <row r="277" spans="1:16">
      <c r="A277" s="143" t="s">
        <v>55</v>
      </c>
      <c r="B277" s="153">
        <v>3.7</v>
      </c>
      <c r="C277" s="158">
        <v>0.2</v>
      </c>
      <c r="D277" s="151">
        <v>0.3</v>
      </c>
      <c r="E277" s="151">
        <v>0.2</v>
      </c>
      <c r="F277" s="158">
        <v>0.3</v>
      </c>
      <c r="G277" s="158">
        <v>0.2</v>
      </c>
      <c r="H277" s="158">
        <v>0.2</v>
      </c>
      <c r="I277" s="153">
        <v>0.3</v>
      </c>
      <c r="J277" s="153"/>
      <c r="K277" s="153"/>
      <c r="L277" s="153"/>
      <c r="M277" s="153"/>
      <c r="N277" s="153"/>
      <c r="O277" s="153"/>
      <c r="P277" s="153"/>
    </row>
    <row r="278" spans="1:16">
      <c r="A278" s="143" t="s">
        <v>56</v>
      </c>
      <c r="B278" s="153">
        <v>43</v>
      </c>
      <c r="C278" s="158">
        <v>2.1</v>
      </c>
      <c r="D278" s="151">
        <v>2</v>
      </c>
      <c r="E278" s="151">
        <v>2</v>
      </c>
      <c r="F278" s="158">
        <v>2.1</v>
      </c>
      <c r="G278" s="158">
        <v>2.2000000000000002</v>
      </c>
      <c r="H278" s="158">
        <v>37.799999999999997</v>
      </c>
      <c r="I278" s="153">
        <v>0.2</v>
      </c>
      <c r="J278" s="153"/>
      <c r="K278" s="153"/>
      <c r="L278" s="153"/>
      <c r="M278" s="153"/>
      <c r="N278" s="153"/>
      <c r="O278" s="153"/>
      <c r="P278" s="153"/>
    </row>
    <row r="279" spans="1:16">
      <c r="A279" s="143" t="s">
        <v>57</v>
      </c>
      <c r="B279" s="151"/>
      <c r="C279" s="151"/>
      <c r="D279" s="151"/>
      <c r="E279" s="151"/>
      <c r="F279" s="151"/>
      <c r="G279" s="151"/>
      <c r="H279" s="158"/>
      <c r="I279" s="153"/>
      <c r="J279" s="153"/>
      <c r="K279" s="153"/>
      <c r="L279" s="153"/>
      <c r="M279" s="153"/>
      <c r="N279" s="153"/>
      <c r="O279" s="153"/>
      <c r="P279" s="153"/>
    </row>
    <row r="280" spans="1:16">
      <c r="A280" s="143" t="s">
        <v>58</v>
      </c>
      <c r="B280" s="151">
        <v>17.2</v>
      </c>
      <c r="C280" s="151">
        <v>15.8</v>
      </c>
      <c r="D280" s="151">
        <v>16.8</v>
      </c>
      <c r="E280" s="151">
        <v>28.5</v>
      </c>
      <c r="F280" s="151">
        <v>34.4</v>
      </c>
      <c r="G280" s="151">
        <v>48.5</v>
      </c>
      <c r="H280" s="158">
        <v>46.8</v>
      </c>
      <c r="I280" s="153">
        <v>30</v>
      </c>
      <c r="J280" s="153"/>
      <c r="K280" s="153"/>
      <c r="L280" s="153"/>
      <c r="M280" s="153"/>
      <c r="N280" s="153"/>
      <c r="O280" s="153"/>
      <c r="P280" s="153"/>
    </row>
    <row r="281" spans="1:16">
      <c r="A281" s="143" t="s">
        <v>879</v>
      </c>
      <c r="B281" s="151">
        <v>0</v>
      </c>
      <c r="C281" s="151">
        <v>0</v>
      </c>
      <c r="D281" s="151">
        <v>0</v>
      </c>
      <c r="E281" s="151">
        <v>0</v>
      </c>
      <c r="F281" s="151">
        <v>0</v>
      </c>
      <c r="G281" s="151">
        <v>0</v>
      </c>
      <c r="H281" s="158">
        <v>0</v>
      </c>
      <c r="I281" s="153" t="s">
        <v>1229</v>
      </c>
      <c r="J281" s="153"/>
      <c r="K281" s="153"/>
      <c r="L281" s="153"/>
      <c r="M281" s="153"/>
      <c r="N281" s="153"/>
      <c r="O281" s="153"/>
      <c r="P281" s="153"/>
    </row>
    <row r="282" spans="1:16">
      <c r="A282" s="143" t="s">
        <v>59</v>
      </c>
      <c r="B282" s="153">
        <v>0.2</v>
      </c>
      <c r="C282" s="158">
        <v>0.1</v>
      </c>
      <c r="D282" s="158">
        <v>0.1</v>
      </c>
      <c r="E282" s="151">
        <v>0.1</v>
      </c>
      <c r="F282" s="158">
        <v>0.1</v>
      </c>
      <c r="G282" s="158">
        <v>0.1</v>
      </c>
      <c r="H282" s="158">
        <v>0.1</v>
      </c>
      <c r="I282" s="156">
        <v>0.1</v>
      </c>
      <c r="J282" s="156"/>
      <c r="K282" s="156"/>
      <c r="L282" s="153"/>
      <c r="M282" s="153"/>
      <c r="N282" s="153"/>
      <c r="O282" s="153"/>
      <c r="P282" s="153"/>
    </row>
    <row r="283" spans="1:16">
      <c r="A283" s="143" t="s">
        <v>60</v>
      </c>
      <c r="B283" s="153">
        <v>26.3</v>
      </c>
      <c r="C283" s="158">
        <v>19.3</v>
      </c>
      <c r="D283" s="158">
        <v>33.200000000000003</v>
      </c>
      <c r="E283" s="151">
        <v>73</v>
      </c>
      <c r="F283" s="158">
        <v>120.1</v>
      </c>
      <c r="G283" s="158">
        <v>168.8</v>
      </c>
      <c r="H283" s="158">
        <v>99.8</v>
      </c>
      <c r="I283" s="153">
        <v>231</v>
      </c>
      <c r="J283" s="153"/>
      <c r="K283" s="153"/>
      <c r="L283" s="153"/>
      <c r="M283" s="153"/>
      <c r="N283" s="153"/>
      <c r="O283" s="153"/>
      <c r="P283" s="153"/>
    </row>
    <row r="284" spans="1:16">
      <c r="A284" s="143" t="s">
        <v>61</v>
      </c>
      <c r="B284" s="153"/>
      <c r="C284" s="158"/>
      <c r="D284" s="158"/>
      <c r="E284" s="151"/>
      <c r="F284" s="151"/>
      <c r="G284" s="151"/>
      <c r="H284" s="158"/>
      <c r="I284" s="153"/>
      <c r="J284" s="153"/>
      <c r="K284" s="153"/>
      <c r="L284" s="153"/>
      <c r="M284" s="153"/>
      <c r="N284" s="153"/>
      <c r="O284" s="153"/>
      <c r="P284" s="153"/>
    </row>
    <row r="285" spans="1:16">
      <c r="A285" s="143" t="s">
        <v>578</v>
      </c>
      <c r="B285" s="153">
        <v>1.4</v>
      </c>
      <c r="C285" s="158">
        <v>4.4000000000000004</v>
      </c>
      <c r="D285" s="158">
        <v>2.7</v>
      </c>
      <c r="E285" s="151">
        <v>1.9</v>
      </c>
      <c r="F285" s="158">
        <v>3</v>
      </c>
      <c r="G285" s="158">
        <v>2.2999999999999998</v>
      </c>
      <c r="H285" s="158">
        <v>2.2999999999999998</v>
      </c>
      <c r="I285" s="153">
        <v>1.6</v>
      </c>
      <c r="J285" s="153"/>
      <c r="K285" s="153"/>
      <c r="L285" s="153"/>
      <c r="M285" s="153"/>
      <c r="N285" s="153"/>
      <c r="O285" s="153"/>
      <c r="P285" s="153"/>
    </row>
    <row r="286" spans="1:16">
      <c r="A286" s="143" t="s">
        <v>579</v>
      </c>
      <c r="B286" s="153" t="s">
        <v>1499</v>
      </c>
      <c r="C286" s="158" t="s">
        <v>1499</v>
      </c>
      <c r="D286" s="158" t="s">
        <v>1499</v>
      </c>
      <c r="E286" s="151">
        <v>4.2</v>
      </c>
      <c r="F286" s="158">
        <v>73.8</v>
      </c>
      <c r="G286" s="158">
        <v>57.2</v>
      </c>
      <c r="H286" s="158">
        <v>440.5</v>
      </c>
      <c r="I286" s="153">
        <v>172</v>
      </c>
      <c r="J286" s="153"/>
      <c r="K286" s="153"/>
      <c r="L286" s="153"/>
      <c r="M286" s="153"/>
      <c r="N286" s="153"/>
      <c r="O286" s="153"/>
      <c r="P286" s="153"/>
    </row>
    <row r="287" spans="1:16">
      <c r="A287" s="143" t="s">
        <v>580</v>
      </c>
      <c r="B287" s="153"/>
      <c r="C287" s="158"/>
      <c r="D287" s="151"/>
      <c r="E287" s="151"/>
      <c r="F287" s="158"/>
      <c r="G287" s="158"/>
      <c r="H287" s="158"/>
      <c r="I287" s="153"/>
      <c r="J287" s="153"/>
      <c r="K287" s="153"/>
      <c r="L287" s="153"/>
      <c r="M287" s="153"/>
      <c r="N287" s="153"/>
      <c r="O287" s="153"/>
      <c r="P287" s="153"/>
    </row>
    <row r="288" spans="1:16">
      <c r="A288" s="143"/>
      <c r="B288" s="151"/>
      <c r="C288" s="151"/>
      <c r="D288" s="151"/>
      <c r="E288" s="151"/>
      <c r="F288" s="151"/>
      <c r="G288" s="151"/>
      <c r="H288" s="158"/>
      <c r="I288" s="153"/>
      <c r="J288" s="153"/>
      <c r="K288" s="153"/>
      <c r="L288" s="153"/>
      <c r="M288" s="153"/>
      <c r="N288" s="153"/>
      <c r="O288" s="153"/>
      <c r="P288" s="153"/>
    </row>
    <row r="289" spans="1:16">
      <c r="A289" s="160" t="s">
        <v>581</v>
      </c>
      <c r="B289" s="150">
        <v>1040.2</v>
      </c>
      <c r="C289" s="150">
        <v>1231.0999999999999</v>
      </c>
      <c r="D289" s="150">
        <v>1417.6</v>
      </c>
      <c r="E289" s="150">
        <v>2223</v>
      </c>
      <c r="F289" s="150">
        <v>2435.6999999999998</v>
      </c>
      <c r="G289" s="150">
        <v>4900.7</v>
      </c>
      <c r="H289" s="150">
        <v>5208.7</v>
      </c>
      <c r="I289" s="150">
        <v>2496.6999999999998</v>
      </c>
      <c r="J289" s="150"/>
      <c r="K289" s="150"/>
      <c r="L289" s="150"/>
      <c r="M289" s="150"/>
      <c r="N289" s="150"/>
      <c r="O289" s="150"/>
      <c r="P289" s="150"/>
    </row>
    <row r="290" spans="1:16">
      <c r="A290" s="143" t="s">
        <v>880</v>
      </c>
      <c r="B290" s="153">
        <v>1.3</v>
      </c>
      <c r="C290" s="153">
        <v>0</v>
      </c>
      <c r="D290" s="151">
        <v>0</v>
      </c>
      <c r="E290" s="151">
        <v>0</v>
      </c>
      <c r="F290" s="151">
        <v>0</v>
      </c>
      <c r="G290" s="151">
        <v>0</v>
      </c>
      <c r="H290" s="151">
        <v>0</v>
      </c>
      <c r="I290" s="153">
        <v>0</v>
      </c>
      <c r="J290" s="153"/>
      <c r="K290" s="153"/>
      <c r="L290" s="153"/>
      <c r="M290" s="153"/>
      <c r="N290" s="153"/>
      <c r="O290" s="153"/>
      <c r="P290" s="153"/>
    </row>
    <row r="291" spans="1:16">
      <c r="A291" s="143" t="s">
        <v>582</v>
      </c>
      <c r="B291" s="153">
        <v>1038.0999999999999</v>
      </c>
      <c r="C291" s="151">
        <v>1230.3</v>
      </c>
      <c r="D291" s="151">
        <v>1416.9</v>
      </c>
      <c r="E291" s="151">
        <v>2222.1</v>
      </c>
      <c r="F291" s="151">
        <v>2434.1</v>
      </c>
      <c r="G291" s="151">
        <v>4900</v>
      </c>
      <c r="H291" s="151">
        <v>5203.3</v>
      </c>
      <c r="I291" s="153">
        <v>2495.8000000000002</v>
      </c>
      <c r="J291" s="153"/>
      <c r="K291" s="153"/>
      <c r="L291" s="153"/>
      <c r="M291" s="153"/>
      <c r="N291" s="153"/>
      <c r="O291" s="153"/>
      <c r="P291" s="153"/>
    </row>
    <row r="292" spans="1:16">
      <c r="A292" s="143" t="s">
        <v>583</v>
      </c>
      <c r="B292" s="153"/>
      <c r="C292" s="151"/>
      <c r="D292" s="151"/>
      <c r="E292" s="151"/>
      <c r="F292" s="151"/>
      <c r="G292" s="151"/>
      <c r="H292" s="151"/>
      <c r="I292" s="153"/>
      <c r="J292" s="153"/>
      <c r="K292" s="153"/>
      <c r="L292" s="153"/>
      <c r="M292" s="153"/>
      <c r="N292" s="153"/>
      <c r="O292" s="153"/>
      <c r="P292" s="153"/>
    </row>
    <row r="293" spans="1:16">
      <c r="A293" s="157" t="s">
        <v>584</v>
      </c>
      <c r="B293" s="153">
        <v>0.8</v>
      </c>
      <c r="C293" s="151">
        <v>0.8</v>
      </c>
      <c r="D293" s="151">
        <v>0.7</v>
      </c>
      <c r="E293" s="151">
        <v>0.9</v>
      </c>
      <c r="F293" s="151">
        <v>0.7</v>
      </c>
      <c r="G293" s="151">
        <v>0.7</v>
      </c>
      <c r="H293" s="151">
        <v>0.8</v>
      </c>
      <c r="I293" s="153">
        <v>0.9</v>
      </c>
      <c r="J293" s="153"/>
      <c r="K293" s="153"/>
      <c r="L293" s="153"/>
      <c r="M293" s="153"/>
      <c r="N293" s="153"/>
      <c r="O293" s="153"/>
      <c r="P293" s="153"/>
    </row>
    <row r="294" spans="1:16">
      <c r="A294" s="157" t="s">
        <v>585</v>
      </c>
      <c r="B294" s="153">
        <v>0</v>
      </c>
      <c r="C294" s="151" t="s">
        <v>1229</v>
      </c>
      <c r="D294" s="151">
        <v>0</v>
      </c>
      <c r="E294" s="151" t="s">
        <v>1229</v>
      </c>
      <c r="F294" s="151">
        <v>0.9</v>
      </c>
      <c r="G294" s="151">
        <v>0</v>
      </c>
      <c r="H294" s="151">
        <v>4.5999999999999996</v>
      </c>
      <c r="I294" s="153" t="s">
        <v>1229</v>
      </c>
      <c r="J294" s="153"/>
      <c r="K294" s="153"/>
      <c r="L294" s="153"/>
      <c r="M294" s="153"/>
      <c r="N294" s="153"/>
      <c r="O294" s="153"/>
      <c r="P294" s="153"/>
    </row>
    <row r="295" spans="1:16">
      <c r="A295" s="143"/>
      <c r="B295" s="151"/>
      <c r="C295" s="151"/>
      <c r="D295" s="151"/>
      <c r="E295" s="151"/>
      <c r="F295" s="151"/>
      <c r="G295" s="151"/>
      <c r="H295" s="158"/>
      <c r="I295" s="153"/>
      <c r="J295" s="153"/>
      <c r="K295" s="153"/>
      <c r="L295" s="153"/>
      <c r="M295" s="153"/>
      <c r="N295" s="153"/>
      <c r="O295" s="153"/>
      <c r="P295" s="153"/>
    </row>
    <row r="296" spans="1:16">
      <c r="A296" s="160" t="s">
        <v>586</v>
      </c>
      <c r="B296" s="150">
        <v>612.5</v>
      </c>
      <c r="C296" s="150">
        <v>612.4</v>
      </c>
      <c r="D296" s="150">
        <v>710.6</v>
      </c>
      <c r="E296" s="150">
        <v>956.7</v>
      </c>
      <c r="F296" s="150">
        <v>963.7</v>
      </c>
      <c r="G296" s="150">
        <v>1178.5</v>
      </c>
      <c r="H296" s="150">
        <v>1510.5</v>
      </c>
      <c r="I296" s="150">
        <v>1817.3</v>
      </c>
      <c r="J296" s="150"/>
      <c r="K296" s="150"/>
      <c r="L296" s="150"/>
      <c r="M296" s="150"/>
      <c r="N296" s="150"/>
      <c r="O296" s="150"/>
      <c r="P296" s="150"/>
    </row>
    <row r="297" spans="1:16">
      <c r="A297" s="143" t="s">
        <v>587</v>
      </c>
      <c r="B297" s="153">
        <v>78.3</v>
      </c>
      <c r="C297" s="158">
        <v>0.1</v>
      </c>
      <c r="D297" s="151">
        <v>0.1</v>
      </c>
      <c r="E297" s="151">
        <v>0</v>
      </c>
      <c r="F297" s="158">
        <v>0</v>
      </c>
      <c r="G297" s="158">
        <v>0</v>
      </c>
      <c r="H297" s="158">
        <v>0</v>
      </c>
      <c r="I297" s="153">
        <v>0.1</v>
      </c>
      <c r="J297" s="153"/>
      <c r="K297" s="153"/>
      <c r="L297" s="153"/>
      <c r="M297" s="153"/>
      <c r="N297" s="153"/>
      <c r="O297" s="153"/>
      <c r="P297" s="153"/>
    </row>
    <row r="298" spans="1:16">
      <c r="A298" s="143" t="s">
        <v>588</v>
      </c>
      <c r="B298" s="153">
        <v>39.700000000000003</v>
      </c>
      <c r="C298" s="158">
        <v>36.4</v>
      </c>
      <c r="D298" s="151">
        <v>32.700000000000003</v>
      </c>
      <c r="E298" s="151">
        <v>39.6</v>
      </c>
      <c r="F298" s="158">
        <v>19.3</v>
      </c>
      <c r="G298" s="158">
        <v>16.5</v>
      </c>
      <c r="H298" s="158">
        <v>13.7</v>
      </c>
      <c r="I298" s="153">
        <v>10.8</v>
      </c>
      <c r="J298" s="153"/>
      <c r="K298" s="153"/>
      <c r="L298" s="153"/>
      <c r="M298" s="153"/>
      <c r="N298" s="153"/>
      <c r="O298" s="153"/>
      <c r="P298" s="153"/>
    </row>
    <row r="299" spans="1:16">
      <c r="A299" s="143" t="s">
        <v>589</v>
      </c>
      <c r="B299" s="153">
        <v>494.5</v>
      </c>
      <c r="C299" s="158">
        <v>575.9</v>
      </c>
      <c r="D299" s="151">
        <v>677.8</v>
      </c>
      <c r="E299" s="151">
        <v>917.1</v>
      </c>
      <c r="F299" s="158">
        <v>944.4</v>
      </c>
      <c r="G299" s="158">
        <v>1162</v>
      </c>
      <c r="H299" s="158">
        <v>1496.8</v>
      </c>
      <c r="I299" s="153">
        <v>1806.4</v>
      </c>
      <c r="J299" s="153"/>
      <c r="K299" s="153"/>
      <c r="L299" s="153"/>
      <c r="M299" s="153"/>
      <c r="N299" s="153"/>
      <c r="O299" s="153"/>
      <c r="P299" s="153"/>
    </row>
    <row r="300" spans="1:16">
      <c r="A300" s="143"/>
      <c r="B300" s="151"/>
      <c r="C300" s="151"/>
      <c r="D300" s="151"/>
      <c r="E300" s="151"/>
      <c r="F300" s="151"/>
      <c r="G300" s="151"/>
      <c r="H300" s="158"/>
      <c r="I300" s="153"/>
      <c r="J300" s="153"/>
      <c r="K300" s="153"/>
      <c r="L300" s="153"/>
      <c r="M300" s="153"/>
      <c r="N300" s="153"/>
      <c r="O300" s="153"/>
      <c r="P300" s="153"/>
    </row>
    <row r="301" spans="1:16">
      <c r="A301" s="160" t="s">
        <v>590</v>
      </c>
      <c r="B301" s="150">
        <v>79.900000000000006</v>
      </c>
      <c r="C301" s="150">
        <v>109.8</v>
      </c>
      <c r="D301" s="150">
        <v>153.19999999999999</v>
      </c>
      <c r="E301" s="150">
        <v>224.5</v>
      </c>
      <c r="F301" s="150">
        <v>287.3</v>
      </c>
      <c r="G301" s="150">
        <v>353.7</v>
      </c>
      <c r="H301" s="150">
        <v>402.2</v>
      </c>
      <c r="I301" s="150">
        <v>265.7</v>
      </c>
      <c r="J301" s="150"/>
      <c r="K301" s="150"/>
      <c r="L301" s="150"/>
      <c r="M301" s="150"/>
      <c r="N301" s="150"/>
      <c r="O301" s="150"/>
      <c r="P301" s="150"/>
    </row>
    <row r="302" spans="1:16">
      <c r="A302" s="143" t="s">
        <v>591</v>
      </c>
      <c r="B302" s="153">
        <v>79.900000000000006</v>
      </c>
      <c r="C302" s="151">
        <v>109.8</v>
      </c>
      <c r="D302" s="151">
        <v>153.19999999999999</v>
      </c>
      <c r="E302" s="151">
        <v>224.5</v>
      </c>
      <c r="F302" s="151">
        <v>287.3</v>
      </c>
      <c r="G302" s="151">
        <v>353.7</v>
      </c>
      <c r="H302" s="151">
        <v>402.2</v>
      </c>
      <c r="I302" s="153">
        <v>265.7</v>
      </c>
      <c r="J302" s="153"/>
      <c r="K302" s="153"/>
      <c r="L302" s="153"/>
      <c r="M302" s="153"/>
      <c r="N302" s="153"/>
      <c r="O302" s="153"/>
      <c r="P302" s="153"/>
    </row>
    <row r="303" spans="1:16">
      <c r="A303" s="143"/>
      <c r="B303" s="151"/>
      <c r="C303" s="151"/>
      <c r="D303" s="151"/>
      <c r="E303" s="151"/>
      <c r="F303" s="151"/>
      <c r="G303" s="151"/>
      <c r="H303" s="158"/>
      <c r="I303" s="153"/>
      <c r="J303" s="153"/>
      <c r="K303" s="153"/>
      <c r="L303" s="153"/>
      <c r="M303" s="153"/>
      <c r="N303" s="153"/>
      <c r="O303" s="153"/>
      <c r="P303" s="153"/>
    </row>
    <row r="304" spans="1:16">
      <c r="A304" s="160" t="s">
        <v>592</v>
      </c>
      <c r="B304" s="150">
        <v>340.4</v>
      </c>
      <c r="C304" s="150">
        <v>353.2</v>
      </c>
      <c r="D304" s="150">
        <v>331.4</v>
      </c>
      <c r="E304" s="150">
        <v>406.6</v>
      </c>
      <c r="F304" s="150">
        <v>385.4</v>
      </c>
      <c r="G304" s="150">
        <v>473.8</v>
      </c>
      <c r="H304" s="150">
        <v>294.5</v>
      </c>
      <c r="I304" s="150">
        <v>472.9</v>
      </c>
      <c r="J304" s="150"/>
      <c r="K304" s="150"/>
      <c r="L304" s="150"/>
      <c r="M304" s="150"/>
      <c r="N304" s="150"/>
      <c r="O304" s="150"/>
      <c r="P304" s="150"/>
    </row>
    <row r="305" spans="1:16">
      <c r="A305" s="143" t="s">
        <v>881</v>
      </c>
      <c r="B305" s="151">
        <v>4.2</v>
      </c>
      <c r="C305" s="151">
        <v>4.4000000000000004</v>
      </c>
      <c r="D305" s="151">
        <v>4.7</v>
      </c>
      <c r="E305" s="151">
        <v>5.8</v>
      </c>
      <c r="F305" s="151">
        <v>7.2</v>
      </c>
      <c r="G305" s="153">
        <v>6.9</v>
      </c>
      <c r="H305" s="153">
        <v>4.5999999999999996</v>
      </c>
      <c r="I305" s="153">
        <v>0.5</v>
      </c>
      <c r="J305" s="153"/>
      <c r="K305" s="153"/>
      <c r="L305" s="153"/>
      <c r="M305" s="153"/>
      <c r="N305" s="153"/>
      <c r="O305" s="153"/>
      <c r="P305" s="153"/>
    </row>
    <row r="306" spans="1:16">
      <c r="A306" s="143" t="s">
        <v>882</v>
      </c>
      <c r="B306" s="151">
        <v>2.4</v>
      </c>
      <c r="C306" s="151">
        <v>3</v>
      </c>
      <c r="D306" s="151">
        <v>3.3</v>
      </c>
      <c r="E306" s="151">
        <v>4</v>
      </c>
      <c r="F306" s="151">
        <v>2.4</v>
      </c>
      <c r="G306" s="153">
        <v>0.3</v>
      </c>
      <c r="H306" s="153" t="s">
        <v>1229</v>
      </c>
      <c r="I306" s="153" t="s">
        <v>1229</v>
      </c>
      <c r="J306" s="153"/>
      <c r="K306" s="153"/>
      <c r="L306" s="153"/>
      <c r="M306" s="153"/>
      <c r="N306" s="153"/>
      <c r="O306" s="153"/>
      <c r="P306" s="153"/>
    </row>
    <row r="307" spans="1:16">
      <c r="A307" s="143" t="s">
        <v>883</v>
      </c>
      <c r="B307" s="151">
        <v>116.9</v>
      </c>
      <c r="C307" s="151">
        <v>140.69999999999999</v>
      </c>
      <c r="D307" s="151">
        <v>172.4</v>
      </c>
      <c r="E307" s="151">
        <v>195.6</v>
      </c>
      <c r="F307" s="151">
        <v>176.4</v>
      </c>
      <c r="G307" s="153">
        <v>272.39999999999998</v>
      </c>
      <c r="H307" s="153">
        <v>28.6</v>
      </c>
      <c r="I307" s="153">
        <v>3.8</v>
      </c>
      <c r="J307" s="153"/>
      <c r="K307" s="153"/>
      <c r="L307" s="153"/>
      <c r="M307" s="153"/>
      <c r="N307" s="153"/>
      <c r="O307" s="153"/>
      <c r="P307" s="153"/>
    </row>
    <row r="308" spans="1:16">
      <c r="A308" s="157" t="s">
        <v>1566</v>
      </c>
      <c r="B308" s="153">
        <v>1.1000000000000001</v>
      </c>
      <c r="C308" s="158">
        <v>0.1</v>
      </c>
      <c r="D308" s="151">
        <v>0.9</v>
      </c>
      <c r="E308" s="151">
        <v>0.1</v>
      </c>
      <c r="F308" s="151">
        <v>0.1</v>
      </c>
      <c r="G308" s="151">
        <v>0.1</v>
      </c>
      <c r="H308" s="151">
        <v>0.2</v>
      </c>
      <c r="I308" s="151">
        <v>0.1</v>
      </c>
      <c r="J308" s="153"/>
      <c r="K308" s="153"/>
      <c r="L308" s="153"/>
      <c r="M308" s="153"/>
      <c r="N308" s="153"/>
      <c r="O308" s="153"/>
      <c r="P308" s="153"/>
    </row>
    <row r="309" spans="1:16">
      <c r="A309" s="143" t="s">
        <v>1567</v>
      </c>
      <c r="B309" s="153">
        <v>4</v>
      </c>
      <c r="C309" s="151">
        <v>4.5999999999999996</v>
      </c>
      <c r="D309" s="151">
        <v>5.5</v>
      </c>
      <c r="E309" s="151">
        <v>5.7</v>
      </c>
      <c r="F309" s="151">
        <v>5.0999999999999996</v>
      </c>
      <c r="G309" s="151">
        <v>20.6</v>
      </c>
      <c r="H309" s="151">
        <v>10.4</v>
      </c>
      <c r="I309" s="153">
        <v>5.6</v>
      </c>
      <c r="J309" s="153"/>
      <c r="K309" s="153"/>
      <c r="L309" s="153"/>
      <c r="M309" s="153"/>
      <c r="N309" s="153"/>
      <c r="O309" s="153"/>
      <c r="P309" s="153"/>
    </row>
    <row r="310" spans="1:16">
      <c r="A310" s="157" t="s">
        <v>1280</v>
      </c>
      <c r="B310" s="153">
        <v>10.199999999999999</v>
      </c>
      <c r="C310" s="158">
        <v>13.7</v>
      </c>
      <c r="D310" s="151">
        <v>13.4</v>
      </c>
      <c r="E310" s="151">
        <v>14.8</v>
      </c>
      <c r="F310" s="158">
        <v>15.2</v>
      </c>
      <c r="G310" s="158">
        <v>16.399999999999999</v>
      </c>
      <c r="H310" s="158">
        <v>17</v>
      </c>
      <c r="I310" s="153">
        <v>15.4</v>
      </c>
      <c r="J310" s="153"/>
      <c r="K310" s="153"/>
      <c r="L310" s="153"/>
      <c r="M310" s="153"/>
      <c r="N310" s="153"/>
      <c r="O310" s="153"/>
      <c r="P310" s="153"/>
    </row>
    <row r="311" spans="1:16">
      <c r="A311" s="157" t="s">
        <v>884</v>
      </c>
      <c r="B311" s="151">
        <v>5.7</v>
      </c>
      <c r="C311" s="151">
        <v>7.1</v>
      </c>
      <c r="D311" s="151">
        <v>7.1</v>
      </c>
      <c r="E311" s="151">
        <v>18.2</v>
      </c>
      <c r="F311" s="158">
        <v>14</v>
      </c>
      <c r="G311" s="158">
        <v>18.100000000000001</v>
      </c>
      <c r="H311" s="148"/>
      <c r="I311" s="148"/>
      <c r="J311" s="146"/>
      <c r="K311" s="146"/>
      <c r="L311" s="146"/>
      <c r="M311" s="148"/>
      <c r="N311" s="146"/>
      <c r="O311" s="148"/>
      <c r="P311" s="148"/>
    </row>
    <row r="312" spans="1:16">
      <c r="A312" s="157" t="s">
        <v>1281</v>
      </c>
      <c r="B312" s="151"/>
      <c r="C312" s="151"/>
      <c r="D312" s="152"/>
      <c r="E312" s="152"/>
      <c r="F312" s="151"/>
      <c r="G312" s="151"/>
      <c r="H312" s="158">
        <v>16.899999999999999</v>
      </c>
      <c r="I312" s="153">
        <v>28.7</v>
      </c>
      <c r="J312" s="153"/>
      <c r="K312" s="153"/>
      <c r="L312" s="153"/>
      <c r="M312" s="153"/>
      <c r="N312" s="153"/>
      <c r="O312" s="153"/>
      <c r="P312" s="153"/>
    </row>
    <row r="313" spans="1:16">
      <c r="A313" s="157" t="s">
        <v>552</v>
      </c>
      <c r="B313" s="151">
        <v>6.8</v>
      </c>
      <c r="C313" s="151">
        <v>7</v>
      </c>
      <c r="D313" s="151">
        <v>7.2</v>
      </c>
      <c r="E313" s="151" t="s">
        <v>1499</v>
      </c>
      <c r="F313" s="158" t="s">
        <v>1499</v>
      </c>
      <c r="G313" s="158"/>
      <c r="H313" s="158"/>
      <c r="I313" s="153"/>
      <c r="J313" s="153"/>
      <c r="K313" s="153"/>
      <c r="L313" s="153"/>
      <c r="M313" s="153"/>
      <c r="N313" s="153"/>
      <c r="O313" s="153"/>
      <c r="P313" s="153"/>
    </row>
    <row r="314" spans="1:16">
      <c r="A314" s="157" t="s">
        <v>421</v>
      </c>
      <c r="B314" s="153">
        <v>56.7</v>
      </c>
      <c r="C314" s="158">
        <v>58.1</v>
      </c>
      <c r="D314" s="151">
        <v>54.3</v>
      </c>
      <c r="E314" s="151">
        <v>46.7</v>
      </c>
      <c r="F314" s="151">
        <v>32.5</v>
      </c>
      <c r="G314" s="151">
        <v>24.7</v>
      </c>
      <c r="H314" s="151">
        <v>15.4</v>
      </c>
      <c r="I314" s="153">
        <v>8.3000000000000007</v>
      </c>
      <c r="J314" s="153"/>
      <c r="K314" s="153"/>
      <c r="L314" s="153"/>
      <c r="M314" s="153"/>
      <c r="N314" s="153"/>
      <c r="O314" s="153"/>
      <c r="P314" s="153"/>
    </row>
    <row r="315" spans="1:16">
      <c r="A315" s="143" t="s">
        <v>1547</v>
      </c>
      <c r="B315" s="151"/>
      <c r="C315" s="158"/>
      <c r="D315" s="158"/>
      <c r="E315" s="151"/>
      <c r="F315" s="151"/>
      <c r="G315" s="151"/>
      <c r="H315" s="158"/>
      <c r="I315" s="153"/>
      <c r="J315" s="153"/>
      <c r="K315" s="153"/>
      <c r="L315" s="153"/>
      <c r="M315" s="153"/>
      <c r="N315" s="153"/>
      <c r="O315" s="153"/>
      <c r="P315" s="153"/>
    </row>
    <row r="316" spans="1:16">
      <c r="A316" s="143" t="s">
        <v>1548</v>
      </c>
      <c r="B316" s="153">
        <v>3.7</v>
      </c>
      <c r="C316" s="151">
        <v>7.4</v>
      </c>
      <c r="D316" s="158">
        <v>1.8</v>
      </c>
      <c r="E316" s="153">
        <v>1.9</v>
      </c>
      <c r="F316" s="153">
        <v>1.5</v>
      </c>
      <c r="G316" s="153">
        <v>1.4</v>
      </c>
      <c r="H316" s="153">
        <v>3.4</v>
      </c>
      <c r="I316" s="153">
        <v>0.8</v>
      </c>
      <c r="J316" s="153"/>
      <c r="K316" s="153"/>
      <c r="L316" s="153"/>
      <c r="M316" s="153"/>
      <c r="N316" s="153"/>
      <c r="O316" s="153"/>
      <c r="P316" s="153"/>
    </row>
    <row r="317" spans="1:16">
      <c r="A317" s="143" t="s">
        <v>219</v>
      </c>
      <c r="B317" s="153">
        <v>25.1</v>
      </c>
      <c r="C317" s="151">
        <v>25.4</v>
      </c>
      <c r="D317" s="158" t="s">
        <v>1499</v>
      </c>
      <c r="E317" s="153" t="s">
        <v>1499</v>
      </c>
      <c r="F317" s="153" t="s">
        <v>1499</v>
      </c>
      <c r="G317" s="153"/>
      <c r="H317" s="153"/>
      <c r="I317" s="153"/>
      <c r="J317" s="153"/>
      <c r="K317" s="153"/>
      <c r="L317" s="153"/>
      <c r="M317" s="153"/>
      <c r="N317" s="153"/>
      <c r="O317" s="153"/>
      <c r="P317" s="153"/>
    </row>
    <row r="318" spans="1:16">
      <c r="A318" s="143" t="s">
        <v>220</v>
      </c>
      <c r="B318" s="153">
        <v>0.1</v>
      </c>
      <c r="C318" s="151">
        <v>0</v>
      </c>
      <c r="D318" s="158" t="s">
        <v>1499</v>
      </c>
      <c r="E318" s="153" t="s">
        <v>1499</v>
      </c>
      <c r="F318" s="153" t="s">
        <v>1499</v>
      </c>
      <c r="G318" s="153"/>
      <c r="H318" s="153"/>
      <c r="I318" s="153"/>
      <c r="J318" s="153"/>
      <c r="K318" s="153"/>
      <c r="L318" s="153"/>
      <c r="M318" s="153"/>
      <c r="N318" s="153"/>
      <c r="O318" s="153"/>
      <c r="P318" s="153"/>
    </row>
    <row r="319" spans="1:16">
      <c r="A319" s="143" t="s">
        <v>221</v>
      </c>
      <c r="B319" s="153">
        <v>103.5</v>
      </c>
      <c r="C319" s="151">
        <v>48.6</v>
      </c>
      <c r="D319" s="158" t="s">
        <v>1499</v>
      </c>
      <c r="E319" s="153" t="s">
        <v>1499</v>
      </c>
      <c r="F319" s="153" t="s">
        <v>1499</v>
      </c>
      <c r="G319" s="153"/>
      <c r="H319" s="153"/>
      <c r="I319" s="153"/>
      <c r="J319" s="153"/>
      <c r="K319" s="153"/>
      <c r="L319" s="153"/>
      <c r="M319" s="153"/>
      <c r="N319" s="153"/>
      <c r="O319" s="153"/>
      <c r="P319" s="153"/>
    </row>
    <row r="320" spans="1:16">
      <c r="A320" s="157" t="s">
        <v>1549</v>
      </c>
      <c r="B320" s="153" t="s">
        <v>1499</v>
      </c>
      <c r="C320" s="158">
        <v>33.1</v>
      </c>
      <c r="D320" s="158">
        <v>26.9</v>
      </c>
      <c r="E320" s="151">
        <v>31.1</v>
      </c>
      <c r="F320" s="158">
        <v>30.4</v>
      </c>
      <c r="G320" s="158">
        <v>30.4</v>
      </c>
      <c r="H320" s="158">
        <v>35.299999999999997</v>
      </c>
      <c r="I320" s="153">
        <v>46.8</v>
      </c>
      <c r="J320" s="153"/>
      <c r="K320" s="153"/>
      <c r="L320" s="153"/>
      <c r="M320" s="153"/>
      <c r="N320" s="153"/>
      <c r="O320" s="153"/>
      <c r="P320" s="153"/>
    </row>
    <row r="321" spans="1:16">
      <c r="A321" s="143" t="s">
        <v>1550</v>
      </c>
      <c r="B321" s="153" t="s">
        <v>1499</v>
      </c>
      <c r="C321" s="158" t="s">
        <v>1499</v>
      </c>
      <c r="D321" s="151">
        <v>33.9</v>
      </c>
      <c r="E321" s="151">
        <v>82.7</v>
      </c>
      <c r="F321" s="158">
        <v>100.6</v>
      </c>
      <c r="G321" s="158">
        <v>82.5</v>
      </c>
      <c r="H321" s="158">
        <v>162.69999999999999</v>
      </c>
      <c r="I321" s="153">
        <v>362.9</v>
      </c>
      <c r="J321" s="153"/>
      <c r="K321" s="153"/>
      <c r="L321" s="153"/>
      <c r="M321" s="153"/>
      <c r="N321" s="153"/>
      <c r="O321" s="153"/>
      <c r="P321" s="153"/>
    </row>
    <row r="322" spans="1:16">
      <c r="A322" s="143"/>
      <c r="B322" s="151"/>
      <c r="C322" s="151"/>
      <c r="D322" s="151"/>
      <c r="E322" s="151"/>
      <c r="F322" s="151"/>
      <c r="G322" s="151"/>
      <c r="H322" s="158"/>
      <c r="I322" s="153"/>
      <c r="J322" s="153"/>
      <c r="K322" s="153"/>
      <c r="L322" s="153"/>
      <c r="M322" s="153"/>
      <c r="N322" s="153"/>
      <c r="O322" s="153"/>
      <c r="P322" s="153"/>
    </row>
    <row r="323" spans="1:16">
      <c r="A323" s="161" t="s">
        <v>1551</v>
      </c>
      <c r="B323" s="150">
        <v>3434.3</v>
      </c>
      <c r="C323" s="150">
        <v>6204.9</v>
      </c>
      <c r="D323" s="150">
        <v>6275</v>
      </c>
      <c r="E323" s="150">
        <v>6046.5</v>
      </c>
      <c r="F323" s="150">
        <v>5581.6</v>
      </c>
      <c r="G323" s="150">
        <v>4437.1000000000004</v>
      </c>
      <c r="H323" s="150">
        <v>4418.3999999999996</v>
      </c>
      <c r="I323" s="150">
        <v>4756.1000000000004</v>
      </c>
      <c r="J323" s="150"/>
      <c r="K323" s="150"/>
      <c r="L323" s="150"/>
      <c r="M323" s="150"/>
      <c r="N323" s="150"/>
      <c r="O323" s="150"/>
      <c r="P323" s="150"/>
    </row>
    <row r="324" spans="1:16">
      <c r="A324" s="155"/>
      <c r="B324" s="151"/>
      <c r="C324" s="151"/>
      <c r="D324" s="151"/>
      <c r="E324" s="151"/>
      <c r="F324" s="151"/>
      <c r="G324" s="151"/>
      <c r="H324" s="158"/>
      <c r="I324" s="153"/>
      <c r="J324" s="153"/>
      <c r="K324" s="153"/>
      <c r="L324" s="153"/>
      <c r="M324" s="153"/>
      <c r="N324" s="153"/>
      <c r="O324" s="153"/>
      <c r="P324" s="153"/>
    </row>
    <row r="325" spans="1:16">
      <c r="A325" s="161" t="s">
        <v>214</v>
      </c>
      <c r="B325" s="150">
        <v>4271.6000000000004</v>
      </c>
      <c r="C325" s="150">
        <v>4913.1000000000004</v>
      </c>
      <c r="D325" s="150">
        <v>5358.7</v>
      </c>
      <c r="E325" s="150">
        <v>5745.2</v>
      </c>
      <c r="F325" s="150">
        <v>4138</v>
      </c>
      <c r="G325" s="150">
        <v>3640.9</v>
      </c>
      <c r="H325" s="150">
        <v>3557.9</v>
      </c>
      <c r="I325" s="150">
        <v>3873.4</v>
      </c>
      <c r="J325" s="150"/>
      <c r="K325" s="150"/>
      <c r="L325" s="150"/>
      <c r="M325" s="150"/>
      <c r="N325" s="150"/>
      <c r="O325" s="150"/>
      <c r="P325" s="150"/>
    </row>
    <row r="326" spans="1:16">
      <c r="A326" s="157" t="s">
        <v>222</v>
      </c>
      <c r="B326" s="153">
        <v>60</v>
      </c>
      <c r="C326" s="153">
        <v>367.2</v>
      </c>
      <c r="D326" s="153">
        <v>84.7</v>
      </c>
      <c r="E326" s="151">
        <v>400.3</v>
      </c>
      <c r="F326" s="151">
        <v>406.4</v>
      </c>
      <c r="G326" s="144"/>
      <c r="H326" s="144"/>
      <c r="I326" s="150"/>
      <c r="J326" s="150"/>
      <c r="K326" s="150"/>
      <c r="L326" s="153"/>
      <c r="M326" s="153"/>
      <c r="N326" s="153"/>
      <c r="O326" s="153"/>
      <c r="P326" s="153"/>
    </row>
    <row r="327" spans="1:16">
      <c r="A327" s="157" t="s">
        <v>223</v>
      </c>
      <c r="B327" s="153">
        <v>1138.8</v>
      </c>
      <c r="C327" s="153">
        <v>1440.4</v>
      </c>
      <c r="D327" s="153">
        <v>1531.1</v>
      </c>
      <c r="E327" s="151">
        <v>1946.4</v>
      </c>
      <c r="F327" s="151" t="s">
        <v>1499</v>
      </c>
      <c r="G327" s="144"/>
      <c r="H327" s="144"/>
      <c r="I327" s="150"/>
      <c r="J327" s="150"/>
      <c r="K327" s="150"/>
      <c r="L327" s="153"/>
      <c r="M327" s="153"/>
      <c r="N327" s="153"/>
      <c r="O327" s="153"/>
      <c r="P327" s="153"/>
    </row>
    <row r="328" spans="1:16">
      <c r="A328" s="143" t="s">
        <v>215</v>
      </c>
      <c r="B328" s="151">
        <v>820</v>
      </c>
      <c r="C328" s="151">
        <v>938.3</v>
      </c>
      <c r="D328" s="158">
        <v>896.1</v>
      </c>
      <c r="E328" s="151">
        <v>848.5</v>
      </c>
      <c r="F328" s="151">
        <v>877.9</v>
      </c>
      <c r="G328" s="151">
        <v>39.299999999999997</v>
      </c>
      <c r="H328" s="151">
        <v>84.4</v>
      </c>
      <c r="I328" s="153">
        <v>73.3</v>
      </c>
      <c r="J328" s="153"/>
      <c r="K328" s="153"/>
      <c r="L328" s="153"/>
      <c r="M328" s="153"/>
      <c r="N328" s="153"/>
      <c r="O328" s="153"/>
      <c r="P328" s="153"/>
    </row>
    <row r="329" spans="1:16">
      <c r="A329" s="143" t="s">
        <v>224</v>
      </c>
      <c r="B329" s="151">
        <v>67.099999999999994</v>
      </c>
      <c r="C329" s="151">
        <v>65.7</v>
      </c>
      <c r="D329" s="158">
        <v>72.5</v>
      </c>
      <c r="E329" s="151">
        <v>90.6</v>
      </c>
      <c r="F329" s="151">
        <v>97.2</v>
      </c>
      <c r="G329" s="151">
        <v>104.9</v>
      </c>
      <c r="H329" s="151">
        <v>136.30000000000001</v>
      </c>
      <c r="I329" s="153" t="s">
        <v>1499</v>
      </c>
      <c r="J329" s="153"/>
      <c r="K329" s="153"/>
      <c r="L329" s="153"/>
      <c r="M329" s="153"/>
      <c r="N329" s="153"/>
      <c r="O329" s="153"/>
      <c r="P329" s="153"/>
    </row>
    <row r="330" spans="1:16">
      <c r="A330" s="143" t="s">
        <v>225</v>
      </c>
      <c r="B330" s="151">
        <v>37.9</v>
      </c>
      <c r="C330" s="151">
        <v>45.8</v>
      </c>
      <c r="D330" s="158">
        <v>54</v>
      </c>
      <c r="E330" s="151">
        <v>65.900000000000006</v>
      </c>
      <c r="F330" s="151">
        <v>35</v>
      </c>
      <c r="G330" s="151">
        <v>82.4</v>
      </c>
      <c r="H330" s="151">
        <v>57.2</v>
      </c>
      <c r="I330" s="153">
        <v>148</v>
      </c>
      <c r="J330" s="153"/>
      <c r="K330" s="153"/>
      <c r="L330" s="153"/>
      <c r="M330" s="153"/>
      <c r="N330" s="153"/>
      <c r="O330" s="153"/>
      <c r="P330" s="153"/>
    </row>
    <row r="331" spans="1:16">
      <c r="A331" s="143" t="s">
        <v>226</v>
      </c>
      <c r="B331" s="151">
        <v>1645.9</v>
      </c>
      <c r="C331" s="151">
        <v>1529.9</v>
      </c>
      <c r="D331" s="158">
        <v>2101.3000000000002</v>
      </c>
      <c r="E331" s="151">
        <v>1775.2</v>
      </c>
      <c r="F331" s="151">
        <v>1961.9</v>
      </c>
      <c r="G331" s="151">
        <v>2533.8000000000002</v>
      </c>
      <c r="H331" s="151">
        <v>2306.1</v>
      </c>
      <c r="I331" s="153">
        <v>2538.5</v>
      </c>
      <c r="J331" s="153"/>
      <c r="K331" s="153"/>
      <c r="L331" s="153"/>
      <c r="M331" s="153"/>
      <c r="N331" s="153"/>
      <c r="O331" s="153"/>
      <c r="P331" s="153"/>
    </row>
    <row r="332" spans="1:16">
      <c r="A332" s="143" t="s">
        <v>216</v>
      </c>
      <c r="B332" s="153">
        <v>176.8</v>
      </c>
      <c r="C332" s="158">
        <v>204.2</v>
      </c>
      <c r="D332" s="158">
        <v>194.8</v>
      </c>
      <c r="E332" s="151">
        <v>216.1</v>
      </c>
      <c r="F332" s="158">
        <v>231.9</v>
      </c>
      <c r="G332" s="158">
        <v>264.39999999999998</v>
      </c>
      <c r="H332" s="158">
        <v>279.10000000000002</v>
      </c>
      <c r="I332" s="153">
        <v>600.6</v>
      </c>
      <c r="J332" s="153"/>
      <c r="K332" s="153"/>
      <c r="L332" s="153"/>
      <c r="M332" s="153"/>
      <c r="N332" s="153"/>
      <c r="O332" s="153"/>
      <c r="P332" s="153"/>
    </row>
    <row r="333" spans="1:16">
      <c r="A333" s="143" t="s">
        <v>217</v>
      </c>
      <c r="B333" s="153">
        <v>46.8</v>
      </c>
      <c r="C333" s="158">
        <v>49.5</v>
      </c>
      <c r="D333" s="158">
        <v>52.6</v>
      </c>
      <c r="E333" s="151">
        <v>77.900000000000006</v>
      </c>
      <c r="F333" s="158">
        <v>91.7</v>
      </c>
      <c r="G333" s="158">
        <v>91.6</v>
      </c>
      <c r="H333" s="158">
        <v>117.2</v>
      </c>
      <c r="I333" s="153">
        <v>109</v>
      </c>
      <c r="J333" s="153"/>
      <c r="K333" s="153"/>
      <c r="L333" s="153"/>
      <c r="M333" s="153"/>
      <c r="N333" s="153"/>
      <c r="O333" s="153"/>
      <c r="P333" s="153"/>
    </row>
    <row r="334" spans="1:16">
      <c r="A334" s="143" t="s">
        <v>227</v>
      </c>
      <c r="B334" s="153">
        <v>120.7</v>
      </c>
      <c r="C334" s="158">
        <v>113.4</v>
      </c>
      <c r="D334" s="158">
        <v>162.9</v>
      </c>
      <c r="E334" s="151">
        <v>81</v>
      </c>
      <c r="F334" s="158">
        <v>157.19999999999999</v>
      </c>
      <c r="G334" s="158">
        <v>192.3</v>
      </c>
      <c r="H334" s="158">
        <v>292.8</v>
      </c>
      <c r="I334" s="153">
        <v>130.1</v>
      </c>
      <c r="J334" s="153"/>
      <c r="K334" s="153"/>
      <c r="L334" s="153"/>
      <c r="M334" s="153"/>
      <c r="N334" s="153"/>
      <c r="O334" s="153"/>
      <c r="P334" s="153"/>
    </row>
    <row r="335" spans="1:16">
      <c r="A335" s="143" t="s">
        <v>228</v>
      </c>
      <c r="B335" s="153">
        <v>59.6</v>
      </c>
      <c r="C335" s="158">
        <v>66.3</v>
      </c>
      <c r="D335" s="158">
        <v>72.099999999999994</v>
      </c>
      <c r="E335" s="151">
        <v>79.2</v>
      </c>
      <c r="F335" s="158">
        <v>86.8</v>
      </c>
      <c r="G335" s="158">
        <v>93.8</v>
      </c>
      <c r="H335" s="158">
        <v>48.2</v>
      </c>
      <c r="I335" s="153" t="s">
        <v>1499</v>
      </c>
      <c r="J335" s="153"/>
      <c r="K335" s="153"/>
      <c r="L335" s="153"/>
      <c r="M335" s="153"/>
      <c r="N335" s="153"/>
      <c r="O335" s="153"/>
      <c r="P335" s="153"/>
    </row>
    <row r="336" spans="1:16">
      <c r="A336" s="143" t="s">
        <v>229</v>
      </c>
      <c r="B336" s="153">
        <v>96.9</v>
      </c>
      <c r="C336" s="158">
        <v>91.3</v>
      </c>
      <c r="D336" s="158">
        <v>100</v>
      </c>
      <c r="E336" s="151">
        <v>108.7</v>
      </c>
      <c r="F336" s="158">
        <v>134.9</v>
      </c>
      <c r="G336" s="158">
        <v>178.1</v>
      </c>
      <c r="H336" s="158">
        <v>180.4</v>
      </c>
      <c r="I336" s="153">
        <v>219</v>
      </c>
      <c r="J336" s="153"/>
      <c r="K336" s="153"/>
      <c r="L336" s="153"/>
      <c r="M336" s="153"/>
      <c r="N336" s="153"/>
      <c r="O336" s="153"/>
      <c r="P336" s="153"/>
    </row>
    <row r="337" spans="1:16">
      <c r="A337" s="157" t="s">
        <v>218</v>
      </c>
      <c r="B337" s="153">
        <v>1.1000000000000001</v>
      </c>
      <c r="C337" s="158">
        <v>1.1000000000000001</v>
      </c>
      <c r="D337" s="158">
        <v>36.6</v>
      </c>
      <c r="E337" s="151">
        <v>55.4</v>
      </c>
      <c r="F337" s="151">
        <v>57.1</v>
      </c>
      <c r="G337" s="151">
        <v>60.3</v>
      </c>
      <c r="H337" s="151">
        <v>56.2</v>
      </c>
      <c r="I337" s="153">
        <v>54.9</v>
      </c>
      <c r="J337" s="153"/>
      <c r="K337" s="153"/>
      <c r="L337" s="153"/>
      <c r="M337" s="153"/>
      <c r="N337" s="153"/>
      <c r="O337" s="153"/>
      <c r="P337" s="153"/>
    </row>
    <row r="338" spans="1:16">
      <c r="A338" s="143"/>
      <c r="B338" s="151"/>
      <c r="C338" s="151"/>
      <c r="D338" s="158"/>
      <c r="E338" s="151"/>
      <c r="F338" s="151"/>
      <c r="G338" s="151"/>
      <c r="H338" s="158"/>
      <c r="I338" s="153"/>
      <c r="J338" s="153"/>
      <c r="K338" s="153"/>
      <c r="L338" s="153"/>
      <c r="M338" s="153"/>
      <c r="N338" s="153"/>
      <c r="O338" s="153"/>
      <c r="P338" s="153"/>
    </row>
    <row r="339" spans="1:16">
      <c r="A339" s="149" t="s">
        <v>67</v>
      </c>
      <c r="B339" s="150">
        <v>-837.3</v>
      </c>
      <c r="C339" s="150">
        <v>1291.8</v>
      </c>
      <c r="D339" s="150">
        <v>916.3</v>
      </c>
      <c r="E339" s="150">
        <v>301.3</v>
      </c>
      <c r="F339" s="150">
        <v>1443.6</v>
      </c>
      <c r="G339" s="150">
        <v>796.2</v>
      </c>
      <c r="H339" s="150">
        <v>860.5</v>
      </c>
      <c r="I339" s="150">
        <v>825.3</v>
      </c>
      <c r="J339" s="150"/>
      <c r="K339" s="150"/>
      <c r="L339" s="150"/>
      <c r="M339" s="150"/>
      <c r="N339" s="150"/>
      <c r="O339" s="150"/>
      <c r="P339" s="150"/>
    </row>
    <row r="340" spans="1:16">
      <c r="A340" s="157" t="s">
        <v>68</v>
      </c>
      <c r="B340" s="153">
        <v>-837.3</v>
      </c>
      <c r="C340" s="158">
        <v>1291.8</v>
      </c>
      <c r="D340" s="158">
        <v>916.3</v>
      </c>
      <c r="E340" s="151">
        <v>301.3</v>
      </c>
      <c r="F340" s="158">
        <v>1443.6</v>
      </c>
      <c r="G340" s="158">
        <v>796.2</v>
      </c>
      <c r="H340" s="158">
        <v>860.5</v>
      </c>
      <c r="I340" s="153">
        <v>825.3</v>
      </c>
      <c r="J340" s="153"/>
      <c r="K340" s="153"/>
      <c r="L340" s="153"/>
      <c r="M340" s="153"/>
      <c r="N340" s="153"/>
      <c r="O340" s="153"/>
      <c r="P340" s="153"/>
    </row>
    <row r="341" spans="1:16">
      <c r="A341" s="157"/>
      <c r="B341" s="153"/>
      <c r="C341" s="158"/>
      <c r="D341" s="158"/>
      <c r="E341" s="151"/>
      <c r="F341" s="158"/>
      <c r="G341" s="158"/>
      <c r="H341" s="158"/>
      <c r="I341" s="153"/>
      <c r="J341" s="153"/>
      <c r="K341" s="153"/>
      <c r="L341" s="153"/>
      <c r="M341" s="153"/>
      <c r="N341" s="153"/>
      <c r="O341" s="153"/>
      <c r="P341" s="153"/>
    </row>
    <row r="342" spans="1:16">
      <c r="A342" s="161" t="s">
        <v>230</v>
      </c>
      <c r="B342" s="150">
        <v>0</v>
      </c>
      <c r="C342" s="150">
        <v>0</v>
      </c>
      <c r="D342" s="150">
        <v>0</v>
      </c>
      <c r="E342" s="150">
        <v>0</v>
      </c>
      <c r="F342" s="150">
        <v>0</v>
      </c>
      <c r="G342" s="171">
        <v>0</v>
      </c>
      <c r="H342" s="171">
        <v>0</v>
      </c>
      <c r="I342" s="171">
        <v>57.4</v>
      </c>
      <c r="J342" s="172"/>
      <c r="K342" s="172"/>
      <c r="L342" s="172"/>
      <c r="M342" s="172"/>
      <c r="N342" s="172"/>
      <c r="O342" s="172"/>
      <c r="P342" s="172"/>
    </row>
    <row r="343" spans="1:16">
      <c r="A343" s="157" t="s">
        <v>861</v>
      </c>
      <c r="B343" s="153"/>
      <c r="C343" s="158"/>
      <c r="D343" s="158"/>
      <c r="E343" s="151"/>
      <c r="F343" s="158"/>
      <c r="G343" s="158" t="s">
        <v>1499</v>
      </c>
      <c r="H343" s="158" t="s">
        <v>1499</v>
      </c>
      <c r="I343" s="153">
        <v>57.4</v>
      </c>
      <c r="J343" s="153"/>
      <c r="K343" s="153"/>
      <c r="L343" s="153"/>
      <c r="M343" s="153"/>
      <c r="N343" s="153"/>
      <c r="O343" s="153"/>
      <c r="P343" s="153"/>
    </row>
    <row r="344" spans="1:16">
      <c r="A344" s="157"/>
      <c r="B344" s="153"/>
      <c r="C344" s="158"/>
      <c r="D344" s="158"/>
      <c r="E344" s="151"/>
      <c r="F344" s="158"/>
      <c r="G344" s="158"/>
      <c r="H344" s="158"/>
      <c r="I344" s="153"/>
      <c r="J344" s="153"/>
      <c r="K344" s="153"/>
      <c r="L344" s="153"/>
      <c r="M344" s="153"/>
      <c r="N344" s="153"/>
      <c r="O344" s="153"/>
      <c r="P344" s="153"/>
    </row>
    <row r="345" spans="1:16">
      <c r="A345" s="161" t="s">
        <v>232</v>
      </c>
      <c r="B345" s="150">
        <v>0</v>
      </c>
      <c r="C345" s="150">
        <v>0</v>
      </c>
      <c r="D345" s="150">
        <v>0</v>
      </c>
      <c r="E345" s="150">
        <v>0</v>
      </c>
      <c r="F345" s="150">
        <v>0</v>
      </c>
      <c r="G345" s="150">
        <v>0</v>
      </c>
      <c r="H345" s="150">
        <v>0</v>
      </c>
      <c r="I345" s="150">
        <v>0</v>
      </c>
      <c r="J345" s="150"/>
      <c r="K345" s="150"/>
      <c r="L345" s="150"/>
      <c r="M345" s="150"/>
      <c r="N345" s="150"/>
      <c r="O345" s="150"/>
      <c r="P345" s="150"/>
    </row>
    <row r="346" spans="1:16">
      <c r="A346" s="157"/>
      <c r="B346" s="153"/>
      <c r="C346" s="158"/>
      <c r="D346" s="158"/>
      <c r="E346" s="151"/>
      <c r="F346" s="158"/>
      <c r="G346" s="158"/>
      <c r="H346" s="158"/>
      <c r="I346" s="153"/>
      <c r="J346" s="153"/>
      <c r="K346" s="153"/>
      <c r="L346" s="153"/>
      <c r="M346" s="153"/>
      <c r="N346" s="153"/>
      <c r="O346" s="153"/>
      <c r="P346" s="153"/>
    </row>
    <row r="347" spans="1:16">
      <c r="A347" s="161" t="s">
        <v>233</v>
      </c>
      <c r="B347" s="150">
        <v>0</v>
      </c>
      <c r="C347" s="150">
        <v>0</v>
      </c>
      <c r="D347" s="150">
        <v>0</v>
      </c>
      <c r="E347" s="150">
        <v>0</v>
      </c>
      <c r="F347" s="150">
        <v>0</v>
      </c>
      <c r="G347" s="150">
        <v>0</v>
      </c>
      <c r="H347" s="150">
        <v>0</v>
      </c>
      <c r="I347" s="150">
        <v>0</v>
      </c>
      <c r="J347" s="150"/>
      <c r="K347" s="150"/>
      <c r="L347" s="150"/>
      <c r="M347" s="150"/>
      <c r="N347" s="150"/>
      <c r="O347" s="150"/>
      <c r="P347" s="150"/>
    </row>
    <row r="348" spans="1:16">
      <c r="A348" s="157" t="s">
        <v>234</v>
      </c>
      <c r="B348" s="153"/>
      <c r="C348" s="158"/>
      <c r="D348" s="158"/>
      <c r="E348" s="151"/>
      <c r="F348" s="158"/>
      <c r="G348" s="158"/>
      <c r="H348" s="158"/>
      <c r="I348" s="153"/>
      <c r="J348" s="153"/>
      <c r="K348" s="153"/>
      <c r="L348" s="153"/>
      <c r="M348" s="153"/>
      <c r="N348" s="153"/>
      <c r="O348" s="153"/>
      <c r="P348" s="153"/>
    </row>
    <row r="349" spans="1:16">
      <c r="A349" s="157" t="s">
        <v>156</v>
      </c>
      <c r="B349" s="153"/>
      <c r="C349" s="158"/>
      <c r="D349" s="158"/>
      <c r="E349" s="151"/>
      <c r="F349" s="158"/>
      <c r="G349" s="158"/>
      <c r="H349" s="158"/>
      <c r="I349" s="153"/>
      <c r="J349" s="153"/>
      <c r="K349" s="153"/>
      <c r="L349" s="153"/>
      <c r="M349" s="153"/>
      <c r="N349" s="153"/>
      <c r="O349" s="153"/>
      <c r="P349" s="153"/>
    </row>
    <row r="350" spans="1:16">
      <c r="A350" s="157"/>
      <c r="B350" s="153"/>
      <c r="C350" s="158"/>
      <c r="D350" s="158"/>
      <c r="E350" s="151"/>
      <c r="F350" s="158"/>
      <c r="G350" s="158"/>
      <c r="H350" s="158"/>
      <c r="I350" s="153"/>
      <c r="J350" s="153"/>
      <c r="K350" s="153"/>
      <c r="L350" s="153"/>
      <c r="M350" s="153"/>
      <c r="N350" s="153"/>
      <c r="O350" s="153"/>
      <c r="P350" s="153"/>
    </row>
    <row r="351" spans="1:16">
      <c r="A351" s="161" t="s">
        <v>235</v>
      </c>
      <c r="B351" s="150">
        <v>0</v>
      </c>
      <c r="C351" s="150">
        <v>0</v>
      </c>
      <c r="D351" s="150">
        <v>0</v>
      </c>
      <c r="E351" s="150">
        <v>0</v>
      </c>
      <c r="F351" s="150">
        <v>0</v>
      </c>
      <c r="G351" s="150">
        <v>0</v>
      </c>
      <c r="H351" s="150">
        <v>0</v>
      </c>
      <c r="I351" s="150">
        <v>0</v>
      </c>
      <c r="J351" s="150"/>
      <c r="K351" s="150"/>
      <c r="L351" s="150"/>
      <c r="M351" s="150"/>
      <c r="N351" s="150"/>
      <c r="O351" s="150"/>
      <c r="P351" s="150"/>
    </row>
    <row r="352" spans="1:16">
      <c r="A352" s="157" t="s">
        <v>202</v>
      </c>
      <c r="B352" s="153"/>
      <c r="C352" s="158"/>
      <c r="D352" s="158"/>
      <c r="E352" s="151"/>
      <c r="F352" s="158"/>
      <c r="G352" s="158"/>
      <c r="H352" s="158"/>
      <c r="I352" s="153"/>
      <c r="J352" s="153"/>
      <c r="K352" s="153"/>
      <c r="L352" s="153"/>
      <c r="M352" s="153"/>
      <c r="N352" s="153"/>
      <c r="O352" s="153"/>
      <c r="P352" s="153"/>
    </row>
    <row r="353" spans="1:16">
      <c r="A353" s="157"/>
      <c r="B353" s="151"/>
      <c r="C353" s="151"/>
      <c r="D353" s="158"/>
      <c r="E353" s="151"/>
      <c r="F353" s="151"/>
      <c r="G353" s="151"/>
      <c r="H353" s="158"/>
      <c r="I353" s="153"/>
      <c r="J353" s="153"/>
      <c r="K353" s="153"/>
      <c r="L353" s="153"/>
      <c r="M353" s="153"/>
      <c r="N353" s="153"/>
      <c r="O353" s="153"/>
      <c r="P353" s="153"/>
    </row>
    <row r="354" spans="1:16" ht="13.5" thickBot="1">
      <c r="A354" s="162" t="s">
        <v>203</v>
      </c>
      <c r="B354" s="164">
        <v>155286.79999999999</v>
      </c>
      <c r="C354" s="164">
        <v>167131.5</v>
      </c>
      <c r="D354" s="164">
        <v>191279.7</v>
      </c>
      <c r="E354" s="164">
        <v>221165.3</v>
      </c>
      <c r="F354" s="164">
        <v>260596.3</v>
      </c>
      <c r="G354" s="164">
        <v>275098.90000000002</v>
      </c>
      <c r="H354" s="164">
        <v>320105.8</v>
      </c>
      <c r="I354" s="164">
        <v>332551.59999999998</v>
      </c>
      <c r="J354" s="145"/>
      <c r="K354" s="145"/>
      <c r="L354" s="145"/>
      <c r="M354" s="145"/>
      <c r="N354" s="145"/>
      <c r="O354" s="145"/>
      <c r="P354" s="145"/>
    </row>
    <row r="355" spans="1:16">
      <c r="A355" s="138" t="s">
        <v>376</v>
      </c>
      <c r="B355" s="151"/>
      <c r="C355" s="151"/>
      <c r="D355" s="152"/>
      <c r="E355" s="151"/>
      <c r="F355" s="147"/>
      <c r="G355" s="147"/>
      <c r="H355" s="145"/>
      <c r="I355" s="146"/>
      <c r="J355" s="145"/>
      <c r="K355" s="145"/>
      <c r="L355" s="145"/>
      <c r="M355" s="145"/>
      <c r="N355" s="145"/>
      <c r="O355" s="145"/>
      <c r="P355" s="145"/>
    </row>
    <row r="356" spans="1:16">
      <c r="A356" s="160"/>
      <c r="B356" s="151"/>
      <c r="C356" s="151"/>
      <c r="D356" s="152"/>
      <c r="E356" s="151"/>
      <c r="F356" s="147"/>
      <c r="G356" s="147"/>
      <c r="H356" s="145"/>
      <c r="I356" s="146"/>
      <c r="J356" s="146"/>
      <c r="K356" s="146"/>
      <c r="L356" s="146"/>
      <c r="M356" s="146"/>
      <c r="N356" s="146"/>
      <c r="O356" s="146"/>
      <c r="P356" s="146"/>
    </row>
    <row r="357" spans="1:16">
      <c r="A357" s="143"/>
      <c r="B357" s="151"/>
      <c r="C357" s="151"/>
      <c r="D357" s="152"/>
      <c r="E357" s="148"/>
      <c r="F357" s="147"/>
      <c r="G357" s="147"/>
      <c r="H357" s="145"/>
      <c r="I357" s="146"/>
      <c r="J357" s="146"/>
      <c r="K357" s="146"/>
      <c r="L357" s="146"/>
      <c r="M357" s="146"/>
      <c r="N357" s="146"/>
      <c r="O357" s="146"/>
      <c r="P357" s="146"/>
    </row>
    <row r="358" spans="1:16">
      <c r="A358" s="143"/>
      <c r="B358" s="151"/>
      <c r="C358" s="151"/>
      <c r="D358" s="152"/>
      <c r="E358" s="151"/>
      <c r="F358" s="147"/>
      <c r="G358" s="147"/>
      <c r="H358" s="145"/>
      <c r="I358" s="146"/>
      <c r="J358" s="146"/>
      <c r="K358" s="146"/>
      <c r="L358" s="146"/>
      <c r="M358" s="146"/>
      <c r="N358" s="146"/>
      <c r="O358" s="146"/>
      <c r="P358" s="146"/>
    </row>
    <row r="359" spans="1:16">
      <c r="A359" s="143"/>
      <c r="B359" s="151"/>
      <c r="C359" s="151"/>
      <c r="D359" s="152"/>
      <c r="E359" s="152"/>
      <c r="F359" s="151"/>
      <c r="G359" s="151"/>
      <c r="H359" s="145"/>
      <c r="I359" s="146"/>
      <c r="J359" s="146"/>
      <c r="K359" s="146"/>
      <c r="L359" s="146"/>
      <c r="M359" s="146"/>
      <c r="N359" s="146"/>
      <c r="O359" s="146"/>
      <c r="P359" s="146"/>
    </row>
    <row r="360" spans="1:16">
      <c r="A360" s="143"/>
      <c r="B360" s="151"/>
      <c r="C360" s="151"/>
      <c r="D360" s="152"/>
      <c r="E360" s="152"/>
      <c r="F360" s="151"/>
      <c r="G360" s="151"/>
      <c r="H360" s="145"/>
      <c r="I360" s="146"/>
      <c r="J360" s="146"/>
      <c r="K360" s="146"/>
      <c r="L360" s="146"/>
      <c r="M360" s="146"/>
      <c r="N360" s="146"/>
      <c r="O360" s="146"/>
      <c r="P360" s="146"/>
    </row>
    <row r="361" spans="1:16">
      <c r="A361" s="143"/>
      <c r="B361" s="151"/>
      <c r="C361" s="151"/>
      <c r="D361" s="152"/>
      <c r="E361" s="152"/>
      <c r="F361" s="151"/>
      <c r="G361" s="151"/>
      <c r="H361" s="145"/>
      <c r="I361" s="146"/>
      <c r="J361" s="146"/>
      <c r="K361" s="146"/>
      <c r="L361" s="146"/>
      <c r="M361" s="146"/>
      <c r="N361" s="146"/>
      <c r="O361" s="146"/>
      <c r="P361" s="146"/>
    </row>
    <row r="362" spans="1:16">
      <c r="A362" s="157"/>
      <c r="B362" s="151"/>
      <c r="C362" s="151"/>
      <c r="D362" s="152"/>
      <c r="E362" s="152"/>
      <c r="F362" s="151"/>
      <c r="G362" s="151"/>
      <c r="H362" s="145"/>
      <c r="I362" s="146"/>
      <c r="J362" s="146"/>
      <c r="K362" s="146"/>
      <c r="L362" s="146"/>
      <c r="M362" s="146"/>
      <c r="N362" s="146"/>
      <c r="O362" s="146"/>
      <c r="P362" s="146"/>
    </row>
    <row r="363" spans="1:16">
      <c r="A363" s="157"/>
      <c r="B363" s="151"/>
      <c r="C363" s="151"/>
      <c r="D363" s="152"/>
      <c r="E363" s="152"/>
      <c r="F363" s="151"/>
      <c r="G363" s="151"/>
      <c r="H363" s="145"/>
      <c r="I363" s="146"/>
      <c r="J363" s="146"/>
      <c r="K363" s="146"/>
      <c r="L363" s="146"/>
      <c r="M363" s="146"/>
      <c r="N363" s="146"/>
      <c r="O363" s="146"/>
      <c r="P363" s="146"/>
    </row>
    <row r="364" spans="1:16">
      <c r="A364" s="157"/>
      <c r="B364" s="151"/>
      <c r="C364" s="151"/>
      <c r="D364" s="152"/>
      <c r="E364" s="152"/>
      <c r="F364" s="151"/>
      <c r="G364" s="151"/>
      <c r="H364" s="145"/>
      <c r="I364" s="146"/>
      <c r="J364" s="146"/>
      <c r="K364" s="146"/>
      <c r="L364" s="146"/>
      <c r="M364" s="146"/>
      <c r="N364" s="146"/>
      <c r="O364" s="146"/>
      <c r="P364" s="146"/>
    </row>
    <row r="365" spans="1:16">
      <c r="A365" s="157"/>
      <c r="B365" s="151"/>
      <c r="C365" s="151"/>
      <c r="D365" s="152"/>
      <c r="E365" s="152"/>
      <c r="F365" s="151"/>
      <c r="G365" s="151"/>
      <c r="H365" s="145"/>
      <c r="I365" s="146"/>
      <c r="J365" s="146"/>
      <c r="K365" s="146"/>
      <c r="L365" s="146"/>
      <c r="M365" s="146"/>
      <c r="N365" s="146"/>
      <c r="O365" s="146"/>
      <c r="P365" s="146"/>
    </row>
    <row r="366" spans="1:16">
      <c r="A366" s="157"/>
      <c r="B366" s="151"/>
      <c r="C366" s="151"/>
      <c r="D366" s="152"/>
      <c r="E366" s="152"/>
      <c r="F366" s="151"/>
      <c r="G366" s="151"/>
      <c r="H366" s="145"/>
      <c r="I366" s="146"/>
      <c r="J366" s="146"/>
      <c r="K366" s="146"/>
      <c r="L366" s="146"/>
      <c r="M366" s="146"/>
      <c r="N366" s="146"/>
      <c r="O366" s="146"/>
      <c r="P366" s="146"/>
    </row>
    <row r="367" spans="1:16">
      <c r="A367" s="157"/>
      <c r="B367" s="151"/>
      <c r="C367" s="151"/>
      <c r="D367" s="152"/>
      <c r="E367" s="152"/>
      <c r="F367" s="151"/>
      <c r="G367" s="151"/>
      <c r="H367" s="145"/>
      <c r="I367" s="146"/>
      <c r="J367" s="146"/>
      <c r="K367" s="146"/>
      <c r="L367" s="146"/>
      <c r="M367" s="146"/>
      <c r="N367" s="146"/>
      <c r="O367" s="146"/>
      <c r="P367" s="146"/>
    </row>
    <row r="368" spans="1:16">
      <c r="A368" s="157"/>
      <c r="B368" s="151"/>
      <c r="C368" s="151"/>
      <c r="D368" s="152"/>
      <c r="E368" s="152"/>
      <c r="F368" s="151"/>
      <c r="G368" s="151"/>
      <c r="H368" s="145"/>
      <c r="I368" s="146"/>
      <c r="J368" s="146"/>
      <c r="K368" s="146"/>
      <c r="L368" s="146"/>
      <c r="M368" s="146"/>
      <c r="N368" s="146"/>
      <c r="O368" s="146"/>
      <c r="P368" s="146"/>
    </row>
    <row r="369" spans="1:16">
      <c r="A369" s="157"/>
      <c r="B369" s="151"/>
      <c r="C369" s="151"/>
      <c r="D369" s="152"/>
      <c r="E369" s="152"/>
      <c r="F369" s="151"/>
      <c r="G369" s="151"/>
      <c r="H369" s="145"/>
      <c r="I369" s="146"/>
      <c r="J369" s="146"/>
      <c r="K369" s="146"/>
      <c r="L369" s="146"/>
      <c r="M369" s="146"/>
      <c r="N369" s="146"/>
      <c r="O369" s="146"/>
      <c r="P369" s="146"/>
    </row>
    <row r="370" spans="1:16">
      <c r="A370" s="157"/>
      <c r="B370" s="151"/>
      <c r="C370" s="151"/>
      <c r="D370" s="152"/>
      <c r="E370" s="152"/>
      <c r="F370" s="151"/>
      <c r="G370" s="151"/>
      <c r="H370" s="145"/>
      <c r="I370" s="146"/>
      <c r="J370" s="146"/>
      <c r="K370" s="146"/>
      <c r="L370" s="146"/>
      <c r="M370" s="146"/>
      <c r="N370" s="146"/>
      <c r="O370" s="146"/>
      <c r="P370" s="146"/>
    </row>
    <row r="371" spans="1:16">
      <c r="A371" s="157"/>
      <c r="B371" s="151"/>
      <c r="C371" s="151"/>
      <c r="D371" s="152"/>
      <c r="E371" s="152"/>
      <c r="F371" s="151"/>
      <c r="G371" s="151"/>
      <c r="H371" s="145"/>
      <c r="I371" s="146"/>
      <c r="J371" s="146"/>
      <c r="K371" s="146"/>
      <c r="L371" s="146"/>
      <c r="M371" s="146"/>
      <c r="N371" s="146"/>
      <c r="O371" s="146"/>
      <c r="P371" s="146"/>
    </row>
    <row r="372" spans="1:16">
      <c r="A372" s="157"/>
      <c r="B372" s="151"/>
      <c r="C372" s="151"/>
      <c r="D372" s="152"/>
      <c r="E372" s="152"/>
      <c r="F372" s="151"/>
      <c r="G372" s="151"/>
      <c r="H372" s="145"/>
      <c r="I372" s="146"/>
      <c r="J372" s="146"/>
      <c r="K372" s="146"/>
      <c r="L372" s="146"/>
      <c r="M372" s="146"/>
      <c r="N372" s="146"/>
      <c r="O372" s="146"/>
      <c r="P372" s="146"/>
    </row>
    <row r="373" spans="1:16">
      <c r="A373" s="157"/>
      <c r="B373" s="151"/>
      <c r="C373" s="151"/>
      <c r="D373" s="152"/>
      <c r="E373" s="152"/>
      <c r="F373" s="151"/>
      <c r="G373" s="151"/>
      <c r="H373" s="145"/>
      <c r="I373" s="146"/>
      <c r="J373" s="146"/>
      <c r="K373" s="146"/>
      <c r="L373" s="146"/>
      <c r="M373" s="146"/>
      <c r="N373" s="146"/>
      <c r="O373" s="146"/>
      <c r="P373" s="146"/>
    </row>
    <row r="374" spans="1:16">
      <c r="A374" s="157"/>
      <c r="B374" s="151"/>
      <c r="C374" s="151"/>
      <c r="D374" s="152"/>
      <c r="E374" s="152"/>
      <c r="F374" s="151"/>
      <c r="G374" s="151"/>
      <c r="H374" s="145"/>
      <c r="I374" s="146"/>
      <c r="J374" s="146"/>
      <c r="K374" s="146"/>
      <c r="L374" s="146"/>
      <c r="M374" s="146"/>
      <c r="N374" s="146"/>
      <c r="O374" s="146"/>
      <c r="P374" s="146"/>
    </row>
    <row r="375" spans="1:16">
      <c r="A375" s="157"/>
      <c r="B375" s="151"/>
      <c r="C375" s="151"/>
      <c r="D375" s="152"/>
      <c r="E375" s="152"/>
      <c r="F375" s="151"/>
      <c r="G375" s="151"/>
      <c r="H375" s="145"/>
      <c r="I375" s="146"/>
      <c r="J375" s="146"/>
      <c r="K375" s="146"/>
      <c r="L375" s="146"/>
      <c r="M375" s="146"/>
      <c r="N375" s="146"/>
      <c r="O375" s="146"/>
      <c r="P375" s="146"/>
    </row>
    <row r="376" spans="1:16">
      <c r="A376" s="157"/>
      <c r="B376" s="151"/>
      <c r="C376" s="151"/>
      <c r="D376" s="152"/>
      <c r="E376" s="152"/>
      <c r="F376" s="151"/>
      <c r="G376" s="151"/>
      <c r="H376" s="145"/>
      <c r="I376" s="146"/>
      <c r="J376" s="146"/>
      <c r="K376" s="146"/>
      <c r="L376" s="146"/>
      <c r="M376" s="146"/>
      <c r="N376" s="146"/>
      <c r="O376" s="146"/>
      <c r="P376" s="146"/>
    </row>
    <row r="377" spans="1:16">
      <c r="A377" s="157"/>
      <c r="B377" s="151"/>
      <c r="C377" s="151"/>
      <c r="D377" s="152"/>
      <c r="E377" s="152"/>
      <c r="F377" s="151"/>
      <c r="G377" s="151"/>
      <c r="H377" s="145"/>
      <c r="I377" s="146"/>
      <c r="J377" s="146"/>
      <c r="K377" s="146"/>
      <c r="L377" s="146"/>
      <c r="M377" s="146"/>
      <c r="N377" s="146"/>
      <c r="O377" s="146"/>
      <c r="P377" s="146"/>
    </row>
    <row r="378" spans="1:16">
      <c r="A378" s="157"/>
      <c r="B378" s="151"/>
      <c r="C378" s="151"/>
      <c r="D378" s="152"/>
      <c r="E378" s="152"/>
      <c r="F378" s="151"/>
      <c r="G378" s="151"/>
      <c r="H378" s="145"/>
      <c r="I378" s="146"/>
      <c r="J378" s="146"/>
      <c r="K378" s="146"/>
      <c r="L378" s="146"/>
      <c r="M378" s="146"/>
      <c r="N378" s="146"/>
      <c r="O378" s="146"/>
      <c r="P378" s="146"/>
    </row>
    <row r="379" spans="1:16">
      <c r="A379" s="157"/>
      <c r="B379" s="151"/>
      <c r="C379" s="151"/>
      <c r="D379" s="152"/>
      <c r="E379" s="152"/>
      <c r="F379" s="151"/>
      <c r="G379" s="151"/>
      <c r="H379" s="145"/>
      <c r="I379" s="146"/>
      <c r="J379" s="146"/>
      <c r="K379" s="146"/>
      <c r="L379" s="146"/>
      <c r="M379" s="146"/>
      <c r="N379" s="146"/>
      <c r="O379" s="146"/>
      <c r="P379" s="146"/>
    </row>
    <row r="380" spans="1:16">
      <c r="A380" s="157"/>
      <c r="B380" s="151"/>
      <c r="C380" s="151"/>
      <c r="D380" s="152"/>
      <c r="E380" s="152"/>
      <c r="F380" s="151"/>
      <c r="G380" s="151"/>
      <c r="H380" s="145"/>
      <c r="I380" s="146"/>
      <c r="J380" s="146"/>
      <c r="K380" s="146"/>
      <c r="L380" s="146"/>
      <c r="M380" s="146"/>
      <c r="N380" s="146"/>
      <c r="O380" s="146"/>
      <c r="P380" s="146"/>
    </row>
    <row r="381" spans="1:16">
      <c r="A381" s="157"/>
      <c r="B381" s="151"/>
      <c r="C381" s="151"/>
      <c r="D381" s="152"/>
      <c r="E381" s="152"/>
      <c r="F381" s="151"/>
      <c r="G381" s="151"/>
      <c r="H381" s="145"/>
      <c r="I381" s="146"/>
      <c r="J381" s="146"/>
      <c r="K381" s="146"/>
      <c r="L381" s="146"/>
      <c r="M381" s="146"/>
      <c r="N381" s="146"/>
      <c r="O381" s="146"/>
      <c r="P381" s="146"/>
    </row>
    <row r="382" spans="1:16">
      <c r="A382" s="157"/>
      <c r="B382" s="151"/>
      <c r="C382" s="151"/>
      <c r="D382" s="152"/>
      <c r="E382" s="152"/>
      <c r="F382" s="151"/>
      <c r="G382" s="151"/>
      <c r="H382" s="145"/>
      <c r="I382" s="146"/>
      <c r="J382" s="146"/>
      <c r="K382" s="146"/>
      <c r="L382" s="146"/>
      <c r="M382" s="146"/>
      <c r="N382" s="146"/>
      <c r="O382" s="146"/>
      <c r="P382" s="146"/>
    </row>
    <row r="383" spans="1:16">
      <c r="A383" s="142"/>
      <c r="B383" s="151"/>
      <c r="C383" s="151"/>
      <c r="D383" s="152"/>
      <c r="E383" s="152"/>
      <c r="F383" s="151"/>
      <c r="G383" s="151"/>
      <c r="H383" s="145"/>
      <c r="I383" s="146"/>
      <c r="J383" s="146"/>
      <c r="K383" s="146"/>
      <c r="L383" s="146"/>
      <c r="M383" s="146"/>
      <c r="N383" s="146"/>
      <c r="O383" s="146"/>
      <c r="P383" s="146"/>
    </row>
    <row r="384" spans="1:16">
      <c r="A384" s="143"/>
      <c r="B384" s="151"/>
      <c r="C384" s="151"/>
      <c r="D384" s="152"/>
      <c r="E384" s="152"/>
      <c r="F384" s="151"/>
      <c r="G384" s="151"/>
      <c r="H384" s="145"/>
      <c r="I384" s="146"/>
      <c r="J384" s="146"/>
      <c r="K384" s="146"/>
      <c r="L384" s="146"/>
      <c r="M384" s="146"/>
      <c r="N384" s="146"/>
      <c r="O384" s="146"/>
      <c r="P384" s="146"/>
    </row>
    <row r="385" spans="1:16">
      <c r="A385" s="143"/>
      <c r="B385" s="151"/>
      <c r="C385" s="151"/>
      <c r="D385" s="152"/>
      <c r="E385" s="152"/>
      <c r="F385" s="151"/>
      <c r="G385" s="151"/>
      <c r="H385" s="145"/>
      <c r="I385" s="146"/>
      <c r="J385" s="146"/>
      <c r="K385" s="146"/>
      <c r="L385" s="146"/>
      <c r="M385" s="146"/>
      <c r="N385" s="146"/>
      <c r="O385" s="146"/>
      <c r="P385" s="146"/>
    </row>
    <row r="386" spans="1:16">
      <c r="A386" s="143"/>
      <c r="B386" s="151"/>
      <c r="C386" s="151"/>
      <c r="D386" s="152"/>
      <c r="E386" s="152"/>
      <c r="F386" s="151"/>
      <c r="G386" s="151"/>
      <c r="H386" s="145"/>
      <c r="I386" s="146"/>
      <c r="J386" s="146"/>
      <c r="K386" s="146"/>
      <c r="L386" s="146"/>
      <c r="M386" s="146"/>
      <c r="N386" s="146"/>
      <c r="O386" s="146"/>
      <c r="P386" s="146"/>
    </row>
    <row r="387" spans="1:16">
      <c r="A387" s="143"/>
      <c r="B387" s="151"/>
      <c r="C387" s="151"/>
      <c r="D387" s="152"/>
      <c r="E387" s="152"/>
      <c r="F387" s="151"/>
      <c r="G387" s="151"/>
      <c r="H387" s="145"/>
      <c r="I387" s="146"/>
      <c r="J387" s="146"/>
      <c r="K387" s="146"/>
      <c r="L387" s="146"/>
      <c r="M387" s="146"/>
      <c r="N387" s="146"/>
      <c r="O387" s="146"/>
      <c r="P387" s="146"/>
    </row>
    <row r="388" spans="1:16">
      <c r="A388" s="143"/>
      <c r="B388" s="151"/>
      <c r="C388" s="151"/>
      <c r="D388" s="152"/>
      <c r="E388" s="152"/>
      <c r="F388" s="151"/>
      <c r="G388" s="151"/>
      <c r="H388" s="145"/>
      <c r="I388" s="146"/>
      <c r="J388" s="146"/>
      <c r="K388" s="146"/>
      <c r="L388" s="146"/>
      <c r="M388" s="146"/>
      <c r="N388" s="146"/>
      <c r="O388" s="146"/>
      <c r="P388" s="146"/>
    </row>
    <row r="389" spans="1:16">
      <c r="A389" s="143"/>
      <c r="B389" s="151"/>
      <c r="C389" s="151"/>
      <c r="D389" s="152"/>
      <c r="E389" s="152"/>
      <c r="F389" s="151"/>
      <c r="G389" s="151"/>
      <c r="H389" s="145"/>
      <c r="I389" s="146"/>
      <c r="J389" s="146"/>
      <c r="K389" s="146"/>
      <c r="L389" s="146"/>
      <c r="M389" s="146"/>
      <c r="N389" s="146"/>
      <c r="O389" s="146"/>
      <c r="P389" s="146"/>
    </row>
    <row r="390" spans="1:16">
      <c r="A390" s="143"/>
      <c r="B390" s="151"/>
      <c r="C390" s="151"/>
      <c r="D390" s="152"/>
      <c r="E390" s="152"/>
      <c r="F390" s="151"/>
      <c r="G390" s="151"/>
      <c r="H390" s="145"/>
      <c r="I390" s="146"/>
      <c r="J390" s="146"/>
      <c r="K390" s="146"/>
      <c r="L390" s="146"/>
      <c r="M390" s="146"/>
      <c r="N390" s="146"/>
      <c r="O390" s="146"/>
      <c r="P390" s="146"/>
    </row>
    <row r="391" spans="1:16">
      <c r="A391" s="143"/>
      <c r="B391" s="151"/>
      <c r="C391" s="151"/>
      <c r="D391" s="152"/>
      <c r="E391" s="152"/>
      <c r="F391" s="151"/>
      <c r="G391" s="151"/>
      <c r="H391" s="145"/>
      <c r="I391" s="146"/>
      <c r="J391" s="146"/>
      <c r="K391" s="146"/>
      <c r="L391" s="146"/>
      <c r="M391" s="146"/>
      <c r="N391" s="146"/>
      <c r="O391" s="146"/>
      <c r="P391" s="146"/>
    </row>
    <row r="392" spans="1:16">
      <c r="A392" s="143"/>
      <c r="B392" s="151"/>
      <c r="C392" s="151"/>
      <c r="D392" s="152"/>
      <c r="E392" s="152"/>
      <c r="F392" s="151"/>
      <c r="G392" s="151"/>
      <c r="H392" s="145"/>
      <c r="I392" s="146"/>
      <c r="J392" s="146"/>
      <c r="K392" s="146"/>
      <c r="L392" s="146"/>
      <c r="M392" s="146"/>
      <c r="N392" s="146"/>
      <c r="O392" s="146"/>
      <c r="P392" s="146"/>
    </row>
    <row r="393" spans="1:16">
      <c r="A393" s="157"/>
      <c r="B393" s="151"/>
      <c r="C393" s="151"/>
      <c r="D393" s="152"/>
      <c r="E393" s="152"/>
      <c r="F393" s="151"/>
      <c r="G393" s="151"/>
      <c r="H393" s="145"/>
      <c r="I393" s="146"/>
      <c r="J393" s="146"/>
      <c r="K393" s="146"/>
      <c r="L393" s="146"/>
      <c r="M393" s="146"/>
      <c r="N393" s="146"/>
      <c r="O393" s="146"/>
      <c r="P393" s="146"/>
    </row>
    <row r="394" spans="1:16">
      <c r="A394" s="143"/>
      <c r="B394" s="151"/>
      <c r="C394" s="151"/>
      <c r="D394" s="152"/>
      <c r="E394" s="152"/>
      <c r="F394" s="151"/>
      <c r="G394" s="151"/>
      <c r="H394" s="145"/>
      <c r="I394" s="146"/>
      <c r="J394" s="146"/>
      <c r="K394" s="146"/>
      <c r="L394" s="146"/>
      <c r="M394" s="146"/>
      <c r="N394" s="146"/>
      <c r="O394" s="146"/>
      <c r="P394" s="146"/>
    </row>
    <row r="395" spans="1:16">
      <c r="A395" s="143"/>
      <c r="B395" s="151"/>
      <c r="C395" s="151"/>
      <c r="D395" s="152"/>
      <c r="E395" s="152"/>
      <c r="F395" s="151"/>
      <c r="G395" s="151"/>
      <c r="H395" s="145"/>
      <c r="I395" s="146"/>
      <c r="J395" s="146"/>
      <c r="K395" s="146"/>
      <c r="L395" s="146"/>
      <c r="M395" s="146"/>
      <c r="N395" s="146"/>
      <c r="O395" s="146"/>
      <c r="P395" s="146"/>
    </row>
    <row r="396" spans="1:16">
      <c r="A396" s="143"/>
      <c r="B396" s="151"/>
      <c r="C396" s="151"/>
      <c r="D396" s="152"/>
      <c r="E396" s="152"/>
      <c r="F396" s="151"/>
      <c r="G396" s="151"/>
      <c r="H396" s="145"/>
      <c r="I396" s="146"/>
      <c r="J396" s="146"/>
      <c r="K396" s="146"/>
      <c r="L396" s="146"/>
      <c r="M396" s="146"/>
      <c r="N396" s="146"/>
      <c r="O396" s="146"/>
      <c r="P396" s="146"/>
    </row>
    <row r="397" spans="1:16">
      <c r="A397" s="157"/>
      <c r="B397" s="151"/>
      <c r="C397" s="151"/>
      <c r="D397" s="152"/>
      <c r="E397" s="152"/>
      <c r="F397" s="151"/>
      <c r="G397" s="151"/>
      <c r="H397" s="145"/>
      <c r="I397" s="146"/>
      <c r="J397" s="146"/>
      <c r="K397" s="146"/>
      <c r="L397" s="146"/>
      <c r="M397" s="146"/>
      <c r="N397" s="146"/>
      <c r="O397" s="146"/>
      <c r="P397" s="146"/>
    </row>
    <row r="398" spans="1:16">
      <c r="A398" s="157"/>
      <c r="B398" s="151"/>
      <c r="C398" s="151"/>
      <c r="D398" s="152"/>
      <c r="E398" s="152"/>
      <c r="F398" s="151"/>
      <c r="G398" s="151"/>
      <c r="H398" s="145"/>
      <c r="I398" s="146"/>
      <c r="J398" s="146"/>
      <c r="K398" s="146"/>
      <c r="L398" s="146"/>
      <c r="M398" s="146"/>
      <c r="N398" s="146"/>
      <c r="O398" s="146"/>
      <c r="P398" s="146"/>
    </row>
  </sheetData>
  <phoneticPr fontId="18" type="noConversion"/>
  <pageMargins left="0.75" right="0.75" top="1" bottom="1" header="0.5" footer="0.5"/>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
  <sheetViews>
    <sheetView zoomScaleNormal="100" workbookViewId="0">
      <selection activeCell="F49" sqref="F49"/>
    </sheetView>
  </sheetViews>
  <sheetFormatPr defaultColWidth="10.6640625" defaultRowHeight="12.75"/>
  <cols>
    <col min="1" max="1" width="51.1640625" style="137" customWidth="1"/>
    <col min="2" max="16" width="8" style="137" customWidth="1"/>
    <col min="17" max="16384" width="10.6640625" style="137"/>
  </cols>
  <sheetData>
    <row r="1" spans="1:16">
      <c r="A1" s="136" t="s">
        <v>1223</v>
      </c>
      <c r="B1" s="138"/>
      <c r="C1" s="138"/>
      <c r="D1" s="154"/>
      <c r="E1" s="154"/>
      <c r="F1" s="154"/>
      <c r="G1" s="154"/>
      <c r="H1" s="154"/>
      <c r="I1" s="165"/>
      <c r="J1" s="165"/>
      <c r="K1" s="165"/>
      <c r="L1" s="167"/>
      <c r="M1" s="167"/>
      <c r="N1" s="167"/>
      <c r="O1" s="167"/>
      <c r="P1" s="167"/>
    </row>
    <row r="2" spans="1:16">
      <c r="A2" s="136" t="s">
        <v>1716</v>
      </c>
      <c r="B2" s="138"/>
      <c r="C2" s="138"/>
      <c r="D2" s="154"/>
      <c r="E2" s="154"/>
      <c r="F2" s="154"/>
      <c r="G2" s="154"/>
      <c r="H2" s="154"/>
      <c r="I2" s="165"/>
      <c r="J2" s="165"/>
      <c r="K2" s="165"/>
      <c r="L2" s="168"/>
      <c r="M2" s="168"/>
      <c r="N2" s="168"/>
      <c r="O2" s="168"/>
      <c r="P2" s="168"/>
    </row>
    <row r="3" spans="1:16">
      <c r="A3" s="138" t="s">
        <v>1715</v>
      </c>
      <c r="B3" s="138"/>
      <c r="C3" s="138"/>
      <c r="D3" s="154"/>
      <c r="E3" s="154"/>
      <c r="F3" s="154"/>
      <c r="G3" s="154"/>
      <c r="H3" s="154"/>
      <c r="I3" s="165"/>
      <c r="J3" s="165"/>
      <c r="K3" s="165"/>
      <c r="L3" s="167"/>
      <c r="M3" s="167"/>
      <c r="N3" s="167"/>
      <c r="O3" s="167"/>
      <c r="P3" s="167"/>
    </row>
    <row r="4" spans="1:16" ht="13.5" thickBot="1">
      <c r="A4" s="138"/>
      <c r="B4" s="138"/>
      <c r="C4" s="138"/>
      <c r="D4" s="154"/>
      <c r="E4" s="154"/>
      <c r="F4" s="154"/>
      <c r="G4" s="154"/>
      <c r="H4" s="154"/>
      <c r="I4" s="165"/>
      <c r="J4" s="165"/>
      <c r="K4" s="165"/>
      <c r="L4" s="167"/>
      <c r="M4" s="167"/>
      <c r="N4" s="167"/>
      <c r="O4" s="167"/>
      <c r="P4" s="167"/>
    </row>
    <row r="5" spans="1:16" ht="13.5" thickBot="1">
      <c r="A5" s="139" t="s">
        <v>958</v>
      </c>
      <c r="B5" s="141" t="s">
        <v>1557</v>
      </c>
      <c r="C5" s="141" t="s">
        <v>1558</v>
      </c>
      <c r="D5" s="141" t="s">
        <v>1504</v>
      </c>
      <c r="E5" s="141" t="s">
        <v>1505</v>
      </c>
      <c r="F5" s="141" t="s">
        <v>1508</v>
      </c>
      <c r="G5" s="141" t="s">
        <v>1506</v>
      </c>
      <c r="H5" s="141" t="s">
        <v>1507</v>
      </c>
      <c r="I5" s="173"/>
    </row>
    <row r="6" spans="1:16">
      <c r="A6" s="143"/>
      <c r="B6" s="153"/>
      <c r="C6" s="153"/>
      <c r="D6" s="153"/>
      <c r="E6" s="153"/>
      <c r="F6" s="153"/>
      <c r="G6" s="153"/>
      <c r="H6" s="153"/>
      <c r="I6" s="153"/>
    </row>
    <row r="7" spans="1:16">
      <c r="A7" s="149" t="s">
        <v>970</v>
      </c>
      <c r="B7" s="150">
        <v>323891.90000000002</v>
      </c>
      <c r="C7" s="150">
        <v>354103.1</v>
      </c>
      <c r="D7" s="150">
        <v>353104.3</v>
      </c>
      <c r="E7" s="150">
        <v>335155.3</v>
      </c>
      <c r="F7" s="150">
        <v>322247.8</v>
      </c>
      <c r="G7" s="150">
        <v>315715.7</v>
      </c>
      <c r="H7" s="150">
        <v>378029.4</v>
      </c>
      <c r="I7" s="150"/>
    </row>
    <row r="8" spans="1:16">
      <c r="A8" s="160"/>
      <c r="B8" s="153"/>
      <c r="C8" s="153"/>
      <c r="D8" s="153"/>
      <c r="E8" s="153"/>
      <c r="F8" s="153"/>
      <c r="G8" s="153"/>
      <c r="H8" s="153"/>
      <c r="I8" s="153"/>
    </row>
    <row r="9" spans="1:16">
      <c r="A9" s="160" t="s">
        <v>971</v>
      </c>
      <c r="B9" s="150">
        <v>103485.6</v>
      </c>
      <c r="C9" s="150">
        <v>107409.60000000001</v>
      </c>
      <c r="D9" s="150">
        <v>76344</v>
      </c>
      <c r="E9" s="150">
        <v>42759.199999999997</v>
      </c>
      <c r="F9" s="150">
        <v>38664.5</v>
      </c>
      <c r="G9" s="150">
        <v>30443.200000000001</v>
      </c>
      <c r="H9" s="150">
        <v>91335.2</v>
      </c>
      <c r="I9" s="150"/>
    </row>
    <row r="10" spans="1:16">
      <c r="A10" s="143" t="s">
        <v>972</v>
      </c>
      <c r="B10" s="153">
        <v>73621.5</v>
      </c>
      <c r="C10" s="153">
        <v>81337.600000000006</v>
      </c>
      <c r="D10" s="153">
        <v>56731.5</v>
      </c>
      <c r="E10" s="153">
        <v>14918.6</v>
      </c>
      <c r="F10" s="153">
        <v>3581.5</v>
      </c>
      <c r="G10" s="153">
        <v>-4103.8</v>
      </c>
      <c r="H10" s="153">
        <v>33144.800000000003</v>
      </c>
      <c r="I10" s="153"/>
    </row>
    <row r="11" spans="1:16">
      <c r="A11" s="143" t="s">
        <v>973</v>
      </c>
      <c r="B11" s="153">
        <v>25990.9</v>
      </c>
      <c r="C11" s="153">
        <v>23300</v>
      </c>
      <c r="D11" s="153">
        <v>19231.2</v>
      </c>
      <c r="E11" s="153">
        <v>22442.799999999999</v>
      </c>
      <c r="F11" s="153">
        <v>23368.7</v>
      </c>
      <c r="G11" s="153">
        <v>27610.5</v>
      </c>
      <c r="H11" s="153">
        <v>50816.4</v>
      </c>
      <c r="I11" s="153"/>
    </row>
    <row r="12" spans="1:16">
      <c r="A12" s="143" t="s">
        <v>1303</v>
      </c>
      <c r="B12" s="153"/>
      <c r="C12" s="153"/>
      <c r="D12" s="153" t="s">
        <v>1229</v>
      </c>
      <c r="E12" s="153" t="s">
        <v>1229</v>
      </c>
      <c r="F12" s="153">
        <v>5167.2</v>
      </c>
      <c r="G12" s="153" t="s">
        <v>1229</v>
      </c>
      <c r="H12" s="153" t="s">
        <v>1229</v>
      </c>
      <c r="I12" s="153"/>
    </row>
    <row r="13" spans="1:16">
      <c r="A13" s="143" t="s">
        <v>974</v>
      </c>
      <c r="B13" s="153"/>
      <c r="C13" s="153"/>
      <c r="D13" s="153" t="s">
        <v>1499</v>
      </c>
      <c r="E13" s="153">
        <v>1651.5</v>
      </c>
      <c r="F13" s="153">
        <v>1028</v>
      </c>
      <c r="G13" s="153">
        <v>1127</v>
      </c>
      <c r="H13" s="153">
        <v>960.6</v>
      </c>
      <c r="I13" s="153"/>
    </row>
    <row r="14" spans="1:16">
      <c r="A14" s="143" t="s">
        <v>975</v>
      </c>
      <c r="B14" s="153">
        <v>1878.1</v>
      </c>
      <c r="C14" s="153">
        <v>906.1</v>
      </c>
      <c r="D14" s="153">
        <v>-1441.5</v>
      </c>
      <c r="E14" s="153">
        <v>1185.7</v>
      </c>
      <c r="F14" s="153">
        <v>1925.7</v>
      </c>
      <c r="G14" s="153">
        <v>2474</v>
      </c>
      <c r="H14" s="153">
        <v>2724</v>
      </c>
      <c r="I14" s="153"/>
    </row>
    <row r="15" spans="1:16">
      <c r="A15" s="143" t="s">
        <v>976</v>
      </c>
      <c r="B15" s="153">
        <v>206.6</v>
      </c>
      <c r="C15" s="153">
        <v>274.10000000000002</v>
      </c>
      <c r="D15" s="153">
        <v>289.2</v>
      </c>
      <c r="E15" s="153">
        <v>380.5</v>
      </c>
      <c r="F15" s="153">
        <v>540.70000000000005</v>
      </c>
      <c r="G15" s="153">
        <v>259.2</v>
      </c>
      <c r="H15" s="153">
        <v>499.9</v>
      </c>
      <c r="I15" s="153"/>
    </row>
    <row r="16" spans="1:16">
      <c r="A16" s="143" t="s">
        <v>1304</v>
      </c>
      <c r="B16" s="153">
        <v>78.900000000000006</v>
      </c>
      <c r="C16" s="153">
        <v>3.4</v>
      </c>
      <c r="D16" s="153">
        <v>36.9</v>
      </c>
      <c r="E16" s="153">
        <v>2</v>
      </c>
      <c r="F16" s="153">
        <v>58</v>
      </c>
      <c r="G16" s="153">
        <v>0.2</v>
      </c>
      <c r="H16" s="153" t="s">
        <v>1229</v>
      </c>
      <c r="I16" s="153"/>
    </row>
    <row r="17" spans="1:9">
      <c r="A17" s="143" t="s">
        <v>1305</v>
      </c>
      <c r="B17" s="153">
        <v>3.9</v>
      </c>
      <c r="C17" s="153">
        <v>3.9</v>
      </c>
      <c r="D17" s="153">
        <v>3.1</v>
      </c>
      <c r="E17" s="153">
        <v>3.1</v>
      </c>
      <c r="F17" s="153">
        <v>1.2</v>
      </c>
      <c r="G17" s="153" t="s">
        <v>1229</v>
      </c>
      <c r="H17" s="153" t="s">
        <v>1229</v>
      </c>
      <c r="I17" s="153"/>
    </row>
    <row r="18" spans="1:9">
      <c r="A18" s="143" t="s">
        <v>977</v>
      </c>
      <c r="B18" s="153">
        <v>1705.7</v>
      </c>
      <c r="C18" s="153">
        <v>1584.5</v>
      </c>
      <c r="D18" s="153">
        <v>1493.6</v>
      </c>
      <c r="E18" s="153">
        <v>2175</v>
      </c>
      <c r="F18" s="153">
        <v>2993.5</v>
      </c>
      <c r="G18" s="153">
        <v>3076.1</v>
      </c>
      <c r="H18" s="153">
        <v>3189.5</v>
      </c>
      <c r="I18" s="153"/>
    </row>
    <row r="19" spans="1:9">
      <c r="A19" s="143"/>
      <c r="B19" s="153"/>
      <c r="C19" s="153"/>
      <c r="D19" s="153"/>
      <c r="E19" s="153"/>
      <c r="F19" s="153"/>
      <c r="G19" s="153"/>
      <c r="H19" s="153"/>
      <c r="I19" s="153"/>
    </row>
    <row r="20" spans="1:9">
      <c r="A20" s="149" t="s">
        <v>978</v>
      </c>
      <c r="B20" s="150">
        <v>52349</v>
      </c>
      <c r="C20" s="150">
        <v>55023.3</v>
      </c>
      <c r="D20" s="150">
        <v>57586.5</v>
      </c>
      <c r="E20" s="150">
        <v>71282.7</v>
      </c>
      <c r="F20" s="150">
        <v>63873.3</v>
      </c>
      <c r="G20" s="150">
        <v>64677.3</v>
      </c>
      <c r="H20" s="150">
        <v>75343.5</v>
      </c>
      <c r="I20" s="150"/>
    </row>
    <row r="21" spans="1:9">
      <c r="A21" s="143" t="s">
        <v>979</v>
      </c>
      <c r="B21" s="153">
        <v>47454.9</v>
      </c>
      <c r="C21" s="153">
        <v>48719.8</v>
      </c>
      <c r="D21" s="153">
        <v>46762</v>
      </c>
      <c r="E21" s="153">
        <v>47811.4</v>
      </c>
      <c r="F21" s="153">
        <v>42676.4</v>
      </c>
      <c r="G21" s="153">
        <v>35808.699999999997</v>
      </c>
      <c r="H21" s="153">
        <v>37113.599999999999</v>
      </c>
      <c r="I21" s="153"/>
    </row>
    <row r="22" spans="1:9">
      <c r="A22" s="142" t="s">
        <v>892</v>
      </c>
      <c r="B22" s="153"/>
      <c r="C22" s="153"/>
      <c r="D22" s="153"/>
      <c r="E22" s="153"/>
      <c r="F22" s="153"/>
      <c r="G22" s="153"/>
      <c r="H22" s="153"/>
      <c r="I22" s="153"/>
    </row>
    <row r="23" spans="1:9">
      <c r="A23" s="143" t="s">
        <v>893</v>
      </c>
      <c r="B23" s="153">
        <v>-5751.8</v>
      </c>
      <c r="C23" s="153">
        <v>-4852.8999999999996</v>
      </c>
      <c r="D23" s="153">
        <v>-4340.7</v>
      </c>
      <c r="E23" s="153">
        <v>2302.1</v>
      </c>
      <c r="F23" s="153">
        <v>-2507.6</v>
      </c>
      <c r="G23" s="153">
        <v>5755.4</v>
      </c>
      <c r="H23" s="153">
        <v>4340.5</v>
      </c>
      <c r="I23" s="153"/>
    </row>
    <row r="24" spans="1:9">
      <c r="A24" s="143" t="s">
        <v>894</v>
      </c>
      <c r="B24" s="153"/>
      <c r="C24" s="153"/>
      <c r="D24" s="153" t="s">
        <v>1499</v>
      </c>
      <c r="E24" s="153" t="s">
        <v>1499</v>
      </c>
      <c r="F24" s="153" t="s">
        <v>1499</v>
      </c>
      <c r="G24" s="153">
        <v>9366</v>
      </c>
      <c r="H24" s="153">
        <v>12874.5</v>
      </c>
      <c r="I24" s="153"/>
    </row>
    <row r="25" spans="1:9">
      <c r="A25" s="143" t="s">
        <v>895</v>
      </c>
      <c r="B25" s="156">
        <v>11053.5</v>
      </c>
      <c r="C25" s="156">
        <v>12420.2</v>
      </c>
      <c r="D25" s="153">
        <v>13697.2</v>
      </c>
      <c r="E25" s="153">
        <v>14130.4</v>
      </c>
      <c r="F25" s="153">
        <v>8533.2000000000007</v>
      </c>
      <c r="G25" s="153">
        <v>403.6</v>
      </c>
      <c r="H25" s="153">
        <v>-1.1000000000000001</v>
      </c>
      <c r="I25" s="151"/>
    </row>
    <row r="26" spans="1:9">
      <c r="A26" s="143" t="s">
        <v>896</v>
      </c>
      <c r="B26" s="156">
        <v>1308</v>
      </c>
      <c r="C26" s="156">
        <v>1473.6</v>
      </c>
      <c r="D26" s="153">
        <v>1627</v>
      </c>
      <c r="E26" s="153">
        <v>1693</v>
      </c>
      <c r="F26" s="153">
        <v>1106.0999999999999</v>
      </c>
      <c r="G26" s="153">
        <v>4.5</v>
      </c>
      <c r="H26" s="153" t="s">
        <v>1229</v>
      </c>
      <c r="I26" s="151"/>
    </row>
    <row r="27" spans="1:9">
      <c r="A27" s="142" t="s">
        <v>1306</v>
      </c>
      <c r="B27" s="153">
        <v>-3887.1</v>
      </c>
      <c r="C27" s="153">
        <v>-4823.1000000000004</v>
      </c>
      <c r="D27" s="153">
        <v>-5900.1</v>
      </c>
      <c r="E27" s="153">
        <v>1086.3</v>
      </c>
      <c r="F27" s="153">
        <v>7090.9</v>
      </c>
      <c r="G27" s="153">
        <v>4057.3</v>
      </c>
      <c r="H27" s="153">
        <v>8918.2000000000007</v>
      </c>
      <c r="I27" s="153"/>
    </row>
    <row r="28" spans="1:9">
      <c r="A28" s="157" t="s">
        <v>1307</v>
      </c>
      <c r="B28" s="156" t="s">
        <v>1499</v>
      </c>
      <c r="C28" s="156" t="s">
        <v>1499</v>
      </c>
      <c r="D28" s="153"/>
      <c r="E28" s="153"/>
      <c r="F28" s="153"/>
      <c r="G28" s="153"/>
      <c r="H28" s="153"/>
      <c r="I28" s="151"/>
    </row>
    <row r="29" spans="1:9">
      <c r="A29" s="157" t="s">
        <v>809</v>
      </c>
      <c r="B29" s="153"/>
      <c r="C29" s="153"/>
      <c r="D29" s="153"/>
      <c r="E29" s="153"/>
      <c r="F29" s="153"/>
      <c r="G29" s="153"/>
      <c r="H29" s="153"/>
      <c r="I29" s="153"/>
    </row>
    <row r="30" spans="1:9">
      <c r="A30" s="157" t="s">
        <v>946</v>
      </c>
      <c r="B30" s="156">
        <v>156</v>
      </c>
      <c r="C30" s="156">
        <v>182.5</v>
      </c>
      <c r="D30" s="153">
        <v>219.1</v>
      </c>
      <c r="E30" s="153">
        <v>212.8</v>
      </c>
      <c r="F30" s="153">
        <v>526.6</v>
      </c>
      <c r="G30" s="153">
        <v>549.1</v>
      </c>
      <c r="H30" s="153">
        <v>584.20000000000005</v>
      </c>
      <c r="I30" s="151"/>
    </row>
    <row r="31" spans="1:9">
      <c r="A31" s="143" t="s">
        <v>947</v>
      </c>
      <c r="B31" s="153">
        <v>2015.5</v>
      </c>
      <c r="C31" s="153">
        <v>1903.2</v>
      </c>
      <c r="D31" s="153">
        <v>5178.5</v>
      </c>
      <c r="E31" s="153">
        <v>1697.3</v>
      </c>
      <c r="F31" s="153">
        <v>173</v>
      </c>
      <c r="G31" s="153">
        <v>-0.3</v>
      </c>
      <c r="H31" s="153">
        <v>3905.6</v>
      </c>
      <c r="I31" s="153"/>
    </row>
    <row r="32" spans="1:9">
      <c r="A32" s="143" t="s">
        <v>948</v>
      </c>
      <c r="B32" s="153"/>
      <c r="C32" s="153"/>
      <c r="D32" s="153">
        <v>343.5</v>
      </c>
      <c r="E32" s="153">
        <v>2349.4</v>
      </c>
      <c r="F32" s="153">
        <v>6274.7</v>
      </c>
      <c r="G32" s="153">
        <v>8733</v>
      </c>
      <c r="H32" s="153">
        <v>7608</v>
      </c>
      <c r="I32" s="153"/>
    </row>
    <row r="33" spans="1:9">
      <c r="A33" s="143" t="s">
        <v>949</v>
      </c>
      <c r="B33" s="153"/>
      <c r="C33" s="153"/>
      <c r="D33" s="153"/>
      <c r="E33" s="153"/>
      <c r="F33" s="153"/>
      <c r="G33" s="153"/>
      <c r="H33" s="153"/>
      <c r="I33" s="153"/>
    </row>
    <row r="34" spans="1:9">
      <c r="A34" s="143"/>
      <c r="B34" s="153"/>
      <c r="C34" s="153"/>
      <c r="D34" s="153"/>
      <c r="E34" s="153"/>
      <c r="F34" s="153"/>
      <c r="G34" s="153"/>
      <c r="H34" s="153"/>
      <c r="I34" s="153"/>
    </row>
    <row r="35" spans="1:9">
      <c r="A35" s="160" t="s">
        <v>950</v>
      </c>
      <c r="B35" s="150">
        <v>19384.599999999999</v>
      </c>
      <c r="C35" s="150">
        <v>23159.3</v>
      </c>
      <c r="D35" s="150">
        <v>24524.6</v>
      </c>
      <c r="E35" s="150">
        <v>20340.599999999999</v>
      </c>
      <c r="F35" s="150">
        <v>25385</v>
      </c>
      <c r="G35" s="150">
        <v>25520.1</v>
      </c>
      <c r="H35" s="150">
        <v>22511.5</v>
      </c>
      <c r="I35" s="150"/>
    </row>
    <row r="36" spans="1:9">
      <c r="A36" s="143" t="s">
        <v>951</v>
      </c>
      <c r="B36" s="156">
        <v>377.6</v>
      </c>
      <c r="C36" s="156">
        <v>430.7</v>
      </c>
      <c r="D36" s="153">
        <v>423.5</v>
      </c>
      <c r="E36" s="153">
        <v>423</v>
      </c>
      <c r="F36" s="153">
        <v>425</v>
      </c>
      <c r="G36" s="153">
        <v>109.6</v>
      </c>
      <c r="H36" s="153" t="s">
        <v>1229</v>
      </c>
      <c r="I36" s="156"/>
    </row>
    <row r="37" spans="1:9">
      <c r="A37" s="159" t="s">
        <v>1308</v>
      </c>
      <c r="B37" s="146"/>
      <c r="C37" s="146"/>
      <c r="D37" s="146"/>
      <c r="E37" s="148"/>
      <c r="F37" s="146"/>
      <c r="G37" s="148"/>
      <c r="H37" s="148"/>
      <c r="I37" s="148"/>
    </row>
    <row r="38" spans="1:9">
      <c r="A38" s="159" t="s">
        <v>1309</v>
      </c>
      <c r="B38" s="153">
        <v>5772.8</v>
      </c>
      <c r="C38" s="153">
        <v>5965.7</v>
      </c>
      <c r="D38" s="153">
        <v>5984</v>
      </c>
      <c r="E38" s="153">
        <v>8524</v>
      </c>
      <c r="F38" s="153">
        <v>16112</v>
      </c>
      <c r="G38" s="153">
        <v>16916.400000000001</v>
      </c>
      <c r="H38" s="153">
        <v>14419.4</v>
      </c>
      <c r="I38" s="153"/>
    </row>
    <row r="39" spans="1:9">
      <c r="A39" s="143" t="s">
        <v>953</v>
      </c>
      <c r="B39" s="153">
        <v>2183.1999999999998</v>
      </c>
      <c r="C39" s="153">
        <v>3134.8</v>
      </c>
      <c r="D39" s="153">
        <v>3797.8</v>
      </c>
      <c r="E39" s="153">
        <v>2076</v>
      </c>
      <c r="F39" s="153">
        <v>3447</v>
      </c>
      <c r="G39" s="153">
        <v>2112.3000000000002</v>
      </c>
      <c r="H39" s="153">
        <v>2784.9</v>
      </c>
      <c r="I39" s="153"/>
    </row>
    <row r="40" spans="1:9">
      <c r="A40" s="143" t="s">
        <v>954</v>
      </c>
      <c r="B40" s="153">
        <v>50.2</v>
      </c>
      <c r="C40" s="153">
        <v>65.400000000000006</v>
      </c>
      <c r="D40" s="153">
        <v>75.400000000000006</v>
      </c>
      <c r="E40" s="153">
        <v>62</v>
      </c>
      <c r="F40" s="153">
        <v>62</v>
      </c>
      <c r="G40" s="153">
        <v>61.8</v>
      </c>
      <c r="H40" s="153">
        <v>70.2</v>
      </c>
      <c r="I40" s="153"/>
    </row>
    <row r="41" spans="1:9">
      <c r="A41" s="143" t="s">
        <v>955</v>
      </c>
      <c r="B41" s="153">
        <v>849.1</v>
      </c>
      <c r="C41" s="153">
        <v>1092.7</v>
      </c>
      <c r="D41" s="153">
        <v>1139.7</v>
      </c>
      <c r="E41" s="153">
        <v>1128.0999999999999</v>
      </c>
      <c r="F41" s="153">
        <v>804</v>
      </c>
      <c r="G41" s="153">
        <v>887</v>
      </c>
      <c r="H41" s="153">
        <v>1059.0999999999999</v>
      </c>
      <c r="I41" s="153"/>
    </row>
    <row r="42" spans="1:9">
      <c r="A42" s="143" t="s">
        <v>100</v>
      </c>
      <c r="B42" s="153">
        <v>257.7</v>
      </c>
      <c r="C42" s="153">
        <v>271.89999999999998</v>
      </c>
      <c r="D42" s="153">
        <v>393.1</v>
      </c>
      <c r="E42" s="153">
        <v>262.5</v>
      </c>
      <c r="F42" s="153">
        <v>157.6</v>
      </c>
      <c r="G42" s="153">
        <v>103.9</v>
      </c>
      <c r="H42" s="153">
        <v>152.9</v>
      </c>
      <c r="I42" s="153"/>
    </row>
    <row r="43" spans="1:9">
      <c r="A43" s="143" t="s">
        <v>101</v>
      </c>
      <c r="B43" s="153">
        <v>5054.6000000000004</v>
      </c>
      <c r="C43" s="153">
        <v>6063.9</v>
      </c>
      <c r="D43" s="153">
        <v>7406.5</v>
      </c>
      <c r="E43" s="153">
        <v>6068.7</v>
      </c>
      <c r="F43" s="153">
        <v>4318.8</v>
      </c>
      <c r="G43" s="153">
        <v>5329.1</v>
      </c>
      <c r="H43" s="153">
        <v>4025</v>
      </c>
      <c r="I43" s="153"/>
    </row>
    <row r="44" spans="1:9">
      <c r="A44" s="143" t="s">
        <v>1310</v>
      </c>
      <c r="B44" s="153">
        <v>4839.3999999999996</v>
      </c>
      <c r="C44" s="153">
        <v>6134.2</v>
      </c>
      <c r="D44" s="153">
        <v>5304.6</v>
      </c>
      <c r="E44" s="153">
        <v>1796.3</v>
      </c>
      <c r="F44" s="153">
        <v>58.6</v>
      </c>
      <c r="G44" s="153" t="s">
        <v>1499</v>
      </c>
      <c r="H44" s="153" t="s">
        <v>1499</v>
      </c>
      <c r="I44" s="153"/>
    </row>
    <row r="45" spans="1:9">
      <c r="A45" s="143"/>
      <c r="B45" s="153"/>
      <c r="C45" s="153"/>
      <c r="D45" s="153"/>
      <c r="E45" s="153"/>
      <c r="F45" s="153"/>
      <c r="G45" s="153"/>
      <c r="H45" s="153"/>
      <c r="I45" s="153"/>
    </row>
    <row r="46" spans="1:9">
      <c r="A46" s="160" t="s">
        <v>102</v>
      </c>
      <c r="B46" s="150">
        <v>148672.70000000001</v>
      </c>
      <c r="C46" s="150">
        <v>168510.9</v>
      </c>
      <c r="D46" s="150">
        <v>191436.4</v>
      </c>
      <c r="E46" s="150">
        <v>189737.8</v>
      </c>
      <c r="F46" s="150">
        <v>186537.7</v>
      </c>
      <c r="G46" s="150">
        <v>195075.1</v>
      </c>
      <c r="H46" s="150">
        <v>188839.2</v>
      </c>
      <c r="I46" s="150"/>
    </row>
    <row r="47" spans="1:9">
      <c r="A47" s="143" t="s">
        <v>1193</v>
      </c>
      <c r="B47" s="153">
        <v>86636.800000000003</v>
      </c>
      <c r="C47" s="153">
        <v>100213.6</v>
      </c>
      <c r="D47" s="153">
        <v>123429.7</v>
      </c>
      <c r="E47" s="153">
        <v>120044.2</v>
      </c>
      <c r="F47" s="153">
        <v>117831.8</v>
      </c>
      <c r="G47" s="153">
        <v>123257.8</v>
      </c>
      <c r="H47" s="153">
        <v>116800</v>
      </c>
      <c r="I47" s="153"/>
    </row>
    <row r="48" spans="1:9">
      <c r="A48" s="143" t="s">
        <v>1194</v>
      </c>
      <c r="B48" s="153">
        <v>15715.7</v>
      </c>
      <c r="C48" s="153">
        <v>16581.400000000001</v>
      </c>
      <c r="D48" s="153">
        <v>17209.2</v>
      </c>
      <c r="E48" s="153">
        <v>17599.400000000001</v>
      </c>
      <c r="F48" s="153">
        <v>19449.5</v>
      </c>
      <c r="G48" s="153">
        <v>21967.5</v>
      </c>
      <c r="H48" s="153">
        <v>13238</v>
      </c>
      <c r="I48" s="166"/>
    </row>
    <row r="49" spans="1:9">
      <c r="A49" s="143" t="s">
        <v>1195</v>
      </c>
      <c r="B49" s="169">
        <v>1048.2</v>
      </c>
      <c r="C49" s="169">
        <v>1117.4000000000001</v>
      </c>
      <c r="D49" s="153">
        <v>1128.0999999999999</v>
      </c>
      <c r="E49" s="153">
        <v>1130</v>
      </c>
      <c r="F49" s="153">
        <v>639.6</v>
      </c>
      <c r="G49" s="153">
        <v>11.2</v>
      </c>
      <c r="H49" s="153" t="s">
        <v>1229</v>
      </c>
      <c r="I49" s="166"/>
    </row>
    <row r="50" spans="1:9">
      <c r="A50" s="143" t="s">
        <v>1196</v>
      </c>
      <c r="B50" s="153">
        <v>2178.6999999999998</v>
      </c>
      <c r="C50" s="153">
        <v>2343.6</v>
      </c>
      <c r="D50" s="153">
        <v>1638</v>
      </c>
      <c r="E50" s="153">
        <v>1584.6</v>
      </c>
      <c r="F50" s="153">
        <v>1246.9000000000001</v>
      </c>
      <c r="G50" s="153">
        <v>1477.7</v>
      </c>
      <c r="H50" s="153">
        <v>1690.2</v>
      </c>
      <c r="I50" s="153"/>
    </row>
    <row r="51" spans="1:9">
      <c r="A51" s="143" t="s">
        <v>1197</v>
      </c>
      <c r="B51" s="153">
        <v>4872.2</v>
      </c>
      <c r="C51" s="153">
        <v>5400.6</v>
      </c>
      <c r="D51" s="153">
        <v>5619.6</v>
      </c>
      <c r="E51" s="153">
        <v>5724.8</v>
      </c>
      <c r="F51" s="153">
        <v>6143.6</v>
      </c>
      <c r="G51" s="153">
        <v>7121.7</v>
      </c>
      <c r="H51" s="153">
        <v>7264.8</v>
      </c>
      <c r="I51" s="153"/>
    </row>
    <row r="52" spans="1:9">
      <c r="A52" s="143" t="s">
        <v>1311</v>
      </c>
      <c r="B52" s="153">
        <v>5946.7</v>
      </c>
      <c r="C52" s="153">
        <v>6217.4</v>
      </c>
      <c r="D52" s="153">
        <v>6244.8</v>
      </c>
      <c r="E52" s="153">
        <v>6150.9</v>
      </c>
      <c r="F52" s="153">
        <v>5788.4</v>
      </c>
      <c r="G52" s="153">
        <v>5752.6</v>
      </c>
      <c r="H52" s="153">
        <v>5618.2</v>
      </c>
      <c r="I52" s="153"/>
    </row>
    <row r="53" spans="1:9">
      <c r="A53" s="143" t="s">
        <v>1199</v>
      </c>
      <c r="B53" s="153">
        <v>2506.6</v>
      </c>
      <c r="C53" s="153">
        <v>2811.1</v>
      </c>
      <c r="D53" s="153">
        <v>3019.1</v>
      </c>
      <c r="E53" s="153">
        <v>3043</v>
      </c>
      <c r="F53" s="153">
        <v>2836.9</v>
      </c>
      <c r="G53" s="153">
        <v>2858.7</v>
      </c>
      <c r="H53" s="153">
        <v>2645.6</v>
      </c>
      <c r="I53" s="153"/>
    </row>
    <row r="54" spans="1:9">
      <c r="A54" s="143" t="s">
        <v>1200</v>
      </c>
      <c r="B54" s="153">
        <v>2128.3000000000002</v>
      </c>
      <c r="C54" s="153">
        <v>2466.3000000000002</v>
      </c>
      <c r="D54" s="153">
        <v>2652</v>
      </c>
      <c r="E54" s="153">
        <v>2786.7</v>
      </c>
      <c r="F54" s="153">
        <v>2919.3</v>
      </c>
      <c r="G54" s="153">
        <v>3030.8</v>
      </c>
      <c r="H54" s="153">
        <v>3149.3</v>
      </c>
      <c r="I54" s="153"/>
    </row>
    <row r="55" spans="1:9">
      <c r="A55" s="143" t="s">
        <v>1201</v>
      </c>
      <c r="B55" s="153">
        <v>13736.9</v>
      </c>
      <c r="C55" s="153">
        <v>16065</v>
      </c>
      <c r="D55" s="153">
        <v>14800</v>
      </c>
      <c r="E55" s="153">
        <v>15682.5</v>
      </c>
      <c r="F55" s="153">
        <v>14802.5</v>
      </c>
      <c r="G55" s="153">
        <v>16729.8</v>
      </c>
      <c r="H55" s="153">
        <v>26562.7</v>
      </c>
      <c r="I55" s="153"/>
    </row>
    <row r="56" spans="1:9">
      <c r="A56" s="143" t="s">
        <v>1312</v>
      </c>
      <c r="B56" s="153">
        <v>0</v>
      </c>
      <c r="C56" s="153">
        <v>0</v>
      </c>
      <c r="D56" s="153">
        <v>0</v>
      </c>
      <c r="E56" s="153">
        <v>0.4</v>
      </c>
      <c r="F56" s="153" t="s">
        <v>1229</v>
      </c>
      <c r="G56" s="153">
        <v>0.2</v>
      </c>
      <c r="H56" s="153" t="s">
        <v>1229</v>
      </c>
      <c r="I56" s="153"/>
    </row>
    <row r="57" spans="1:9">
      <c r="A57" s="143" t="s">
        <v>1313</v>
      </c>
      <c r="B57" s="153">
        <v>1231.0999999999999</v>
      </c>
      <c r="C57" s="153">
        <v>1249.5</v>
      </c>
      <c r="D57" s="153">
        <v>579.79999999999995</v>
      </c>
      <c r="E57" s="153">
        <v>139.9</v>
      </c>
      <c r="F57" s="153">
        <v>106</v>
      </c>
      <c r="G57" s="153">
        <v>106.8</v>
      </c>
      <c r="H57" s="153">
        <v>136.1</v>
      </c>
      <c r="I57" s="153"/>
    </row>
    <row r="58" spans="1:9">
      <c r="A58" s="157" t="s">
        <v>1202</v>
      </c>
      <c r="B58" s="153"/>
      <c r="C58" s="153"/>
      <c r="D58" s="153"/>
      <c r="E58" s="153"/>
      <c r="F58" s="153"/>
      <c r="G58" s="153"/>
      <c r="H58" s="153"/>
      <c r="I58" s="153"/>
    </row>
    <row r="59" spans="1:9">
      <c r="A59" s="157" t="s">
        <v>1246</v>
      </c>
      <c r="B59" s="153">
        <v>168.9</v>
      </c>
      <c r="C59" s="153">
        <v>185</v>
      </c>
      <c r="D59" s="153">
        <v>201</v>
      </c>
      <c r="E59" s="153">
        <v>201.3</v>
      </c>
      <c r="F59" s="153">
        <v>84.6</v>
      </c>
      <c r="G59" s="153">
        <v>-1.8</v>
      </c>
      <c r="H59" s="153" t="s">
        <v>1499</v>
      </c>
      <c r="I59" s="153"/>
    </row>
    <row r="60" spans="1:9">
      <c r="A60" s="157" t="s">
        <v>1314</v>
      </c>
      <c r="B60" s="153">
        <v>215.1</v>
      </c>
      <c r="C60" s="153">
        <v>199.9</v>
      </c>
      <c r="D60" s="153">
        <v>196.5</v>
      </c>
      <c r="E60" s="153">
        <v>163.5</v>
      </c>
      <c r="F60" s="153">
        <v>63.9</v>
      </c>
      <c r="G60" s="153">
        <v>-0.5</v>
      </c>
      <c r="H60" s="153" t="s">
        <v>1499</v>
      </c>
      <c r="I60" s="153"/>
    </row>
    <row r="61" spans="1:9">
      <c r="A61" s="143" t="s">
        <v>1247</v>
      </c>
      <c r="B61" s="153">
        <v>991.4</v>
      </c>
      <c r="C61" s="153">
        <v>1029.0999999999999</v>
      </c>
      <c r="D61" s="153">
        <v>984.5</v>
      </c>
      <c r="E61" s="153">
        <v>926.8</v>
      </c>
      <c r="F61" s="153">
        <v>992.8</v>
      </c>
      <c r="G61" s="153">
        <v>1006.1</v>
      </c>
      <c r="H61" s="153">
        <v>796.5</v>
      </c>
      <c r="I61" s="153"/>
    </row>
    <row r="62" spans="1:9">
      <c r="A62" s="143" t="s">
        <v>1248</v>
      </c>
      <c r="B62" s="153">
        <v>68.7</v>
      </c>
      <c r="C62" s="153">
        <v>62.5</v>
      </c>
      <c r="D62" s="153">
        <v>66.599999999999994</v>
      </c>
      <c r="E62" s="153">
        <v>66.599999999999994</v>
      </c>
      <c r="F62" s="153">
        <v>59.4</v>
      </c>
      <c r="G62" s="153">
        <v>64</v>
      </c>
      <c r="H62" s="153">
        <v>63.2</v>
      </c>
      <c r="I62" s="153"/>
    </row>
    <row r="63" spans="1:9">
      <c r="A63" s="157" t="s">
        <v>1249</v>
      </c>
      <c r="B63" s="153"/>
      <c r="C63" s="153"/>
      <c r="D63" s="153"/>
      <c r="E63" s="153"/>
      <c r="F63" s="153"/>
      <c r="G63" s="153"/>
      <c r="H63" s="153"/>
      <c r="I63" s="153"/>
    </row>
    <row r="64" spans="1:9">
      <c r="A64" s="157" t="s">
        <v>1274</v>
      </c>
      <c r="B64" s="153"/>
      <c r="C64" s="153"/>
      <c r="D64" s="153"/>
      <c r="E64" s="153"/>
      <c r="F64" s="153"/>
      <c r="G64" s="153"/>
      <c r="H64" s="153"/>
      <c r="I64" s="153"/>
    </row>
    <row r="65" spans="1:9">
      <c r="A65" s="157" t="s">
        <v>6</v>
      </c>
      <c r="B65" s="153">
        <v>93.2</v>
      </c>
      <c r="C65" s="153">
        <v>98.1</v>
      </c>
      <c r="D65" s="153">
        <v>386.8</v>
      </c>
      <c r="E65" s="153" t="s">
        <v>1229</v>
      </c>
      <c r="F65" s="153" t="s">
        <v>1229</v>
      </c>
      <c r="G65" s="153" t="s">
        <v>1499</v>
      </c>
      <c r="H65" s="153" t="s">
        <v>1499</v>
      </c>
      <c r="I65" s="153"/>
    </row>
    <row r="66" spans="1:9">
      <c r="A66" s="143" t="s">
        <v>1275</v>
      </c>
      <c r="B66" s="153">
        <v>175.5</v>
      </c>
      <c r="C66" s="153">
        <v>233.6</v>
      </c>
      <c r="D66" s="153">
        <v>600</v>
      </c>
      <c r="E66" s="153">
        <v>279.2</v>
      </c>
      <c r="F66" s="153">
        <v>141.19999999999999</v>
      </c>
      <c r="G66" s="153">
        <v>76.900000000000006</v>
      </c>
      <c r="H66" s="153">
        <v>214.5</v>
      </c>
      <c r="I66" s="153"/>
    </row>
    <row r="67" spans="1:9">
      <c r="A67" s="143" t="s">
        <v>1276</v>
      </c>
      <c r="B67" s="153">
        <v>421</v>
      </c>
      <c r="C67" s="153">
        <v>400.6</v>
      </c>
      <c r="D67" s="153">
        <v>355.6</v>
      </c>
      <c r="E67" s="153">
        <v>376.6</v>
      </c>
      <c r="F67" s="153">
        <v>304.8</v>
      </c>
      <c r="G67" s="153">
        <v>102.3</v>
      </c>
      <c r="H67" s="153" t="s">
        <v>1499</v>
      </c>
      <c r="I67" s="153"/>
    </row>
    <row r="68" spans="1:9">
      <c r="A68" s="143" t="s">
        <v>1277</v>
      </c>
      <c r="B68" s="153">
        <v>928.4</v>
      </c>
      <c r="C68" s="153">
        <v>1041.4000000000001</v>
      </c>
      <c r="D68" s="153">
        <v>1073.0999999999999</v>
      </c>
      <c r="E68" s="153">
        <v>999.2</v>
      </c>
      <c r="F68" s="153">
        <v>979.8</v>
      </c>
      <c r="G68" s="153">
        <v>972.7</v>
      </c>
      <c r="H68" s="153">
        <v>1035.7</v>
      </c>
      <c r="I68" s="153"/>
    </row>
    <row r="69" spans="1:9">
      <c r="A69" s="143" t="s">
        <v>7</v>
      </c>
      <c r="B69" s="153">
        <v>543.79999999999995</v>
      </c>
      <c r="C69" s="153">
        <v>594.6</v>
      </c>
      <c r="D69" s="153">
        <v>634.1</v>
      </c>
      <c r="E69" s="153">
        <v>350.9</v>
      </c>
      <c r="F69" s="153" t="s">
        <v>1499</v>
      </c>
      <c r="G69" s="153" t="s">
        <v>1499</v>
      </c>
      <c r="H69" s="153" t="s">
        <v>1499</v>
      </c>
      <c r="I69" s="153"/>
    </row>
    <row r="70" spans="1:9">
      <c r="A70" s="143" t="s">
        <v>1278</v>
      </c>
      <c r="B70" s="153">
        <v>103.7</v>
      </c>
      <c r="C70" s="153">
        <v>82.6</v>
      </c>
      <c r="D70" s="153">
        <v>92.6</v>
      </c>
      <c r="E70" s="153">
        <v>104.4</v>
      </c>
      <c r="F70" s="153">
        <v>113.5</v>
      </c>
      <c r="G70" s="153">
        <v>119.7</v>
      </c>
      <c r="H70" s="153">
        <v>100.6</v>
      </c>
      <c r="I70" s="153"/>
    </row>
    <row r="71" spans="1:9">
      <c r="A71" s="143" t="s">
        <v>1279</v>
      </c>
      <c r="B71" s="153">
        <v>3815</v>
      </c>
      <c r="C71" s="153">
        <v>3892.3</v>
      </c>
      <c r="D71" s="153">
        <v>4050.3</v>
      </c>
      <c r="E71" s="153">
        <v>4009.6</v>
      </c>
      <c r="F71" s="153">
        <v>3911</v>
      </c>
      <c r="G71" s="153">
        <v>4024.9</v>
      </c>
      <c r="H71" s="153">
        <v>4039.8</v>
      </c>
      <c r="I71" s="153"/>
    </row>
    <row r="72" spans="1:9">
      <c r="A72" s="143" t="s">
        <v>597</v>
      </c>
      <c r="B72" s="153">
        <v>2267.5</v>
      </c>
      <c r="C72" s="153">
        <v>2997.1</v>
      </c>
      <c r="D72" s="153">
        <v>3159.9</v>
      </c>
      <c r="E72" s="153">
        <v>3094.6</v>
      </c>
      <c r="F72" s="153">
        <v>2816</v>
      </c>
      <c r="G72" s="153">
        <v>1161.5999999999999</v>
      </c>
      <c r="H72" s="153" t="s">
        <v>1499</v>
      </c>
      <c r="I72" s="153"/>
    </row>
    <row r="73" spans="1:9">
      <c r="A73" s="143" t="s">
        <v>598</v>
      </c>
      <c r="B73" s="153">
        <v>2867.8</v>
      </c>
      <c r="C73" s="153">
        <v>3192.1</v>
      </c>
      <c r="D73" s="153">
        <v>2974.9</v>
      </c>
      <c r="E73" s="153">
        <v>4785.5</v>
      </c>
      <c r="F73" s="153">
        <v>4975.5</v>
      </c>
      <c r="G73" s="153">
        <v>4815.3</v>
      </c>
      <c r="H73" s="153">
        <v>4915.7</v>
      </c>
      <c r="I73" s="153"/>
    </row>
    <row r="74" spans="1:9">
      <c r="A74" s="143" t="s">
        <v>599</v>
      </c>
      <c r="B74" s="153"/>
      <c r="C74" s="153"/>
      <c r="D74" s="153" t="s">
        <v>1499</v>
      </c>
      <c r="E74" s="153" t="s">
        <v>1499</v>
      </c>
      <c r="F74" s="153" t="s">
        <v>1499</v>
      </c>
      <c r="G74" s="153" t="s">
        <v>1499</v>
      </c>
      <c r="H74" s="153">
        <v>45.1</v>
      </c>
      <c r="I74" s="153"/>
    </row>
    <row r="75" spans="1:9">
      <c r="A75" s="143" t="s">
        <v>600</v>
      </c>
      <c r="B75" s="153"/>
      <c r="C75" s="153"/>
      <c r="D75" s="153" t="s">
        <v>1499</v>
      </c>
      <c r="E75" s="153" t="s">
        <v>1499</v>
      </c>
      <c r="F75" s="153" t="s">
        <v>1499</v>
      </c>
      <c r="G75" s="153" t="s">
        <v>1499</v>
      </c>
      <c r="H75" s="153">
        <v>288.5</v>
      </c>
      <c r="I75" s="153"/>
    </row>
    <row r="76" spans="1:9">
      <c r="A76" s="143" t="s">
        <v>601</v>
      </c>
      <c r="B76" s="153">
        <v>11.5</v>
      </c>
      <c r="C76" s="153">
        <v>36.1</v>
      </c>
      <c r="D76" s="153">
        <v>280.3</v>
      </c>
      <c r="E76" s="153">
        <v>453.1</v>
      </c>
      <c r="F76" s="153">
        <v>330.7</v>
      </c>
      <c r="G76" s="153">
        <v>419.1</v>
      </c>
      <c r="H76" s="153">
        <v>234.7</v>
      </c>
      <c r="I76" s="153"/>
    </row>
    <row r="77" spans="1:9">
      <c r="A77" s="143" t="s">
        <v>8</v>
      </c>
      <c r="B77" s="153"/>
      <c r="C77" s="153"/>
      <c r="D77" s="153">
        <v>59.9</v>
      </c>
      <c r="E77" s="153">
        <v>40.1</v>
      </c>
      <c r="F77" s="153">
        <v>0</v>
      </c>
      <c r="G77" s="153" t="s">
        <v>1499</v>
      </c>
      <c r="H77" s="153" t="s">
        <v>1499</v>
      </c>
      <c r="I77" s="153"/>
    </row>
    <row r="78" spans="1:9">
      <c r="A78" s="157"/>
      <c r="B78" s="153"/>
      <c r="C78" s="153"/>
      <c r="D78" s="153"/>
      <c r="E78" s="153"/>
      <c r="F78" s="153"/>
      <c r="G78" s="153"/>
      <c r="H78" s="153"/>
      <c r="I78" s="153"/>
    </row>
    <row r="79" spans="1:9">
      <c r="A79" s="161" t="s">
        <v>602</v>
      </c>
      <c r="B79" s="150">
        <v>0</v>
      </c>
      <c r="C79" s="150">
        <v>0</v>
      </c>
      <c r="D79" s="150">
        <v>3212.8</v>
      </c>
      <c r="E79" s="150">
        <v>11035</v>
      </c>
      <c r="F79" s="150">
        <v>7787.3</v>
      </c>
      <c r="G79" s="150">
        <v>0</v>
      </c>
      <c r="H79" s="150">
        <v>0</v>
      </c>
      <c r="I79" s="144"/>
    </row>
    <row r="80" spans="1:9">
      <c r="A80" s="157" t="s">
        <v>603</v>
      </c>
      <c r="B80" s="153"/>
      <c r="C80" s="153"/>
      <c r="D80" s="153">
        <v>3212.8</v>
      </c>
      <c r="E80" s="153">
        <v>11035</v>
      </c>
      <c r="F80" s="153">
        <v>7787.3</v>
      </c>
      <c r="G80" s="153">
        <v>0</v>
      </c>
      <c r="H80" s="153">
        <v>0</v>
      </c>
      <c r="I80" s="153"/>
    </row>
    <row r="81" spans="1:9">
      <c r="A81" s="157" t="s">
        <v>9</v>
      </c>
      <c r="B81" s="153"/>
      <c r="C81" s="153"/>
      <c r="D81" s="153"/>
      <c r="E81" s="153"/>
      <c r="F81" s="153"/>
      <c r="G81" s="153" t="s">
        <v>1499</v>
      </c>
      <c r="H81" s="153" t="s">
        <v>1499</v>
      </c>
      <c r="I81" s="153"/>
    </row>
    <row r="82" spans="1:9">
      <c r="A82" s="157" t="s">
        <v>10</v>
      </c>
      <c r="B82" s="153"/>
      <c r="C82" s="153"/>
      <c r="D82" s="153"/>
      <c r="E82" s="153"/>
      <c r="F82" s="153"/>
      <c r="G82" s="153"/>
      <c r="H82" s="153"/>
      <c r="I82" s="153"/>
    </row>
    <row r="83" spans="1:9">
      <c r="A83" s="157"/>
      <c r="B83" s="153"/>
      <c r="C83" s="153"/>
      <c r="D83" s="153"/>
      <c r="E83" s="153"/>
      <c r="F83" s="153"/>
      <c r="G83" s="153"/>
      <c r="H83" s="153"/>
      <c r="I83" s="153"/>
    </row>
    <row r="84" spans="1:9">
      <c r="A84" s="160" t="s">
        <v>619</v>
      </c>
      <c r="B84" s="150">
        <v>33829.1</v>
      </c>
      <c r="C84" s="150">
        <v>37467.300000000003</v>
      </c>
      <c r="D84" s="150">
        <v>39839.300000000003</v>
      </c>
      <c r="E84" s="150">
        <v>50000</v>
      </c>
      <c r="F84" s="150">
        <v>43404.6</v>
      </c>
      <c r="G84" s="150">
        <v>29779.599999999999</v>
      </c>
      <c r="H84" s="150">
        <v>28862</v>
      </c>
      <c r="I84" s="150"/>
    </row>
    <row r="85" spans="1:9">
      <c r="A85" s="143"/>
      <c r="B85" s="153"/>
      <c r="C85" s="153"/>
      <c r="D85" s="153"/>
      <c r="E85" s="153"/>
      <c r="F85" s="153"/>
      <c r="G85" s="153"/>
      <c r="H85" s="153"/>
      <c r="I85" s="153"/>
    </row>
    <row r="86" spans="1:9">
      <c r="A86" s="160" t="s">
        <v>620</v>
      </c>
      <c r="B86" s="150">
        <v>10479</v>
      </c>
      <c r="C86" s="150">
        <v>11268.4</v>
      </c>
      <c r="D86" s="150">
        <v>11736.4</v>
      </c>
      <c r="E86" s="150">
        <v>20464.5</v>
      </c>
      <c r="F86" s="150">
        <v>11561.1</v>
      </c>
      <c r="G86" s="150">
        <v>12017.8</v>
      </c>
      <c r="H86" s="150">
        <v>9113.6</v>
      </c>
      <c r="I86" s="150"/>
    </row>
    <row r="87" spans="1:9">
      <c r="A87" s="143" t="s">
        <v>11</v>
      </c>
      <c r="B87" s="153">
        <v>47.5</v>
      </c>
      <c r="C87" s="153">
        <v>35.200000000000003</v>
      </c>
      <c r="D87" s="153">
        <v>46.7</v>
      </c>
      <c r="E87" s="153">
        <v>61.4</v>
      </c>
      <c r="F87" s="153">
        <v>50.3</v>
      </c>
      <c r="G87" s="153">
        <v>209.8</v>
      </c>
      <c r="H87" s="153" t="s">
        <v>1499</v>
      </c>
      <c r="I87" s="151"/>
    </row>
    <row r="88" spans="1:9">
      <c r="A88" s="143" t="s">
        <v>12</v>
      </c>
      <c r="B88" s="153">
        <v>203.5</v>
      </c>
      <c r="C88" s="153">
        <v>199.7</v>
      </c>
      <c r="D88" s="153">
        <v>139.6</v>
      </c>
      <c r="E88" s="153">
        <v>7163.8</v>
      </c>
      <c r="F88" s="153">
        <v>398.8</v>
      </c>
      <c r="G88" s="153">
        <v>229.1</v>
      </c>
      <c r="H88" s="153" t="s">
        <v>1499</v>
      </c>
      <c r="I88" s="151"/>
    </row>
    <row r="89" spans="1:9">
      <c r="A89" s="143" t="s">
        <v>621</v>
      </c>
      <c r="B89" s="153" t="s">
        <v>1229</v>
      </c>
      <c r="C89" s="153" t="s">
        <v>1229</v>
      </c>
      <c r="D89" s="153" t="s">
        <v>1229</v>
      </c>
      <c r="E89" s="153" t="s">
        <v>1229</v>
      </c>
      <c r="F89" s="153" t="s">
        <v>1229</v>
      </c>
      <c r="G89" s="153" t="s">
        <v>1229</v>
      </c>
      <c r="H89" s="153" t="s">
        <v>1229</v>
      </c>
      <c r="I89" s="153"/>
    </row>
    <row r="90" spans="1:9">
      <c r="A90" s="143" t="s">
        <v>622</v>
      </c>
      <c r="B90" s="153">
        <v>196.7</v>
      </c>
      <c r="C90" s="153">
        <v>237.6</v>
      </c>
      <c r="D90" s="153">
        <v>290.10000000000002</v>
      </c>
      <c r="E90" s="153">
        <v>563.9</v>
      </c>
      <c r="F90" s="153">
        <v>183.3</v>
      </c>
      <c r="G90" s="153">
        <v>157.30000000000001</v>
      </c>
      <c r="H90" s="153">
        <v>45.6</v>
      </c>
      <c r="I90" s="153"/>
    </row>
    <row r="91" spans="1:9">
      <c r="A91" s="143" t="s">
        <v>13</v>
      </c>
      <c r="B91" s="153">
        <v>45.4</v>
      </c>
      <c r="C91" s="153">
        <v>98.9</v>
      </c>
      <c r="D91" s="153">
        <v>33.799999999999997</v>
      </c>
      <c r="E91" s="153" t="s">
        <v>1499</v>
      </c>
      <c r="F91" s="153" t="s">
        <v>1499</v>
      </c>
      <c r="G91" s="153" t="s">
        <v>1499</v>
      </c>
      <c r="H91" s="153" t="s">
        <v>1499</v>
      </c>
      <c r="I91" s="153"/>
    </row>
    <row r="92" spans="1:9">
      <c r="A92" s="143" t="s">
        <v>14</v>
      </c>
      <c r="B92" s="153">
        <v>763.1</v>
      </c>
      <c r="C92" s="153">
        <v>500</v>
      </c>
      <c r="D92" s="153"/>
      <c r="E92" s="153"/>
      <c r="F92" s="153"/>
      <c r="G92" s="153"/>
      <c r="H92" s="153"/>
      <c r="I92" s="153"/>
    </row>
    <row r="93" spans="1:9">
      <c r="A93" s="143" t="s">
        <v>623</v>
      </c>
      <c r="B93" s="153"/>
      <c r="C93" s="153"/>
      <c r="D93" s="153"/>
      <c r="E93" s="153"/>
      <c r="F93" s="153"/>
      <c r="G93" s="153"/>
      <c r="H93" s="153"/>
      <c r="I93" s="153"/>
    </row>
    <row r="94" spans="1:9">
      <c r="A94" s="143" t="s">
        <v>624</v>
      </c>
      <c r="B94" s="146"/>
      <c r="C94" s="146"/>
      <c r="D94" s="153">
        <v>750</v>
      </c>
      <c r="E94" s="153">
        <v>1645</v>
      </c>
      <c r="F94" s="153">
        <v>250</v>
      </c>
      <c r="G94" s="153">
        <v>277.60000000000002</v>
      </c>
      <c r="H94" s="153">
        <v>335</v>
      </c>
      <c r="I94" s="148"/>
    </row>
    <row r="95" spans="1:9">
      <c r="A95" s="143" t="s">
        <v>15</v>
      </c>
      <c r="B95" s="153">
        <v>190.1</v>
      </c>
      <c r="C95" s="153">
        <v>80.900000000000006</v>
      </c>
      <c r="D95" s="153">
        <v>132.30000000000001</v>
      </c>
      <c r="E95" s="153">
        <v>87.5</v>
      </c>
      <c r="F95" s="153">
        <v>1038.0999999999999</v>
      </c>
      <c r="G95" s="153" t="s">
        <v>1499</v>
      </c>
      <c r="H95" s="153" t="s">
        <v>1499</v>
      </c>
      <c r="I95" s="153"/>
    </row>
    <row r="96" spans="1:9">
      <c r="A96" s="143" t="s">
        <v>625</v>
      </c>
      <c r="B96" s="153">
        <v>70.3</v>
      </c>
      <c r="C96" s="153">
        <v>47.9</v>
      </c>
      <c r="D96" s="153">
        <v>47.4</v>
      </c>
      <c r="E96" s="153">
        <v>49.5</v>
      </c>
      <c r="F96" s="153">
        <v>51.1</v>
      </c>
      <c r="G96" s="153">
        <v>58.2</v>
      </c>
      <c r="H96" s="153">
        <v>39.5</v>
      </c>
      <c r="I96" s="153"/>
    </row>
    <row r="97" spans="1:9">
      <c r="A97" s="143" t="s">
        <v>16</v>
      </c>
      <c r="B97" s="153" t="s">
        <v>1499</v>
      </c>
      <c r="C97" s="153">
        <v>592.4</v>
      </c>
      <c r="D97" s="153">
        <v>720</v>
      </c>
      <c r="E97" s="153">
        <v>440</v>
      </c>
      <c r="F97" s="153" t="s">
        <v>1499</v>
      </c>
      <c r="G97" s="153" t="s">
        <v>1499</v>
      </c>
      <c r="H97" s="153" t="s">
        <v>1499</v>
      </c>
      <c r="I97" s="153"/>
    </row>
    <row r="98" spans="1:9">
      <c r="A98" s="143" t="s">
        <v>17</v>
      </c>
      <c r="B98" s="156">
        <v>49.4</v>
      </c>
      <c r="C98" s="156">
        <v>40</v>
      </c>
      <c r="D98" s="153">
        <v>40</v>
      </c>
      <c r="E98" s="153" t="s">
        <v>1499</v>
      </c>
      <c r="F98" s="153" t="s">
        <v>1499</v>
      </c>
      <c r="G98" s="153" t="s">
        <v>1499</v>
      </c>
      <c r="H98" s="153" t="s">
        <v>1499</v>
      </c>
      <c r="I98" s="156"/>
    </row>
    <row r="99" spans="1:9">
      <c r="A99" s="143" t="s">
        <v>18</v>
      </c>
      <c r="B99" s="156"/>
      <c r="C99" s="156"/>
      <c r="D99" s="153"/>
      <c r="E99" s="153"/>
      <c r="F99" s="153"/>
      <c r="G99" s="153"/>
      <c r="H99" s="153"/>
      <c r="I99" s="156"/>
    </row>
    <row r="100" spans="1:9">
      <c r="A100" s="143" t="s">
        <v>19</v>
      </c>
      <c r="B100" s="156">
        <v>80.5</v>
      </c>
      <c r="C100" s="156">
        <v>100.7</v>
      </c>
      <c r="D100" s="153">
        <v>141.6</v>
      </c>
      <c r="E100" s="153">
        <v>190.4</v>
      </c>
      <c r="F100" s="153">
        <v>138.69999999999999</v>
      </c>
      <c r="G100" s="153" t="s">
        <v>1499</v>
      </c>
      <c r="H100" s="153" t="s">
        <v>1499</v>
      </c>
      <c r="I100" s="156"/>
    </row>
    <row r="101" spans="1:9">
      <c r="A101" s="143" t="s">
        <v>626</v>
      </c>
      <c r="B101" s="153"/>
      <c r="C101" s="153"/>
      <c r="D101" s="153"/>
      <c r="E101" s="153"/>
      <c r="F101" s="153"/>
      <c r="G101" s="153"/>
      <c r="H101" s="153"/>
      <c r="I101" s="153"/>
    </row>
    <row r="102" spans="1:9">
      <c r="A102" s="143" t="s">
        <v>627</v>
      </c>
      <c r="B102" s="153" t="s">
        <v>1499</v>
      </c>
      <c r="C102" s="153" t="s">
        <v>1229</v>
      </c>
      <c r="D102" s="153" t="s">
        <v>1499</v>
      </c>
      <c r="E102" s="153">
        <v>486.5</v>
      </c>
      <c r="F102" s="153">
        <v>198.8</v>
      </c>
      <c r="G102" s="153">
        <v>352.2</v>
      </c>
      <c r="H102" s="153">
        <v>439.9</v>
      </c>
      <c r="I102" s="153"/>
    </row>
    <row r="103" spans="1:9">
      <c r="A103" s="143" t="s">
        <v>628</v>
      </c>
      <c r="B103" s="153"/>
      <c r="C103" s="153"/>
      <c r="D103" s="153"/>
      <c r="E103" s="153"/>
      <c r="F103" s="153"/>
      <c r="G103" s="153"/>
      <c r="H103" s="153"/>
      <c r="I103" s="153"/>
    </row>
    <row r="104" spans="1:9">
      <c r="A104" s="143" t="s">
        <v>629</v>
      </c>
      <c r="B104" s="153"/>
      <c r="C104" s="153"/>
      <c r="D104" s="153" t="s">
        <v>1499</v>
      </c>
      <c r="E104" s="153" t="s">
        <v>1499</v>
      </c>
      <c r="F104" s="153" t="s">
        <v>1499</v>
      </c>
      <c r="G104" s="153" t="s">
        <v>1499</v>
      </c>
      <c r="H104" s="153" t="s">
        <v>1499</v>
      </c>
      <c r="I104" s="153"/>
    </row>
    <row r="105" spans="1:9">
      <c r="A105" s="143" t="s">
        <v>1110</v>
      </c>
      <c r="B105" s="153"/>
      <c r="C105" s="153"/>
      <c r="D105" s="153"/>
      <c r="E105" s="153"/>
      <c r="F105" s="153"/>
      <c r="G105" s="153"/>
      <c r="H105" s="153"/>
      <c r="I105" s="153"/>
    </row>
    <row r="106" spans="1:9">
      <c r="A106" s="143" t="s">
        <v>1111</v>
      </c>
      <c r="B106" s="153">
        <v>6600</v>
      </c>
      <c r="C106" s="153">
        <v>7000</v>
      </c>
      <c r="D106" s="153">
        <v>7000</v>
      </c>
      <c r="E106" s="153">
        <v>7700</v>
      </c>
      <c r="F106" s="153">
        <v>7300</v>
      </c>
      <c r="G106" s="153">
        <v>9500</v>
      </c>
      <c r="H106" s="153">
        <v>6200</v>
      </c>
      <c r="I106" s="153"/>
    </row>
    <row r="107" spans="1:9">
      <c r="A107" s="143" t="s">
        <v>20</v>
      </c>
      <c r="B107" s="153" t="s">
        <v>1499</v>
      </c>
      <c r="C107" s="153" t="s">
        <v>1499</v>
      </c>
      <c r="D107" s="153"/>
      <c r="E107" s="153"/>
      <c r="F107" s="153"/>
      <c r="G107" s="153"/>
      <c r="H107" s="153"/>
      <c r="I107" s="153"/>
    </row>
    <row r="108" spans="1:9">
      <c r="A108" s="143" t="s">
        <v>1112</v>
      </c>
      <c r="B108" s="156">
        <v>1282</v>
      </c>
      <c r="C108" s="156">
        <v>1355.8</v>
      </c>
      <c r="D108" s="153">
        <v>1326</v>
      </c>
      <c r="E108" s="153">
        <v>1066.2</v>
      </c>
      <c r="F108" s="153">
        <v>1163.8</v>
      </c>
      <c r="G108" s="153">
        <v>654.6</v>
      </c>
      <c r="H108" s="153">
        <v>1401.4</v>
      </c>
      <c r="I108" s="158"/>
    </row>
    <row r="109" spans="1:9">
      <c r="A109" s="143" t="s">
        <v>1113</v>
      </c>
      <c r="B109" s="153">
        <v>950.5</v>
      </c>
      <c r="C109" s="153">
        <v>979.3</v>
      </c>
      <c r="D109" s="153">
        <v>1068.9000000000001</v>
      </c>
      <c r="E109" s="153">
        <v>1010.3</v>
      </c>
      <c r="F109" s="153">
        <v>788.2</v>
      </c>
      <c r="G109" s="153">
        <v>579</v>
      </c>
      <c r="H109" s="153">
        <v>652.20000000000005</v>
      </c>
      <c r="I109" s="151"/>
    </row>
    <row r="110" spans="1:9">
      <c r="A110" s="143" t="s">
        <v>1114</v>
      </c>
      <c r="B110" s="153"/>
      <c r="C110" s="153"/>
      <c r="D110" s="153"/>
      <c r="E110" s="153"/>
      <c r="F110" s="153"/>
      <c r="G110" s="153"/>
      <c r="H110" s="153"/>
      <c r="I110" s="153"/>
    </row>
    <row r="111" spans="1:9">
      <c r="A111" s="143"/>
      <c r="B111" s="153"/>
      <c r="C111" s="153"/>
      <c r="D111" s="153"/>
      <c r="E111" s="153"/>
      <c r="F111" s="153"/>
      <c r="G111" s="153"/>
      <c r="H111" s="153"/>
      <c r="I111" s="153"/>
    </row>
    <row r="112" spans="1:9">
      <c r="A112" s="161" t="s">
        <v>1115</v>
      </c>
      <c r="B112" s="150">
        <v>0</v>
      </c>
      <c r="C112" s="150">
        <v>1036.5999999999999</v>
      </c>
      <c r="D112" s="150">
        <v>436.6</v>
      </c>
      <c r="E112" s="150">
        <v>620.29999999999995</v>
      </c>
      <c r="F112" s="150">
        <v>777.9</v>
      </c>
      <c r="G112" s="150">
        <v>2047.8</v>
      </c>
      <c r="H112" s="150">
        <v>2548.1</v>
      </c>
      <c r="I112" s="150"/>
    </row>
    <row r="113" spans="1:9">
      <c r="A113" s="157" t="s">
        <v>1316</v>
      </c>
      <c r="B113" s="153" t="s">
        <v>1229</v>
      </c>
      <c r="C113" s="153" t="s">
        <v>1229</v>
      </c>
      <c r="D113" s="153">
        <v>26.3</v>
      </c>
      <c r="E113" s="153" t="s">
        <v>1229</v>
      </c>
      <c r="F113" s="153" t="s">
        <v>1499</v>
      </c>
      <c r="G113" s="153" t="s">
        <v>1499</v>
      </c>
      <c r="H113" s="153" t="s">
        <v>1499</v>
      </c>
      <c r="I113" s="151"/>
    </row>
    <row r="114" spans="1:9">
      <c r="A114" s="157" t="s">
        <v>1317</v>
      </c>
      <c r="B114" s="153" t="s">
        <v>1229</v>
      </c>
      <c r="C114" s="153" t="s">
        <v>1229</v>
      </c>
      <c r="D114" s="153"/>
      <c r="E114" s="153"/>
      <c r="F114" s="153"/>
      <c r="G114" s="153"/>
      <c r="H114" s="153"/>
      <c r="I114" s="151"/>
    </row>
    <row r="115" spans="1:9">
      <c r="A115" s="157" t="s">
        <v>1127</v>
      </c>
      <c r="B115" s="153"/>
      <c r="C115" s="153"/>
      <c r="D115" s="153"/>
      <c r="E115" s="153"/>
      <c r="F115" s="153"/>
      <c r="G115" s="153"/>
      <c r="H115" s="153"/>
      <c r="I115" s="153"/>
    </row>
    <row r="116" spans="1:9">
      <c r="A116" s="157" t="s">
        <v>1116</v>
      </c>
      <c r="B116" s="153" t="s">
        <v>1229</v>
      </c>
      <c r="C116" s="153">
        <v>1036.5999999999999</v>
      </c>
      <c r="D116" s="153">
        <v>410.3</v>
      </c>
      <c r="E116" s="153">
        <v>620.29999999999995</v>
      </c>
      <c r="F116" s="153">
        <v>777.9</v>
      </c>
      <c r="G116" s="153">
        <v>2047.8</v>
      </c>
      <c r="H116" s="153">
        <v>2548.1</v>
      </c>
      <c r="I116" s="151"/>
    </row>
    <row r="117" spans="1:9">
      <c r="A117" s="157" t="s">
        <v>1117</v>
      </c>
      <c r="B117" s="153" t="s">
        <v>1229</v>
      </c>
      <c r="C117" s="153" t="s">
        <v>1229</v>
      </c>
      <c r="D117" s="153" t="s">
        <v>1229</v>
      </c>
      <c r="E117" s="153" t="s">
        <v>1229</v>
      </c>
      <c r="F117" s="153" t="s">
        <v>1499</v>
      </c>
      <c r="G117" s="153" t="s">
        <v>1499</v>
      </c>
      <c r="H117" s="153" t="s">
        <v>1499</v>
      </c>
      <c r="I117" s="153"/>
    </row>
    <row r="118" spans="1:9">
      <c r="A118" s="157" t="s">
        <v>1128</v>
      </c>
      <c r="B118" s="153"/>
      <c r="C118" s="153"/>
      <c r="D118" s="153"/>
      <c r="E118" s="153"/>
      <c r="F118" s="153"/>
      <c r="G118" s="153"/>
      <c r="H118" s="153"/>
      <c r="I118" s="153"/>
    </row>
    <row r="119" spans="1:9">
      <c r="A119" s="155"/>
      <c r="B119" s="153"/>
      <c r="C119" s="153"/>
      <c r="D119" s="153"/>
      <c r="E119" s="153"/>
      <c r="F119" s="153"/>
      <c r="G119" s="153"/>
      <c r="H119" s="153"/>
      <c r="I119" s="153"/>
    </row>
    <row r="120" spans="1:9">
      <c r="A120" s="160" t="s">
        <v>1118</v>
      </c>
      <c r="B120" s="150">
        <v>14660.3</v>
      </c>
      <c r="C120" s="150">
        <v>14508.7</v>
      </c>
      <c r="D120" s="150">
        <v>15548.8</v>
      </c>
      <c r="E120" s="150">
        <v>13030.9</v>
      </c>
      <c r="F120" s="150">
        <v>8571.7000000000007</v>
      </c>
      <c r="G120" s="150">
        <v>5307.4</v>
      </c>
      <c r="H120" s="150">
        <v>4699.8999999999996</v>
      </c>
      <c r="I120" s="150"/>
    </row>
    <row r="121" spans="1:9">
      <c r="A121" s="157" t="s">
        <v>1129</v>
      </c>
      <c r="B121" s="153">
        <v>166.3</v>
      </c>
      <c r="C121" s="153">
        <v>138.30000000000001</v>
      </c>
      <c r="D121" s="153">
        <v>126.1</v>
      </c>
      <c r="E121" s="153">
        <v>77.2</v>
      </c>
      <c r="F121" s="153" t="s">
        <v>1229</v>
      </c>
      <c r="G121" s="153" t="s">
        <v>1499</v>
      </c>
      <c r="H121" s="153" t="s">
        <v>1499</v>
      </c>
      <c r="I121" s="153"/>
    </row>
    <row r="122" spans="1:9">
      <c r="A122" s="157" t="s">
        <v>154</v>
      </c>
      <c r="B122" s="153">
        <v>0.1</v>
      </c>
      <c r="C122" s="153">
        <v>0</v>
      </c>
      <c r="D122" s="153">
        <v>0</v>
      </c>
      <c r="E122" s="153" t="s">
        <v>1229</v>
      </c>
      <c r="F122" s="153" t="s">
        <v>1499</v>
      </c>
      <c r="G122" s="153" t="s">
        <v>1499</v>
      </c>
      <c r="H122" s="153" t="s">
        <v>1499</v>
      </c>
      <c r="I122" s="153"/>
    </row>
    <row r="123" spans="1:9">
      <c r="A123" s="157" t="s">
        <v>1119</v>
      </c>
      <c r="B123" s="153">
        <v>7.9</v>
      </c>
      <c r="C123" s="153">
        <v>9.4</v>
      </c>
      <c r="D123" s="153">
        <v>9.1</v>
      </c>
      <c r="E123" s="153">
        <v>9.6</v>
      </c>
      <c r="F123" s="153">
        <v>9.6</v>
      </c>
      <c r="G123" s="153">
        <v>4.8</v>
      </c>
      <c r="H123" s="153">
        <v>5.0999999999999996</v>
      </c>
      <c r="I123" s="153"/>
    </row>
    <row r="124" spans="1:9">
      <c r="A124" s="157" t="s">
        <v>732</v>
      </c>
      <c r="B124" s="153"/>
      <c r="C124" s="153"/>
      <c r="D124" s="153"/>
      <c r="E124" s="153"/>
      <c r="F124" s="153"/>
      <c r="G124" s="153"/>
      <c r="H124" s="153"/>
      <c r="I124" s="153"/>
    </row>
    <row r="125" spans="1:9">
      <c r="A125" s="143" t="s">
        <v>1120</v>
      </c>
      <c r="B125" s="153">
        <v>0.1</v>
      </c>
      <c r="C125" s="153">
        <v>0.2</v>
      </c>
      <c r="D125" s="153">
        <v>0.1</v>
      </c>
      <c r="E125" s="153">
        <v>0.1</v>
      </c>
      <c r="F125" s="153">
        <v>0.1</v>
      </c>
      <c r="G125" s="153">
        <v>0.1</v>
      </c>
      <c r="H125" s="153">
        <v>0.1</v>
      </c>
      <c r="I125" s="153"/>
    </row>
    <row r="126" spans="1:9">
      <c r="A126" s="143" t="s">
        <v>733</v>
      </c>
      <c r="B126" s="153">
        <v>0</v>
      </c>
      <c r="C126" s="153">
        <v>0</v>
      </c>
      <c r="D126" s="153">
        <v>0</v>
      </c>
      <c r="E126" s="153" t="s">
        <v>1499</v>
      </c>
      <c r="F126" s="153" t="s">
        <v>1499</v>
      </c>
      <c r="G126" s="153" t="s">
        <v>1499</v>
      </c>
      <c r="H126" s="153" t="s">
        <v>1499</v>
      </c>
      <c r="I126" s="153"/>
    </row>
    <row r="127" spans="1:9">
      <c r="A127" s="143" t="s">
        <v>1121</v>
      </c>
      <c r="B127" s="153"/>
      <c r="C127" s="153"/>
      <c r="D127" s="153"/>
      <c r="E127" s="153"/>
      <c r="F127" s="153"/>
      <c r="G127" s="153"/>
      <c r="H127" s="153"/>
      <c r="I127" s="153"/>
    </row>
    <row r="128" spans="1:9">
      <c r="A128" s="143" t="s">
        <v>1122</v>
      </c>
      <c r="B128" s="153">
        <v>8.4</v>
      </c>
      <c r="C128" s="170">
        <v>4.3</v>
      </c>
      <c r="D128" s="153">
        <v>2.8</v>
      </c>
      <c r="E128" s="153">
        <v>1.7</v>
      </c>
      <c r="F128" s="153">
        <v>0.7</v>
      </c>
      <c r="G128" s="153">
        <v>0.7</v>
      </c>
      <c r="H128" s="153">
        <v>0.4</v>
      </c>
      <c r="I128" s="153"/>
    </row>
    <row r="129" spans="1:9">
      <c r="A129" s="143" t="s">
        <v>734</v>
      </c>
      <c r="B129" s="156" t="s">
        <v>1229</v>
      </c>
      <c r="C129" s="170" t="s">
        <v>1229</v>
      </c>
      <c r="D129" s="153"/>
      <c r="E129" s="153"/>
      <c r="F129" s="153"/>
      <c r="G129" s="153"/>
      <c r="H129" s="153"/>
      <c r="I129" s="158"/>
    </row>
    <row r="130" spans="1:9">
      <c r="A130" s="143" t="s">
        <v>1123</v>
      </c>
      <c r="B130" s="156">
        <v>0</v>
      </c>
      <c r="C130" s="153">
        <v>0</v>
      </c>
      <c r="D130" s="153">
        <v>0.1</v>
      </c>
      <c r="E130" s="153">
        <v>0</v>
      </c>
      <c r="F130" s="153">
        <v>0</v>
      </c>
      <c r="G130" s="153">
        <v>0</v>
      </c>
      <c r="H130" s="153" t="s">
        <v>1229</v>
      </c>
      <c r="I130" s="156"/>
    </row>
    <row r="131" spans="1:9">
      <c r="A131" s="143" t="s">
        <v>1124</v>
      </c>
      <c r="B131" s="153">
        <v>226.9</v>
      </c>
      <c r="C131" s="153">
        <v>131.9</v>
      </c>
      <c r="D131" s="153">
        <v>123</v>
      </c>
      <c r="E131" s="153">
        <v>101.5</v>
      </c>
      <c r="F131" s="153">
        <v>94.6</v>
      </c>
      <c r="G131" s="153">
        <v>84.4</v>
      </c>
      <c r="H131" s="153">
        <v>66.900000000000006</v>
      </c>
      <c r="I131" s="153"/>
    </row>
    <row r="132" spans="1:9">
      <c r="A132" s="143" t="s">
        <v>1125</v>
      </c>
      <c r="B132" s="153">
        <v>2.4</v>
      </c>
      <c r="C132" s="153">
        <v>2.1</v>
      </c>
      <c r="D132" s="153">
        <v>2</v>
      </c>
      <c r="E132" s="153">
        <v>1.6</v>
      </c>
      <c r="F132" s="153">
        <v>3.2</v>
      </c>
      <c r="G132" s="153">
        <v>2.2999999999999998</v>
      </c>
      <c r="H132" s="153">
        <v>1.6</v>
      </c>
      <c r="I132" s="153"/>
    </row>
    <row r="133" spans="1:9">
      <c r="A133" s="143" t="s">
        <v>735</v>
      </c>
      <c r="B133" s="153">
        <v>261.5</v>
      </c>
      <c r="C133" s="153">
        <v>250.4</v>
      </c>
      <c r="D133" s="153">
        <v>127.3</v>
      </c>
      <c r="E133" s="153">
        <v>262.10000000000002</v>
      </c>
      <c r="F133" s="153" t="s">
        <v>1499</v>
      </c>
      <c r="G133" s="153" t="s">
        <v>1499</v>
      </c>
      <c r="H133" s="153" t="s">
        <v>1499</v>
      </c>
      <c r="I133" s="153"/>
    </row>
    <row r="134" spans="1:9">
      <c r="A134" s="143" t="s">
        <v>736</v>
      </c>
      <c r="B134" s="153">
        <v>48.2</v>
      </c>
      <c r="C134" s="153">
        <v>23.1</v>
      </c>
      <c r="D134" s="153">
        <v>46.9</v>
      </c>
      <c r="E134" s="153">
        <v>50.3</v>
      </c>
      <c r="F134" s="153">
        <v>50.3</v>
      </c>
      <c r="G134" s="153">
        <v>32.200000000000003</v>
      </c>
      <c r="H134" s="153" t="s">
        <v>1229</v>
      </c>
      <c r="I134" s="153"/>
    </row>
    <row r="135" spans="1:9">
      <c r="A135" s="143" t="s">
        <v>737</v>
      </c>
      <c r="B135" s="153">
        <v>14.5</v>
      </c>
      <c r="C135" s="153">
        <v>36.799999999999997</v>
      </c>
      <c r="D135" s="153" t="s">
        <v>1229</v>
      </c>
      <c r="E135" s="153" t="s">
        <v>1499</v>
      </c>
      <c r="F135" s="153" t="s">
        <v>1499</v>
      </c>
      <c r="G135" s="153" t="s">
        <v>1499</v>
      </c>
      <c r="H135" s="153" t="s">
        <v>1499</v>
      </c>
      <c r="I135" s="153"/>
    </row>
    <row r="136" spans="1:9">
      <c r="A136" s="143" t="s">
        <v>738</v>
      </c>
      <c r="B136" s="153">
        <v>931.6</v>
      </c>
      <c r="C136" s="153">
        <v>2350.4</v>
      </c>
      <c r="D136" s="153">
        <v>2218.8000000000002</v>
      </c>
      <c r="E136" s="153">
        <v>2149.9</v>
      </c>
      <c r="F136" s="153" t="s">
        <v>1499</v>
      </c>
      <c r="G136" s="153" t="s">
        <v>1499</v>
      </c>
      <c r="H136" s="153" t="s">
        <v>1499</v>
      </c>
      <c r="I136" s="153"/>
    </row>
    <row r="137" spans="1:9">
      <c r="A137" s="143" t="s">
        <v>739</v>
      </c>
      <c r="B137" s="153">
        <v>0</v>
      </c>
      <c r="C137" s="153" t="s">
        <v>1229</v>
      </c>
      <c r="D137" s="153" t="s">
        <v>1229</v>
      </c>
      <c r="E137" s="153" t="s">
        <v>1499</v>
      </c>
      <c r="F137" s="153" t="s">
        <v>1499</v>
      </c>
      <c r="G137" s="153" t="s">
        <v>1499</v>
      </c>
      <c r="H137" s="153" t="s">
        <v>1499</v>
      </c>
      <c r="I137" s="153"/>
    </row>
    <row r="138" spans="1:9">
      <c r="A138" s="143" t="s">
        <v>103</v>
      </c>
      <c r="B138" s="153">
        <v>8477.9</v>
      </c>
      <c r="C138" s="153">
        <v>6141</v>
      </c>
      <c r="D138" s="153">
        <v>7475.6</v>
      </c>
      <c r="E138" s="153">
        <v>6565.9</v>
      </c>
      <c r="F138" s="153">
        <v>4692.3999999999996</v>
      </c>
      <c r="G138" s="153">
        <v>4057.5</v>
      </c>
      <c r="H138" s="153">
        <v>3675.3</v>
      </c>
      <c r="I138" s="153"/>
    </row>
    <row r="139" spans="1:9">
      <c r="A139" s="143" t="s">
        <v>104</v>
      </c>
      <c r="B139" s="153"/>
      <c r="C139" s="153"/>
      <c r="D139" s="153"/>
      <c r="E139" s="153"/>
      <c r="F139" s="153"/>
      <c r="G139" s="153"/>
      <c r="H139" s="153"/>
      <c r="I139" s="153"/>
    </row>
    <row r="140" spans="1:9">
      <c r="A140" s="157" t="s">
        <v>906</v>
      </c>
      <c r="B140" s="153">
        <v>0.2</v>
      </c>
      <c r="C140" s="153">
        <v>0.2</v>
      </c>
      <c r="D140" s="153">
        <v>0.1</v>
      </c>
      <c r="E140" s="153">
        <v>0.2</v>
      </c>
      <c r="F140" s="153">
        <v>0.1</v>
      </c>
      <c r="G140" s="153">
        <v>0.1</v>
      </c>
      <c r="H140" s="153">
        <v>0.1</v>
      </c>
      <c r="I140" s="151"/>
    </row>
    <row r="141" spans="1:9">
      <c r="A141" s="143" t="s">
        <v>907</v>
      </c>
      <c r="B141" s="153">
        <v>2.7</v>
      </c>
      <c r="C141" s="153">
        <v>2.2000000000000002</v>
      </c>
      <c r="D141" s="153">
        <v>2.1</v>
      </c>
      <c r="E141" s="153">
        <v>2.5</v>
      </c>
      <c r="F141" s="153">
        <v>2.2000000000000002</v>
      </c>
      <c r="G141" s="153">
        <v>2.2999999999999998</v>
      </c>
      <c r="H141" s="153">
        <v>4.0999999999999996</v>
      </c>
      <c r="I141" s="153"/>
    </row>
    <row r="142" spans="1:9">
      <c r="A142" s="157" t="s">
        <v>908</v>
      </c>
      <c r="B142" s="153"/>
      <c r="C142" s="153"/>
      <c r="D142" s="153"/>
      <c r="E142" s="153"/>
      <c r="F142" s="153"/>
      <c r="G142" s="153"/>
      <c r="H142" s="153"/>
      <c r="I142" s="153"/>
    </row>
    <row r="143" spans="1:9">
      <c r="A143" s="157" t="s">
        <v>909</v>
      </c>
      <c r="B143" s="156">
        <v>0.1</v>
      </c>
      <c r="C143" s="156">
        <v>0.2</v>
      </c>
      <c r="D143" s="153">
        <v>0.1</v>
      </c>
      <c r="E143" s="153">
        <v>0.1</v>
      </c>
      <c r="F143" s="153">
        <v>0.1</v>
      </c>
      <c r="G143" s="153">
        <v>0.1</v>
      </c>
      <c r="H143" s="153">
        <v>0.1</v>
      </c>
      <c r="I143" s="156"/>
    </row>
    <row r="144" spans="1:9">
      <c r="A144" s="143" t="s">
        <v>1286</v>
      </c>
      <c r="B144" s="153">
        <v>25</v>
      </c>
      <c r="C144" s="153">
        <v>24.6</v>
      </c>
      <c r="D144" s="153">
        <v>19.2</v>
      </c>
      <c r="E144" s="153">
        <v>18.899999999999999</v>
      </c>
      <c r="F144" s="153">
        <v>23.3</v>
      </c>
      <c r="G144" s="153">
        <v>36.799999999999997</v>
      </c>
      <c r="H144" s="153">
        <v>39.5</v>
      </c>
      <c r="I144" s="153"/>
    </row>
    <row r="145" spans="1:9">
      <c r="A145" s="143" t="s">
        <v>1287</v>
      </c>
      <c r="B145" s="153"/>
      <c r="C145" s="153"/>
      <c r="D145" s="153"/>
      <c r="E145" s="153"/>
      <c r="F145" s="153"/>
      <c r="G145" s="153"/>
      <c r="H145" s="153"/>
      <c r="I145" s="153"/>
    </row>
    <row r="146" spans="1:9">
      <c r="A146" s="143" t="s">
        <v>1288</v>
      </c>
      <c r="B146" s="153">
        <v>136.80000000000001</v>
      </c>
      <c r="C146" s="153">
        <v>348</v>
      </c>
      <c r="D146" s="153">
        <v>333.8</v>
      </c>
      <c r="E146" s="153">
        <v>323.10000000000002</v>
      </c>
      <c r="F146" s="153">
        <v>205.1</v>
      </c>
      <c r="G146" s="153">
        <v>167.5</v>
      </c>
      <c r="H146" s="153">
        <v>135.80000000000001</v>
      </c>
      <c r="I146" s="153"/>
    </row>
    <row r="147" spans="1:9">
      <c r="A147" s="143" t="s">
        <v>54</v>
      </c>
      <c r="B147" s="153">
        <v>6.8</v>
      </c>
      <c r="C147" s="153">
        <v>7.7</v>
      </c>
      <c r="D147" s="153">
        <v>8.4</v>
      </c>
      <c r="E147" s="153">
        <v>3.7</v>
      </c>
      <c r="F147" s="153">
        <v>9.1999999999999993</v>
      </c>
      <c r="G147" s="153">
        <v>6.1</v>
      </c>
      <c r="H147" s="153">
        <v>4.2</v>
      </c>
      <c r="I147" s="153"/>
    </row>
    <row r="148" spans="1:9">
      <c r="A148" s="143" t="s">
        <v>740</v>
      </c>
      <c r="B148" s="153"/>
      <c r="C148" s="153"/>
      <c r="D148" s="153"/>
      <c r="E148" s="153"/>
      <c r="F148" s="153"/>
      <c r="G148" s="153"/>
      <c r="H148" s="153"/>
      <c r="I148" s="153"/>
    </row>
    <row r="149" spans="1:9">
      <c r="A149" s="143" t="s">
        <v>741</v>
      </c>
      <c r="B149" s="153"/>
      <c r="C149" s="153"/>
      <c r="D149" s="153"/>
      <c r="E149" s="153"/>
      <c r="F149" s="153"/>
      <c r="G149" s="153"/>
      <c r="H149" s="153"/>
      <c r="I149" s="153"/>
    </row>
    <row r="150" spans="1:9">
      <c r="A150" s="143" t="s">
        <v>742</v>
      </c>
      <c r="B150" s="153"/>
      <c r="C150" s="153"/>
      <c r="D150" s="153"/>
      <c r="E150" s="153"/>
      <c r="F150" s="153"/>
      <c r="G150" s="153"/>
      <c r="H150" s="153"/>
      <c r="I150" s="153"/>
    </row>
    <row r="151" spans="1:9">
      <c r="A151" s="143" t="s">
        <v>743</v>
      </c>
      <c r="B151" s="153"/>
      <c r="C151" s="153"/>
      <c r="D151" s="153"/>
      <c r="E151" s="153"/>
      <c r="F151" s="153"/>
      <c r="G151" s="153"/>
      <c r="H151" s="153"/>
      <c r="I151" s="153"/>
    </row>
    <row r="152" spans="1:9">
      <c r="A152" s="143" t="s">
        <v>744</v>
      </c>
      <c r="B152" s="153"/>
      <c r="C152" s="153"/>
      <c r="D152" s="153"/>
      <c r="E152" s="153"/>
      <c r="F152" s="153"/>
      <c r="G152" s="153"/>
      <c r="H152" s="153"/>
      <c r="I152" s="153"/>
    </row>
    <row r="153" spans="1:9">
      <c r="A153" s="143" t="s">
        <v>745</v>
      </c>
      <c r="B153" s="153"/>
      <c r="C153" s="153"/>
      <c r="D153" s="153"/>
      <c r="E153" s="153"/>
      <c r="F153" s="153"/>
      <c r="G153" s="153"/>
      <c r="H153" s="153"/>
      <c r="I153" s="153"/>
    </row>
    <row r="154" spans="1:9">
      <c r="A154" s="143" t="s">
        <v>79</v>
      </c>
      <c r="B154" s="153">
        <v>713.6</v>
      </c>
      <c r="C154" s="153">
        <v>535.70000000000005</v>
      </c>
      <c r="D154" s="153">
        <v>597.5</v>
      </c>
      <c r="E154" s="153">
        <v>602.29999999999995</v>
      </c>
      <c r="F154" s="153">
        <v>632.1</v>
      </c>
      <c r="G154" s="153">
        <v>572</v>
      </c>
      <c r="H154" s="153">
        <v>439.9</v>
      </c>
      <c r="I154" s="153"/>
    </row>
    <row r="155" spans="1:9">
      <c r="A155" s="143" t="s">
        <v>983</v>
      </c>
      <c r="B155" s="153">
        <v>0</v>
      </c>
      <c r="C155" s="153">
        <v>0</v>
      </c>
      <c r="D155" s="153"/>
      <c r="E155" s="153"/>
      <c r="F155" s="153"/>
      <c r="G155" s="153"/>
      <c r="H155" s="153"/>
      <c r="I155" s="153"/>
    </row>
    <row r="156" spans="1:9">
      <c r="A156" s="143" t="s">
        <v>984</v>
      </c>
      <c r="B156" s="153" t="s">
        <v>1499</v>
      </c>
      <c r="C156" s="153" t="s">
        <v>1499</v>
      </c>
      <c r="D156" s="153"/>
      <c r="E156" s="153"/>
      <c r="F156" s="153"/>
      <c r="G156" s="153"/>
      <c r="H156" s="153"/>
      <c r="I156" s="153"/>
    </row>
    <row r="157" spans="1:9">
      <c r="A157" s="157" t="s">
        <v>80</v>
      </c>
      <c r="B157" s="153">
        <v>0.9</v>
      </c>
      <c r="C157" s="153">
        <v>0.3</v>
      </c>
      <c r="D157" s="153">
        <v>0.3</v>
      </c>
      <c r="E157" s="153">
        <v>0.3</v>
      </c>
      <c r="F157" s="153" t="s">
        <v>1229</v>
      </c>
      <c r="G157" s="153">
        <v>0.2</v>
      </c>
      <c r="H157" s="153" t="s">
        <v>1229</v>
      </c>
      <c r="I157" s="153"/>
    </row>
    <row r="158" spans="1:9">
      <c r="A158" s="157" t="s">
        <v>985</v>
      </c>
      <c r="B158" s="153">
        <v>0.1</v>
      </c>
      <c r="C158" s="153">
        <v>0</v>
      </c>
      <c r="D158" s="153">
        <v>0</v>
      </c>
      <c r="E158" s="153" t="s">
        <v>1229</v>
      </c>
      <c r="F158" s="153" t="s">
        <v>1499</v>
      </c>
      <c r="G158" s="153" t="s">
        <v>1499</v>
      </c>
      <c r="H158" s="153" t="s">
        <v>1499</v>
      </c>
      <c r="I158" s="153"/>
    </row>
    <row r="159" spans="1:9">
      <c r="A159" s="157" t="s">
        <v>81</v>
      </c>
      <c r="B159" s="153">
        <v>0.1</v>
      </c>
      <c r="C159" s="153">
        <v>0</v>
      </c>
      <c r="D159" s="153">
        <v>0.1</v>
      </c>
      <c r="E159" s="153">
        <v>0.1</v>
      </c>
      <c r="F159" s="153">
        <v>0</v>
      </c>
      <c r="G159" s="153">
        <v>0</v>
      </c>
      <c r="H159" s="153" t="s">
        <v>1229</v>
      </c>
      <c r="I159" s="153"/>
    </row>
    <row r="160" spans="1:9">
      <c r="A160" s="143" t="s">
        <v>82</v>
      </c>
      <c r="B160" s="153">
        <v>15.8</v>
      </c>
      <c r="C160" s="153">
        <v>13.6</v>
      </c>
      <c r="D160" s="153">
        <v>11.8</v>
      </c>
      <c r="E160" s="153">
        <v>15.7</v>
      </c>
      <c r="F160" s="153">
        <v>9.6</v>
      </c>
      <c r="G160" s="153">
        <v>7.9</v>
      </c>
      <c r="H160" s="153">
        <v>7.3</v>
      </c>
      <c r="I160" s="153"/>
    </row>
    <row r="161" spans="1:9">
      <c r="A161" s="143" t="s">
        <v>986</v>
      </c>
      <c r="B161" s="153"/>
      <c r="C161" s="153"/>
      <c r="D161" s="153"/>
      <c r="E161" s="153"/>
      <c r="F161" s="153"/>
      <c r="G161" s="153"/>
      <c r="H161" s="153"/>
      <c r="I161" s="153"/>
    </row>
    <row r="162" spans="1:9">
      <c r="A162" s="143" t="s">
        <v>987</v>
      </c>
      <c r="B162" s="153"/>
      <c r="C162" s="153"/>
      <c r="D162" s="153"/>
      <c r="E162" s="153"/>
      <c r="F162" s="153"/>
      <c r="G162" s="153"/>
      <c r="H162" s="153"/>
      <c r="I162" s="153"/>
    </row>
    <row r="163" spans="1:9">
      <c r="A163" s="143" t="s">
        <v>83</v>
      </c>
      <c r="B163" s="153"/>
      <c r="C163" s="153"/>
      <c r="D163" s="153"/>
      <c r="E163" s="153"/>
      <c r="F163" s="153"/>
      <c r="G163" s="153"/>
      <c r="H163" s="153"/>
      <c r="I163" s="153"/>
    </row>
    <row r="164" spans="1:9">
      <c r="A164" s="143" t="s">
        <v>85</v>
      </c>
      <c r="B164" s="153">
        <v>0.1</v>
      </c>
      <c r="C164" s="153">
        <v>0.1</v>
      </c>
      <c r="D164" s="153">
        <v>0.1</v>
      </c>
      <c r="E164" s="153">
        <v>0.1</v>
      </c>
      <c r="F164" s="153">
        <v>0</v>
      </c>
      <c r="G164" s="153">
        <v>0</v>
      </c>
      <c r="H164" s="153" t="s">
        <v>1229</v>
      </c>
      <c r="I164" s="153"/>
    </row>
    <row r="165" spans="1:9">
      <c r="A165" s="143" t="s">
        <v>86</v>
      </c>
      <c r="B165" s="153"/>
      <c r="C165" s="153"/>
      <c r="D165" s="153"/>
      <c r="E165" s="153"/>
      <c r="F165" s="153"/>
      <c r="G165" s="153"/>
      <c r="H165" s="153"/>
      <c r="I165" s="153"/>
    </row>
    <row r="166" spans="1:9">
      <c r="A166" s="143" t="s">
        <v>87</v>
      </c>
      <c r="B166" s="153">
        <v>0.9</v>
      </c>
      <c r="C166" s="153">
        <v>1.4</v>
      </c>
      <c r="D166" s="153">
        <v>1.1000000000000001</v>
      </c>
      <c r="E166" s="153">
        <v>0.7</v>
      </c>
      <c r="F166" s="153">
        <v>0.7</v>
      </c>
      <c r="G166" s="153">
        <v>0.3</v>
      </c>
      <c r="H166" s="153">
        <v>1.2</v>
      </c>
      <c r="I166" s="153"/>
    </row>
    <row r="167" spans="1:9">
      <c r="A167" s="143" t="s">
        <v>88</v>
      </c>
      <c r="B167" s="153">
        <v>12.7</v>
      </c>
      <c r="C167" s="153">
        <v>11.9</v>
      </c>
      <c r="D167" s="153">
        <v>12.9</v>
      </c>
      <c r="E167" s="153">
        <v>8.1999999999999993</v>
      </c>
      <c r="F167" s="153">
        <v>18.3</v>
      </c>
      <c r="G167" s="153">
        <v>6.8</v>
      </c>
      <c r="H167" s="153">
        <v>4.7</v>
      </c>
      <c r="I167" s="153"/>
    </row>
    <row r="168" spans="1:9">
      <c r="A168" s="143" t="s">
        <v>89</v>
      </c>
      <c r="B168" s="153">
        <v>104.9</v>
      </c>
      <c r="C168" s="153">
        <v>118.4</v>
      </c>
      <c r="D168" s="153">
        <v>107.1</v>
      </c>
      <c r="E168" s="153">
        <v>99</v>
      </c>
      <c r="F168" s="153">
        <v>248.1</v>
      </c>
      <c r="G168" s="153">
        <v>164.9</v>
      </c>
      <c r="H168" s="153">
        <v>223.7</v>
      </c>
      <c r="I168" s="153"/>
    </row>
    <row r="169" spans="1:9">
      <c r="A169" s="157" t="s">
        <v>670</v>
      </c>
      <c r="B169" s="153">
        <v>2046.8</v>
      </c>
      <c r="C169" s="153">
        <v>2920.9</v>
      </c>
      <c r="D169" s="153">
        <v>2818.1</v>
      </c>
      <c r="E169" s="153">
        <v>1140.4000000000001</v>
      </c>
      <c r="F169" s="153">
        <v>527.5</v>
      </c>
      <c r="G169" s="153">
        <v>160.4</v>
      </c>
      <c r="H169" s="153">
        <v>89.9</v>
      </c>
      <c r="I169" s="153"/>
    </row>
    <row r="170" spans="1:9">
      <c r="A170" s="157" t="s">
        <v>988</v>
      </c>
      <c r="B170" s="153">
        <v>1447</v>
      </c>
      <c r="C170" s="153">
        <v>1435.6</v>
      </c>
      <c r="D170" s="153">
        <v>1504.3</v>
      </c>
      <c r="E170" s="153">
        <v>1595.7</v>
      </c>
      <c r="F170" s="153">
        <v>2044.5</v>
      </c>
      <c r="G170" s="153" t="s">
        <v>1499</v>
      </c>
      <c r="H170" s="153" t="s">
        <v>1499</v>
      </c>
      <c r="I170" s="153"/>
    </row>
    <row r="171" spans="1:9">
      <c r="A171" s="157" t="s">
        <v>671</v>
      </c>
      <c r="B171" s="153"/>
      <c r="C171" s="153"/>
      <c r="D171" s="153"/>
      <c r="E171" s="153"/>
      <c r="F171" s="153"/>
      <c r="G171" s="153"/>
      <c r="H171" s="153"/>
      <c r="I171" s="153"/>
    </row>
    <row r="172" spans="1:9">
      <c r="A172" s="143"/>
      <c r="B172" s="153"/>
      <c r="C172" s="153"/>
      <c r="D172" s="153"/>
      <c r="E172" s="153"/>
      <c r="F172" s="153"/>
      <c r="G172" s="153"/>
      <c r="H172" s="153"/>
      <c r="I172" s="153"/>
    </row>
    <row r="173" spans="1:9">
      <c r="A173" s="160" t="s">
        <v>672</v>
      </c>
      <c r="B173" s="150">
        <v>704.8</v>
      </c>
      <c r="C173" s="150">
        <v>976.3</v>
      </c>
      <c r="D173" s="150">
        <v>453.1</v>
      </c>
      <c r="E173" s="150">
        <v>419.8</v>
      </c>
      <c r="F173" s="150">
        <v>1522.7</v>
      </c>
      <c r="G173" s="150">
        <v>2391</v>
      </c>
      <c r="H173" s="150">
        <v>3624.6</v>
      </c>
      <c r="I173" s="150"/>
    </row>
    <row r="174" spans="1:9">
      <c r="A174" s="143" t="s">
        <v>673</v>
      </c>
      <c r="B174" s="153">
        <v>704.8</v>
      </c>
      <c r="C174" s="153">
        <v>976.3</v>
      </c>
      <c r="D174" s="153">
        <v>453.1</v>
      </c>
      <c r="E174" s="153">
        <v>419.8</v>
      </c>
      <c r="F174" s="153">
        <v>1522.7</v>
      </c>
      <c r="G174" s="153">
        <v>2391</v>
      </c>
      <c r="H174" s="153">
        <v>3624.6</v>
      </c>
      <c r="I174" s="153"/>
    </row>
    <row r="175" spans="1:9">
      <c r="A175" s="143"/>
      <c r="B175" s="153"/>
      <c r="C175" s="153"/>
      <c r="D175" s="153"/>
      <c r="E175" s="153"/>
      <c r="F175" s="153"/>
      <c r="G175" s="153"/>
      <c r="H175" s="153"/>
      <c r="I175" s="153"/>
    </row>
    <row r="176" spans="1:9">
      <c r="A176" s="160" t="s">
        <v>1297</v>
      </c>
      <c r="B176" s="150">
        <v>5732.7</v>
      </c>
      <c r="C176" s="150">
        <v>7177.5</v>
      </c>
      <c r="D176" s="150">
        <v>9368.4</v>
      </c>
      <c r="E176" s="150">
        <v>12954</v>
      </c>
      <c r="F176" s="150">
        <v>10292.4</v>
      </c>
      <c r="G176" s="150">
        <v>4717.2</v>
      </c>
      <c r="H176" s="150">
        <v>4668.5</v>
      </c>
      <c r="I176" s="150"/>
    </row>
    <row r="177" spans="1:9">
      <c r="A177" s="143" t="s">
        <v>675</v>
      </c>
      <c r="B177" s="153">
        <v>580.9</v>
      </c>
      <c r="C177" s="153">
        <v>639.5</v>
      </c>
      <c r="D177" s="153">
        <v>670</v>
      </c>
      <c r="E177" s="153">
        <v>598</v>
      </c>
      <c r="F177" s="153">
        <v>504.4</v>
      </c>
      <c r="G177" s="153">
        <v>548.29999999999995</v>
      </c>
      <c r="H177" s="153">
        <v>508.6</v>
      </c>
      <c r="I177" s="153"/>
    </row>
    <row r="178" spans="1:9">
      <c r="A178" s="143" t="s">
        <v>989</v>
      </c>
      <c r="B178" s="153"/>
      <c r="C178" s="153"/>
      <c r="D178" s="153"/>
      <c r="E178" s="153"/>
      <c r="F178" s="153"/>
      <c r="G178" s="153"/>
      <c r="H178" s="153"/>
      <c r="I178" s="153"/>
    </row>
    <row r="179" spans="1:9">
      <c r="A179" s="143" t="s">
        <v>990</v>
      </c>
      <c r="B179" s="153"/>
      <c r="C179" s="153"/>
      <c r="D179" s="153"/>
      <c r="E179" s="153"/>
      <c r="F179" s="153"/>
      <c r="G179" s="153"/>
      <c r="H179" s="153"/>
      <c r="I179" s="153"/>
    </row>
    <row r="180" spans="1:9">
      <c r="A180" s="143" t="s">
        <v>1172</v>
      </c>
      <c r="B180" s="153" t="s">
        <v>1499</v>
      </c>
      <c r="C180" s="153" t="s">
        <v>1499</v>
      </c>
      <c r="D180" s="153"/>
      <c r="E180" s="153"/>
      <c r="F180" s="153"/>
      <c r="G180" s="153"/>
      <c r="H180" s="153"/>
      <c r="I180" s="153"/>
    </row>
    <row r="181" spans="1:9">
      <c r="A181" s="143" t="s">
        <v>1173</v>
      </c>
      <c r="B181" s="153"/>
      <c r="C181" s="153"/>
      <c r="D181" s="153"/>
      <c r="E181" s="153"/>
      <c r="F181" s="153"/>
      <c r="G181" s="153"/>
      <c r="H181" s="153"/>
      <c r="I181" s="153"/>
    </row>
    <row r="182" spans="1:9">
      <c r="A182" s="143" t="s">
        <v>1174</v>
      </c>
      <c r="B182" s="153"/>
      <c r="C182" s="153"/>
      <c r="D182" s="153"/>
      <c r="E182" s="153"/>
      <c r="F182" s="153"/>
      <c r="G182" s="153"/>
      <c r="H182" s="153"/>
      <c r="I182" s="153"/>
    </row>
    <row r="183" spans="1:9">
      <c r="A183" s="143" t="s">
        <v>1175</v>
      </c>
      <c r="B183" s="153"/>
      <c r="C183" s="153"/>
      <c r="D183" s="153"/>
      <c r="E183" s="153"/>
      <c r="F183" s="153"/>
      <c r="G183" s="153"/>
      <c r="H183" s="153"/>
      <c r="I183" s="153"/>
    </row>
    <row r="184" spans="1:9">
      <c r="A184" s="143" t="s">
        <v>1176</v>
      </c>
      <c r="B184" s="153">
        <v>59.4</v>
      </c>
      <c r="C184" s="153" t="s">
        <v>1499</v>
      </c>
      <c r="D184" s="153"/>
      <c r="E184" s="153"/>
      <c r="F184" s="153"/>
      <c r="G184" s="153"/>
      <c r="H184" s="153"/>
      <c r="I184" s="153"/>
    </row>
    <row r="185" spans="1:9">
      <c r="A185" s="143" t="s">
        <v>1184</v>
      </c>
      <c r="B185" s="153" t="s">
        <v>1499</v>
      </c>
      <c r="C185" s="153" t="s">
        <v>1499</v>
      </c>
      <c r="D185" s="153"/>
      <c r="E185" s="153"/>
      <c r="F185" s="153"/>
      <c r="G185" s="153"/>
      <c r="H185" s="153"/>
      <c r="I185" s="153"/>
    </row>
    <row r="186" spans="1:9">
      <c r="A186" s="143" t="s">
        <v>1262</v>
      </c>
      <c r="B186" s="153" t="s">
        <v>1499</v>
      </c>
      <c r="C186" s="153" t="s">
        <v>1499</v>
      </c>
      <c r="D186" s="153"/>
      <c r="E186" s="153"/>
      <c r="F186" s="153"/>
      <c r="G186" s="153"/>
      <c r="H186" s="153"/>
      <c r="I186" s="153"/>
    </row>
    <row r="187" spans="1:9">
      <c r="A187" s="157" t="s">
        <v>1263</v>
      </c>
      <c r="B187" s="153" t="s">
        <v>1499</v>
      </c>
      <c r="C187" s="153" t="s">
        <v>1499</v>
      </c>
      <c r="D187" s="153" t="s">
        <v>1499</v>
      </c>
      <c r="E187" s="153" t="s">
        <v>1499</v>
      </c>
      <c r="F187" s="153" t="s">
        <v>1499</v>
      </c>
      <c r="G187" s="153" t="s">
        <v>1499</v>
      </c>
      <c r="H187" s="153">
        <v>4.5999999999999996</v>
      </c>
      <c r="I187" s="153"/>
    </row>
    <row r="188" spans="1:9">
      <c r="A188" s="143" t="s">
        <v>1264</v>
      </c>
      <c r="B188" s="153">
        <v>5.2</v>
      </c>
      <c r="C188" s="153">
        <v>6.3</v>
      </c>
      <c r="D188" s="153">
        <v>6.4</v>
      </c>
      <c r="E188" s="153">
        <v>7.5</v>
      </c>
      <c r="F188" s="153">
        <v>9.1999999999999993</v>
      </c>
      <c r="G188" s="153">
        <v>10.6</v>
      </c>
      <c r="H188" s="153">
        <v>8.5</v>
      </c>
      <c r="I188" s="153"/>
    </row>
    <row r="189" spans="1:9">
      <c r="A189" s="143" t="s">
        <v>1265</v>
      </c>
      <c r="B189" s="153">
        <v>1.5</v>
      </c>
      <c r="C189" s="153">
        <v>1.6</v>
      </c>
      <c r="D189" s="153">
        <v>1.7</v>
      </c>
      <c r="E189" s="153">
        <v>0.3</v>
      </c>
      <c r="F189" s="153">
        <v>0</v>
      </c>
      <c r="G189" s="153" t="s">
        <v>1499</v>
      </c>
      <c r="H189" s="153" t="s">
        <v>1499</v>
      </c>
      <c r="I189" s="153"/>
    </row>
    <row r="190" spans="1:9">
      <c r="A190" s="143" t="s">
        <v>1015</v>
      </c>
      <c r="B190" s="153" t="s">
        <v>1499</v>
      </c>
      <c r="C190" s="153" t="s">
        <v>1499</v>
      </c>
      <c r="D190" s="153" t="s">
        <v>1499</v>
      </c>
      <c r="E190" s="153" t="s">
        <v>1499</v>
      </c>
      <c r="F190" s="153" t="s">
        <v>1499</v>
      </c>
      <c r="G190" s="153">
        <v>79.2</v>
      </c>
      <c r="H190" s="153">
        <v>518.4</v>
      </c>
      <c r="I190" s="153"/>
    </row>
    <row r="191" spans="1:9">
      <c r="A191" s="143" t="s">
        <v>1016</v>
      </c>
      <c r="B191" s="153"/>
      <c r="C191" s="153"/>
      <c r="D191" s="153"/>
      <c r="E191" s="153"/>
      <c r="F191" s="153"/>
      <c r="G191" s="153"/>
      <c r="H191" s="153"/>
      <c r="I191" s="153"/>
    </row>
    <row r="192" spans="1:9">
      <c r="A192" s="143" t="s">
        <v>1017</v>
      </c>
      <c r="B192" s="153"/>
      <c r="C192" s="153"/>
      <c r="D192" s="153"/>
      <c r="E192" s="153"/>
      <c r="F192" s="153"/>
      <c r="G192" s="153"/>
      <c r="H192" s="153"/>
      <c r="I192" s="153"/>
    </row>
    <row r="193" spans="1:9">
      <c r="A193" s="143" t="s">
        <v>1018</v>
      </c>
      <c r="B193" s="153">
        <v>0.2</v>
      </c>
      <c r="C193" s="153">
        <v>-0.3</v>
      </c>
      <c r="D193" s="153">
        <v>-0.2</v>
      </c>
      <c r="E193" s="153">
        <v>0.5</v>
      </c>
      <c r="F193" s="153">
        <v>-2.9</v>
      </c>
      <c r="G193" s="153">
        <v>3.4</v>
      </c>
      <c r="H193" s="153">
        <v>6.3</v>
      </c>
      <c r="I193" s="153"/>
    </row>
    <row r="194" spans="1:9">
      <c r="A194" s="143" t="s">
        <v>1423</v>
      </c>
      <c r="B194" s="153">
        <v>2.8</v>
      </c>
      <c r="C194" s="153">
        <v>3.2</v>
      </c>
      <c r="D194" s="153">
        <v>2.9</v>
      </c>
      <c r="E194" s="153">
        <v>3.6</v>
      </c>
      <c r="F194" s="153">
        <v>3.4</v>
      </c>
      <c r="G194" s="153">
        <v>5.2</v>
      </c>
      <c r="H194" s="153">
        <v>7.4</v>
      </c>
      <c r="I194" s="153"/>
    </row>
    <row r="195" spans="1:9">
      <c r="A195" s="157" t="s">
        <v>105</v>
      </c>
      <c r="B195" s="153">
        <v>35.700000000000003</v>
      </c>
      <c r="C195" s="153">
        <v>7.5</v>
      </c>
      <c r="D195" s="153">
        <v>8.5</v>
      </c>
      <c r="E195" s="153">
        <v>8.8000000000000007</v>
      </c>
      <c r="F195" s="153">
        <v>9.3000000000000007</v>
      </c>
      <c r="G195" s="153">
        <v>9.4</v>
      </c>
      <c r="H195" s="153">
        <v>20</v>
      </c>
      <c r="I195" s="153"/>
    </row>
    <row r="196" spans="1:9">
      <c r="A196" s="143" t="s">
        <v>106</v>
      </c>
      <c r="B196" s="153">
        <v>30.7</v>
      </c>
      <c r="C196" s="153">
        <v>29.5</v>
      </c>
      <c r="D196" s="153">
        <v>31.3</v>
      </c>
      <c r="E196" s="153">
        <v>31.5</v>
      </c>
      <c r="F196" s="153">
        <v>37.5</v>
      </c>
      <c r="G196" s="153">
        <v>22.5</v>
      </c>
      <c r="H196" s="153">
        <v>3.1</v>
      </c>
      <c r="I196" s="153"/>
    </row>
    <row r="197" spans="1:9">
      <c r="A197" s="143" t="s">
        <v>107</v>
      </c>
      <c r="B197" s="153">
        <v>101.3</v>
      </c>
      <c r="C197" s="153">
        <v>127</v>
      </c>
      <c r="D197" s="153">
        <v>163</v>
      </c>
      <c r="E197" s="153" t="s">
        <v>1229</v>
      </c>
      <c r="F197" s="153" t="s">
        <v>1229</v>
      </c>
      <c r="G197" s="153">
        <v>828.9</v>
      </c>
      <c r="H197" s="153">
        <v>817.5</v>
      </c>
      <c r="I197" s="153"/>
    </row>
    <row r="198" spans="1:9">
      <c r="A198" s="143" t="s">
        <v>108</v>
      </c>
      <c r="B198" s="153">
        <v>0</v>
      </c>
      <c r="C198" s="153" t="s">
        <v>1499</v>
      </c>
      <c r="D198" s="153"/>
      <c r="E198" s="153"/>
      <c r="F198" s="153"/>
      <c r="G198" s="153"/>
      <c r="H198" s="153"/>
      <c r="I198" s="153"/>
    </row>
    <row r="199" spans="1:9">
      <c r="A199" s="143" t="s">
        <v>109</v>
      </c>
      <c r="B199" s="153">
        <v>154.4</v>
      </c>
      <c r="C199" s="153">
        <v>169.7</v>
      </c>
      <c r="D199" s="153">
        <v>179.6</v>
      </c>
      <c r="E199" s="153">
        <v>183.1</v>
      </c>
      <c r="F199" s="153">
        <v>181.6</v>
      </c>
      <c r="G199" s="153">
        <v>671.7</v>
      </c>
      <c r="H199" s="153">
        <v>1327.8</v>
      </c>
      <c r="I199" s="153"/>
    </row>
    <row r="200" spans="1:9">
      <c r="A200" s="143" t="s">
        <v>110</v>
      </c>
      <c r="B200" s="153">
        <v>139.1</v>
      </c>
      <c r="C200" s="153">
        <v>138.5</v>
      </c>
      <c r="D200" s="153">
        <v>177.8</v>
      </c>
      <c r="E200" s="153">
        <v>45.1</v>
      </c>
      <c r="F200" s="153">
        <v>152.80000000000001</v>
      </c>
      <c r="G200" s="153">
        <v>66.599999999999994</v>
      </c>
      <c r="H200" s="153">
        <v>274</v>
      </c>
      <c r="I200" s="153"/>
    </row>
    <row r="201" spans="1:9">
      <c r="A201" s="143" t="s">
        <v>111</v>
      </c>
      <c r="B201" s="153">
        <v>2.1</v>
      </c>
      <c r="C201" s="153">
        <v>1.3</v>
      </c>
      <c r="D201" s="153">
        <v>1.3</v>
      </c>
      <c r="E201" s="153">
        <v>1.6</v>
      </c>
      <c r="F201" s="153">
        <v>1.7</v>
      </c>
      <c r="G201" s="153">
        <v>1.6</v>
      </c>
      <c r="H201" s="153">
        <v>12.1</v>
      </c>
      <c r="I201" s="153"/>
    </row>
    <row r="202" spans="1:9">
      <c r="A202" s="143" t="s">
        <v>112</v>
      </c>
      <c r="B202" s="153">
        <v>19.2</v>
      </c>
      <c r="C202" s="153">
        <v>46</v>
      </c>
      <c r="D202" s="153">
        <v>96.9</v>
      </c>
      <c r="E202" s="153">
        <v>88.9</v>
      </c>
      <c r="F202" s="153">
        <v>70.599999999999994</v>
      </c>
      <c r="G202" s="153">
        <v>63.6</v>
      </c>
      <c r="H202" s="153">
        <v>64.5</v>
      </c>
      <c r="I202" s="153"/>
    </row>
    <row r="203" spans="1:9">
      <c r="A203" s="143" t="s">
        <v>113</v>
      </c>
      <c r="B203" s="153">
        <v>166.3</v>
      </c>
      <c r="C203" s="153">
        <v>188.2</v>
      </c>
      <c r="D203" s="153">
        <v>179.9</v>
      </c>
      <c r="E203" s="153">
        <v>136.6</v>
      </c>
      <c r="F203" s="153">
        <v>170.1</v>
      </c>
      <c r="G203" s="153">
        <v>171.2</v>
      </c>
      <c r="H203" s="153">
        <v>237.8</v>
      </c>
      <c r="I203" s="153"/>
    </row>
    <row r="204" spans="1:9">
      <c r="A204" s="143" t="s">
        <v>114</v>
      </c>
      <c r="B204" s="153">
        <v>15.9</v>
      </c>
      <c r="C204" s="153">
        <v>21.4</v>
      </c>
      <c r="D204" s="153">
        <v>25.8</v>
      </c>
      <c r="E204" s="153">
        <v>30.1</v>
      </c>
      <c r="F204" s="153">
        <v>29</v>
      </c>
      <c r="G204" s="153">
        <v>39.299999999999997</v>
      </c>
      <c r="H204" s="153">
        <v>35.299999999999997</v>
      </c>
      <c r="I204" s="153"/>
    </row>
    <row r="205" spans="1:9">
      <c r="A205" s="143" t="s">
        <v>115</v>
      </c>
      <c r="B205" s="153">
        <v>106.3</v>
      </c>
      <c r="C205" s="153">
        <v>111.4</v>
      </c>
      <c r="D205" s="153">
        <v>72.3</v>
      </c>
      <c r="E205" s="153">
        <v>65.099999999999994</v>
      </c>
      <c r="F205" s="153">
        <v>59.1</v>
      </c>
      <c r="G205" s="153">
        <v>128.80000000000001</v>
      </c>
      <c r="H205" s="153">
        <v>92.5</v>
      </c>
      <c r="I205" s="153"/>
    </row>
    <row r="206" spans="1:9">
      <c r="A206" s="157" t="s">
        <v>116</v>
      </c>
      <c r="B206" s="153">
        <v>7.2</v>
      </c>
      <c r="C206" s="153">
        <v>6.4</v>
      </c>
      <c r="D206" s="153">
        <v>3.6</v>
      </c>
      <c r="E206" s="153">
        <v>6.1</v>
      </c>
      <c r="F206" s="153">
        <v>3.9</v>
      </c>
      <c r="G206" s="153">
        <v>4.7</v>
      </c>
      <c r="H206" s="153">
        <v>6.7</v>
      </c>
      <c r="I206" s="153"/>
    </row>
    <row r="207" spans="1:9">
      <c r="A207" s="143" t="s">
        <v>1185</v>
      </c>
      <c r="B207" s="153">
        <v>4282.8</v>
      </c>
      <c r="C207" s="153">
        <v>5648.2</v>
      </c>
      <c r="D207" s="153">
        <v>7726.8</v>
      </c>
      <c r="E207" s="153">
        <v>11738.8</v>
      </c>
      <c r="F207" s="153">
        <v>8778.2000000000007</v>
      </c>
      <c r="G207" s="153">
        <v>1406.7</v>
      </c>
      <c r="H207" s="153" t="s">
        <v>1229</v>
      </c>
      <c r="I207" s="153"/>
    </row>
    <row r="208" spans="1:9">
      <c r="A208" s="157" t="s">
        <v>118</v>
      </c>
      <c r="B208" s="153">
        <v>10.8</v>
      </c>
      <c r="C208" s="153">
        <v>17.2</v>
      </c>
      <c r="D208" s="153">
        <v>11.5</v>
      </c>
      <c r="E208" s="153" t="s">
        <v>1229</v>
      </c>
      <c r="F208" s="153" t="s">
        <v>1229</v>
      </c>
      <c r="G208" s="153" t="s">
        <v>1229</v>
      </c>
      <c r="H208" s="153">
        <v>3.9</v>
      </c>
      <c r="I208" s="153"/>
    </row>
    <row r="209" spans="1:9">
      <c r="A209" s="143" t="s">
        <v>119</v>
      </c>
      <c r="B209" s="153">
        <v>3.8</v>
      </c>
      <c r="C209" s="153">
        <v>4.7</v>
      </c>
      <c r="D209" s="153">
        <v>4.2</v>
      </c>
      <c r="E209" s="153">
        <v>4.7</v>
      </c>
      <c r="F209" s="153">
        <v>5.6</v>
      </c>
      <c r="G209" s="153">
        <v>4.2</v>
      </c>
      <c r="H209" s="153">
        <v>3.3</v>
      </c>
      <c r="I209" s="153"/>
    </row>
    <row r="210" spans="1:9">
      <c r="A210" s="143" t="s">
        <v>120</v>
      </c>
      <c r="B210" s="153">
        <v>7.1</v>
      </c>
      <c r="C210" s="153">
        <v>9</v>
      </c>
      <c r="D210" s="153" t="s">
        <v>1499</v>
      </c>
      <c r="E210" s="153" t="s">
        <v>1499</v>
      </c>
      <c r="F210" s="153" t="s">
        <v>1499</v>
      </c>
      <c r="G210" s="153">
        <v>45</v>
      </c>
      <c r="H210" s="153">
        <v>97.4</v>
      </c>
      <c r="I210" s="153"/>
    </row>
    <row r="211" spans="1:9">
      <c r="A211" s="157" t="s">
        <v>121</v>
      </c>
      <c r="B211" s="153" t="s">
        <v>1499</v>
      </c>
      <c r="C211" s="153">
        <v>1.2</v>
      </c>
      <c r="D211" s="153">
        <v>5.0999999999999996</v>
      </c>
      <c r="E211" s="153">
        <v>3.7</v>
      </c>
      <c r="F211" s="153" t="s">
        <v>1229</v>
      </c>
      <c r="G211" s="153">
        <v>162.19999999999999</v>
      </c>
      <c r="H211" s="153">
        <v>183.2</v>
      </c>
      <c r="I211" s="153"/>
    </row>
    <row r="212" spans="1:9">
      <c r="A212" s="157" t="s">
        <v>353</v>
      </c>
      <c r="B212" s="153"/>
      <c r="C212" s="153"/>
      <c r="D212" s="153" t="s">
        <v>1499</v>
      </c>
      <c r="E212" s="153" t="s">
        <v>1499</v>
      </c>
      <c r="F212" s="153">
        <v>97.8</v>
      </c>
      <c r="G212" s="153">
        <v>80.2</v>
      </c>
      <c r="H212" s="153">
        <v>93.4</v>
      </c>
      <c r="I212" s="153"/>
    </row>
    <row r="213" spans="1:9">
      <c r="A213" s="143" t="s">
        <v>354</v>
      </c>
      <c r="B213" s="153"/>
      <c r="C213" s="153"/>
      <c r="D213" s="153" t="s">
        <v>1499</v>
      </c>
      <c r="E213" s="153" t="s">
        <v>1499</v>
      </c>
      <c r="F213" s="153">
        <v>8.9</v>
      </c>
      <c r="G213" s="153">
        <v>8.1</v>
      </c>
      <c r="H213" s="153">
        <v>8.1</v>
      </c>
      <c r="I213" s="153"/>
    </row>
    <row r="214" spans="1:9">
      <c r="A214" s="143" t="s">
        <v>355</v>
      </c>
      <c r="B214" s="153"/>
      <c r="C214" s="153"/>
      <c r="D214" s="153" t="s">
        <v>1499</v>
      </c>
      <c r="E214" s="153" t="s">
        <v>1499</v>
      </c>
      <c r="F214" s="153">
        <v>168.6</v>
      </c>
      <c r="G214" s="153">
        <v>164.1</v>
      </c>
      <c r="H214" s="153">
        <v>163.80000000000001</v>
      </c>
      <c r="I214" s="153"/>
    </row>
    <row r="215" spans="1:9">
      <c r="A215" s="143" t="s">
        <v>875</v>
      </c>
      <c r="B215" s="153"/>
      <c r="C215" s="153"/>
      <c r="D215" s="153" t="s">
        <v>1499</v>
      </c>
      <c r="E215" s="153" t="s">
        <v>1499</v>
      </c>
      <c r="F215" s="153">
        <v>3.6</v>
      </c>
      <c r="G215" s="153">
        <v>191.7</v>
      </c>
      <c r="H215" s="153">
        <v>170.3</v>
      </c>
      <c r="I215" s="153"/>
    </row>
    <row r="216" spans="1:9">
      <c r="A216" s="143"/>
      <c r="B216" s="153"/>
      <c r="C216" s="153"/>
      <c r="D216" s="153"/>
      <c r="E216" s="153"/>
      <c r="F216" s="153"/>
      <c r="G216" s="153"/>
      <c r="H216" s="153"/>
      <c r="I216" s="153"/>
    </row>
    <row r="217" spans="1:9">
      <c r="A217" s="160" t="s">
        <v>1484</v>
      </c>
      <c r="B217" s="150">
        <v>1416</v>
      </c>
      <c r="C217" s="150">
        <v>1222.5999999999999</v>
      </c>
      <c r="D217" s="150">
        <v>1176.7</v>
      </c>
      <c r="E217" s="150">
        <v>985.9</v>
      </c>
      <c r="F217" s="150">
        <v>1021.3</v>
      </c>
      <c r="G217" s="150">
        <v>1236.5</v>
      </c>
      <c r="H217" s="150">
        <v>1632</v>
      </c>
      <c r="I217" s="150"/>
    </row>
    <row r="218" spans="1:9">
      <c r="A218" s="157" t="s">
        <v>1485</v>
      </c>
      <c r="B218" s="153">
        <v>167.2</v>
      </c>
      <c r="C218" s="153">
        <v>189.3</v>
      </c>
      <c r="D218" s="153">
        <v>201.2</v>
      </c>
      <c r="E218" s="153">
        <v>171.8</v>
      </c>
      <c r="F218" s="153">
        <v>150.6</v>
      </c>
      <c r="G218" s="153">
        <v>164.5</v>
      </c>
      <c r="H218" s="153">
        <v>173.5</v>
      </c>
      <c r="I218" s="153"/>
    </row>
    <row r="219" spans="1:9">
      <c r="A219" s="157" t="s">
        <v>1186</v>
      </c>
      <c r="B219" s="153">
        <v>10.8</v>
      </c>
      <c r="C219" s="153">
        <v>12.5</v>
      </c>
      <c r="D219" s="153">
        <v>15.6</v>
      </c>
      <c r="E219" s="153" t="s">
        <v>1499</v>
      </c>
      <c r="F219" s="153" t="s">
        <v>1499</v>
      </c>
      <c r="G219" s="153" t="s">
        <v>1499</v>
      </c>
      <c r="H219" s="153" t="s">
        <v>1499</v>
      </c>
      <c r="I219" s="153"/>
    </row>
    <row r="220" spans="1:9">
      <c r="A220" s="157" t="s">
        <v>1187</v>
      </c>
      <c r="B220" s="153"/>
      <c r="C220" s="153"/>
      <c r="D220" s="153"/>
      <c r="E220" s="153"/>
      <c r="F220" s="153"/>
      <c r="G220" s="153"/>
      <c r="H220" s="153"/>
      <c r="I220" s="153"/>
    </row>
    <row r="221" spans="1:9">
      <c r="A221" s="157" t="s">
        <v>1188</v>
      </c>
      <c r="B221" s="153"/>
      <c r="C221" s="153"/>
      <c r="D221" s="153"/>
      <c r="E221" s="153"/>
      <c r="F221" s="153"/>
      <c r="G221" s="153"/>
      <c r="H221" s="153"/>
      <c r="I221" s="153"/>
    </row>
    <row r="222" spans="1:9">
      <c r="A222" s="157" t="s">
        <v>1189</v>
      </c>
      <c r="B222" s="153" t="s">
        <v>1499</v>
      </c>
      <c r="C222" s="153" t="s">
        <v>1499</v>
      </c>
      <c r="D222" s="153"/>
      <c r="E222" s="153"/>
      <c r="F222" s="153"/>
      <c r="G222" s="153"/>
      <c r="H222" s="153"/>
      <c r="I222" s="153"/>
    </row>
    <row r="223" spans="1:9">
      <c r="A223" s="157" t="s">
        <v>43</v>
      </c>
      <c r="B223" s="153" t="s">
        <v>1499</v>
      </c>
      <c r="C223" s="153" t="s">
        <v>1499</v>
      </c>
      <c r="D223" s="153"/>
      <c r="E223" s="153"/>
      <c r="F223" s="153"/>
      <c r="G223" s="153"/>
      <c r="H223" s="153"/>
      <c r="I223" s="153"/>
    </row>
    <row r="224" spans="1:9">
      <c r="A224" s="157" t="s">
        <v>44</v>
      </c>
      <c r="B224" s="153" t="s">
        <v>1499</v>
      </c>
      <c r="C224" s="153" t="s">
        <v>1499</v>
      </c>
      <c r="D224" s="153"/>
      <c r="E224" s="153"/>
      <c r="F224" s="153"/>
      <c r="G224" s="153"/>
      <c r="H224" s="153"/>
      <c r="I224" s="153"/>
    </row>
    <row r="225" spans="1:9">
      <c r="A225" s="157" t="s">
        <v>45</v>
      </c>
      <c r="B225" s="153"/>
      <c r="C225" s="153"/>
      <c r="D225" s="153"/>
      <c r="E225" s="153"/>
      <c r="F225" s="153"/>
      <c r="G225" s="153"/>
      <c r="H225" s="153"/>
      <c r="I225" s="153"/>
    </row>
    <row r="226" spans="1:9">
      <c r="A226" s="157" t="s">
        <v>46</v>
      </c>
      <c r="B226" s="153">
        <v>0.3</v>
      </c>
      <c r="C226" s="153">
        <v>0.3</v>
      </c>
      <c r="D226" s="153">
        <v>0.3</v>
      </c>
      <c r="E226" s="153" t="s">
        <v>1499</v>
      </c>
      <c r="F226" s="153" t="s">
        <v>1499</v>
      </c>
      <c r="G226" s="153" t="s">
        <v>1499</v>
      </c>
      <c r="H226" s="153" t="s">
        <v>1499</v>
      </c>
      <c r="I226" s="153"/>
    </row>
    <row r="227" spans="1:9">
      <c r="A227" s="157" t="s">
        <v>47</v>
      </c>
      <c r="B227" s="153"/>
      <c r="C227" s="153"/>
      <c r="D227" s="153"/>
      <c r="E227" s="153"/>
      <c r="F227" s="153"/>
      <c r="G227" s="153"/>
      <c r="H227" s="153"/>
      <c r="I227" s="153"/>
    </row>
    <row r="228" spans="1:9">
      <c r="A228" s="157" t="s">
        <v>48</v>
      </c>
      <c r="B228" s="153"/>
      <c r="C228" s="153"/>
      <c r="D228" s="153"/>
      <c r="E228" s="153"/>
      <c r="F228" s="153"/>
      <c r="G228" s="153"/>
      <c r="H228" s="153"/>
      <c r="I228" s="153"/>
    </row>
    <row r="229" spans="1:9">
      <c r="A229" s="157" t="s">
        <v>49</v>
      </c>
      <c r="B229" s="153"/>
      <c r="C229" s="153"/>
      <c r="D229" s="153"/>
      <c r="E229" s="153"/>
      <c r="F229" s="153"/>
      <c r="G229" s="153"/>
      <c r="H229" s="153"/>
      <c r="I229" s="153"/>
    </row>
    <row r="230" spans="1:9">
      <c r="A230" s="157" t="s">
        <v>1486</v>
      </c>
      <c r="B230" s="153">
        <v>75</v>
      </c>
      <c r="C230" s="153">
        <v>77.900000000000006</v>
      </c>
      <c r="D230" s="153">
        <v>92.2</v>
      </c>
      <c r="E230" s="153">
        <v>80.8</v>
      </c>
      <c r="F230" s="153">
        <v>70.2</v>
      </c>
      <c r="G230" s="153">
        <v>52.6</v>
      </c>
      <c r="H230" s="153">
        <v>57.5</v>
      </c>
      <c r="I230" s="153"/>
    </row>
    <row r="231" spans="1:9">
      <c r="A231" s="143" t="s">
        <v>1487</v>
      </c>
      <c r="B231" s="153">
        <v>768.2</v>
      </c>
      <c r="C231" s="153">
        <v>248.7</v>
      </c>
      <c r="D231" s="153">
        <v>155.30000000000001</v>
      </c>
      <c r="E231" s="153">
        <v>90.5</v>
      </c>
      <c r="F231" s="153">
        <v>145</v>
      </c>
      <c r="G231" s="153">
        <v>417.1</v>
      </c>
      <c r="H231" s="153">
        <v>719</v>
      </c>
      <c r="I231" s="153"/>
    </row>
    <row r="232" spans="1:9">
      <c r="A232" s="143" t="s">
        <v>1488</v>
      </c>
      <c r="B232" s="153">
        <v>394.5</v>
      </c>
      <c r="C232" s="153">
        <v>693.9</v>
      </c>
      <c r="D232" s="153">
        <v>712.1</v>
      </c>
      <c r="E232" s="153">
        <v>642.79999999999995</v>
      </c>
      <c r="F232" s="153">
        <v>655.5</v>
      </c>
      <c r="G232" s="153">
        <v>602.29999999999995</v>
      </c>
      <c r="H232" s="153">
        <v>682</v>
      </c>
      <c r="I232" s="153"/>
    </row>
    <row r="233" spans="1:9">
      <c r="A233" s="143" t="s">
        <v>1489</v>
      </c>
      <c r="B233" s="153"/>
      <c r="C233" s="153"/>
      <c r="D233" s="153"/>
      <c r="E233" s="153"/>
      <c r="F233" s="153"/>
      <c r="G233" s="153"/>
      <c r="H233" s="153"/>
      <c r="I233" s="153"/>
    </row>
    <row r="234" spans="1:9">
      <c r="A234" s="143"/>
      <c r="B234" s="153"/>
      <c r="C234" s="153"/>
      <c r="D234" s="153"/>
      <c r="E234" s="153"/>
      <c r="F234" s="153"/>
      <c r="G234" s="153"/>
      <c r="H234" s="153"/>
      <c r="I234" s="153"/>
    </row>
    <row r="235" spans="1:9">
      <c r="A235" s="160" t="s">
        <v>1490</v>
      </c>
      <c r="B235" s="150">
        <v>575.29999999999995</v>
      </c>
      <c r="C235" s="150">
        <v>645.4</v>
      </c>
      <c r="D235" s="150">
        <v>708.6</v>
      </c>
      <c r="E235" s="150">
        <v>794.1</v>
      </c>
      <c r="F235" s="150">
        <v>819.5</v>
      </c>
      <c r="G235" s="150">
        <v>1050.7</v>
      </c>
      <c r="H235" s="150">
        <v>1058.7</v>
      </c>
      <c r="I235" s="150"/>
    </row>
    <row r="236" spans="1:9">
      <c r="A236" s="143" t="s">
        <v>1491</v>
      </c>
      <c r="B236" s="153">
        <v>322.89999999999998</v>
      </c>
      <c r="C236" s="153">
        <v>370.9</v>
      </c>
      <c r="D236" s="153">
        <v>411.1</v>
      </c>
      <c r="E236" s="153">
        <v>457.5</v>
      </c>
      <c r="F236" s="153">
        <v>458.2</v>
      </c>
      <c r="G236" s="153">
        <v>647.20000000000005</v>
      </c>
      <c r="H236" s="153">
        <v>668</v>
      </c>
      <c r="I236" s="153"/>
    </row>
    <row r="237" spans="1:9">
      <c r="A237" s="143" t="s">
        <v>842</v>
      </c>
      <c r="B237" s="153">
        <v>252.4</v>
      </c>
      <c r="C237" s="153">
        <v>274.39999999999998</v>
      </c>
      <c r="D237" s="153">
        <v>297.39999999999998</v>
      </c>
      <c r="E237" s="153">
        <v>336.5</v>
      </c>
      <c r="F237" s="153">
        <v>361.3</v>
      </c>
      <c r="G237" s="153">
        <v>400.3</v>
      </c>
      <c r="H237" s="153">
        <v>389.1</v>
      </c>
      <c r="I237" s="153"/>
    </row>
    <row r="238" spans="1:9">
      <c r="A238" s="143" t="s">
        <v>843</v>
      </c>
      <c r="B238" s="153">
        <v>0</v>
      </c>
      <c r="C238" s="153">
        <v>0.1</v>
      </c>
      <c r="D238" s="153">
        <v>0.1</v>
      </c>
      <c r="E238" s="153">
        <v>0.1</v>
      </c>
      <c r="F238" s="153">
        <v>0</v>
      </c>
      <c r="G238" s="153">
        <v>3.2</v>
      </c>
      <c r="H238" s="153">
        <v>0.1</v>
      </c>
      <c r="I238" s="153"/>
    </row>
    <row r="239" spans="1:9">
      <c r="A239" s="143" t="s">
        <v>844</v>
      </c>
      <c r="B239" s="153"/>
      <c r="C239" s="153"/>
      <c r="D239" s="153" t="s">
        <v>1499</v>
      </c>
      <c r="E239" s="153" t="s">
        <v>1499</v>
      </c>
      <c r="F239" s="153" t="s">
        <v>1499</v>
      </c>
      <c r="G239" s="153" t="s">
        <v>1499</v>
      </c>
      <c r="H239" s="153">
        <v>1.5</v>
      </c>
      <c r="I239" s="153"/>
    </row>
    <row r="240" spans="1:9">
      <c r="A240" s="143"/>
      <c r="B240" s="153"/>
      <c r="C240" s="153"/>
      <c r="D240" s="153"/>
      <c r="E240" s="153"/>
      <c r="F240" s="153"/>
      <c r="G240" s="153"/>
      <c r="H240" s="153"/>
      <c r="I240" s="153"/>
    </row>
    <row r="241" spans="1:9">
      <c r="A241" s="161" t="s">
        <v>847</v>
      </c>
      <c r="B241" s="150">
        <v>261</v>
      </c>
      <c r="C241" s="150">
        <v>631.79999999999995</v>
      </c>
      <c r="D241" s="150">
        <v>410.7</v>
      </c>
      <c r="E241" s="150">
        <v>730.5</v>
      </c>
      <c r="F241" s="150">
        <v>8838</v>
      </c>
      <c r="G241" s="150">
        <v>1011.2</v>
      </c>
      <c r="H241" s="150">
        <v>1516.6</v>
      </c>
      <c r="I241" s="150"/>
    </row>
    <row r="242" spans="1:9">
      <c r="A242" s="157" t="s">
        <v>848</v>
      </c>
      <c r="B242" s="153">
        <v>261</v>
      </c>
      <c r="C242" s="153">
        <v>631.79999999999995</v>
      </c>
      <c r="D242" s="153">
        <v>410.7</v>
      </c>
      <c r="E242" s="153">
        <v>730.5</v>
      </c>
      <c r="F242" s="153">
        <v>8838</v>
      </c>
      <c r="G242" s="153">
        <v>1011.2</v>
      </c>
      <c r="H242" s="153">
        <v>1516.6</v>
      </c>
      <c r="I242" s="153"/>
    </row>
    <row r="243" spans="1:9">
      <c r="A243" s="143"/>
      <c r="B243" s="153"/>
      <c r="C243" s="153"/>
      <c r="D243" s="153"/>
      <c r="E243" s="153"/>
      <c r="F243" s="153"/>
      <c r="G243" s="153"/>
      <c r="H243" s="153"/>
      <c r="I243" s="153"/>
    </row>
    <row r="244" spans="1:9">
      <c r="A244" s="160" t="s">
        <v>850</v>
      </c>
      <c r="B244" s="150">
        <v>209</v>
      </c>
      <c r="C244" s="150">
        <v>1199</v>
      </c>
      <c r="D244" s="150">
        <v>66.7</v>
      </c>
      <c r="E244" s="150">
        <v>608.4</v>
      </c>
      <c r="F244" s="150">
        <v>5887.5</v>
      </c>
      <c r="G244" s="150">
        <v>11381</v>
      </c>
      <c r="H244" s="150">
        <v>8807.2999999999993</v>
      </c>
      <c r="I244" s="150"/>
    </row>
    <row r="245" spans="1:9">
      <c r="A245" s="160"/>
      <c r="B245" s="153"/>
      <c r="C245" s="153"/>
      <c r="D245" s="153"/>
      <c r="E245" s="153"/>
      <c r="F245" s="153"/>
      <c r="G245" s="153"/>
      <c r="H245" s="153"/>
      <c r="I245" s="153"/>
    </row>
    <row r="246" spans="1:9">
      <c r="A246" s="161" t="s">
        <v>851</v>
      </c>
      <c r="B246" s="150">
        <v>5.7</v>
      </c>
      <c r="C246" s="150">
        <v>15.2</v>
      </c>
      <c r="D246" s="150">
        <v>13.8</v>
      </c>
      <c r="E246" s="150">
        <v>3.2</v>
      </c>
      <c r="F246" s="150">
        <v>46.1</v>
      </c>
      <c r="G246" s="150">
        <v>0</v>
      </c>
      <c r="H246" s="150">
        <v>0</v>
      </c>
      <c r="I246" s="144"/>
    </row>
    <row r="247" spans="1:9">
      <c r="A247" s="157" t="s">
        <v>991</v>
      </c>
      <c r="B247" s="150"/>
      <c r="C247" s="150"/>
      <c r="D247" s="150"/>
      <c r="E247" s="150"/>
      <c r="F247" s="150"/>
      <c r="G247" s="150"/>
      <c r="H247" s="150"/>
      <c r="I247" s="153"/>
    </row>
    <row r="248" spans="1:9">
      <c r="A248" s="157" t="s">
        <v>992</v>
      </c>
      <c r="B248" s="150"/>
      <c r="C248" s="150"/>
      <c r="D248" s="150"/>
      <c r="E248" s="150"/>
      <c r="F248" s="150"/>
      <c r="G248" s="150"/>
      <c r="H248" s="150"/>
      <c r="I248" s="153"/>
    </row>
    <row r="249" spans="1:9">
      <c r="A249" s="157" t="s">
        <v>993</v>
      </c>
      <c r="B249" s="153" t="s">
        <v>1229</v>
      </c>
      <c r="C249" s="153" t="s">
        <v>1229</v>
      </c>
      <c r="D249" s="153" t="s">
        <v>1229</v>
      </c>
      <c r="E249" s="153" t="s">
        <v>1229</v>
      </c>
      <c r="F249" s="153" t="s">
        <v>1499</v>
      </c>
      <c r="G249" s="153" t="s">
        <v>1499</v>
      </c>
      <c r="H249" s="153" t="s">
        <v>1499</v>
      </c>
      <c r="I249" s="153"/>
    </row>
    <row r="250" spans="1:9">
      <c r="A250" s="157" t="s">
        <v>994</v>
      </c>
      <c r="B250" s="153"/>
      <c r="C250" s="153"/>
      <c r="D250" s="153"/>
      <c r="E250" s="153"/>
      <c r="F250" s="153"/>
      <c r="G250" s="153"/>
      <c r="H250" s="153"/>
      <c r="I250" s="153"/>
    </row>
    <row r="251" spans="1:9">
      <c r="A251" s="157" t="s">
        <v>995</v>
      </c>
      <c r="B251" s="153" t="s">
        <v>1229</v>
      </c>
      <c r="C251" s="153" t="s">
        <v>1229</v>
      </c>
      <c r="D251" s="153" t="s">
        <v>1229</v>
      </c>
      <c r="E251" s="153" t="s">
        <v>1499</v>
      </c>
      <c r="F251" s="153" t="s">
        <v>1499</v>
      </c>
      <c r="G251" s="153" t="s">
        <v>1499</v>
      </c>
      <c r="H251" s="153" t="s">
        <v>1499</v>
      </c>
      <c r="I251" s="153"/>
    </row>
    <row r="252" spans="1:9">
      <c r="A252" s="157" t="s">
        <v>996</v>
      </c>
      <c r="B252" s="153" t="s">
        <v>1229</v>
      </c>
      <c r="C252" s="153" t="s">
        <v>1499</v>
      </c>
      <c r="D252" s="153"/>
      <c r="E252" s="153"/>
      <c r="F252" s="153"/>
      <c r="G252" s="153"/>
      <c r="H252" s="153"/>
      <c r="I252" s="153"/>
    </row>
    <row r="253" spans="1:9">
      <c r="A253" s="157" t="s">
        <v>997</v>
      </c>
      <c r="B253" s="150"/>
      <c r="C253" s="150"/>
      <c r="D253" s="150"/>
      <c r="E253" s="150"/>
      <c r="F253" s="150"/>
      <c r="G253" s="150"/>
      <c r="H253" s="150"/>
      <c r="I253" s="153"/>
    </row>
    <row r="254" spans="1:9">
      <c r="A254" s="157" t="s">
        <v>1064</v>
      </c>
      <c r="B254" s="153">
        <v>0.2</v>
      </c>
      <c r="C254" s="153">
        <v>5.7</v>
      </c>
      <c r="D254" s="153">
        <v>1.4</v>
      </c>
      <c r="E254" s="153" t="s">
        <v>1499</v>
      </c>
      <c r="F254" s="153" t="s">
        <v>1499</v>
      </c>
      <c r="G254" s="153" t="s">
        <v>1499</v>
      </c>
      <c r="H254" s="153" t="s">
        <v>1499</v>
      </c>
      <c r="I254" s="153"/>
    </row>
    <row r="255" spans="1:9">
      <c r="A255" s="157" t="s">
        <v>1065</v>
      </c>
      <c r="B255" s="153">
        <v>2.2999999999999998</v>
      </c>
      <c r="C255" s="153">
        <v>3.3</v>
      </c>
      <c r="D255" s="153"/>
      <c r="E255" s="153"/>
      <c r="F255" s="153"/>
      <c r="G255" s="153"/>
      <c r="H255" s="153"/>
      <c r="I255" s="153"/>
    </row>
    <row r="256" spans="1:9">
      <c r="A256" s="157" t="s">
        <v>1066</v>
      </c>
      <c r="B256" s="153" t="s">
        <v>1499</v>
      </c>
      <c r="C256" s="153" t="s">
        <v>1499</v>
      </c>
      <c r="D256" s="153"/>
      <c r="E256" s="153"/>
      <c r="F256" s="153"/>
      <c r="G256" s="153"/>
      <c r="H256" s="153"/>
      <c r="I256" s="153"/>
    </row>
    <row r="257" spans="1:9">
      <c r="A257" s="157" t="s">
        <v>852</v>
      </c>
      <c r="B257" s="153" t="s">
        <v>1229</v>
      </c>
      <c r="C257" s="153">
        <v>0</v>
      </c>
      <c r="D257" s="153">
        <v>0.1</v>
      </c>
      <c r="E257" s="153">
        <v>0.3</v>
      </c>
      <c r="F257" s="153" t="s">
        <v>1229</v>
      </c>
      <c r="G257" s="153" t="s">
        <v>1229</v>
      </c>
      <c r="H257" s="153" t="s">
        <v>1499</v>
      </c>
      <c r="I257" s="153"/>
    </row>
    <row r="258" spans="1:9">
      <c r="A258" s="142" t="s">
        <v>853</v>
      </c>
      <c r="B258" s="153">
        <v>3.2</v>
      </c>
      <c r="C258" s="153">
        <v>6.2</v>
      </c>
      <c r="D258" s="153">
        <v>12.3</v>
      </c>
      <c r="E258" s="153">
        <v>2.9</v>
      </c>
      <c r="F258" s="153">
        <v>46.1</v>
      </c>
      <c r="G258" s="153" t="s">
        <v>1499</v>
      </c>
      <c r="H258" s="153" t="s">
        <v>1499</v>
      </c>
      <c r="I258" s="153"/>
    </row>
    <row r="259" spans="1:9">
      <c r="A259" s="143" t="s">
        <v>1067</v>
      </c>
      <c r="B259" s="153" t="s">
        <v>1499</v>
      </c>
      <c r="C259" s="153" t="s">
        <v>1499</v>
      </c>
      <c r="D259" s="153"/>
      <c r="E259" s="153"/>
      <c r="F259" s="153"/>
      <c r="G259" s="153"/>
      <c r="H259" s="153"/>
      <c r="I259" s="153"/>
    </row>
    <row r="260" spans="1:9">
      <c r="A260" s="155"/>
      <c r="B260" s="150"/>
      <c r="C260" s="150"/>
      <c r="D260" s="153"/>
      <c r="E260" s="153"/>
      <c r="F260" s="153"/>
      <c r="G260" s="153"/>
      <c r="H260" s="153"/>
      <c r="I260" s="150"/>
    </row>
    <row r="261" spans="1:9">
      <c r="A261" s="160" t="s">
        <v>854</v>
      </c>
      <c r="B261" s="150">
        <v>17.600000000000001</v>
      </c>
      <c r="C261" s="150">
        <v>8</v>
      </c>
      <c r="D261" s="150">
        <v>25.2</v>
      </c>
      <c r="E261" s="150">
        <v>10.7</v>
      </c>
      <c r="F261" s="150">
        <v>4.2</v>
      </c>
      <c r="G261" s="150">
        <v>0.8</v>
      </c>
      <c r="H261" s="150">
        <v>0</v>
      </c>
      <c r="I261" s="150"/>
    </row>
    <row r="262" spans="1:9">
      <c r="A262" s="143" t="s">
        <v>855</v>
      </c>
      <c r="B262" s="153">
        <v>17.600000000000001</v>
      </c>
      <c r="C262" s="153">
        <v>8</v>
      </c>
      <c r="D262" s="153">
        <v>25.2</v>
      </c>
      <c r="E262" s="153">
        <v>10.7</v>
      </c>
      <c r="F262" s="153">
        <v>4.2</v>
      </c>
      <c r="G262" s="153">
        <v>0.8</v>
      </c>
      <c r="H262" s="153" t="s">
        <v>1229</v>
      </c>
      <c r="I262" s="153"/>
    </row>
    <row r="263" spans="1:9">
      <c r="A263" s="143"/>
      <c r="B263" s="153"/>
      <c r="C263" s="153"/>
      <c r="D263" s="153"/>
      <c r="E263" s="153"/>
      <c r="F263" s="153"/>
      <c r="G263" s="153"/>
      <c r="H263" s="153"/>
      <c r="I263" s="153"/>
    </row>
    <row r="264" spans="1:9">
      <c r="A264" s="160" t="s">
        <v>570</v>
      </c>
      <c r="B264" s="150">
        <v>185.7</v>
      </c>
      <c r="C264" s="150">
        <v>1175.8</v>
      </c>
      <c r="D264" s="150">
        <v>27.7</v>
      </c>
      <c r="E264" s="150">
        <v>594.5</v>
      </c>
      <c r="F264" s="150">
        <v>5837.2</v>
      </c>
      <c r="G264" s="150">
        <v>11380.2</v>
      </c>
      <c r="H264" s="150">
        <v>8807.2999999999993</v>
      </c>
      <c r="I264" s="150"/>
    </row>
    <row r="265" spans="1:9">
      <c r="A265" s="143" t="s">
        <v>1019</v>
      </c>
      <c r="B265" s="153">
        <v>22</v>
      </c>
      <c r="C265" s="153">
        <v>30.5</v>
      </c>
      <c r="D265" s="153">
        <v>27.7</v>
      </c>
      <c r="E265" s="153">
        <v>31.6</v>
      </c>
      <c r="F265" s="153">
        <v>8</v>
      </c>
      <c r="G265" s="153">
        <v>44.2</v>
      </c>
      <c r="H265" s="153">
        <v>24.2</v>
      </c>
      <c r="I265" s="153"/>
    </row>
    <row r="266" spans="1:9">
      <c r="A266" s="143" t="s">
        <v>572</v>
      </c>
      <c r="B266" s="153">
        <v>163.69999999999999</v>
      </c>
      <c r="C266" s="153">
        <v>1145.3</v>
      </c>
      <c r="D266" s="153">
        <v>0</v>
      </c>
      <c r="E266" s="153">
        <v>562.9</v>
      </c>
      <c r="F266" s="153">
        <v>5829.2</v>
      </c>
      <c r="G266" s="153">
        <v>11336</v>
      </c>
      <c r="H266" s="153">
        <v>8783.1</v>
      </c>
      <c r="I266" s="153"/>
    </row>
    <row r="267" spans="1:9">
      <c r="A267" s="143" t="s">
        <v>1020</v>
      </c>
      <c r="B267" s="153"/>
      <c r="C267" s="153"/>
      <c r="D267" s="153"/>
      <c r="E267" s="153"/>
      <c r="F267" s="153"/>
      <c r="G267" s="153"/>
      <c r="H267" s="153"/>
      <c r="I267" s="153"/>
    </row>
    <row r="268" spans="1:9">
      <c r="A268" s="143"/>
      <c r="B268" s="153"/>
      <c r="C268" s="153"/>
      <c r="D268" s="153"/>
      <c r="E268" s="153"/>
      <c r="F268" s="153"/>
      <c r="G268" s="153"/>
      <c r="H268" s="153"/>
      <c r="I268" s="153"/>
    </row>
    <row r="269" spans="1:9">
      <c r="A269" s="160" t="s">
        <v>573</v>
      </c>
      <c r="B269" s="150">
        <v>6769.8</v>
      </c>
      <c r="C269" s="150">
        <v>5404.5</v>
      </c>
      <c r="D269" s="150">
        <v>7663.8</v>
      </c>
      <c r="E269" s="150">
        <v>12771.9</v>
      </c>
      <c r="F269" s="150">
        <v>5648.1</v>
      </c>
      <c r="G269" s="150">
        <v>9028.4</v>
      </c>
      <c r="H269" s="150">
        <v>5835.4</v>
      </c>
      <c r="I269" s="150"/>
    </row>
    <row r="270" spans="1:9">
      <c r="A270" s="143"/>
      <c r="B270" s="153"/>
      <c r="C270" s="153"/>
      <c r="D270" s="153"/>
      <c r="E270" s="153"/>
      <c r="F270" s="153"/>
      <c r="G270" s="153"/>
      <c r="H270" s="153"/>
      <c r="I270" s="153"/>
    </row>
    <row r="271" spans="1:9">
      <c r="A271" s="160" t="s">
        <v>574</v>
      </c>
      <c r="B271" s="150">
        <v>2243.1999999999998</v>
      </c>
      <c r="C271" s="150">
        <v>979.8</v>
      </c>
      <c r="D271" s="150">
        <v>1289.5999999999999</v>
      </c>
      <c r="E271" s="150">
        <v>1047.9000000000001</v>
      </c>
      <c r="F271" s="150">
        <v>138.69999999999999</v>
      </c>
      <c r="G271" s="150">
        <v>811.2</v>
      </c>
      <c r="H271" s="150">
        <v>107.5</v>
      </c>
      <c r="I271" s="150"/>
    </row>
    <row r="272" spans="1:9">
      <c r="A272" s="143" t="s">
        <v>90</v>
      </c>
      <c r="B272" s="153">
        <v>442.9</v>
      </c>
      <c r="C272" s="153">
        <v>255.5</v>
      </c>
      <c r="D272" s="153">
        <v>184</v>
      </c>
      <c r="E272" s="153">
        <v>171.5</v>
      </c>
      <c r="F272" s="153" t="s">
        <v>1229</v>
      </c>
      <c r="G272" s="153" t="s">
        <v>1499</v>
      </c>
      <c r="H272" s="153" t="s">
        <v>1499</v>
      </c>
      <c r="I272" s="153"/>
    </row>
    <row r="273" spans="1:9">
      <c r="A273" s="143" t="s">
        <v>91</v>
      </c>
      <c r="B273" s="153"/>
      <c r="C273" s="153"/>
      <c r="D273" s="153"/>
      <c r="E273" s="153"/>
      <c r="F273" s="153"/>
      <c r="G273" s="153"/>
      <c r="H273" s="153"/>
      <c r="I273" s="153"/>
    </row>
    <row r="274" spans="1:9">
      <c r="A274" s="143" t="s">
        <v>877</v>
      </c>
      <c r="B274" s="153">
        <v>0.1</v>
      </c>
      <c r="C274" s="153">
        <v>0</v>
      </c>
      <c r="D274" s="153">
        <v>0</v>
      </c>
      <c r="E274" s="153">
        <v>0</v>
      </c>
      <c r="F274" s="153" t="s">
        <v>1499</v>
      </c>
      <c r="G274" s="153" t="s">
        <v>1499</v>
      </c>
      <c r="H274" s="153" t="s">
        <v>1499</v>
      </c>
      <c r="I274" s="153"/>
    </row>
    <row r="275" spans="1:9">
      <c r="A275" s="143" t="s">
        <v>575</v>
      </c>
      <c r="B275" s="153">
        <v>26.6</v>
      </c>
      <c r="C275" s="153">
        <v>28.5</v>
      </c>
      <c r="D275" s="153">
        <v>24.4</v>
      </c>
      <c r="E275" s="153">
        <v>29.4</v>
      </c>
      <c r="F275" s="153">
        <v>34.4</v>
      </c>
      <c r="G275" s="153">
        <v>26.2</v>
      </c>
      <c r="H275" s="153">
        <v>27.2</v>
      </c>
      <c r="I275" s="153"/>
    </row>
    <row r="276" spans="1:9">
      <c r="A276" s="143" t="s">
        <v>878</v>
      </c>
      <c r="B276" s="153"/>
      <c r="C276" s="153"/>
      <c r="D276" s="153"/>
      <c r="E276" s="153"/>
      <c r="F276" s="153"/>
      <c r="G276" s="153"/>
      <c r="H276" s="153"/>
      <c r="I276" s="153"/>
    </row>
    <row r="277" spans="1:9">
      <c r="A277" s="143" t="s">
        <v>55</v>
      </c>
      <c r="B277" s="153">
        <v>0.1</v>
      </c>
      <c r="C277" s="153">
        <v>0.3</v>
      </c>
      <c r="D277" s="153">
        <v>0.3</v>
      </c>
      <c r="E277" s="153">
        <v>0.2</v>
      </c>
      <c r="F277" s="153">
        <v>0.2</v>
      </c>
      <c r="G277" s="153">
        <v>0.3</v>
      </c>
      <c r="H277" s="153">
        <v>0.3</v>
      </c>
      <c r="I277" s="153"/>
    </row>
    <row r="278" spans="1:9">
      <c r="A278" s="143" t="s">
        <v>56</v>
      </c>
      <c r="B278" s="153">
        <v>0.1</v>
      </c>
      <c r="C278" s="153">
        <v>0.2</v>
      </c>
      <c r="D278" s="153">
        <v>0.2</v>
      </c>
      <c r="E278" s="153" t="s">
        <v>1229</v>
      </c>
      <c r="F278" s="153" t="s">
        <v>1499</v>
      </c>
      <c r="G278" s="153" t="s">
        <v>1499</v>
      </c>
      <c r="H278" s="153" t="s">
        <v>1499</v>
      </c>
      <c r="I278" s="153"/>
    </row>
    <row r="279" spans="1:9">
      <c r="A279" s="143" t="s">
        <v>57</v>
      </c>
      <c r="B279" s="153"/>
      <c r="C279" s="153"/>
      <c r="D279" s="153"/>
      <c r="E279" s="153"/>
      <c r="F279" s="153"/>
      <c r="G279" s="153"/>
      <c r="H279" s="153"/>
      <c r="I279" s="153"/>
    </row>
    <row r="280" spans="1:9">
      <c r="A280" s="143" t="s">
        <v>58</v>
      </c>
      <c r="B280" s="153">
        <v>33.9</v>
      </c>
      <c r="C280" s="153">
        <v>10.9</v>
      </c>
      <c r="D280" s="153">
        <v>11</v>
      </c>
      <c r="E280" s="153">
        <v>8.9</v>
      </c>
      <c r="F280" s="153">
        <v>2.8</v>
      </c>
      <c r="G280" s="153">
        <v>2.2999999999999998</v>
      </c>
      <c r="H280" s="153">
        <v>2.9</v>
      </c>
      <c r="I280" s="153"/>
    </row>
    <row r="281" spans="1:9">
      <c r="A281" s="143" t="s">
        <v>879</v>
      </c>
      <c r="B281" s="153" t="s">
        <v>1229</v>
      </c>
      <c r="C281" s="153" t="s">
        <v>1229</v>
      </c>
      <c r="D281" s="153"/>
      <c r="E281" s="153"/>
      <c r="F281" s="153"/>
      <c r="G281" s="153"/>
      <c r="H281" s="153"/>
      <c r="I281" s="153"/>
    </row>
    <row r="282" spans="1:9">
      <c r="A282" s="143" t="s">
        <v>59</v>
      </c>
      <c r="B282" s="156">
        <v>0</v>
      </c>
      <c r="C282" s="156">
        <v>0.1</v>
      </c>
      <c r="D282" s="153">
        <v>0.1</v>
      </c>
      <c r="E282" s="153">
        <v>0</v>
      </c>
      <c r="F282" s="153">
        <v>0</v>
      </c>
      <c r="G282" s="153">
        <v>0</v>
      </c>
      <c r="H282" s="153" t="s">
        <v>1229</v>
      </c>
      <c r="I282" s="156"/>
    </row>
    <row r="283" spans="1:9">
      <c r="A283" s="143" t="s">
        <v>60</v>
      </c>
      <c r="B283" s="153">
        <v>148.1</v>
      </c>
      <c r="C283" s="153">
        <v>510</v>
      </c>
      <c r="D283" s="153">
        <v>310.3</v>
      </c>
      <c r="E283" s="153">
        <v>106</v>
      </c>
      <c r="F283" s="153">
        <v>94.8</v>
      </c>
      <c r="G283" s="153">
        <v>764.4</v>
      </c>
      <c r="H283" s="153">
        <v>71.2</v>
      </c>
      <c r="I283" s="153"/>
    </row>
    <row r="284" spans="1:9">
      <c r="A284" s="143" t="s">
        <v>61</v>
      </c>
      <c r="B284" s="153"/>
      <c r="C284" s="153"/>
      <c r="D284" s="153"/>
      <c r="E284" s="153"/>
      <c r="F284" s="153"/>
      <c r="G284" s="153"/>
      <c r="H284" s="153"/>
      <c r="I284" s="153"/>
    </row>
    <row r="285" spans="1:9">
      <c r="A285" s="143" t="s">
        <v>578</v>
      </c>
      <c r="B285" s="153">
        <v>1.9</v>
      </c>
      <c r="C285" s="153">
        <v>1.6</v>
      </c>
      <c r="D285" s="153">
        <v>2.6</v>
      </c>
      <c r="E285" s="153">
        <v>1.4</v>
      </c>
      <c r="F285" s="153">
        <v>3</v>
      </c>
      <c r="G285" s="153">
        <v>2.5</v>
      </c>
      <c r="H285" s="153">
        <v>2.2999999999999998</v>
      </c>
      <c r="I285" s="153"/>
    </row>
    <row r="286" spans="1:9">
      <c r="A286" s="143" t="s">
        <v>579</v>
      </c>
      <c r="B286" s="153">
        <v>1589.5</v>
      </c>
      <c r="C286" s="153">
        <v>172.7</v>
      </c>
      <c r="D286" s="153">
        <v>756.7</v>
      </c>
      <c r="E286" s="153">
        <v>730.5</v>
      </c>
      <c r="F286" s="153">
        <v>3.5</v>
      </c>
      <c r="G286" s="153">
        <v>15.5</v>
      </c>
      <c r="H286" s="153">
        <v>3.6</v>
      </c>
      <c r="I286" s="153"/>
    </row>
    <row r="287" spans="1:9">
      <c r="A287" s="143" t="s">
        <v>580</v>
      </c>
      <c r="B287" s="153"/>
      <c r="C287" s="153"/>
      <c r="D287" s="153"/>
      <c r="E287" s="153"/>
      <c r="F287" s="153"/>
      <c r="G287" s="153"/>
      <c r="H287" s="153"/>
      <c r="I287" s="153"/>
    </row>
    <row r="288" spans="1:9">
      <c r="A288" s="143"/>
      <c r="B288" s="153"/>
      <c r="C288" s="153"/>
      <c r="D288" s="153"/>
      <c r="E288" s="153"/>
      <c r="F288" s="153"/>
      <c r="G288" s="153"/>
      <c r="H288" s="153"/>
      <c r="I288" s="153"/>
    </row>
    <row r="289" spans="1:9">
      <c r="A289" s="160" t="s">
        <v>581</v>
      </c>
      <c r="B289" s="150">
        <v>2622</v>
      </c>
      <c r="C289" s="150">
        <v>2042.1</v>
      </c>
      <c r="D289" s="150">
        <v>3810</v>
      </c>
      <c r="E289" s="150">
        <v>8730.2000000000007</v>
      </c>
      <c r="F289" s="150">
        <v>2354.9</v>
      </c>
      <c r="G289" s="150">
        <v>4481.1000000000004</v>
      </c>
      <c r="H289" s="150">
        <v>2617</v>
      </c>
      <c r="I289" s="150"/>
    </row>
    <row r="290" spans="1:9">
      <c r="A290" s="143" t="s">
        <v>880</v>
      </c>
      <c r="B290" s="153">
        <v>0</v>
      </c>
      <c r="C290" s="153" t="s">
        <v>1229</v>
      </c>
      <c r="D290" s="153" t="s">
        <v>1229</v>
      </c>
      <c r="E290" s="153" t="s">
        <v>1499</v>
      </c>
      <c r="F290" s="153" t="s">
        <v>1499</v>
      </c>
      <c r="G290" s="153" t="s">
        <v>1499</v>
      </c>
      <c r="H290" s="153" t="s">
        <v>1499</v>
      </c>
      <c r="I290" s="153"/>
    </row>
    <row r="291" spans="1:9">
      <c r="A291" s="143" t="s">
        <v>582</v>
      </c>
      <c r="B291" s="153">
        <v>2620.4</v>
      </c>
      <c r="C291" s="153">
        <v>2033.7</v>
      </c>
      <c r="D291" s="153">
        <v>3807.3</v>
      </c>
      <c r="E291" s="153">
        <v>8724.7999999999993</v>
      </c>
      <c r="F291" s="153">
        <v>2352.5</v>
      </c>
      <c r="G291" s="153">
        <v>4477.3999999999996</v>
      </c>
      <c r="H291" s="153">
        <v>2605.3000000000002</v>
      </c>
      <c r="I291" s="153"/>
    </row>
    <row r="292" spans="1:9">
      <c r="A292" s="143" t="s">
        <v>583</v>
      </c>
      <c r="B292" s="153"/>
      <c r="C292" s="153"/>
      <c r="D292" s="153"/>
      <c r="E292" s="153"/>
      <c r="F292" s="153"/>
      <c r="G292" s="153"/>
      <c r="H292" s="153"/>
      <c r="I292" s="153"/>
    </row>
    <row r="293" spans="1:9">
      <c r="A293" s="157" t="s">
        <v>584</v>
      </c>
      <c r="B293" s="153">
        <v>0.2</v>
      </c>
      <c r="C293" s="153">
        <v>0.5</v>
      </c>
      <c r="D293" s="153">
        <v>0.4</v>
      </c>
      <c r="E293" s="153">
        <v>0.6</v>
      </c>
      <c r="F293" s="153">
        <v>0.5</v>
      </c>
      <c r="G293" s="153">
        <v>0.4</v>
      </c>
      <c r="H293" s="153">
        <v>0.5</v>
      </c>
      <c r="I293" s="153"/>
    </row>
    <row r="294" spans="1:9">
      <c r="A294" s="157" t="s">
        <v>585</v>
      </c>
      <c r="B294" s="153">
        <v>1.4</v>
      </c>
      <c r="C294" s="153">
        <v>7.9</v>
      </c>
      <c r="D294" s="153">
        <v>2.2999999999999998</v>
      </c>
      <c r="E294" s="153">
        <v>4.8</v>
      </c>
      <c r="F294" s="153">
        <v>1.9</v>
      </c>
      <c r="G294" s="153">
        <v>3.3</v>
      </c>
      <c r="H294" s="153">
        <v>11.2</v>
      </c>
      <c r="I294" s="153"/>
    </row>
    <row r="295" spans="1:9">
      <c r="A295" s="143"/>
      <c r="B295" s="153"/>
      <c r="C295" s="153"/>
      <c r="D295" s="153"/>
      <c r="E295" s="153"/>
      <c r="F295" s="153"/>
      <c r="G295" s="153"/>
      <c r="H295" s="153"/>
      <c r="I295" s="153"/>
    </row>
    <row r="296" spans="1:9">
      <c r="A296" s="160" t="s">
        <v>586</v>
      </c>
      <c r="B296" s="150">
        <v>1719.5</v>
      </c>
      <c r="C296" s="150">
        <v>1918.7</v>
      </c>
      <c r="D296" s="150">
        <v>2133.8000000000002</v>
      </c>
      <c r="E296" s="150">
        <v>2337.5</v>
      </c>
      <c r="F296" s="150">
        <v>2738.8</v>
      </c>
      <c r="G296" s="150">
        <v>2558.4</v>
      </c>
      <c r="H296" s="150">
        <v>2609.9</v>
      </c>
      <c r="I296" s="150"/>
    </row>
    <row r="297" spans="1:9">
      <c r="A297" s="143" t="s">
        <v>587</v>
      </c>
      <c r="B297" s="153">
        <v>0.2</v>
      </c>
      <c r="C297" s="153">
        <v>0</v>
      </c>
      <c r="D297" s="153">
        <v>0.1</v>
      </c>
      <c r="E297" s="153">
        <v>0.1</v>
      </c>
      <c r="F297" s="153">
        <v>0.1</v>
      </c>
      <c r="G297" s="153">
        <v>0.1</v>
      </c>
      <c r="H297" s="153">
        <v>0.1</v>
      </c>
      <c r="I297" s="153"/>
    </row>
    <row r="298" spans="1:9">
      <c r="A298" s="143" t="s">
        <v>588</v>
      </c>
      <c r="B298" s="153">
        <v>8.6</v>
      </c>
      <c r="C298" s="153">
        <v>5.9</v>
      </c>
      <c r="D298" s="153">
        <v>3.8</v>
      </c>
      <c r="E298" s="153">
        <v>3</v>
      </c>
      <c r="F298" s="153">
        <v>2.6</v>
      </c>
      <c r="G298" s="153">
        <v>2.2999999999999998</v>
      </c>
      <c r="H298" s="153">
        <v>2</v>
      </c>
      <c r="I298" s="153"/>
    </row>
    <row r="299" spans="1:9">
      <c r="A299" s="143" t="s">
        <v>589</v>
      </c>
      <c r="B299" s="153">
        <v>1710.7</v>
      </c>
      <c r="C299" s="153">
        <v>1912.8</v>
      </c>
      <c r="D299" s="153">
        <v>2129.9</v>
      </c>
      <c r="E299" s="153">
        <v>2334.4</v>
      </c>
      <c r="F299" s="153">
        <v>2736.1</v>
      </c>
      <c r="G299" s="153">
        <v>2556</v>
      </c>
      <c r="H299" s="153">
        <v>2607.8000000000002</v>
      </c>
      <c r="I299" s="153"/>
    </row>
    <row r="300" spans="1:9">
      <c r="A300" s="143"/>
      <c r="B300" s="153"/>
      <c r="C300" s="153"/>
      <c r="D300" s="153"/>
      <c r="E300" s="153"/>
      <c r="F300" s="153"/>
      <c r="G300" s="153"/>
      <c r="H300" s="153"/>
      <c r="I300" s="153"/>
    </row>
    <row r="301" spans="1:9">
      <c r="A301" s="160" t="s">
        <v>590</v>
      </c>
      <c r="B301" s="150">
        <v>11.9</v>
      </c>
      <c r="C301" s="150">
        <v>256.89999999999998</v>
      </c>
      <c r="D301" s="150">
        <v>302</v>
      </c>
      <c r="E301" s="150">
        <v>487.6</v>
      </c>
      <c r="F301" s="150">
        <v>235.5</v>
      </c>
      <c r="G301" s="150">
        <v>291.7</v>
      </c>
      <c r="H301" s="150">
        <v>238.2</v>
      </c>
      <c r="I301" s="150"/>
    </row>
    <row r="302" spans="1:9">
      <c r="A302" s="143" t="s">
        <v>591</v>
      </c>
      <c r="B302" s="153">
        <v>11.9</v>
      </c>
      <c r="C302" s="153">
        <v>256.89999999999998</v>
      </c>
      <c r="D302" s="153">
        <v>302</v>
      </c>
      <c r="E302" s="153">
        <v>487.6</v>
      </c>
      <c r="F302" s="153">
        <v>235.5</v>
      </c>
      <c r="G302" s="153">
        <v>291.7</v>
      </c>
      <c r="H302" s="153">
        <v>238.2</v>
      </c>
      <c r="I302" s="153"/>
    </row>
    <row r="303" spans="1:9">
      <c r="A303" s="143"/>
      <c r="B303" s="153"/>
      <c r="C303" s="153"/>
      <c r="D303" s="153"/>
      <c r="E303" s="153"/>
      <c r="F303" s="153"/>
      <c r="G303" s="153"/>
      <c r="H303" s="153"/>
      <c r="I303" s="153"/>
    </row>
    <row r="304" spans="1:9">
      <c r="A304" s="160" t="s">
        <v>592</v>
      </c>
      <c r="B304" s="150">
        <v>173.2</v>
      </c>
      <c r="C304" s="150">
        <v>207</v>
      </c>
      <c r="D304" s="150">
        <v>128.4</v>
      </c>
      <c r="E304" s="150">
        <v>168.7</v>
      </c>
      <c r="F304" s="150">
        <v>180.2</v>
      </c>
      <c r="G304" s="150">
        <v>886</v>
      </c>
      <c r="H304" s="150">
        <v>262.8</v>
      </c>
      <c r="I304" s="150"/>
    </row>
    <row r="305" spans="1:9">
      <c r="A305" s="143" t="s">
        <v>881</v>
      </c>
      <c r="B305" s="153">
        <v>0</v>
      </c>
      <c r="C305" s="153">
        <v>0</v>
      </c>
      <c r="D305" s="153"/>
      <c r="E305" s="153"/>
      <c r="F305" s="153"/>
      <c r="G305" s="153"/>
      <c r="H305" s="153"/>
      <c r="I305" s="153"/>
    </row>
    <row r="306" spans="1:9">
      <c r="A306" s="143" t="s">
        <v>882</v>
      </c>
      <c r="B306" s="153" t="s">
        <v>1229</v>
      </c>
      <c r="C306" s="153" t="s">
        <v>1229</v>
      </c>
      <c r="D306" s="153"/>
      <c r="E306" s="153"/>
      <c r="F306" s="153"/>
      <c r="G306" s="153"/>
      <c r="H306" s="153"/>
      <c r="I306" s="153"/>
    </row>
    <row r="307" spans="1:9">
      <c r="A307" s="143" t="s">
        <v>883</v>
      </c>
      <c r="B307" s="153">
        <v>0.4</v>
      </c>
      <c r="C307" s="153">
        <v>0.1</v>
      </c>
      <c r="D307" s="153">
        <v>0.1</v>
      </c>
      <c r="E307" s="153" t="s">
        <v>1229</v>
      </c>
      <c r="F307" s="153" t="s">
        <v>1499</v>
      </c>
      <c r="G307" s="153" t="s">
        <v>1499</v>
      </c>
      <c r="H307" s="153" t="s">
        <v>1499</v>
      </c>
      <c r="I307" s="153"/>
    </row>
    <row r="308" spans="1:9">
      <c r="A308" s="157" t="s">
        <v>1566</v>
      </c>
      <c r="B308" s="153">
        <v>0.2</v>
      </c>
      <c r="C308" s="153">
        <v>0.1</v>
      </c>
      <c r="D308" s="153">
        <v>0.2</v>
      </c>
      <c r="E308" s="153">
        <v>0.2</v>
      </c>
      <c r="F308" s="153">
        <v>0.2</v>
      </c>
      <c r="G308" s="153">
        <v>0.2</v>
      </c>
      <c r="H308" s="153">
        <v>0.2</v>
      </c>
      <c r="I308" s="151"/>
    </row>
    <row r="309" spans="1:9">
      <c r="A309" s="143" t="s">
        <v>1567</v>
      </c>
      <c r="B309" s="153">
        <v>7.7</v>
      </c>
      <c r="C309" s="153">
        <v>6.9</v>
      </c>
      <c r="D309" s="153">
        <v>6.7</v>
      </c>
      <c r="E309" s="153">
        <v>14.9</v>
      </c>
      <c r="F309" s="153">
        <v>6.5</v>
      </c>
      <c r="G309" s="153">
        <v>8.5</v>
      </c>
      <c r="H309" s="153">
        <v>12.1</v>
      </c>
      <c r="I309" s="153"/>
    </row>
    <row r="310" spans="1:9">
      <c r="A310" s="157" t="s">
        <v>1280</v>
      </c>
      <c r="B310" s="153">
        <v>13.2</v>
      </c>
      <c r="C310" s="153">
        <v>9.9</v>
      </c>
      <c r="D310" s="153">
        <v>7.1</v>
      </c>
      <c r="E310" s="153">
        <v>5.3</v>
      </c>
      <c r="F310" s="153">
        <v>3.9</v>
      </c>
      <c r="G310" s="153">
        <v>2.9</v>
      </c>
      <c r="H310" s="153">
        <v>2.2999999999999998</v>
      </c>
      <c r="I310" s="153"/>
    </row>
    <row r="311" spans="1:9">
      <c r="A311" s="157" t="s">
        <v>884</v>
      </c>
      <c r="B311" s="146"/>
      <c r="C311" s="146"/>
      <c r="D311" s="146"/>
      <c r="E311" s="148"/>
      <c r="F311" s="146"/>
      <c r="G311" s="148"/>
      <c r="H311" s="148"/>
      <c r="I311" s="148"/>
    </row>
    <row r="312" spans="1:9">
      <c r="A312" s="157" t="s">
        <v>1281</v>
      </c>
      <c r="B312" s="153">
        <v>23.9</v>
      </c>
      <c r="C312" s="153">
        <v>5.8</v>
      </c>
      <c r="D312" s="153">
        <v>5.7</v>
      </c>
      <c r="E312" s="153">
        <v>5.8</v>
      </c>
      <c r="F312" s="153">
        <v>7</v>
      </c>
      <c r="G312" s="153" t="s">
        <v>1229</v>
      </c>
      <c r="H312" s="153" t="s">
        <v>1499</v>
      </c>
      <c r="I312" s="153"/>
    </row>
    <row r="313" spans="1:9">
      <c r="A313" s="157" t="s">
        <v>552</v>
      </c>
      <c r="B313" s="153"/>
      <c r="C313" s="153"/>
      <c r="D313" s="153"/>
      <c r="E313" s="153"/>
      <c r="F313" s="153"/>
      <c r="G313" s="153"/>
      <c r="H313" s="153"/>
      <c r="I313" s="153"/>
    </row>
    <row r="314" spans="1:9">
      <c r="A314" s="157" t="s">
        <v>421</v>
      </c>
      <c r="B314" s="153">
        <v>3.2</v>
      </c>
      <c r="C314" s="153">
        <v>0.4</v>
      </c>
      <c r="D314" s="153">
        <v>1.4</v>
      </c>
      <c r="E314" s="153">
        <v>0.5</v>
      </c>
      <c r="F314" s="153" t="s">
        <v>1229</v>
      </c>
      <c r="G314" s="153">
        <v>0.3</v>
      </c>
      <c r="H314" s="153" t="s">
        <v>1229</v>
      </c>
      <c r="I314" s="153"/>
    </row>
    <row r="315" spans="1:9">
      <c r="A315" s="143" t="s">
        <v>1547</v>
      </c>
      <c r="B315" s="153"/>
      <c r="C315" s="153"/>
      <c r="D315" s="153"/>
      <c r="E315" s="153"/>
      <c r="F315" s="153"/>
      <c r="G315" s="153"/>
      <c r="H315" s="153"/>
      <c r="I315" s="153"/>
    </row>
    <row r="316" spans="1:9">
      <c r="A316" s="143" t="s">
        <v>1548</v>
      </c>
      <c r="B316" s="153">
        <v>0.4</v>
      </c>
      <c r="C316" s="153">
        <v>0.3</v>
      </c>
      <c r="D316" s="153">
        <v>0.2</v>
      </c>
      <c r="E316" s="153">
        <v>0.1</v>
      </c>
      <c r="F316" s="153">
        <v>0.1</v>
      </c>
      <c r="G316" s="153">
        <v>0.1</v>
      </c>
      <c r="H316" s="153">
        <v>0.1</v>
      </c>
      <c r="I316" s="153"/>
    </row>
    <row r="317" spans="1:9">
      <c r="A317" s="143" t="s">
        <v>219</v>
      </c>
      <c r="B317" s="153"/>
      <c r="C317" s="153"/>
      <c r="D317" s="153"/>
      <c r="E317" s="153"/>
      <c r="F317" s="153"/>
      <c r="G317" s="153"/>
      <c r="H317" s="153"/>
      <c r="I317" s="153"/>
    </row>
    <row r="318" spans="1:9">
      <c r="A318" s="143" t="s">
        <v>220</v>
      </c>
      <c r="B318" s="153"/>
      <c r="C318" s="153"/>
      <c r="D318" s="153"/>
      <c r="E318" s="153"/>
      <c r="F318" s="153"/>
      <c r="G318" s="153"/>
      <c r="H318" s="153"/>
      <c r="I318" s="153"/>
    </row>
    <row r="319" spans="1:9">
      <c r="A319" s="143" t="s">
        <v>221</v>
      </c>
      <c r="B319" s="153"/>
      <c r="C319" s="153"/>
      <c r="D319" s="153"/>
      <c r="E319" s="153"/>
      <c r="F319" s="153"/>
      <c r="G319" s="153"/>
      <c r="H319" s="153"/>
      <c r="I319" s="153"/>
    </row>
    <row r="320" spans="1:9">
      <c r="A320" s="157" t="s">
        <v>1549</v>
      </c>
      <c r="B320" s="153">
        <v>72.2</v>
      </c>
      <c r="C320" s="153">
        <v>74.3</v>
      </c>
      <c r="D320" s="153">
        <v>39</v>
      </c>
      <c r="E320" s="153">
        <v>57.7</v>
      </c>
      <c r="F320" s="153">
        <v>87.4</v>
      </c>
      <c r="G320" s="153">
        <v>207.7</v>
      </c>
      <c r="H320" s="153">
        <v>158.4</v>
      </c>
      <c r="I320" s="153"/>
    </row>
    <row r="321" spans="1:9">
      <c r="A321" s="143" t="s">
        <v>1550</v>
      </c>
      <c r="B321" s="153">
        <v>52</v>
      </c>
      <c r="C321" s="153">
        <v>109.2</v>
      </c>
      <c r="D321" s="153">
        <v>68</v>
      </c>
      <c r="E321" s="153">
        <v>84.2</v>
      </c>
      <c r="F321" s="153">
        <v>75.099999999999994</v>
      </c>
      <c r="G321" s="153">
        <v>666.3</v>
      </c>
      <c r="H321" s="153">
        <v>89.7</v>
      </c>
      <c r="I321" s="153"/>
    </row>
    <row r="322" spans="1:9">
      <c r="A322" s="143"/>
      <c r="B322" s="153"/>
      <c r="C322" s="153"/>
      <c r="D322" s="153"/>
      <c r="E322" s="153"/>
      <c r="F322" s="153"/>
      <c r="G322" s="153"/>
      <c r="H322" s="153"/>
      <c r="I322" s="153"/>
    </row>
    <row r="323" spans="1:9">
      <c r="A323" s="161" t="s">
        <v>1551</v>
      </c>
      <c r="B323" s="150">
        <v>2999.7</v>
      </c>
      <c r="C323" s="150">
        <v>3377.2</v>
      </c>
      <c r="D323" s="150">
        <v>2841.9</v>
      </c>
      <c r="E323" s="150">
        <v>-810.5</v>
      </c>
      <c r="F323" s="150">
        <v>1542.4</v>
      </c>
      <c r="G323" s="150">
        <v>11019.9</v>
      </c>
      <c r="H323" s="150">
        <v>-769.1</v>
      </c>
      <c r="I323" s="150"/>
    </row>
    <row r="324" spans="1:9">
      <c r="A324" s="155"/>
      <c r="B324" s="153"/>
      <c r="C324" s="153"/>
      <c r="D324" s="153"/>
      <c r="E324" s="153"/>
      <c r="F324" s="153"/>
      <c r="G324" s="153"/>
      <c r="H324" s="153"/>
      <c r="I324" s="153"/>
    </row>
    <row r="325" spans="1:9">
      <c r="A325" s="161" t="s">
        <v>214</v>
      </c>
      <c r="B325" s="150">
        <v>1680.2</v>
      </c>
      <c r="C325" s="150">
        <v>1708.5</v>
      </c>
      <c r="D325" s="150">
        <v>2071.6</v>
      </c>
      <c r="E325" s="150">
        <v>2178.5</v>
      </c>
      <c r="F325" s="150">
        <v>1061.8</v>
      </c>
      <c r="G325" s="150">
        <v>14166</v>
      </c>
      <c r="H325" s="150">
        <v>1468.9</v>
      </c>
      <c r="I325" s="150"/>
    </row>
    <row r="326" spans="1:9">
      <c r="A326" s="157" t="s">
        <v>222</v>
      </c>
      <c r="B326" s="150"/>
      <c r="C326" s="150"/>
      <c r="D326" s="153"/>
      <c r="E326" s="153"/>
      <c r="F326" s="153"/>
      <c r="G326" s="153"/>
      <c r="H326" s="153"/>
      <c r="I326" s="150"/>
    </row>
    <row r="327" spans="1:9">
      <c r="A327" s="157" t="s">
        <v>223</v>
      </c>
      <c r="B327" s="150"/>
      <c r="C327" s="150"/>
      <c r="D327" s="153"/>
      <c r="E327" s="153"/>
      <c r="F327" s="153"/>
      <c r="G327" s="153"/>
      <c r="H327" s="153"/>
      <c r="I327" s="150"/>
    </row>
    <row r="328" spans="1:9">
      <c r="A328" s="143" t="s">
        <v>215</v>
      </c>
      <c r="B328" s="153">
        <v>128</v>
      </c>
      <c r="C328" s="153" t="s">
        <v>1229</v>
      </c>
      <c r="D328" s="153" t="s">
        <v>1229</v>
      </c>
      <c r="E328" s="153" t="s">
        <v>1229</v>
      </c>
      <c r="F328" s="153" t="s">
        <v>1229</v>
      </c>
      <c r="G328" s="153" t="s">
        <v>1229</v>
      </c>
      <c r="H328" s="153" t="s">
        <v>1229</v>
      </c>
      <c r="I328" s="153"/>
    </row>
    <row r="329" spans="1:9">
      <c r="A329" s="143" t="s">
        <v>224</v>
      </c>
      <c r="B329" s="153" t="s">
        <v>1499</v>
      </c>
      <c r="C329" s="153" t="s">
        <v>1499</v>
      </c>
      <c r="D329" s="153"/>
      <c r="E329" s="153"/>
      <c r="F329" s="153"/>
      <c r="G329" s="153"/>
      <c r="H329" s="153"/>
      <c r="I329" s="153"/>
    </row>
    <row r="330" spans="1:9">
      <c r="A330" s="143" t="s">
        <v>225</v>
      </c>
      <c r="B330" s="153" t="s">
        <v>1229</v>
      </c>
      <c r="C330" s="153">
        <v>50</v>
      </c>
      <c r="D330" s="153" t="s">
        <v>1229</v>
      </c>
      <c r="E330" s="153" t="s">
        <v>1499</v>
      </c>
      <c r="F330" s="153" t="s">
        <v>1499</v>
      </c>
      <c r="G330" s="153" t="s">
        <v>1499</v>
      </c>
      <c r="H330" s="153" t="s">
        <v>1499</v>
      </c>
      <c r="I330" s="153"/>
    </row>
    <row r="331" spans="1:9">
      <c r="A331" s="143" t="s">
        <v>226</v>
      </c>
      <c r="B331" s="153">
        <v>400</v>
      </c>
      <c r="C331" s="153">
        <v>735</v>
      </c>
      <c r="D331" s="153">
        <v>1231.3</v>
      </c>
      <c r="E331" s="153">
        <v>1235</v>
      </c>
      <c r="F331" s="153" t="s">
        <v>1499</v>
      </c>
      <c r="G331" s="153" t="s">
        <v>1499</v>
      </c>
      <c r="H331" s="153" t="s">
        <v>1499</v>
      </c>
      <c r="I331" s="153"/>
    </row>
    <row r="332" spans="1:9">
      <c r="A332" s="143" t="s">
        <v>216</v>
      </c>
      <c r="B332" s="153">
        <v>471.8</v>
      </c>
      <c r="C332" s="153">
        <v>347.2</v>
      </c>
      <c r="D332" s="153">
        <v>356.5</v>
      </c>
      <c r="E332" s="153">
        <v>396.7</v>
      </c>
      <c r="F332" s="153">
        <v>9</v>
      </c>
      <c r="G332" s="153">
        <v>13061.7</v>
      </c>
      <c r="H332" s="153" t="s">
        <v>1229</v>
      </c>
      <c r="I332" s="153"/>
    </row>
    <row r="333" spans="1:9">
      <c r="A333" s="143" t="s">
        <v>217</v>
      </c>
      <c r="B333" s="153">
        <v>150.80000000000001</v>
      </c>
      <c r="C333" s="153">
        <v>106.7</v>
      </c>
      <c r="D333" s="153">
        <v>84</v>
      </c>
      <c r="E333" s="153">
        <v>86.6</v>
      </c>
      <c r="F333" s="153">
        <v>233.1</v>
      </c>
      <c r="G333" s="153">
        <v>80.599999999999994</v>
      </c>
      <c r="H333" s="153">
        <v>1457.9</v>
      </c>
      <c r="I333" s="153"/>
    </row>
    <row r="334" spans="1:9">
      <c r="A334" s="143" t="s">
        <v>227</v>
      </c>
      <c r="B334" s="153">
        <v>243.9</v>
      </c>
      <c r="C334" s="153">
        <v>105.9</v>
      </c>
      <c r="D334" s="153"/>
      <c r="E334" s="153"/>
      <c r="F334" s="153"/>
      <c r="G334" s="153"/>
      <c r="H334" s="153"/>
      <c r="I334" s="153"/>
    </row>
    <row r="335" spans="1:9">
      <c r="A335" s="143" t="s">
        <v>228</v>
      </c>
      <c r="B335" s="153" t="s">
        <v>1499</v>
      </c>
      <c r="C335" s="153" t="s">
        <v>1499</v>
      </c>
      <c r="D335" s="153"/>
      <c r="E335" s="153"/>
      <c r="F335" s="153"/>
      <c r="G335" s="153"/>
      <c r="H335" s="153"/>
      <c r="I335" s="153"/>
    </row>
    <row r="336" spans="1:9">
      <c r="A336" s="143" t="s">
        <v>229</v>
      </c>
      <c r="B336" s="153">
        <v>237.9</v>
      </c>
      <c r="C336" s="153">
        <v>315.60000000000002</v>
      </c>
      <c r="D336" s="153">
        <v>381.1</v>
      </c>
      <c r="E336" s="153">
        <v>442.9</v>
      </c>
      <c r="F336" s="153">
        <v>807</v>
      </c>
      <c r="G336" s="153">
        <v>1012.2</v>
      </c>
      <c r="H336" s="153">
        <v>0.1</v>
      </c>
      <c r="I336" s="153"/>
    </row>
    <row r="337" spans="1:9">
      <c r="A337" s="157" t="s">
        <v>218</v>
      </c>
      <c r="B337" s="153">
        <v>47.8</v>
      </c>
      <c r="C337" s="153">
        <v>48.1</v>
      </c>
      <c r="D337" s="153">
        <v>18.7</v>
      </c>
      <c r="E337" s="153">
        <v>17.3</v>
      </c>
      <c r="F337" s="153">
        <v>12.7</v>
      </c>
      <c r="G337" s="153">
        <v>11.5</v>
      </c>
      <c r="H337" s="153">
        <v>10.9</v>
      </c>
      <c r="I337" s="153"/>
    </row>
    <row r="338" spans="1:9">
      <c r="A338" s="143"/>
      <c r="B338" s="153"/>
      <c r="C338" s="153"/>
      <c r="D338" s="153"/>
      <c r="E338" s="153"/>
      <c r="F338" s="153"/>
      <c r="G338" s="153"/>
      <c r="H338" s="153"/>
      <c r="I338" s="153"/>
    </row>
    <row r="339" spans="1:9">
      <c r="A339" s="149" t="s">
        <v>67</v>
      </c>
      <c r="B339" s="150">
        <v>1270.4000000000001</v>
      </c>
      <c r="C339" s="150">
        <v>1612.3</v>
      </c>
      <c r="D339" s="150">
        <v>726</v>
      </c>
      <c r="E339" s="150">
        <v>-3131.8</v>
      </c>
      <c r="F339" s="150">
        <v>398.7</v>
      </c>
      <c r="G339" s="150">
        <v>-3146.1</v>
      </c>
      <c r="H339" s="150">
        <v>-2238</v>
      </c>
      <c r="I339" s="150"/>
    </row>
    <row r="340" spans="1:9">
      <c r="A340" s="157" t="s">
        <v>68</v>
      </c>
      <c r="B340" s="153">
        <v>1270.4000000000001</v>
      </c>
      <c r="C340" s="153">
        <v>1612.3</v>
      </c>
      <c r="D340" s="153">
        <v>726</v>
      </c>
      <c r="E340" s="153">
        <v>-3131.8</v>
      </c>
      <c r="F340" s="153">
        <v>398.7</v>
      </c>
      <c r="G340" s="153">
        <v>-3146.1</v>
      </c>
      <c r="H340" s="153">
        <v>-2238</v>
      </c>
      <c r="I340" s="153"/>
    </row>
    <row r="341" spans="1:9">
      <c r="A341" s="157"/>
      <c r="B341" s="153"/>
      <c r="C341" s="153"/>
      <c r="D341" s="153"/>
      <c r="E341" s="153"/>
      <c r="F341" s="153"/>
      <c r="G341" s="153"/>
      <c r="H341" s="153"/>
      <c r="I341" s="153"/>
    </row>
    <row r="342" spans="1:9">
      <c r="A342" s="161" t="s">
        <v>230</v>
      </c>
      <c r="B342" s="172">
        <v>49.1</v>
      </c>
      <c r="C342" s="172">
        <v>56.4</v>
      </c>
      <c r="D342" s="172">
        <v>44.3</v>
      </c>
      <c r="E342" s="172">
        <v>142.80000000000001</v>
      </c>
      <c r="F342" s="172">
        <v>81.900000000000006</v>
      </c>
      <c r="G342" s="172">
        <v>0</v>
      </c>
      <c r="H342" s="172">
        <v>0</v>
      </c>
      <c r="I342" s="171"/>
    </row>
    <row r="343" spans="1:9">
      <c r="A343" s="157" t="s">
        <v>231</v>
      </c>
      <c r="B343" s="153">
        <v>49.1</v>
      </c>
      <c r="C343" s="153">
        <v>56.4</v>
      </c>
      <c r="D343" s="153">
        <v>44.3</v>
      </c>
      <c r="E343" s="153">
        <v>142.80000000000001</v>
      </c>
      <c r="F343" s="153">
        <v>81.900000000000006</v>
      </c>
      <c r="G343" s="153" t="s">
        <v>1499</v>
      </c>
      <c r="H343" s="153" t="s">
        <v>1499</v>
      </c>
      <c r="I343" s="153"/>
    </row>
    <row r="344" spans="1:9">
      <c r="A344" s="157"/>
      <c r="B344" s="153"/>
      <c r="C344" s="153"/>
      <c r="D344" s="153"/>
      <c r="E344" s="153"/>
      <c r="F344" s="153"/>
      <c r="G344" s="153"/>
      <c r="H344" s="153"/>
      <c r="I344" s="153"/>
    </row>
    <row r="345" spans="1:9">
      <c r="A345" s="161" t="s">
        <v>232</v>
      </c>
      <c r="B345" s="150">
        <v>0</v>
      </c>
      <c r="C345" s="150">
        <v>0</v>
      </c>
      <c r="D345" s="150">
        <v>0</v>
      </c>
      <c r="E345" s="150">
        <v>0</v>
      </c>
      <c r="F345" s="150">
        <v>0</v>
      </c>
      <c r="G345" s="150">
        <v>0</v>
      </c>
      <c r="H345" s="150">
        <v>103.1</v>
      </c>
      <c r="I345" s="150"/>
    </row>
    <row r="346" spans="1:9">
      <c r="A346" s="157"/>
      <c r="B346" s="153"/>
      <c r="C346" s="153"/>
      <c r="D346" s="153"/>
      <c r="E346" s="153"/>
      <c r="F346" s="153"/>
      <c r="G346" s="153"/>
      <c r="H346" s="153"/>
      <c r="I346" s="153"/>
    </row>
    <row r="347" spans="1:9">
      <c r="A347" s="161" t="s">
        <v>233</v>
      </c>
      <c r="B347" s="150">
        <v>0</v>
      </c>
      <c r="C347" s="150">
        <v>0</v>
      </c>
      <c r="D347" s="150">
        <v>0</v>
      </c>
      <c r="E347" s="150">
        <v>0</v>
      </c>
      <c r="F347" s="150">
        <v>0</v>
      </c>
      <c r="G347" s="150">
        <v>0</v>
      </c>
      <c r="H347" s="150">
        <v>103.1</v>
      </c>
      <c r="I347" s="150"/>
    </row>
    <row r="348" spans="1:9">
      <c r="A348" s="157" t="s">
        <v>234</v>
      </c>
      <c r="B348" s="153"/>
      <c r="C348" s="153"/>
      <c r="D348" s="153" t="s">
        <v>1499</v>
      </c>
      <c r="E348" s="153" t="s">
        <v>1499</v>
      </c>
      <c r="F348" s="153" t="s">
        <v>1499</v>
      </c>
      <c r="G348" s="153" t="s">
        <v>1499</v>
      </c>
      <c r="H348" s="153">
        <v>46.3</v>
      </c>
      <c r="I348" s="153"/>
    </row>
    <row r="349" spans="1:9">
      <c r="A349" s="157" t="s">
        <v>156</v>
      </c>
      <c r="B349" s="153"/>
      <c r="C349" s="153"/>
      <c r="D349" s="153" t="s">
        <v>1499</v>
      </c>
      <c r="E349" s="153" t="s">
        <v>1499</v>
      </c>
      <c r="F349" s="153" t="s">
        <v>1499</v>
      </c>
      <c r="G349" s="153" t="s">
        <v>1499</v>
      </c>
      <c r="H349" s="153">
        <v>56.8</v>
      </c>
      <c r="I349" s="153"/>
    </row>
    <row r="350" spans="1:9">
      <c r="A350" s="157"/>
      <c r="B350" s="153"/>
      <c r="C350" s="153"/>
      <c r="D350" s="153"/>
      <c r="E350" s="153"/>
      <c r="F350" s="153"/>
      <c r="G350" s="153"/>
      <c r="H350" s="153"/>
      <c r="I350" s="153"/>
    </row>
    <row r="351" spans="1:9">
      <c r="A351" s="161" t="s">
        <v>235</v>
      </c>
      <c r="B351" s="150">
        <v>0</v>
      </c>
      <c r="C351" s="150">
        <v>0</v>
      </c>
      <c r="D351" s="150">
        <v>0</v>
      </c>
      <c r="E351" s="150">
        <v>0</v>
      </c>
      <c r="F351" s="150">
        <v>0</v>
      </c>
      <c r="G351" s="150">
        <v>0</v>
      </c>
      <c r="H351" s="150">
        <v>2315.6999999999998</v>
      </c>
      <c r="I351" s="150"/>
    </row>
    <row r="352" spans="1:9">
      <c r="A352" s="157" t="s">
        <v>236</v>
      </c>
      <c r="B352" s="153"/>
      <c r="C352" s="153"/>
      <c r="D352" s="153" t="s">
        <v>1499</v>
      </c>
      <c r="E352" s="153" t="s">
        <v>1499</v>
      </c>
      <c r="F352" s="153" t="s">
        <v>1499</v>
      </c>
      <c r="G352" s="153" t="s">
        <v>1499</v>
      </c>
      <c r="H352" s="153">
        <v>2315.6999999999998</v>
      </c>
      <c r="I352" s="153"/>
    </row>
    <row r="353" spans="1:16">
      <c r="A353" s="157"/>
      <c r="B353" s="153"/>
      <c r="C353" s="153"/>
      <c r="D353" s="153"/>
      <c r="E353" s="153"/>
      <c r="F353" s="153"/>
      <c r="G353" s="153"/>
      <c r="H353" s="153"/>
      <c r="I353" s="153"/>
    </row>
    <row r="354" spans="1:16" ht="13.5" thickBot="1">
      <c r="A354" s="162" t="s">
        <v>203</v>
      </c>
      <c r="B354" s="163">
        <v>367707.4</v>
      </c>
      <c r="C354" s="163">
        <v>401552.6</v>
      </c>
      <c r="D354" s="163">
        <v>403516</v>
      </c>
      <c r="E354" s="163">
        <v>397725.1</v>
      </c>
      <c r="F354" s="163">
        <v>378730.4</v>
      </c>
      <c r="G354" s="163">
        <v>376924.6</v>
      </c>
      <c r="H354" s="163">
        <v>423183.8</v>
      </c>
      <c r="I354" s="144"/>
    </row>
    <row r="355" spans="1:16">
      <c r="A355" s="138" t="s">
        <v>376</v>
      </c>
      <c r="B355" s="151"/>
      <c r="C355" s="151"/>
      <c r="D355" s="152"/>
      <c r="E355" s="151"/>
      <c r="F355" s="147"/>
      <c r="G355" s="147"/>
      <c r="H355" s="145"/>
      <c r="I355" s="146"/>
      <c r="J355" s="146"/>
      <c r="K355" s="146"/>
      <c r="L355" s="146"/>
      <c r="M355" s="146"/>
      <c r="N355" s="146"/>
      <c r="O355" s="146"/>
      <c r="P355" s="146"/>
    </row>
    <row r="356" spans="1:16">
      <c r="A356" s="160"/>
      <c r="B356" s="151"/>
      <c r="C356" s="151"/>
      <c r="D356" s="152"/>
      <c r="E356" s="151"/>
      <c r="F356" s="147"/>
      <c r="G356" s="147"/>
      <c r="H356" s="145"/>
      <c r="I356" s="146"/>
      <c r="J356" s="146"/>
      <c r="K356" s="146"/>
      <c r="L356" s="146"/>
      <c r="M356" s="146"/>
      <c r="N356" s="146"/>
      <c r="O356" s="146"/>
      <c r="P356" s="146"/>
    </row>
    <row r="357" spans="1:16">
      <c r="A357" s="143"/>
      <c r="B357" s="151"/>
      <c r="C357" s="151"/>
      <c r="D357" s="152"/>
      <c r="E357" s="148"/>
      <c r="F357" s="147"/>
      <c r="G357" s="147"/>
      <c r="H357" s="145"/>
      <c r="I357" s="146"/>
      <c r="J357" s="146"/>
      <c r="K357" s="146"/>
      <c r="L357" s="146"/>
      <c r="M357" s="146"/>
      <c r="N357" s="146"/>
      <c r="O357" s="146"/>
      <c r="P357" s="146"/>
    </row>
    <row r="358" spans="1:16">
      <c r="A358" s="143"/>
      <c r="B358" s="151"/>
      <c r="C358" s="151"/>
      <c r="D358" s="152"/>
      <c r="E358" s="151"/>
      <c r="F358" s="147"/>
      <c r="G358" s="147"/>
      <c r="H358" s="145"/>
      <c r="I358" s="146"/>
      <c r="J358" s="146"/>
      <c r="K358" s="146"/>
      <c r="L358" s="146"/>
      <c r="M358" s="146"/>
      <c r="N358" s="146"/>
      <c r="O358" s="146"/>
      <c r="P358" s="146"/>
    </row>
    <row r="359" spans="1:16">
      <c r="A359" s="143"/>
      <c r="B359" s="151"/>
      <c r="C359" s="151"/>
      <c r="D359" s="152"/>
      <c r="E359" s="152"/>
      <c r="F359" s="151"/>
      <c r="G359" s="151"/>
      <c r="H359" s="145"/>
      <c r="I359" s="146"/>
      <c r="J359" s="146"/>
      <c r="K359" s="146"/>
      <c r="L359" s="146"/>
      <c r="M359" s="146"/>
      <c r="N359" s="146"/>
      <c r="O359" s="146"/>
      <c r="P359" s="146"/>
    </row>
    <row r="360" spans="1:16">
      <c r="A360" s="143"/>
      <c r="B360" s="151"/>
      <c r="C360" s="151"/>
      <c r="D360" s="152"/>
      <c r="E360" s="152"/>
      <c r="F360" s="151"/>
      <c r="G360" s="151"/>
      <c r="H360" s="145"/>
      <c r="I360" s="146"/>
      <c r="J360" s="146"/>
      <c r="K360" s="146"/>
      <c r="L360" s="146"/>
      <c r="M360" s="146"/>
      <c r="N360" s="146"/>
      <c r="O360" s="146"/>
      <c r="P360" s="146"/>
    </row>
    <row r="361" spans="1:16">
      <c r="A361" s="143"/>
      <c r="B361" s="151"/>
      <c r="C361" s="151"/>
      <c r="D361" s="152"/>
      <c r="E361" s="152"/>
      <c r="F361" s="151"/>
      <c r="G361" s="151"/>
      <c r="H361" s="145"/>
      <c r="I361" s="146"/>
      <c r="J361" s="146"/>
      <c r="K361" s="146"/>
      <c r="L361" s="146"/>
      <c r="M361" s="146"/>
      <c r="N361" s="146"/>
      <c r="O361" s="146"/>
      <c r="P361" s="146"/>
    </row>
    <row r="362" spans="1:16">
      <c r="A362" s="157"/>
      <c r="B362" s="151"/>
      <c r="C362" s="151"/>
      <c r="D362" s="152"/>
      <c r="E362" s="152"/>
      <c r="F362" s="151"/>
      <c r="G362" s="151"/>
      <c r="H362" s="145"/>
      <c r="I362" s="146"/>
      <c r="J362" s="146"/>
      <c r="K362" s="146"/>
      <c r="L362" s="146"/>
      <c r="M362" s="146"/>
      <c r="N362" s="146"/>
      <c r="O362" s="146"/>
      <c r="P362" s="146"/>
    </row>
    <row r="363" spans="1:16">
      <c r="A363" s="157"/>
      <c r="B363" s="151"/>
      <c r="C363" s="151"/>
      <c r="D363" s="152"/>
      <c r="E363" s="152"/>
      <c r="F363" s="151"/>
      <c r="G363" s="151"/>
      <c r="H363" s="145"/>
      <c r="I363" s="146"/>
      <c r="J363" s="146"/>
      <c r="K363" s="146"/>
      <c r="L363" s="146"/>
      <c r="M363" s="146"/>
      <c r="N363" s="146"/>
      <c r="O363" s="146"/>
      <c r="P363" s="146"/>
    </row>
    <row r="364" spans="1:16">
      <c r="A364" s="157"/>
      <c r="B364" s="151"/>
      <c r="C364" s="151"/>
      <c r="D364" s="152"/>
      <c r="E364" s="152"/>
      <c r="F364" s="151"/>
      <c r="G364" s="151"/>
      <c r="H364" s="145"/>
      <c r="I364" s="146"/>
      <c r="J364" s="146"/>
      <c r="K364" s="146"/>
      <c r="L364" s="146"/>
      <c r="M364" s="146"/>
      <c r="N364" s="146"/>
      <c r="O364" s="146"/>
      <c r="P364" s="146"/>
    </row>
    <row r="365" spans="1:16">
      <c r="A365" s="157"/>
      <c r="B365" s="151"/>
      <c r="C365" s="151"/>
      <c r="D365" s="152"/>
      <c r="E365" s="152"/>
      <c r="F365" s="151"/>
      <c r="G365" s="151"/>
      <c r="H365" s="145"/>
      <c r="I365" s="146"/>
      <c r="J365" s="146"/>
      <c r="K365" s="146"/>
      <c r="L365" s="146"/>
      <c r="M365" s="146"/>
      <c r="N365" s="146"/>
      <c r="O365" s="146"/>
      <c r="P365" s="146"/>
    </row>
    <row r="366" spans="1:16">
      <c r="A366" s="157"/>
      <c r="B366" s="151"/>
      <c r="C366" s="151"/>
      <c r="D366" s="152"/>
      <c r="E366" s="152"/>
      <c r="F366" s="151"/>
      <c r="G366" s="151"/>
      <c r="H366" s="145"/>
      <c r="I366" s="146"/>
      <c r="J366" s="146"/>
      <c r="K366" s="146"/>
      <c r="L366" s="146"/>
      <c r="M366" s="146"/>
      <c r="N366" s="146"/>
      <c r="O366" s="146"/>
      <c r="P366" s="146"/>
    </row>
    <row r="367" spans="1:16">
      <c r="A367" s="157"/>
      <c r="B367" s="151"/>
      <c r="C367" s="151"/>
      <c r="D367" s="152"/>
      <c r="E367" s="152"/>
      <c r="F367" s="151"/>
      <c r="G367" s="151"/>
      <c r="H367" s="145"/>
      <c r="I367" s="146"/>
      <c r="J367" s="146"/>
      <c r="K367" s="146"/>
      <c r="L367" s="146"/>
      <c r="M367" s="146"/>
      <c r="N367" s="146"/>
      <c r="O367" s="146"/>
      <c r="P367" s="146"/>
    </row>
    <row r="368" spans="1:16">
      <c r="A368" s="157"/>
      <c r="B368" s="151"/>
      <c r="C368" s="151"/>
      <c r="D368" s="152"/>
      <c r="E368" s="152"/>
      <c r="F368" s="151"/>
      <c r="G368" s="151"/>
      <c r="H368" s="145"/>
      <c r="I368" s="146"/>
      <c r="J368" s="146"/>
      <c r="K368" s="146"/>
      <c r="L368" s="146"/>
      <c r="M368" s="146"/>
      <c r="N368" s="146"/>
      <c r="O368" s="146"/>
      <c r="P368" s="146"/>
    </row>
    <row r="369" spans="1:16">
      <c r="A369" s="157"/>
      <c r="B369" s="151"/>
      <c r="C369" s="151"/>
      <c r="D369" s="152"/>
      <c r="E369" s="152"/>
      <c r="F369" s="151"/>
      <c r="G369" s="151"/>
      <c r="H369" s="145"/>
      <c r="I369" s="146"/>
      <c r="J369" s="146"/>
      <c r="K369" s="146"/>
      <c r="L369" s="146"/>
      <c r="M369" s="146"/>
      <c r="N369" s="146"/>
      <c r="O369" s="146"/>
      <c r="P369" s="146"/>
    </row>
    <row r="370" spans="1:16">
      <c r="A370" s="157"/>
      <c r="B370" s="151"/>
      <c r="C370" s="151"/>
      <c r="D370" s="152"/>
      <c r="E370" s="152"/>
      <c r="F370" s="151"/>
      <c r="G370" s="151"/>
      <c r="H370" s="145"/>
      <c r="I370" s="146"/>
      <c r="J370" s="146"/>
      <c r="K370" s="146"/>
      <c r="L370" s="146"/>
      <c r="M370" s="146"/>
      <c r="N370" s="146"/>
      <c r="O370" s="146"/>
      <c r="P370" s="146"/>
    </row>
    <row r="371" spans="1:16">
      <c r="A371" s="157"/>
      <c r="B371" s="151"/>
      <c r="C371" s="151"/>
      <c r="D371" s="152"/>
      <c r="E371" s="152"/>
      <c r="F371" s="151"/>
      <c r="G371" s="151"/>
      <c r="H371" s="145"/>
      <c r="I371" s="146"/>
      <c r="J371" s="146"/>
      <c r="K371" s="146"/>
      <c r="L371" s="146"/>
      <c r="M371" s="146"/>
      <c r="N371" s="146"/>
      <c r="O371" s="146"/>
      <c r="P371" s="146"/>
    </row>
    <row r="372" spans="1:16">
      <c r="A372" s="157"/>
      <c r="B372" s="151"/>
      <c r="C372" s="151"/>
      <c r="D372" s="152"/>
      <c r="E372" s="152"/>
      <c r="F372" s="151"/>
      <c r="G372" s="151"/>
      <c r="H372" s="145"/>
      <c r="I372" s="146"/>
      <c r="J372" s="146"/>
      <c r="K372" s="146"/>
      <c r="L372" s="146"/>
      <c r="M372" s="146"/>
      <c r="N372" s="146"/>
      <c r="O372" s="146"/>
      <c r="P372" s="146"/>
    </row>
    <row r="373" spans="1:16">
      <c r="A373" s="157"/>
      <c r="B373" s="151"/>
      <c r="C373" s="151"/>
      <c r="D373" s="152"/>
      <c r="E373" s="152"/>
      <c r="F373" s="151"/>
      <c r="G373" s="151"/>
      <c r="H373" s="145"/>
      <c r="I373" s="146"/>
      <c r="J373" s="146"/>
      <c r="K373" s="146"/>
      <c r="L373" s="146"/>
      <c r="M373" s="146"/>
      <c r="N373" s="146"/>
      <c r="O373" s="146"/>
      <c r="P373" s="146"/>
    </row>
    <row r="374" spans="1:16">
      <c r="A374" s="157"/>
      <c r="B374" s="151"/>
      <c r="C374" s="151"/>
      <c r="D374" s="152"/>
      <c r="E374" s="152"/>
      <c r="F374" s="151"/>
      <c r="G374" s="151"/>
      <c r="H374" s="145"/>
      <c r="I374" s="146"/>
      <c r="J374" s="146"/>
      <c r="K374" s="146"/>
      <c r="L374" s="146"/>
      <c r="M374" s="146"/>
      <c r="N374" s="146"/>
      <c r="O374" s="146"/>
      <c r="P374" s="146"/>
    </row>
    <row r="375" spans="1:16">
      <c r="A375" s="157"/>
      <c r="B375" s="151"/>
      <c r="C375" s="151"/>
      <c r="D375" s="152"/>
      <c r="E375" s="152"/>
      <c r="F375" s="151"/>
      <c r="G375" s="151"/>
      <c r="H375" s="145"/>
      <c r="I375" s="146"/>
      <c r="J375" s="146"/>
      <c r="K375" s="146"/>
      <c r="L375" s="146"/>
      <c r="M375" s="146"/>
      <c r="N375" s="146"/>
      <c r="O375" s="146"/>
      <c r="P375" s="146"/>
    </row>
    <row r="376" spans="1:16">
      <c r="A376" s="157"/>
      <c r="B376" s="151"/>
      <c r="C376" s="151"/>
      <c r="D376" s="152"/>
      <c r="E376" s="152"/>
      <c r="F376" s="151"/>
      <c r="G376" s="151"/>
      <c r="H376" s="145"/>
      <c r="I376" s="146"/>
      <c r="J376" s="146"/>
      <c r="K376" s="146"/>
      <c r="L376" s="146"/>
      <c r="M376" s="146"/>
      <c r="N376" s="146"/>
      <c r="O376" s="146"/>
      <c r="P376" s="146"/>
    </row>
    <row r="377" spans="1:16">
      <c r="A377" s="157"/>
      <c r="B377" s="151"/>
      <c r="C377" s="151"/>
      <c r="D377" s="152"/>
      <c r="E377" s="152"/>
      <c r="F377" s="151"/>
      <c r="G377" s="151"/>
      <c r="H377" s="145"/>
      <c r="I377" s="146"/>
      <c r="J377" s="146"/>
      <c r="K377" s="146"/>
      <c r="L377" s="146"/>
      <c r="M377" s="146"/>
      <c r="N377" s="146"/>
      <c r="O377" s="146"/>
      <c r="P377" s="146"/>
    </row>
    <row r="378" spans="1:16">
      <c r="A378" s="157"/>
      <c r="B378" s="151"/>
      <c r="C378" s="151"/>
      <c r="D378" s="152"/>
      <c r="E378" s="152"/>
      <c r="F378" s="151"/>
      <c r="G378" s="151"/>
      <c r="H378" s="145"/>
      <c r="I378" s="146"/>
      <c r="J378" s="146"/>
      <c r="K378" s="146"/>
      <c r="L378" s="146"/>
      <c r="M378" s="146"/>
      <c r="N378" s="146"/>
      <c r="O378" s="146"/>
      <c r="P378" s="146"/>
    </row>
    <row r="379" spans="1:16">
      <c r="A379" s="157"/>
      <c r="B379" s="151"/>
      <c r="C379" s="151"/>
      <c r="D379" s="152"/>
      <c r="E379" s="152"/>
      <c r="F379" s="151"/>
      <c r="G379" s="151"/>
      <c r="H379" s="145"/>
      <c r="I379" s="146"/>
      <c r="J379" s="146"/>
      <c r="K379" s="146"/>
      <c r="L379" s="146"/>
      <c r="M379" s="146"/>
      <c r="N379" s="146"/>
      <c r="O379" s="146"/>
      <c r="P379" s="146"/>
    </row>
    <row r="380" spans="1:16">
      <c r="A380" s="157"/>
      <c r="B380" s="151"/>
      <c r="C380" s="151"/>
      <c r="D380" s="152"/>
      <c r="E380" s="152"/>
      <c r="F380" s="151"/>
      <c r="G380" s="151"/>
      <c r="H380" s="145"/>
      <c r="I380" s="146"/>
      <c r="J380" s="146"/>
      <c r="K380" s="146"/>
      <c r="L380" s="146"/>
      <c r="M380" s="146"/>
      <c r="N380" s="146"/>
      <c r="O380" s="146"/>
      <c r="P380" s="146"/>
    </row>
    <row r="381" spans="1:16">
      <c r="A381" s="157"/>
      <c r="B381" s="151"/>
      <c r="C381" s="151"/>
      <c r="D381" s="152"/>
      <c r="E381" s="152"/>
      <c r="F381" s="151"/>
      <c r="G381" s="151"/>
      <c r="H381" s="145"/>
      <c r="I381" s="146"/>
      <c r="J381" s="146"/>
      <c r="K381" s="146"/>
      <c r="L381" s="146"/>
      <c r="M381" s="146"/>
      <c r="N381" s="146"/>
      <c r="O381" s="146"/>
      <c r="P381" s="146"/>
    </row>
    <row r="382" spans="1:16">
      <c r="A382" s="157"/>
      <c r="B382" s="151"/>
      <c r="C382" s="151"/>
      <c r="D382" s="152"/>
      <c r="E382" s="152"/>
      <c r="F382" s="151"/>
      <c r="G382" s="151"/>
      <c r="H382" s="145"/>
      <c r="I382" s="146"/>
      <c r="J382" s="146"/>
      <c r="K382" s="146"/>
      <c r="L382" s="146"/>
      <c r="M382" s="146"/>
      <c r="N382" s="146"/>
      <c r="O382" s="146"/>
      <c r="P382" s="146"/>
    </row>
    <row r="383" spans="1:16">
      <c r="A383" s="142"/>
      <c r="B383" s="151"/>
      <c r="C383" s="151"/>
      <c r="D383" s="152"/>
      <c r="E383" s="152"/>
      <c r="F383" s="151"/>
      <c r="G383" s="151"/>
      <c r="H383" s="145"/>
      <c r="I383" s="146"/>
      <c r="J383" s="146"/>
      <c r="K383" s="146"/>
      <c r="L383" s="146"/>
      <c r="M383" s="146"/>
      <c r="N383" s="146"/>
      <c r="O383" s="146"/>
      <c r="P383" s="146"/>
    </row>
    <row r="384" spans="1:16">
      <c r="A384" s="143"/>
      <c r="B384" s="151"/>
      <c r="C384" s="151"/>
      <c r="D384" s="152"/>
      <c r="E384" s="152"/>
      <c r="F384" s="151"/>
      <c r="G384" s="151"/>
      <c r="H384" s="145"/>
      <c r="I384" s="146"/>
      <c r="J384" s="146"/>
      <c r="K384" s="146"/>
      <c r="L384" s="146"/>
      <c r="M384" s="146"/>
      <c r="N384" s="146"/>
      <c r="O384" s="146"/>
      <c r="P384" s="146"/>
    </row>
    <row r="385" spans="1:16">
      <c r="A385" s="143"/>
      <c r="B385" s="151"/>
      <c r="C385" s="151"/>
      <c r="D385" s="152"/>
      <c r="E385" s="152"/>
      <c r="F385" s="151"/>
      <c r="G385" s="151"/>
      <c r="H385" s="145"/>
      <c r="I385" s="146"/>
      <c r="J385" s="146"/>
      <c r="K385" s="146"/>
      <c r="L385" s="146"/>
      <c r="M385" s="146"/>
      <c r="N385" s="146"/>
      <c r="O385" s="146"/>
      <c r="P385" s="146"/>
    </row>
    <row r="386" spans="1:16">
      <c r="A386" s="143"/>
      <c r="B386" s="151"/>
      <c r="C386" s="151"/>
      <c r="D386" s="152"/>
      <c r="E386" s="152"/>
      <c r="F386" s="151"/>
      <c r="G386" s="151"/>
      <c r="H386" s="145"/>
      <c r="I386" s="146"/>
      <c r="J386" s="146"/>
      <c r="K386" s="146"/>
      <c r="L386" s="146"/>
      <c r="M386" s="146"/>
      <c r="N386" s="146"/>
      <c r="O386" s="146"/>
      <c r="P386" s="146"/>
    </row>
    <row r="387" spans="1:16">
      <c r="A387" s="143"/>
      <c r="B387" s="151"/>
      <c r="C387" s="151"/>
      <c r="D387" s="152"/>
      <c r="E387" s="152"/>
      <c r="F387" s="151"/>
      <c r="G387" s="151"/>
      <c r="H387" s="145"/>
      <c r="I387" s="146"/>
      <c r="J387" s="146"/>
      <c r="K387" s="146"/>
      <c r="L387" s="146"/>
      <c r="M387" s="146"/>
      <c r="N387" s="146"/>
      <c r="O387" s="146"/>
      <c r="P387" s="146"/>
    </row>
    <row r="388" spans="1:16">
      <c r="A388" s="143"/>
      <c r="B388" s="151"/>
      <c r="C388" s="151"/>
      <c r="D388" s="152"/>
      <c r="E388" s="152"/>
      <c r="F388" s="151"/>
      <c r="G388" s="151"/>
      <c r="H388" s="145"/>
      <c r="I388" s="146"/>
      <c r="J388" s="146"/>
      <c r="K388" s="146"/>
      <c r="L388" s="146"/>
      <c r="M388" s="146"/>
      <c r="N388" s="146"/>
      <c r="O388" s="146"/>
      <c r="P388" s="146"/>
    </row>
    <row r="389" spans="1:16">
      <c r="A389" s="143"/>
      <c r="B389" s="151"/>
      <c r="C389" s="151"/>
      <c r="D389" s="152"/>
      <c r="E389" s="152"/>
      <c r="F389" s="151"/>
      <c r="G389" s="151"/>
      <c r="H389" s="145"/>
      <c r="I389" s="146"/>
      <c r="J389" s="146"/>
      <c r="K389" s="146"/>
      <c r="L389" s="146"/>
      <c r="M389" s="146"/>
      <c r="N389" s="146"/>
      <c r="O389" s="146"/>
      <c r="P389" s="146"/>
    </row>
    <row r="390" spans="1:16">
      <c r="A390" s="143"/>
      <c r="B390" s="151"/>
      <c r="C390" s="151"/>
      <c r="D390" s="152"/>
      <c r="E390" s="152"/>
      <c r="F390" s="151"/>
      <c r="G390" s="151"/>
      <c r="H390" s="145"/>
      <c r="I390" s="146"/>
      <c r="J390" s="146"/>
      <c r="K390" s="146"/>
      <c r="L390" s="146"/>
      <c r="M390" s="146"/>
      <c r="N390" s="146"/>
      <c r="O390" s="146"/>
      <c r="P390" s="146"/>
    </row>
    <row r="391" spans="1:16">
      <c r="A391" s="143"/>
      <c r="B391" s="151"/>
      <c r="C391" s="151"/>
      <c r="D391" s="152"/>
      <c r="E391" s="152"/>
      <c r="F391" s="151"/>
      <c r="G391" s="151"/>
      <c r="H391" s="145"/>
      <c r="I391" s="146"/>
      <c r="J391" s="146"/>
      <c r="K391" s="146"/>
      <c r="L391" s="146"/>
      <c r="M391" s="146"/>
      <c r="N391" s="146"/>
      <c r="O391" s="146"/>
      <c r="P391" s="146"/>
    </row>
    <row r="392" spans="1:16">
      <c r="A392" s="143"/>
      <c r="B392" s="151"/>
      <c r="C392" s="151"/>
      <c r="D392" s="152"/>
      <c r="E392" s="152"/>
      <c r="F392" s="151"/>
      <c r="G392" s="151"/>
      <c r="H392" s="145"/>
      <c r="I392" s="146"/>
      <c r="J392" s="146"/>
      <c r="K392" s="146"/>
      <c r="L392" s="146"/>
      <c r="M392" s="146"/>
      <c r="N392" s="146"/>
      <c r="O392" s="146"/>
      <c r="P392" s="146"/>
    </row>
    <row r="393" spans="1:16">
      <c r="A393" s="157"/>
      <c r="B393" s="151"/>
      <c r="C393" s="151"/>
      <c r="D393" s="152"/>
      <c r="E393" s="152"/>
      <c r="F393" s="151"/>
      <c r="G393" s="151"/>
      <c r="H393" s="145"/>
      <c r="I393" s="146"/>
      <c r="J393" s="146"/>
      <c r="K393" s="146"/>
      <c r="L393" s="146"/>
      <c r="M393" s="146"/>
      <c r="N393" s="146"/>
      <c r="O393" s="146"/>
      <c r="P393" s="146"/>
    </row>
    <row r="394" spans="1:16">
      <c r="A394" s="143"/>
      <c r="B394" s="151"/>
      <c r="C394" s="151"/>
      <c r="D394" s="152"/>
      <c r="E394" s="152"/>
      <c r="F394" s="151"/>
      <c r="G394" s="151"/>
      <c r="H394" s="145"/>
      <c r="I394" s="146"/>
      <c r="J394" s="146"/>
      <c r="K394" s="146"/>
      <c r="L394" s="146"/>
      <c r="M394" s="146"/>
      <c r="N394" s="146"/>
      <c r="O394" s="146"/>
      <c r="P394" s="146"/>
    </row>
    <row r="395" spans="1:16">
      <c r="A395" s="143"/>
      <c r="B395" s="151"/>
      <c r="C395" s="151"/>
      <c r="D395" s="152"/>
      <c r="E395" s="152"/>
      <c r="F395" s="151"/>
      <c r="G395" s="151"/>
      <c r="H395" s="145"/>
      <c r="I395" s="146"/>
      <c r="J395" s="146"/>
      <c r="K395" s="146"/>
      <c r="L395" s="146"/>
      <c r="M395" s="146"/>
      <c r="N395" s="146"/>
      <c r="O395" s="146"/>
      <c r="P395" s="146"/>
    </row>
    <row r="396" spans="1:16">
      <c r="A396" s="143"/>
      <c r="B396" s="151"/>
      <c r="C396" s="151"/>
      <c r="D396" s="152"/>
      <c r="E396" s="152"/>
      <c r="F396" s="151"/>
      <c r="G396" s="151"/>
      <c r="H396" s="145"/>
      <c r="I396" s="146"/>
      <c r="J396" s="146"/>
      <c r="K396" s="146"/>
      <c r="L396" s="146"/>
      <c r="M396" s="146"/>
      <c r="N396" s="146"/>
      <c r="O396" s="146"/>
      <c r="P396" s="146"/>
    </row>
    <row r="397" spans="1:16">
      <c r="A397" s="157"/>
      <c r="B397" s="151"/>
      <c r="C397" s="151"/>
      <c r="D397" s="152"/>
      <c r="E397" s="152"/>
      <c r="F397" s="151"/>
      <c r="G397" s="151"/>
      <c r="H397" s="145"/>
      <c r="I397" s="146"/>
      <c r="J397" s="146"/>
      <c r="K397" s="146"/>
      <c r="L397" s="146"/>
      <c r="M397" s="146"/>
      <c r="N397" s="146"/>
      <c r="O397" s="146"/>
      <c r="P397" s="146"/>
    </row>
    <row r="398" spans="1:16">
      <c r="A398" s="157"/>
      <c r="B398" s="151"/>
      <c r="C398" s="151"/>
      <c r="D398" s="152"/>
      <c r="E398" s="152"/>
      <c r="F398" s="151"/>
      <c r="G398" s="151"/>
      <c r="H398" s="145"/>
      <c r="I398" s="146"/>
      <c r="J398" s="146"/>
      <c r="K398" s="146"/>
      <c r="L398" s="146"/>
      <c r="M398" s="146"/>
      <c r="N398" s="146"/>
      <c r="O398" s="146"/>
      <c r="P398" s="146"/>
    </row>
  </sheetData>
  <phoneticPr fontId="15" type="noConversion"/>
  <pageMargins left="0.75" right="0.75" top="1" bottom="1" header="0.5" footer="0.5"/>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workbookViewId="0">
      <selection activeCell="F49" sqref="F49"/>
    </sheetView>
  </sheetViews>
  <sheetFormatPr defaultColWidth="10.6640625" defaultRowHeight="11.25"/>
  <cols>
    <col min="1" max="1" width="47.5" style="261" customWidth="1"/>
    <col min="2" max="3" width="9.33203125" style="269" customWidth="1"/>
    <col min="4" max="5" width="9.33203125" style="270" customWidth="1"/>
    <col min="6" max="7" width="9.33203125" style="269" customWidth="1"/>
    <col min="8" max="8" width="9.33203125" style="265" customWidth="1"/>
    <col min="9" max="9" width="9.33203125" style="266" customWidth="1"/>
    <col min="10" max="12" width="10.5" style="266" bestFit="1" customWidth="1"/>
    <col min="13" max="16384" width="10.6640625" style="266"/>
  </cols>
  <sheetData>
    <row r="1" spans="1:12" s="260" customFormat="1" ht="12">
      <c r="A1" s="237" t="s">
        <v>1792</v>
      </c>
      <c r="B1" s="240"/>
      <c r="C1" s="240"/>
      <c r="D1" s="272"/>
      <c r="E1" s="272"/>
      <c r="F1" s="272"/>
      <c r="G1" s="272"/>
      <c r="H1" s="272"/>
      <c r="I1" s="272"/>
      <c r="J1" s="272"/>
      <c r="K1" s="272"/>
      <c r="L1" s="272"/>
    </row>
    <row r="2" spans="1:12" s="462" customFormat="1" ht="12">
      <c r="A2" s="237" t="s">
        <v>1713</v>
      </c>
      <c r="B2" s="240"/>
      <c r="C2" s="240"/>
      <c r="D2" s="272"/>
      <c r="E2" s="272"/>
      <c r="F2" s="272"/>
      <c r="G2" s="272"/>
      <c r="H2" s="272"/>
      <c r="I2" s="272"/>
      <c r="J2" s="272"/>
      <c r="K2" s="272"/>
      <c r="L2" s="272"/>
    </row>
    <row r="3" spans="1:12" s="260" customFormat="1">
      <c r="A3" s="240" t="s">
        <v>1714</v>
      </c>
      <c r="B3" s="240"/>
      <c r="C3" s="240"/>
      <c r="D3" s="272"/>
      <c r="E3" s="272"/>
      <c r="F3" s="272"/>
      <c r="G3" s="272"/>
      <c r="H3" s="272"/>
      <c r="I3" s="272"/>
      <c r="J3" s="272"/>
      <c r="K3" s="272"/>
      <c r="L3" s="272"/>
    </row>
    <row r="4" spans="1:12" s="260" customFormat="1" ht="12" thickBot="1">
      <c r="A4" s="240"/>
      <c r="B4" s="240"/>
      <c r="C4" s="240"/>
      <c r="D4" s="272"/>
      <c r="E4" s="272"/>
      <c r="F4" s="272"/>
      <c r="G4" s="272"/>
      <c r="H4" s="272"/>
      <c r="I4" s="272"/>
      <c r="J4" s="272"/>
      <c r="K4" s="272"/>
      <c r="L4" s="272"/>
    </row>
    <row r="5" spans="1:12" s="260" customFormat="1" ht="12" thickBot="1">
      <c r="A5" s="245" t="s">
        <v>958</v>
      </c>
      <c r="B5" s="258">
        <v>1995</v>
      </c>
      <c r="C5" s="258">
        <v>1996</v>
      </c>
      <c r="D5" s="258">
        <v>1997</v>
      </c>
      <c r="E5" s="258">
        <v>1998</v>
      </c>
      <c r="F5" s="258">
        <v>1999</v>
      </c>
      <c r="G5" s="258">
        <v>2000</v>
      </c>
      <c r="H5" s="258">
        <v>2001</v>
      </c>
      <c r="I5" s="258">
        <v>2002</v>
      </c>
      <c r="J5" s="258">
        <v>2003</v>
      </c>
      <c r="K5" s="258">
        <v>2004</v>
      </c>
      <c r="L5" s="258">
        <v>2005</v>
      </c>
    </row>
    <row r="6" spans="1:12">
      <c r="B6" s="262"/>
      <c r="C6" s="262"/>
      <c r="D6" s="263"/>
      <c r="E6" s="263"/>
      <c r="F6" s="264"/>
      <c r="G6" s="264"/>
    </row>
    <row r="7" spans="1:12">
      <c r="A7" s="268" t="s">
        <v>970</v>
      </c>
      <c r="B7" s="264">
        <v>421220.66299999994</v>
      </c>
      <c r="C7" s="264">
        <v>549065.62716696982</v>
      </c>
      <c r="D7" s="264">
        <v>575292</v>
      </c>
      <c r="E7" s="264">
        <v>639692.08402827999</v>
      </c>
      <c r="F7" s="264">
        <v>672410.85001679999</v>
      </c>
      <c r="G7" s="264">
        <v>672830.89109510009</v>
      </c>
      <c r="H7" s="264">
        <v>684602.97806329001</v>
      </c>
      <c r="I7" s="264">
        <v>659388.67307572998</v>
      </c>
      <c r="J7" s="264">
        <v>608462.29216189985</v>
      </c>
      <c r="K7" s="264">
        <v>637001.30298907997</v>
      </c>
      <c r="L7" s="264">
        <v>682267.98333567998</v>
      </c>
    </row>
    <row r="8" spans="1:12">
      <c r="A8" s="282"/>
      <c r="E8" s="269"/>
    </row>
    <row r="9" spans="1:12">
      <c r="A9" s="282" t="s">
        <v>971</v>
      </c>
      <c r="B9" s="264">
        <v>92713.714000000007</v>
      </c>
      <c r="C9" s="264">
        <v>90151.582879489753</v>
      </c>
      <c r="D9" s="264">
        <v>109760</v>
      </c>
      <c r="E9" s="264">
        <v>114234.9129889</v>
      </c>
      <c r="F9" s="264">
        <v>136126.10627550012</v>
      </c>
      <c r="G9" s="264">
        <v>127513.98842510006</v>
      </c>
      <c r="H9" s="264">
        <v>134874.04629013999</v>
      </c>
      <c r="I9" s="264">
        <v>65102.99371694</v>
      </c>
      <c r="J9" s="264">
        <v>29725.921861899995</v>
      </c>
      <c r="K9" s="264">
        <v>45706.233965080006</v>
      </c>
      <c r="L9" s="264">
        <v>85257.172216099993</v>
      </c>
    </row>
    <row r="10" spans="1:12">
      <c r="A10" s="261" t="s">
        <v>972</v>
      </c>
      <c r="B10" s="271">
        <v>32929.904999999999</v>
      </c>
      <c r="C10" s="265">
        <v>19478.63636316975</v>
      </c>
      <c r="D10" s="265">
        <v>41765</v>
      </c>
      <c r="E10" s="269">
        <v>39831.221987000004</v>
      </c>
      <c r="F10" s="269">
        <v>61675.42708490006</v>
      </c>
      <c r="G10" s="269">
        <v>50324.031833500099</v>
      </c>
      <c r="H10" s="272">
        <v>33189.663341790001</v>
      </c>
      <c r="I10" s="267">
        <v>-17169.415420289999</v>
      </c>
      <c r="J10" s="267">
        <v>-38091.557200000003</v>
      </c>
      <c r="K10" s="267">
        <v>-26861.03155</v>
      </c>
      <c r="L10" s="267">
        <v>-17125.610649999999</v>
      </c>
    </row>
    <row r="11" spans="1:12">
      <c r="A11" s="261" t="s">
        <v>973</v>
      </c>
      <c r="B11" s="271">
        <v>51508.792999999998</v>
      </c>
      <c r="C11" s="265">
        <v>60781.597181999998</v>
      </c>
      <c r="D11" s="265">
        <v>63318</v>
      </c>
      <c r="E11" s="269">
        <v>68322.443950000001</v>
      </c>
      <c r="F11" s="269">
        <v>68734.228786500069</v>
      </c>
      <c r="G11" s="269">
        <v>71661.414137999978</v>
      </c>
      <c r="H11" s="272">
        <v>94062.433057000002</v>
      </c>
      <c r="I11" s="267">
        <v>76517.925759999998</v>
      </c>
      <c r="J11" s="267">
        <v>61670.689907</v>
      </c>
      <c r="K11" s="267">
        <v>67169.897836000004</v>
      </c>
      <c r="L11" s="267">
        <v>95832.863232999996</v>
      </c>
    </row>
    <row r="12" spans="1:12">
      <c r="A12" s="261" t="s">
        <v>974</v>
      </c>
      <c r="B12" s="271">
        <v>1014.2760000000001</v>
      </c>
      <c r="C12" s="265">
        <v>1060.56798</v>
      </c>
      <c r="D12" s="265">
        <v>910</v>
      </c>
      <c r="E12" s="269">
        <v>802.24070299999994</v>
      </c>
      <c r="F12" s="269">
        <v>1003.752403</v>
      </c>
      <c r="G12" s="269">
        <v>903.92862400000001</v>
      </c>
      <c r="H12" s="272">
        <v>1064.6568649999999</v>
      </c>
      <c r="I12" s="267">
        <v>1176.2289060000001</v>
      </c>
      <c r="J12" s="267">
        <v>1234.836634</v>
      </c>
      <c r="K12" s="267">
        <v>1350.2054290000001</v>
      </c>
      <c r="L12" s="267">
        <v>1036.5982630000001</v>
      </c>
    </row>
    <row r="13" spans="1:12">
      <c r="A13" s="261" t="s">
        <v>975</v>
      </c>
      <c r="B13" s="271">
        <v>3198.902</v>
      </c>
      <c r="C13" s="265">
        <v>4997.7601233200003</v>
      </c>
      <c r="D13" s="265">
        <v>1026</v>
      </c>
      <c r="E13" s="269">
        <v>2131.5580998999999</v>
      </c>
      <c r="F13" s="269">
        <v>1695.1400320999999</v>
      </c>
      <c r="G13" s="269">
        <v>1341.9317336000001</v>
      </c>
      <c r="H13" s="272">
        <v>2856.7270213500001</v>
      </c>
      <c r="I13" s="267">
        <v>1500.8488392300001</v>
      </c>
      <c r="J13" s="267">
        <v>1889.1847978999999</v>
      </c>
      <c r="K13" s="267">
        <v>357.49346408000002</v>
      </c>
      <c r="L13" s="267">
        <v>1492.1316561000001</v>
      </c>
    </row>
    <row r="14" spans="1:12">
      <c r="A14" s="261" t="s">
        <v>976</v>
      </c>
      <c r="B14" s="271">
        <v>838.76700000000005</v>
      </c>
      <c r="C14" s="265">
        <v>1565.8463610000001</v>
      </c>
      <c r="D14" s="265">
        <v>1663</v>
      </c>
      <c r="E14" s="269">
        <v>1964.758785</v>
      </c>
      <c r="F14" s="269">
        <v>1816.5205930000002</v>
      </c>
      <c r="G14" s="269">
        <v>2083.3734810000001</v>
      </c>
      <c r="H14" s="272">
        <v>2502.6234370000002</v>
      </c>
      <c r="I14" s="267">
        <v>1928.72163</v>
      </c>
      <c r="J14" s="267">
        <v>1838.4317040000001</v>
      </c>
      <c r="K14" s="267">
        <v>2479.8184999999999</v>
      </c>
      <c r="L14" s="267">
        <v>2818.8871079999999</v>
      </c>
    </row>
    <row r="15" spans="1:12">
      <c r="A15" s="261" t="s">
        <v>977</v>
      </c>
      <c r="B15" s="271">
        <v>3223.0709999999999</v>
      </c>
      <c r="C15" s="265">
        <v>2267.1748700000003</v>
      </c>
      <c r="D15" s="265">
        <v>1078</v>
      </c>
      <c r="E15" s="269">
        <v>1182.6894639999998</v>
      </c>
      <c r="F15" s="269">
        <v>1201.037376</v>
      </c>
      <c r="G15" s="269">
        <v>1199.3086149999999</v>
      </c>
      <c r="H15" s="272">
        <v>1197.9425679999999</v>
      </c>
      <c r="I15" s="267">
        <v>1148.684002</v>
      </c>
      <c r="J15" s="267">
        <v>1184.3360190000001</v>
      </c>
      <c r="K15" s="267">
        <v>1209.8502860000001</v>
      </c>
      <c r="L15" s="267">
        <v>1202.302606</v>
      </c>
    </row>
    <row r="16" spans="1:12">
      <c r="F16" s="267"/>
      <c r="G16" s="267"/>
    </row>
    <row r="17" spans="1:12">
      <c r="A17" s="268" t="s">
        <v>978</v>
      </c>
      <c r="B17" s="264">
        <v>118613.81999999999</v>
      </c>
      <c r="C17" s="264">
        <v>183588.41750638996</v>
      </c>
      <c r="D17" s="264">
        <v>193408</v>
      </c>
      <c r="E17" s="264">
        <v>210857.41859000002</v>
      </c>
      <c r="F17" s="264">
        <v>232756.75212430005</v>
      </c>
      <c r="G17" s="264">
        <v>225899.85097850001</v>
      </c>
      <c r="H17" s="264">
        <v>238766.43077091</v>
      </c>
      <c r="I17" s="264">
        <v>249824.58093955999</v>
      </c>
      <c r="J17" s="264">
        <v>259036.86900000001</v>
      </c>
      <c r="K17" s="264">
        <v>266040.31550300005</v>
      </c>
      <c r="L17" s="264">
        <v>271415.49710900005</v>
      </c>
    </row>
    <row r="18" spans="1:12">
      <c r="A18" s="261" t="s">
        <v>979</v>
      </c>
      <c r="B18" s="271">
        <v>39059.169000000002</v>
      </c>
      <c r="C18" s="265">
        <v>42228.076255009997</v>
      </c>
      <c r="D18" s="265">
        <v>43673</v>
      </c>
      <c r="E18" s="269">
        <v>53153.576719999997</v>
      </c>
      <c r="F18" s="267">
        <v>5926.3556468000006</v>
      </c>
      <c r="G18" s="267">
        <v>1403.1504562000002</v>
      </c>
      <c r="H18" s="275" t="s">
        <v>1229</v>
      </c>
      <c r="I18" s="269" t="s">
        <v>1229</v>
      </c>
      <c r="J18" s="269" t="s">
        <v>1229</v>
      </c>
      <c r="K18" s="269" t="s">
        <v>1229</v>
      </c>
      <c r="L18" s="269" t="s">
        <v>1229</v>
      </c>
    </row>
    <row r="19" spans="1:12">
      <c r="A19" s="260" t="s">
        <v>892</v>
      </c>
      <c r="B19" s="269" t="s">
        <v>1229</v>
      </c>
      <c r="C19" s="269" t="s">
        <v>1229</v>
      </c>
      <c r="D19" s="269" t="s">
        <v>1229</v>
      </c>
      <c r="E19" s="269" t="s">
        <v>1229</v>
      </c>
      <c r="F19" s="265">
        <v>12730.329981600002</v>
      </c>
      <c r="G19" s="267">
        <v>14789.671833900002</v>
      </c>
      <c r="H19" s="272">
        <v>16108.84647619</v>
      </c>
      <c r="I19" s="267">
        <v>16743.412146539999</v>
      </c>
      <c r="J19" s="267">
        <v>17114.9342</v>
      </c>
      <c r="K19" s="267">
        <v>17576.571747000002</v>
      </c>
      <c r="L19" s="267">
        <v>18164.11247</v>
      </c>
    </row>
    <row r="20" spans="1:12">
      <c r="A20" s="261" t="s">
        <v>893</v>
      </c>
      <c r="B20" s="271">
        <v>20532.295999999998</v>
      </c>
      <c r="C20" s="265">
        <v>39137.325396119995</v>
      </c>
      <c r="D20" s="265">
        <v>31668</v>
      </c>
      <c r="E20" s="269">
        <v>59334.599314000006</v>
      </c>
      <c r="F20" s="265">
        <v>62212.792889900004</v>
      </c>
      <c r="G20" s="267">
        <v>74574.363131400009</v>
      </c>
      <c r="H20" s="272">
        <v>82546.050734499993</v>
      </c>
      <c r="I20" s="267">
        <v>86020.456113680004</v>
      </c>
      <c r="J20" s="267">
        <v>108278.08839999999</v>
      </c>
      <c r="K20" s="267">
        <v>113083.12796</v>
      </c>
      <c r="L20" s="267">
        <v>108961.30130000001</v>
      </c>
    </row>
    <row r="21" spans="1:12">
      <c r="A21" s="261" t="s">
        <v>894</v>
      </c>
      <c r="B21" s="269" t="s">
        <v>1229</v>
      </c>
      <c r="C21" s="269" t="s">
        <v>1229</v>
      </c>
      <c r="D21" s="269" t="s">
        <v>1229</v>
      </c>
      <c r="E21" s="269" t="s">
        <v>1229</v>
      </c>
      <c r="F21" s="265">
        <v>16475.988387099998</v>
      </c>
      <c r="G21" s="267">
        <v>19140.524524599998</v>
      </c>
      <c r="H21" s="272">
        <v>20836.533865820002</v>
      </c>
      <c r="I21" s="267">
        <v>21633.639472179999</v>
      </c>
      <c r="J21" s="267">
        <v>22142.658800000001</v>
      </c>
      <c r="K21" s="267">
        <v>22737.882572999999</v>
      </c>
      <c r="L21" s="267">
        <v>23503.666112999999</v>
      </c>
    </row>
    <row r="22" spans="1:12">
      <c r="A22" s="261" t="s">
        <v>895</v>
      </c>
      <c r="B22" s="271">
        <v>-0.54799999999999993</v>
      </c>
      <c r="C22" s="265">
        <v>0.29253250000000003</v>
      </c>
      <c r="D22" s="265">
        <v>-1</v>
      </c>
      <c r="E22" s="269">
        <v>-0.428589</v>
      </c>
      <c r="F22" s="269" t="s">
        <v>1229</v>
      </c>
      <c r="G22" s="269" t="s">
        <v>1229</v>
      </c>
      <c r="H22" s="269" t="s">
        <v>1229</v>
      </c>
      <c r="I22" s="269" t="s">
        <v>1229</v>
      </c>
      <c r="J22" s="274" t="s">
        <v>1229</v>
      </c>
      <c r="K22" s="274" t="s">
        <v>1229</v>
      </c>
      <c r="L22" s="274" t="s">
        <v>1229</v>
      </c>
    </row>
    <row r="23" spans="1:12">
      <c r="A23" s="261" t="s">
        <v>896</v>
      </c>
      <c r="B23" s="269" t="s">
        <v>1229</v>
      </c>
      <c r="C23" s="265">
        <v>1.593762E-2</v>
      </c>
      <c r="D23" s="269" t="s">
        <v>1229</v>
      </c>
      <c r="E23" s="269" t="s">
        <v>1229</v>
      </c>
      <c r="F23" s="269" t="s">
        <v>1229</v>
      </c>
      <c r="G23" s="269" t="s">
        <v>1229</v>
      </c>
      <c r="H23" s="269" t="s">
        <v>1229</v>
      </c>
      <c r="I23" s="269" t="s">
        <v>1229</v>
      </c>
      <c r="J23" s="274" t="s">
        <v>1229</v>
      </c>
      <c r="K23" s="274" t="s">
        <v>1229</v>
      </c>
      <c r="L23" s="274" t="s">
        <v>1229</v>
      </c>
    </row>
    <row r="24" spans="1:12">
      <c r="A24" s="260" t="s">
        <v>897</v>
      </c>
      <c r="B24" s="271">
        <v>5540.8729999999996</v>
      </c>
      <c r="C24" s="265">
        <v>6564.3150021499905</v>
      </c>
      <c r="D24" s="265">
        <v>6893</v>
      </c>
      <c r="E24" s="269">
        <v>3930.4310065999998</v>
      </c>
      <c r="F24" s="265">
        <v>3957.6478579000086</v>
      </c>
      <c r="G24" s="265">
        <v>8008.8239920999968</v>
      </c>
      <c r="H24" s="272">
        <v>10733.182296749999</v>
      </c>
      <c r="I24" s="267">
        <v>12103.922539679999</v>
      </c>
      <c r="J24" s="267">
        <v>12876.647000000001</v>
      </c>
      <c r="K24" s="267">
        <v>12781.179705</v>
      </c>
      <c r="L24" s="267">
        <v>11663.521263000001</v>
      </c>
    </row>
    <row r="25" spans="1:12">
      <c r="A25" s="276" t="s">
        <v>898</v>
      </c>
      <c r="B25" s="274" t="s">
        <v>1499</v>
      </c>
      <c r="C25" s="265">
        <v>-3.0000112019479276E-8</v>
      </c>
      <c r="D25" s="265">
        <v>0</v>
      </c>
      <c r="E25" s="269">
        <v>1.4744168199999999</v>
      </c>
      <c r="F25" s="265">
        <v>179.85554449999998</v>
      </c>
      <c r="G25" s="265">
        <v>40.9275892</v>
      </c>
      <c r="H25" s="275" t="s">
        <v>1229</v>
      </c>
      <c r="I25" s="269" t="s">
        <v>1229</v>
      </c>
      <c r="J25" s="269" t="s">
        <v>1229</v>
      </c>
      <c r="K25" s="269" t="s">
        <v>1229</v>
      </c>
      <c r="L25" s="269" t="s">
        <v>1229</v>
      </c>
    </row>
    <row r="26" spans="1:12">
      <c r="A26" s="276" t="s">
        <v>899</v>
      </c>
      <c r="B26" s="271">
        <v>2180.7060000000001</v>
      </c>
      <c r="C26" s="265">
        <v>3391.1066513899996</v>
      </c>
      <c r="D26" s="265">
        <v>4182</v>
      </c>
      <c r="E26" s="269">
        <v>4843.3897591000004</v>
      </c>
      <c r="F26" s="265">
        <v>11579.119733200001</v>
      </c>
      <c r="G26" s="265">
        <v>12289.514716500002</v>
      </c>
      <c r="H26" s="272">
        <v>13076.67480572</v>
      </c>
      <c r="I26" s="267">
        <v>13619.54850185</v>
      </c>
      <c r="J26" s="267">
        <v>7664.5369000000001</v>
      </c>
      <c r="K26" s="267">
        <v>7246.3828640000002</v>
      </c>
      <c r="L26" s="267">
        <v>7265.8879070000003</v>
      </c>
    </row>
    <row r="27" spans="1:12">
      <c r="A27" s="276" t="s">
        <v>900</v>
      </c>
      <c r="B27" s="271">
        <v>13352.281999999999</v>
      </c>
      <c r="C27" s="265">
        <v>35210.272427609998</v>
      </c>
      <c r="D27" s="265">
        <v>36674</v>
      </c>
      <c r="E27" s="269">
        <v>38547.259942000004</v>
      </c>
      <c r="F27" s="265">
        <v>42875.6786268</v>
      </c>
      <c r="G27" s="265">
        <v>45866.075237499994</v>
      </c>
      <c r="H27" s="272">
        <v>48977.276455129999</v>
      </c>
      <c r="I27" s="267">
        <v>50909.468846080003</v>
      </c>
      <c r="J27" s="267">
        <v>32905.053599999999</v>
      </c>
      <c r="K27" s="267">
        <v>31967.678813999999</v>
      </c>
      <c r="L27" s="267">
        <v>39808.552215000003</v>
      </c>
    </row>
    <row r="28" spans="1:12">
      <c r="A28" s="276" t="s">
        <v>901</v>
      </c>
      <c r="B28" s="271">
        <v>572.70000000000005</v>
      </c>
      <c r="C28" s="265">
        <v>1196.1178925700001</v>
      </c>
      <c r="D28" s="265">
        <v>1237</v>
      </c>
      <c r="E28" s="269">
        <v>1312.0120205999999</v>
      </c>
      <c r="F28" s="265">
        <v>116.63477689999999</v>
      </c>
      <c r="G28" s="265">
        <v>-2.9074929000000003</v>
      </c>
      <c r="H28" s="269" t="s">
        <v>1229</v>
      </c>
      <c r="I28" s="269" t="s">
        <v>1229</v>
      </c>
      <c r="J28" s="269" t="s">
        <v>1229</v>
      </c>
      <c r="K28" s="269" t="s">
        <v>1229</v>
      </c>
      <c r="L28" s="269" t="s">
        <v>1229</v>
      </c>
    </row>
    <row r="29" spans="1:12">
      <c r="A29" s="276" t="s">
        <v>902</v>
      </c>
      <c r="B29" s="271">
        <v>673.8</v>
      </c>
      <c r="C29" s="265">
        <v>1727.1875000499999</v>
      </c>
      <c r="D29" s="265">
        <v>1819</v>
      </c>
      <c r="E29" s="269">
        <v>1929.4862355</v>
      </c>
      <c r="F29" s="265">
        <v>171.59098799999998</v>
      </c>
      <c r="G29" s="265">
        <v>-4.2297911000000008</v>
      </c>
      <c r="H29" s="269" t="s">
        <v>1229</v>
      </c>
      <c r="I29" s="269" t="s">
        <v>1229</v>
      </c>
      <c r="J29" s="269" t="s">
        <v>1229</v>
      </c>
      <c r="K29" s="269" t="s">
        <v>1229</v>
      </c>
      <c r="L29" s="269" t="s">
        <v>1229</v>
      </c>
    </row>
    <row r="30" spans="1:12">
      <c r="A30" s="276" t="s">
        <v>903</v>
      </c>
      <c r="B30" s="277" t="s">
        <v>1499</v>
      </c>
      <c r="C30" s="269" t="s">
        <v>1229</v>
      </c>
      <c r="D30" s="269" t="s">
        <v>1229</v>
      </c>
      <c r="E30" s="269" t="s">
        <v>1229</v>
      </c>
      <c r="F30" s="269" t="s">
        <v>1229</v>
      </c>
      <c r="G30" s="269" t="s">
        <v>1229</v>
      </c>
      <c r="H30" s="269" t="s">
        <v>1229</v>
      </c>
      <c r="I30" s="269" t="s">
        <v>1229</v>
      </c>
      <c r="J30" s="269" t="s">
        <v>1229</v>
      </c>
      <c r="K30" s="269" t="s">
        <v>1229</v>
      </c>
      <c r="L30" s="269" t="s">
        <v>1229</v>
      </c>
    </row>
    <row r="31" spans="1:12">
      <c r="A31" s="276" t="s">
        <v>904</v>
      </c>
      <c r="B31" s="271">
        <v>20289.5</v>
      </c>
      <c r="C31" s="265">
        <v>29440.25</v>
      </c>
      <c r="D31" s="265">
        <v>38461</v>
      </c>
      <c r="E31" s="269">
        <v>2630</v>
      </c>
      <c r="F31" s="265">
        <v>57.762163000000001</v>
      </c>
      <c r="G31" s="269" t="s">
        <v>1229</v>
      </c>
      <c r="H31" s="269" t="s">
        <v>1229</v>
      </c>
      <c r="I31" s="269" t="s">
        <v>1229</v>
      </c>
      <c r="J31" s="275" t="s">
        <v>1229</v>
      </c>
      <c r="K31" s="275" t="s">
        <v>1229</v>
      </c>
      <c r="L31" s="275" t="s">
        <v>1229</v>
      </c>
    </row>
    <row r="32" spans="1:12">
      <c r="A32" s="276" t="s">
        <v>905</v>
      </c>
      <c r="B32" s="269" t="s">
        <v>1229</v>
      </c>
      <c r="C32" s="269" t="s">
        <v>1229</v>
      </c>
      <c r="D32" s="269" t="s">
        <v>1229</v>
      </c>
      <c r="E32" s="269" t="s">
        <v>1229</v>
      </c>
      <c r="F32" s="269" t="s">
        <v>1229</v>
      </c>
      <c r="G32" s="269" t="s">
        <v>1229</v>
      </c>
      <c r="H32" s="269" t="s">
        <v>1229</v>
      </c>
      <c r="I32" s="269" t="s">
        <v>1229</v>
      </c>
      <c r="J32" s="269" t="s">
        <v>1229</v>
      </c>
      <c r="K32" s="269" t="s">
        <v>1229</v>
      </c>
      <c r="L32" s="270" t="s">
        <v>1229</v>
      </c>
    </row>
    <row r="33" spans="1:12">
      <c r="A33" s="276" t="s">
        <v>809</v>
      </c>
      <c r="D33" s="265"/>
      <c r="E33" s="265"/>
      <c r="F33" s="265"/>
      <c r="G33" s="265"/>
    </row>
    <row r="34" spans="1:12">
      <c r="A34" s="276" t="s">
        <v>377</v>
      </c>
      <c r="B34" s="271">
        <v>293.84899999999999</v>
      </c>
      <c r="C34" s="269" t="s">
        <v>1229</v>
      </c>
      <c r="D34" s="269" t="s">
        <v>1229</v>
      </c>
      <c r="E34" s="269" t="s">
        <v>1229</v>
      </c>
      <c r="F34" s="269" t="s">
        <v>1229</v>
      </c>
      <c r="G34" s="269" t="s">
        <v>1229</v>
      </c>
      <c r="H34" s="269" t="s">
        <v>1229</v>
      </c>
      <c r="I34" s="269" t="s">
        <v>1229</v>
      </c>
      <c r="J34" s="275"/>
      <c r="K34" s="275"/>
    </row>
    <row r="35" spans="1:12">
      <c r="A35" s="261" t="s">
        <v>947</v>
      </c>
      <c r="B35" s="271">
        <v>8929.7639999999992</v>
      </c>
      <c r="C35" s="265">
        <v>10553.0554534</v>
      </c>
      <c r="D35" s="265">
        <v>18470</v>
      </c>
      <c r="E35" s="269">
        <v>33579.869079000004</v>
      </c>
      <c r="F35" s="265">
        <v>63827.8703351</v>
      </c>
      <c r="G35" s="265">
        <v>31385.955346900002</v>
      </c>
      <c r="H35" s="272">
        <v>27123.582173800001</v>
      </c>
      <c r="I35" s="267">
        <v>26598.857404629998</v>
      </c>
      <c r="J35" s="267">
        <v>32029.178</v>
      </c>
      <c r="K35" s="267">
        <v>32294.874741</v>
      </c>
      <c r="L35" s="269">
        <v>32917.890762000003</v>
      </c>
    </row>
    <row r="36" spans="1:12">
      <c r="A36" s="261" t="s">
        <v>948</v>
      </c>
      <c r="B36" s="271">
        <v>7748.4290000000001</v>
      </c>
      <c r="C36" s="265">
        <v>13581.689149</v>
      </c>
      <c r="D36" s="265">
        <v>10595</v>
      </c>
      <c r="E36" s="269">
        <v>12154.588839</v>
      </c>
      <c r="F36" s="265">
        <v>13460.206569200001</v>
      </c>
      <c r="G36" s="265">
        <v>17034.4142207</v>
      </c>
      <c r="H36" s="272">
        <v>19364.283963000002</v>
      </c>
      <c r="I36" s="267">
        <v>22195.275914999998</v>
      </c>
      <c r="J36" s="267">
        <v>26025.772099999998</v>
      </c>
      <c r="K36" s="267">
        <v>28352.617098999999</v>
      </c>
      <c r="L36" s="267">
        <v>27750.394262999998</v>
      </c>
    </row>
    <row r="37" spans="1:12">
      <c r="A37" s="261" t="s">
        <v>93</v>
      </c>
      <c r="B37" s="277" t="s">
        <v>1229</v>
      </c>
      <c r="C37" s="275" t="s">
        <v>1229</v>
      </c>
      <c r="D37" s="275" t="s">
        <v>1229</v>
      </c>
      <c r="E37" s="269" t="s">
        <v>1229</v>
      </c>
      <c r="F37" s="275" t="s">
        <v>1229</v>
      </c>
      <c r="G37" s="275" t="s">
        <v>1229</v>
      </c>
      <c r="H37" s="314" t="s">
        <v>1229</v>
      </c>
      <c r="I37" s="269" t="s">
        <v>1229</v>
      </c>
      <c r="J37" s="269" t="s">
        <v>1229</v>
      </c>
      <c r="K37" s="269" t="s">
        <v>1229</v>
      </c>
      <c r="L37" s="275">
        <v>1380.1708160000001</v>
      </c>
    </row>
    <row r="38" spans="1:12">
      <c r="A38" s="261" t="s">
        <v>949</v>
      </c>
      <c r="B38" s="271">
        <v>-559</v>
      </c>
      <c r="C38" s="265">
        <v>558.7133089999877</v>
      </c>
      <c r="D38" s="265">
        <v>-263</v>
      </c>
      <c r="E38" s="269">
        <v>-558.84015269999998</v>
      </c>
      <c r="F38" s="265">
        <v>-815.08137569997189</v>
      </c>
      <c r="G38" s="265">
        <v>1373.567213500007</v>
      </c>
      <c r="H38" s="314" t="s">
        <v>1229</v>
      </c>
      <c r="I38" s="269" t="s">
        <v>1229</v>
      </c>
      <c r="J38" s="269" t="s">
        <v>1229</v>
      </c>
      <c r="K38" s="269" t="s">
        <v>1229</v>
      </c>
      <c r="L38" s="270" t="s">
        <v>1229</v>
      </c>
    </row>
    <row r="39" spans="1:12">
      <c r="F39" s="267"/>
      <c r="G39" s="267"/>
      <c r="L39" s="267"/>
    </row>
    <row r="40" spans="1:12">
      <c r="A40" s="282" t="s">
        <v>950</v>
      </c>
      <c r="B40" s="264">
        <v>21687.994999999999</v>
      </c>
      <c r="C40" s="264">
        <v>22100.116028969998</v>
      </c>
      <c r="D40" s="264">
        <v>23267</v>
      </c>
      <c r="E40" s="264">
        <v>35132.877154029993</v>
      </c>
      <c r="F40" s="264">
        <v>39209.059126499997</v>
      </c>
      <c r="G40" s="264">
        <v>38266.441498599997</v>
      </c>
      <c r="H40" s="264">
        <v>39863.197006309994</v>
      </c>
      <c r="I40" s="264">
        <v>40242.56913371</v>
      </c>
      <c r="J40" s="264">
        <v>36132.859900000003</v>
      </c>
      <c r="K40" s="264">
        <v>37126.061220000003</v>
      </c>
      <c r="L40" s="264">
        <v>37780.342944100004</v>
      </c>
    </row>
    <row r="41" spans="1:12">
      <c r="A41" s="261" t="s">
        <v>951</v>
      </c>
      <c r="B41" s="271">
        <v>8.0000000000000002E-3</v>
      </c>
      <c r="C41" s="269" t="s">
        <v>1229</v>
      </c>
      <c r="D41" s="270" t="s">
        <v>1499</v>
      </c>
      <c r="E41" s="270" t="s">
        <v>1499</v>
      </c>
      <c r="F41" s="270" t="s">
        <v>1499</v>
      </c>
      <c r="G41" s="270" t="s">
        <v>1499</v>
      </c>
      <c r="H41" s="275" t="s">
        <v>1499</v>
      </c>
      <c r="I41" s="275" t="s">
        <v>1499</v>
      </c>
      <c r="J41" s="275" t="s">
        <v>1229</v>
      </c>
      <c r="K41" s="275" t="s">
        <v>1229</v>
      </c>
      <c r="L41" s="275" t="s">
        <v>1229</v>
      </c>
    </row>
    <row r="42" spans="1:12">
      <c r="A42" s="278" t="s">
        <v>952</v>
      </c>
      <c r="B42" s="271">
        <v>14419.423000000001</v>
      </c>
      <c r="C42" s="265">
        <v>14928.287119000001</v>
      </c>
      <c r="D42" s="279">
        <v>15264</v>
      </c>
      <c r="E42" s="269">
        <v>24028.214594999998</v>
      </c>
      <c r="F42" s="265">
        <v>27110.002089999998</v>
      </c>
      <c r="G42" s="265">
        <v>24812.542238000002</v>
      </c>
      <c r="H42" s="272">
        <v>23330.097737</v>
      </c>
      <c r="I42" s="267">
        <v>23264.003346000001</v>
      </c>
      <c r="J42" s="267">
        <v>21197.224999999999</v>
      </c>
      <c r="K42" s="267">
        <v>23522.195002</v>
      </c>
      <c r="L42" s="267">
        <v>23963.725027</v>
      </c>
    </row>
    <row r="43" spans="1:12">
      <c r="A43" s="261" t="s">
        <v>953</v>
      </c>
      <c r="B43" s="271">
        <v>2784.895</v>
      </c>
      <c r="C43" s="265">
        <v>3072.0724829999999</v>
      </c>
      <c r="D43" s="279">
        <v>3503</v>
      </c>
      <c r="E43" s="269">
        <v>5033.5766569999996</v>
      </c>
      <c r="F43" s="265">
        <v>5328.7970310000001</v>
      </c>
      <c r="G43" s="265">
        <v>5893.0640270000004</v>
      </c>
      <c r="H43" s="272">
        <v>8427.8942139999999</v>
      </c>
      <c r="I43" s="267">
        <v>8042.6282350000001</v>
      </c>
      <c r="J43" s="267">
        <v>6311.7312000000002</v>
      </c>
      <c r="K43" s="267">
        <v>3818.3648050000002</v>
      </c>
      <c r="L43" s="267">
        <v>4766.6769770000001</v>
      </c>
    </row>
    <row r="44" spans="1:12">
      <c r="A44" s="261" t="s">
        <v>954</v>
      </c>
      <c r="B44" s="271">
        <v>70.245999999999995</v>
      </c>
      <c r="C44" s="265">
        <v>71.658967000000004</v>
      </c>
      <c r="D44" s="279">
        <v>81</v>
      </c>
      <c r="E44" s="269">
        <v>113.66575900000001</v>
      </c>
      <c r="F44" s="265">
        <v>124.44090200000001</v>
      </c>
      <c r="G44" s="265">
        <v>133.881101</v>
      </c>
      <c r="H44" s="272">
        <v>161.65705199999999</v>
      </c>
      <c r="I44" s="267">
        <v>180.09549999999999</v>
      </c>
      <c r="J44" s="267">
        <v>181.30510000000001</v>
      </c>
      <c r="K44" s="267">
        <v>115.922676</v>
      </c>
      <c r="L44" s="267">
        <v>130.262169</v>
      </c>
    </row>
    <row r="45" spans="1:12">
      <c r="A45" s="261" t="s">
        <v>955</v>
      </c>
      <c r="B45" s="271">
        <v>1084.5150000000001</v>
      </c>
      <c r="C45" s="265">
        <v>1165.0686399399997</v>
      </c>
      <c r="D45" s="279">
        <v>1573</v>
      </c>
      <c r="E45" s="269">
        <v>1754.6460367999998</v>
      </c>
      <c r="F45" s="265">
        <v>1877.7903503000002</v>
      </c>
      <c r="G45" s="265">
        <v>2088.4474888</v>
      </c>
      <c r="H45" s="272">
        <v>2199.2034039300001</v>
      </c>
      <c r="I45" s="267">
        <v>2643.2318909999999</v>
      </c>
      <c r="J45" s="267">
        <v>2175.3683999999998</v>
      </c>
      <c r="K45" s="267">
        <v>2073.5989709999999</v>
      </c>
      <c r="L45" s="267">
        <v>869.56173460000002</v>
      </c>
    </row>
    <row r="46" spans="1:12">
      <c r="A46" s="261" t="s">
        <v>100</v>
      </c>
      <c r="B46" s="271">
        <v>302.87900000000002</v>
      </c>
      <c r="C46" s="265">
        <v>197.88282711000002</v>
      </c>
      <c r="D46" s="279">
        <v>222</v>
      </c>
      <c r="E46" s="269">
        <v>249.88138873</v>
      </c>
      <c r="F46" s="265">
        <v>271.78867439999993</v>
      </c>
      <c r="G46" s="265">
        <v>460.44848960000002</v>
      </c>
      <c r="H46" s="272">
        <v>376.87969036999999</v>
      </c>
      <c r="I46" s="267">
        <v>332.12257820999997</v>
      </c>
      <c r="J46" s="267">
        <v>314.65879999999999</v>
      </c>
      <c r="K46" s="267">
        <v>477.69234799999998</v>
      </c>
      <c r="L46" s="267">
        <v>222.519904</v>
      </c>
    </row>
    <row r="47" spans="1:12">
      <c r="A47" s="261" t="s">
        <v>101</v>
      </c>
      <c r="B47" s="271">
        <v>3026.029</v>
      </c>
      <c r="C47" s="265">
        <v>2665.14599292</v>
      </c>
      <c r="D47" s="279">
        <v>2624</v>
      </c>
      <c r="E47" s="269">
        <v>3952.8927174999999</v>
      </c>
      <c r="F47" s="265">
        <v>4496.2400788000004</v>
      </c>
      <c r="G47" s="265">
        <v>4878.0581542</v>
      </c>
      <c r="H47" s="272">
        <v>5367.4649090100002</v>
      </c>
      <c r="I47" s="267">
        <v>5780.4875835000003</v>
      </c>
      <c r="J47" s="267">
        <v>5952.5713999999998</v>
      </c>
      <c r="K47" s="267">
        <v>7118.2874179999999</v>
      </c>
      <c r="L47" s="267">
        <v>7827.5971325</v>
      </c>
    </row>
    <row r="48" spans="1:12">
      <c r="F48" s="267"/>
      <c r="G48" s="267"/>
    </row>
    <row r="49" spans="1:12">
      <c r="A49" s="282" t="s">
        <v>102</v>
      </c>
      <c r="B49" s="264">
        <v>188205.13399999999</v>
      </c>
      <c r="C49" s="264">
        <v>232259.45957612008</v>
      </c>
      <c r="D49" s="264">
        <v>228196</v>
      </c>
      <c r="E49" s="264">
        <v>243130.42824735001</v>
      </c>
      <c r="F49" s="264">
        <v>252290.71316719995</v>
      </c>
      <c r="G49" s="264">
        <v>265491.95259899995</v>
      </c>
      <c r="H49" s="264">
        <v>271515.49223099998</v>
      </c>
      <c r="I49" s="264">
        <v>290124.87035587005</v>
      </c>
      <c r="J49" s="264">
        <v>298365.46899999992</v>
      </c>
      <c r="K49" s="264">
        <v>308875.94693799992</v>
      </c>
      <c r="L49" s="264">
        <v>335883.5635448799</v>
      </c>
    </row>
    <row r="50" spans="1:12">
      <c r="A50" s="261" t="s">
        <v>1193</v>
      </c>
      <c r="B50" s="271">
        <v>115742.019</v>
      </c>
      <c r="C50" s="265">
        <v>153846.47670582007</v>
      </c>
      <c r="D50" s="279">
        <v>150283</v>
      </c>
      <c r="E50" s="269">
        <v>162607.36456000002</v>
      </c>
      <c r="F50" s="265">
        <v>170597.47647119995</v>
      </c>
      <c r="G50" s="265">
        <v>182877.23826550003</v>
      </c>
      <c r="H50" s="272">
        <v>184786.70630264</v>
      </c>
      <c r="I50" s="267">
        <v>198316.46801827001</v>
      </c>
      <c r="J50" s="267">
        <v>205073.24170000001</v>
      </c>
      <c r="K50" s="267">
        <v>213240.42585699999</v>
      </c>
      <c r="L50" s="267">
        <v>228467.92147999999</v>
      </c>
    </row>
    <row r="51" spans="1:12">
      <c r="A51" s="261" t="s">
        <v>1194</v>
      </c>
      <c r="B51" s="271">
        <v>1711.3579999999999</v>
      </c>
      <c r="C51" s="265">
        <v>-1.6243179999999999</v>
      </c>
      <c r="D51" s="314" t="s">
        <v>1229</v>
      </c>
      <c r="E51" s="314" t="s">
        <v>1229</v>
      </c>
      <c r="F51" s="314" t="s">
        <v>1229</v>
      </c>
      <c r="G51" s="314" t="s">
        <v>1229</v>
      </c>
      <c r="H51" s="314" t="s">
        <v>1229</v>
      </c>
      <c r="I51" s="314" t="s">
        <v>1229</v>
      </c>
      <c r="J51" s="270" t="s">
        <v>1229</v>
      </c>
      <c r="K51" s="270" t="s">
        <v>1229</v>
      </c>
    </row>
    <row r="52" spans="1:12">
      <c r="A52" s="261" t="s">
        <v>1195</v>
      </c>
      <c r="B52" s="271">
        <v>-0.42699999999999999</v>
      </c>
      <c r="C52" s="314" t="s">
        <v>1229</v>
      </c>
      <c r="D52" s="314" t="s">
        <v>1229</v>
      </c>
      <c r="E52" s="314" t="s">
        <v>1229</v>
      </c>
      <c r="F52" s="314" t="s">
        <v>1229</v>
      </c>
      <c r="G52" s="314" t="s">
        <v>1229</v>
      </c>
      <c r="H52" s="314" t="s">
        <v>1229</v>
      </c>
      <c r="I52" s="314" t="s">
        <v>1229</v>
      </c>
      <c r="J52" s="270" t="s">
        <v>1229</v>
      </c>
      <c r="K52" s="270" t="s">
        <v>1229</v>
      </c>
    </row>
    <row r="53" spans="1:12">
      <c r="A53" s="261" t="s">
        <v>1196</v>
      </c>
      <c r="B53" s="271">
        <v>1752.221</v>
      </c>
      <c r="C53" s="265">
        <v>1400.407322</v>
      </c>
      <c r="D53" s="279">
        <v>207</v>
      </c>
      <c r="E53" s="269">
        <v>269.91015911</v>
      </c>
      <c r="F53" s="265">
        <v>229.69805499999998</v>
      </c>
      <c r="G53" s="265">
        <v>258.41608300000001</v>
      </c>
      <c r="H53" s="272">
        <v>-22.63879558</v>
      </c>
      <c r="I53" s="267">
        <v>15.212427849999999</v>
      </c>
      <c r="J53" s="267">
        <v>-0.1222</v>
      </c>
      <c r="K53" s="267">
        <v>-4.1391999999999998E-2</v>
      </c>
      <c r="L53" s="269">
        <v>2.1481300000000001</v>
      </c>
    </row>
    <row r="54" spans="1:12">
      <c r="A54" s="261" t="s">
        <v>1197</v>
      </c>
      <c r="B54" s="271">
        <v>7245.7469999999994</v>
      </c>
      <c r="C54" s="265">
        <v>7083.9522980000002</v>
      </c>
      <c r="D54" s="279">
        <v>7695</v>
      </c>
      <c r="E54" s="269">
        <v>7506.5483119999999</v>
      </c>
      <c r="F54" s="265">
        <v>7395.6370600000009</v>
      </c>
      <c r="G54" s="265">
        <v>7791.7554400000008</v>
      </c>
      <c r="H54" s="272">
        <v>8042.6599919999999</v>
      </c>
      <c r="I54" s="267">
        <v>8366.4071800000002</v>
      </c>
      <c r="J54" s="267">
        <v>8241.5830000000005</v>
      </c>
      <c r="K54" s="267">
        <v>8181.4695650000003</v>
      </c>
      <c r="L54" s="269">
        <v>8056.4747154999995</v>
      </c>
    </row>
    <row r="55" spans="1:12">
      <c r="A55" s="261" t="s">
        <v>1198</v>
      </c>
      <c r="B55" s="271">
        <v>5483.1849999999995</v>
      </c>
      <c r="C55" s="265">
        <v>4906.6920580000005</v>
      </c>
      <c r="D55" s="279">
        <v>4686</v>
      </c>
      <c r="E55" s="269">
        <v>9962.0700730999997</v>
      </c>
      <c r="F55" s="265">
        <v>10598.661040999999</v>
      </c>
      <c r="G55" s="265">
        <v>10895.068922</v>
      </c>
      <c r="H55" s="272">
        <v>11003.929843</v>
      </c>
      <c r="I55" s="267">
        <v>11084.919714</v>
      </c>
      <c r="J55" s="267">
        <v>10957.093199999999</v>
      </c>
      <c r="K55" s="267">
        <v>10247.428807</v>
      </c>
      <c r="L55" s="267">
        <v>10064.258522</v>
      </c>
    </row>
    <row r="56" spans="1:12">
      <c r="A56" s="261" t="s">
        <v>1199</v>
      </c>
      <c r="B56" s="271">
        <v>2901.1059999999998</v>
      </c>
      <c r="C56" s="265">
        <v>3232.6637910000004</v>
      </c>
      <c r="D56" s="279">
        <v>3094</v>
      </c>
      <c r="E56" s="270" t="s">
        <v>1499</v>
      </c>
      <c r="F56" s="270" t="s">
        <v>1499</v>
      </c>
      <c r="G56" s="270" t="s">
        <v>1499</v>
      </c>
      <c r="H56" s="270" t="s">
        <v>1499</v>
      </c>
      <c r="I56" s="270" t="s">
        <v>1499</v>
      </c>
      <c r="J56" s="270" t="s">
        <v>1229</v>
      </c>
      <c r="K56" s="270" t="s">
        <v>1229</v>
      </c>
      <c r="L56" s="269" t="s">
        <v>1229</v>
      </c>
    </row>
    <row r="57" spans="1:12">
      <c r="A57" s="261" t="s">
        <v>1200</v>
      </c>
      <c r="B57" s="271">
        <v>3162.1320000000001</v>
      </c>
      <c r="C57" s="265">
        <v>3406.478865</v>
      </c>
      <c r="D57" s="279">
        <v>2079</v>
      </c>
      <c r="E57" s="270" t="s">
        <v>1499</v>
      </c>
      <c r="F57" s="270" t="s">
        <v>1499</v>
      </c>
      <c r="G57" s="270" t="s">
        <v>1499</v>
      </c>
      <c r="H57" s="270" t="s">
        <v>1499</v>
      </c>
      <c r="I57" s="270" t="s">
        <v>1499</v>
      </c>
      <c r="J57" s="270" t="s">
        <v>1229</v>
      </c>
      <c r="K57" s="270" t="s">
        <v>1229</v>
      </c>
      <c r="L57" s="269" t="s">
        <v>1229</v>
      </c>
    </row>
    <row r="58" spans="1:12">
      <c r="A58" s="261" t="s">
        <v>1201</v>
      </c>
      <c r="B58" s="271">
        <v>38679.667000000001</v>
      </c>
      <c r="C58" s="265">
        <v>45635.716142999998</v>
      </c>
      <c r="D58" s="279">
        <v>46945</v>
      </c>
      <c r="E58" s="269">
        <v>49810.648828000005</v>
      </c>
      <c r="F58" s="265">
        <v>50487.715014000001</v>
      </c>
      <c r="G58" s="265">
        <v>49388.484737999999</v>
      </c>
      <c r="H58" s="272">
        <v>51929.830894999999</v>
      </c>
      <c r="I58" s="267">
        <v>56507.243993999997</v>
      </c>
      <c r="J58" s="267">
        <v>58086.476900000001</v>
      </c>
      <c r="K58" s="267">
        <v>60515.080995999997</v>
      </c>
      <c r="L58" s="269">
        <v>69519.673039000001</v>
      </c>
    </row>
    <row r="59" spans="1:12">
      <c r="A59" s="276" t="s">
        <v>1202</v>
      </c>
      <c r="B59" s="271">
        <v>133.45500000000001</v>
      </c>
      <c r="C59" s="265">
        <v>973.57568400000014</v>
      </c>
      <c r="D59" s="279">
        <v>1478</v>
      </c>
      <c r="E59" s="269">
        <v>1537.2182539999999</v>
      </c>
      <c r="F59" s="265">
        <v>1552.7111179999999</v>
      </c>
      <c r="G59" s="265">
        <v>1725.8064820000002</v>
      </c>
      <c r="H59" s="272">
        <v>1840.7060939999999</v>
      </c>
      <c r="I59" s="267">
        <v>1796.3938760000001</v>
      </c>
      <c r="J59" s="267">
        <v>1824.1774</v>
      </c>
      <c r="K59" s="267">
        <v>1859.834376</v>
      </c>
      <c r="L59" s="269">
        <v>1803.541176</v>
      </c>
    </row>
    <row r="60" spans="1:12">
      <c r="A60" s="276" t="s">
        <v>1246</v>
      </c>
      <c r="B60" s="269" t="s">
        <v>1499</v>
      </c>
      <c r="C60" s="269" t="s">
        <v>1499</v>
      </c>
      <c r="D60" s="270" t="s">
        <v>1499</v>
      </c>
      <c r="E60" s="270" t="s">
        <v>1499</v>
      </c>
      <c r="F60" s="270" t="s">
        <v>1499</v>
      </c>
      <c r="G60" s="270" t="s">
        <v>1499</v>
      </c>
      <c r="H60" s="270" t="s">
        <v>1499</v>
      </c>
      <c r="I60" s="270" t="s">
        <v>1499</v>
      </c>
      <c r="J60" s="270"/>
      <c r="K60" s="270"/>
      <c r="L60" s="269"/>
    </row>
    <row r="61" spans="1:12">
      <c r="A61" s="261" t="s">
        <v>1247</v>
      </c>
      <c r="B61" s="271">
        <v>907.625</v>
      </c>
      <c r="C61" s="265">
        <v>1423.430104</v>
      </c>
      <c r="D61" s="279">
        <v>194</v>
      </c>
      <c r="E61" s="269">
        <v>-0.38139699999999999</v>
      </c>
      <c r="F61" s="270" t="s">
        <v>1499</v>
      </c>
      <c r="G61" s="270" t="s">
        <v>1499</v>
      </c>
      <c r="H61" s="270" t="s">
        <v>1499</v>
      </c>
      <c r="I61" s="270" t="s">
        <v>1499</v>
      </c>
      <c r="J61" s="270" t="s">
        <v>1229</v>
      </c>
      <c r="K61" s="270" t="s">
        <v>1229</v>
      </c>
      <c r="L61" s="270" t="s">
        <v>1229</v>
      </c>
    </row>
    <row r="62" spans="1:12">
      <c r="A62" s="261" t="s">
        <v>1248</v>
      </c>
      <c r="B62" s="271">
        <v>68.537000000000006</v>
      </c>
      <c r="C62" s="265">
        <v>64.058868000000004</v>
      </c>
      <c r="D62" s="279">
        <v>58</v>
      </c>
      <c r="E62" s="269">
        <v>58.384205999999999</v>
      </c>
      <c r="F62" s="265">
        <v>65.151261000000005</v>
      </c>
      <c r="G62" s="265">
        <v>56.195802</v>
      </c>
      <c r="H62" s="272">
        <v>54.258138000000002</v>
      </c>
      <c r="I62" s="267">
        <v>60.097436999999999</v>
      </c>
      <c r="J62" s="267">
        <v>55.958199999999998</v>
      </c>
      <c r="K62" s="267">
        <v>52.916440000000001</v>
      </c>
      <c r="L62" s="267">
        <v>55.274588999999999</v>
      </c>
    </row>
    <row r="63" spans="1:12">
      <c r="A63" s="276" t="s">
        <v>1249</v>
      </c>
      <c r="B63" s="269" t="s">
        <v>1499</v>
      </c>
      <c r="C63" s="269" t="s">
        <v>1499</v>
      </c>
      <c r="D63" s="269" t="s">
        <v>1499</v>
      </c>
      <c r="E63" s="269" t="s">
        <v>1229</v>
      </c>
      <c r="F63" s="269" t="s">
        <v>1229</v>
      </c>
      <c r="G63" s="265">
        <v>816.28374900000006</v>
      </c>
      <c r="H63" s="272">
        <v>944.9932</v>
      </c>
      <c r="I63" s="267">
        <v>906.57369700000004</v>
      </c>
      <c r="J63" s="267">
        <v>902.43510000000003</v>
      </c>
      <c r="K63" s="267">
        <v>765.15280499999994</v>
      </c>
      <c r="L63" s="269">
        <v>635.14615700000002</v>
      </c>
    </row>
    <row r="64" spans="1:12">
      <c r="A64" s="276" t="s">
        <v>1274</v>
      </c>
      <c r="B64" s="269" t="s">
        <v>1499</v>
      </c>
      <c r="C64" s="269" t="s">
        <v>1499</v>
      </c>
      <c r="D64" s="269" t="s">
        <v>1499</v>
      </c>
      <c r="E64" s="269" t="s">
        <v>1499</v>
      </c>
      <c r="F64" s="269" t="s">
        <v>1499</v>
      </c>
      <c r="G64" s="269" t="s">
        <v>1499</v>
      </c>
      <c r="H64" s="272">
        <v>427.54586301000001</v>
      </c>
      <c r="I64" s="267">
        <v>365.89754529999999</v>
      </c>
      <c r="J64" s="267">
        <v>436.57010000000002</v>
      </c>
      <c r="K64" s="267">
        <v>369.52714800000001</v>
      </c>
      <c r="L64" s="269">
        <v>405.68371955999999</v>
      </c>
    </row>
    <row r="65" spans="1:12">
      <c r="A65" s="261" t="s">
        <v>1275</v>
      </c>
      <c r="B65" s="271">
        <v>214.501</v>
      </c>
      <c r="C65" s="265">
        <v>39.338527999999997</v>
      </c>
      <c r="D65" s="279">
        <v>90</v>
      </c>
      <c r="E65" s="269">
        <v>115</v>
      </c>
      <c r="F65" s="265">
        <v>122.2</v>
      </c>
      <c r="G65" s="265">
        <v>50</v>
      </c>
      <c r="H65" s="272">
        <v>80</v>
      </c>
      <c r="I65" s="267">
        <v>80</v>
      </c>
      <c r="J65" s="267"/>
      <c r="K65" s="267"/>
      <c r="L65" s="267"/>
    </row>
    <row r="66" spans="1:12">
      <c r="A66" s="261" t="s">
        <v>1276</v>
      </c>
      <c r="B66" s="269" t="s">
        <v>1499</v>
      </c>
      <c r="C66" s="269" t="s">
        <v>1499</v>
      </c>
      <c r="D66" s="270" t="s">
        <v>1499</v>
      </c>
      <c r="E66" s="270" t="s">
        <v>1499</v>
      </c>
      <c r="F66" s="270" t="s">
        <v>1499</v>
      </c>
      <c r="G66" s="270" t="s">
        <v>1499</v>
      </c>
      <c r="H66" s="270" t="s">
        <v>1499</v>
      </c>
      <c r="I66" s="270" t="s">
        <v>1499</v>
      </c>
      <c r="J66" s="270" t="s">
        <v>1229</v>
      </c>
      <c r="K66" s="270" t="s">
        <v>1229</v>
      </c>
      <c r="L66" s="270" t="s">
        <v>1229</v>
      </c>
    </row>
    <row r="67" spans="1:12">
      <c r="A67" s="261" t="s">
        <v>1277</v>
      </c>
      <c r="B67" s="271">
        <v>1071.52</v>
      </c>
      <c r="C67" s="265">
        <v>1103.39411</v>
      </c>
      <c r="D67" s="279">
        <v>1163</v>
      </c>
      <c r="E67" s="269">
        <v>1191.8417339999999</v>
      </c>
      <c r="F67" s="265">
        <v>1037.3938310000001</v>
      </c>
      <c r="G67" s="265">
        <v>1090.6713580000001</v>
      </c>
      <c r="H67" s="272">
        <v>955.48148600000002</v>
      </c>
      <c r="I67" s="267">
        <v>822.99816499999997</v>
      </c>
      <c r="J67" s="267">
        <v>753.08799999999997</v>
      </c>
      <c r="K67" s="267">
        <v>821.41447400000004</v>
      </c>
      <c r="L67" s="267">
        <v>875.20286199999998</v>
      </c>
    </row>
    <row r="68" spans="1:12">
      <c r="A68" s="261" t="s">
        <v>1278</v>
      </c>
      <c r="B68" s="271">
        <v>56.863</v>
      </c>
      <c r="C68" s="265">
        <v>48.09778</v>
      </c>
      <c r="D68" s="279">
        <v>44</v>
      </c>
      <c r="E68" s="269">
        <v>62.586970999999998</v>
      </c>
      <c r="F68" s="265">
        <v>102.932515</v>
      </c>
      <c r="G68" s="265">
        <v>96.216608000000008</v>
      </c>
      <c r="H68" s="272">
        <v>39.584167000000001</v>
      </c>
      <c r="I68" s="267">
        <v>35.793170000000003</v>
      </c>
      <c r="J68" s="267">
        <v>32.590600000000002</v>
      </c>
      <c r="K68" s="267">
        <v>30.776004</v>
      </c>
      <c r="L68" s="267">
        <v>29.525463999999999</v>
      </c>
    </row>
    <row r="69" spans="1:12">
      <c r="A69" s="261" t="s">
        <v>1279</v>
      </c>
      <c r="B69" s="271">
        <v>4049.08</v>
      </c>
      <c r="C69" s="265">
        <v>5471.1090178999993</v>
      </c>
      <c r="D69" s="279">
        <v>6242</v>
      </c>
      <c r="E69" s="269">
        <v>6103.1434363999997</v>
      </c>
      <c r="F69" s="265">
        <v>6420.7590040000005</v>
      </c>
      <c r="G69" s="265">
        <v>6867.5240970000004</v>
      </c>
      <c r="H69" s="272">
        <v>7017.2165594400003</v>
      </c>
      <c r="I69" s="267">
        <v>7429.3431215800001</v>
      </c>
      <c r="J69" s="267">
        <v>7686.0074000000004</v>
      </c>
      <c r="K69" s="267">
        <v>8061.7855630000004</v>
      </c>
      <c r="L69" s="267">
        <v>10297.321158000001</v>
      </c>
    </row>
    <row r="70" spans="1:12">
      <c r="A70" s="261" t="s">
        <v>597</v>
      </c>
      <c r="B70" s="269" t="s">
        <v>1229</v>
      </c>
      <c r="C70" s="269" t="s">
        <v>1499</v>
      </c>
      <c r="D70" s="270" t="s">
        <v>1499</v>
      </c>
      <c r="E70" s="270" t="s">
        <v>1499</v>
      </c>
      <c r="F70" s="270" t="s">
        <v>1499</v>
      </c>
      <c r="G70" s="270" t="s">
        <v>1499</v>
      </c>
      <c r="H70" s="272">
        <v>645.95971798000005</v>
      </c>
      <c r="I70" s="267">
        <v>743.44969187000004</v>
      </c>
      <c r="J70" s="267">
        <v>641.07429999999999</v>
      </c>
      <c r="K70" s="267">
        <v>719.50288</v>
      </c>
      <c r="L70" s="269">
        <v>722.14583503999995</v>
      </c>
    </row>
    <row r="71" spans="1:12">
      <c r="A71" s="261" t="s">
        <v>598</v>
      </c>
      <c r="B71" s="271">
        <v>4446.723</v>
      </c>
      <c r="C71" s="265">
        <v>3179.2153062000002</v>
      </c>
      <c r="D71" s="279">
        <v>3467</v>
      </c>
      <c r="E71" s="269">
        <v>3356.4814381000001</v>
      </c>
      <c r="F71" s="265">
        <v>3142.6462246999999</v>
      </c>
      <c r="G71" s="265">
        <v>3448.9870890000002</v>
      </c>
      <c r="H71" s="272">
        <v>3337.52062402</v>
      </c>
      <c r="I71" s="267">
        <v>3217.2472887099998</v>
      </c>
      <c r="J71" s="267">
        <v>3209.0376000000001</v>
      </c>
      <c r="K71" s="267">
        <v>3504.0249739999999</v>
      </c>
      <c r="L71" s="267">
        <v>4307.3611119999996</v>
      </c>
    </row>
    <row r="72" spans="1:12">
      <c r="A72" s="261" t="s">
        <v>599</v>
      </c>
      <c r="B72" s="271">
        <v>46.440999999999995</v>
      </c>
      <c r="C72" s="265">
        <v>0.9673759999999999</v>
      </c>
      <c r="D72" s="279">
        <v>-2</v>
      </c>
      <c r="E72" s="269">
        <v>6.2928270399999997</v>
      </c>
      <c r="F72" s="265">
        <v>15.564176999999999</v>
      </c>
      <c r="G72" s="265">
        <v>8.9017219000000001</v>
      </c>
      <c r="H72" s="272">
        <v>7.8019304900000002</v>
      </c>
      <c r="I72" s="267">
        <v>4.8352822199999999</v>
      </c>
      <c r="J72" s="267">
        <v>12.536199999999999</v>
      </c>
      <c r="K72" s="267">
        <v>2.6517750000000002</v>
      </c>
      <c r="L72" s="267">
        <v>1.6401447199999999</v>
      </c>
    </row>
    <row r="73" spans="1:12">
      <c r="A73" s="261" t="s">
        <v>600</v>
      </c>
      <c r="B73" s="271">
        <v>384.84100000000001</v>
      </c>
      <c r="C73" s="265">
        <v>254.70444420000001</v>
      </c>
      <c r="D73" s="279">
        <v>343</v>
      </c>
      <c r="E73" s="269">
        <v>403.13908459999999</v>
      </c>
      <c r="F73" s="265">
        <v>371.64347930000002</v>
      </c>
      <c r="G73" s="265">
        <v>348.55607760000004</v>
      </c>
      <c r="H73" s="272">
        <v>297.85928000000001</v>
      </c>
      <c r="I73" s="267">
        <v>254.01255807000001</v>
      </c>
      <c r="J73" s="267">
        <v>238.9494</v>
      </c>
      <c r="K73" s="267">
        <v>280.62656700000002</v>
      </c>
      <c r="L73" s="267">
        <v>339.81767306</v>
      </c>
    </row>
    <row r="74" spans="1:12">
      <c r="A74" s="261" t="s">
        <v>601</v>
      </c>
      <c r="B74" s="271">
        <v>148.54</v>
      </c>
      <c r="C74" s="265">
        <v>190.80549299999998</v>
      </c>
      <c r="D74" s="279">
        <v>130</v>
      </c>
      <c r="E74" s="269">
        <v>140.17976099999998</v>
      </c>
      <c r="F74" s="265">
        <v>150.52391600000001</v>
      </c>
      <c r="G74" s="265">
        <v>-228.15383399999999</v>
      </c>
      <c r="H74" s="272">
        <v>126.07693399999999</v>
      </c>
      <c r="I74" s="267">
        <v>117.977189</v>
      </c>
      <c r="J74" s="267">
        <v>214.77209999999999</v>
      </c>
      <c r="K74" s="267">
        <v>223.37009900000001</v>
      </c>
      <c r="L74" s="267">
        <v>300.42776800000001</v>
      </c>
    </row>
    <row r="75" spans="1:12">
      <c r="A75" s="276"/>
      <c r="E75" s="269"/>
      <c r="F75" s="267"/>
      <c r="G75" s="267"/>
      <c r="H75" s="266"/>
    </row>
    <row r="76" spans="1:12">
      <c r="A76" s="286" t="s">
        <v>602</v>
      </c>
      <c r="B76" s="264" t="s">
        <v>1499</v>
      </c>
      <c r="C76" s="264">
        <v>20966.051176000001</v>
      </c>
      <c r="D76" s="264">
        <v>20661</v>
      </c>
      <c r="E76" s="264">
        <v>21265.151404</v>
      </c>
      <c r="F76" s="264">
        <v>20524.788805</v>
      </c>
      <c r="G76" s="264">
        <v>19196.070204</v>
      </c>
      <c r="H76" s="264">
        <v>20873.947541000001</v>
      </c>
      <c r="I76" s="264">
        <v>23704.508009000001</v>
      </c>
      <c r="J76" s="264">
        <v>-1814.7923999999985</v>
      </c>
      <c r="K76" s="264">
        <v>-5775.7424919999976</v>
      </c>
      <c r="L76" s="264">
        <v>-32713.905389</v>
      </c>
    </row>
    <row r="77" spans="1:12">
      <c r="A77" s="276" t="s">
        <v>603</v>
      </c>
      <c r="B77" s="269" t="s">
        <v>1499</v>
      </c>
      <c r="C77" s="265">
        <v>20966.051176000001</v>
      </c>
      <c r="D77" s="279">
        <v>20661</v>
      </c>
      <c r="E77" s="269">
        <v>21265.151404</v>
      </c>
      <c r="F77" s="265">
        <v>20524.788805</v>
      </c>
      <c r="G77" s="265">
        <v>19196.070204</v>
      </c>
      <c r="H77" s="272">
        <v>20873.947541000001</v>
      </c>
      <c r="I77" s="267">
        <v>23704.508009000001</v>
      </c>
      <c r="J77" s="267">
        <v>26167.9457</v>
      </c>
      <c r="K77" s="267">
        <v>25753.815890000002</v>
      </c>
      <c r="L77" s="269" t="s">
        <v>1229</v>
      </c>
    </row>
    <row r="78" spans="1:12">
      <c r="A78" s="276" t="s">
        <v>94</v>
      </c>
      <c r="C78" s="265"/>
      <c r="D78" s="279"/>
      <c r="E78" s="269"/>
      <c r="F78" s="265"/>
      <c r="G78" s="265"/>
      <c r="H78" s="272"/>
      <c r="I78" s="267"/>
      <c r="J78" s="267">
        <v>-27982.738099999999</v>
      </c>
      <c r="K78" s="267">
        <v>-32511.966705999999</v>
      </c>
      <c r="L78" s="267">
        <v>-34246.473890000001</v>
      </c>
    </row>
    <row r="79" spans="1:12">
      <c r="A79" s="276" t="s">
        <v>95</v>
      </c>
      <c r="C79" s="265"/>
      <c r="D79" s="279"/>
      <c r="E79" s="269"/>
      <c r="F79" s="265"/>
      <c r="G79" s="265"/>
      <c r="H79" s="272"/>
      <c r="I79" s="267"/>
      <c r="J79" s="269" t="s">
        <v>1229</v>
      </c>
      <c r="K79" s="267">
        <v>982.40832399999999</v>
      </c>
      <c r="L79" s="267">
        <v>1532.568501</v>
      </c>
    </row>
    <row r="80" spans="1:12">
      <c r="A80" s="276"/>
      <c r="B80" s="267"/>
      <c r="C80" s="265"/>
      <c r="D80" s="279"/>
      <c r="E80" s="269"/>
    </row>
    <row r="81" spans="1:12">
      <c r="A81" s="286" t="s">
        <v>604</v>
      </c>
      <c r="B81" s="264" t="s">
        <v>1499</v>
      </c>
      <c r="C81" s="263" t="s">
        <v>1499</v>
      </c>
      <c r="D81" s="463" t="s">
        <v>1499</v>
      </c>
      <c r="E81" s="264">
        <v>15071.295643999958</v>
      </c>
      <c r="F81" s="264">
        <v>-8496.5694817000422</v>
      </c>
      <c r="G81" s="264">
        <v>-3537.4126101000561</v>
      </c>
      <c r="H81" s="264">
        <v>-19650.397105069998</v>
      </c>
      <c r="I81" s="264">
        <v>-4196.4059048500003</v>
      </c>
      <c r="J81" s="264">
        <v>-4424.5340999999989</v>
      </c>
      <c r="K81" s="264">
        <v>-5458.1025439999994</v>
      </c>
      <c r="L81" s="264">
        <v>334.50895760000003</v>
      </c>
    </row>
    <row r="82" spans="1:12">
      <c r="A82" s="276" t="s">
        <v>605</v>
      </c>
      <c r="B82" s="269" t="s">
        <v>1499</v>
      </c>
      <c r="C82" s="270" t="s">
        <v>1499</v>
      </c>
      <c r="D82" s="280" t="s">
        <v>1499</v>
      </c>
      <c r="E82" s="269">
        <v>-14.122816</v>
      </c>
      <c r="F82" s="265">
        <v>-220.11144000000002</v>
      </c>
      <c r="G82" s="265">
        <v>-254.28445700000003</v>
      </c>
      <c r="H82" s="272">
        <v>-157.633849</v>
      </c>
      <c r="I82" s="267">
        <v>-310.18811799999997</v>
      </c>
      <c r="J82" s="267">
        <v>-183.375</v>
      </c>
      <c r="K82" s="267">
        <v>8.9544499999999996</v>
      </c>
      <c r="L82" s="267">
        <v>-221.84214</v>
      </c>
    </row>
    <row r="83" spans="1:12">
      <c r="A83" s="276" t="s">
        <v>606</v>
      </c>
      <c r="B83" s="269" t="s">
        <v>1499</v>
      </c>
      <c r="C83" s="270" t="s">
        <v>1499</v>
      </c>
      <c r="D83" s="280" t="s">
        <v>1499</v>
      </c>
      <c r="E83" s="269">
        <v>-591.31388800000002</v>
      </c>
      <c r="F83" s="265">
        <v>-714.55185600000004</v>
      </c>
      <c r="G83" s="265">
        <v>-2211.3933629999997</v>
      </c>
      <c r="H83" s="272">
        <v>-2266.0221799999999</v>
      </c>
      <c r="I83" s="267">
        <v>-2663.985193</v>
      </c>
      <c r="J83" s="267">
        <v>-1880.8536999999999</v>
      </c>
      <c r="K83" s="267">
        <v>-1969.865444</v>
      </c>
      <c r="L83" s="267">
        <v>-2407.0706850000001</v>
      </c>
    </row>
    <row r="84" spans="1:12">
      <c r="A84" s="276" t="s">
        <v>607</v>
      </c>
      <c r="B84" s="269" t="s">
        <v>1499</v>
      </c>
      <c r="C84" s="270" t="s">
        <v>1499</v>
      </c>
      <c r="D84" s="280" t="s">
        <v>1499</v>
      </c>
      <c r="E84" s="269">
        <v>-74.443699999999993</v>
      </c>
      <c r="F84" s="265">
        <v>-81.521906000000001</v>
      </c>
      <c r="G84" s="265">
        <v>-353.94987400000002</v>
      </c>
      <c r="H84" s="272">
        <v>464.970618</v>
      </c>
      <c r="I84" s="267">
        <v>-1137.9778839999999</v>
      </c>
      <c r="J84" s="267">
        <v>-603.79679999999996</v>
      </c>
      <c r="K84" s="267">
        <v>-666.66009699999995</v>
      </c>
      <c r="L84" s="267">
        <v>-836.31641000000002</v>
      </c>
    </row>
    <row r="85" spans="1:12">
      <c r="A85" s="276" t="s">
        <v>608</v>
      </c>
      <c r="B85" s="269" t="s">
        <v>1499</v>
      </c>
      <c r="C85" s="270" t="s">
        <v>1499</v>
      </c>
      <c r="D85" s="270" t="s">
        <v>1499</v>
      </c>
      <c r="E85" s="269">
        <v>-236.92888300000001</v>
      </c>
      <c r="F85" s="265">
        <v>-485.42589400000003</v>
      </c>
      <c r="G85" s="265">
        <v>-525.02169299999991</v>
      </c>
      <c r="H85" s="272">
        <v>-630.62607700000001</v>
      </c>
      <c r="I85" s="267">
        <v>-876.14868300000001</v>
      </c>
      <c r="J85" s="267">
        <v>-960.61279999999999</v>
      </c>
      <c r="K85" s="267">
        <v>-951.27494999999999</v>
      </c>
      <c r="L85" s="267">
        <v>-1129.7874409999999</v>
      </c>
    </row>
    <row r="86" spans="1:12">
      <c r="A86" s="276" t="s">
        <v>609</v>
      </c>
      <c r="B86" s="269" t="s">
        <v>1499</v>
      </c>
      <c r="C86" s="270" t="s">
        <v>1499</v>
      </c>
      <c r="D86" s="270" t="s">
        <v>1499</v>
      </c>
      <c r="E86" s="269">
        <v>-338.74751299999997</v>
      </c>
      <c r="F86" s="265">
        <v>-1372.2854150000001</v>
      </c>
      <c r="G86" s="265">
        <v>-928.53872999999999</v>
      </c>
      <c r="H86" s="272">
        <v>-890.20456799999999</v>
      </c>
      <c r="I86" s="267">
        <v>-1385.3013120000001</v>
      </c>
      <c r="J86" s="267">
        <v>-1481.2910999999999</v>
      </c>
      <c r="K86" s="267">
        <v>-1467.3607999999999</v>
      </c>
      <c r="L86" s="267">
        <v>-1807.2037330000001</v>
      </c>
    </row>
    <row r="87" spans="1:12">
      <c r="A87" s="276" t="s">
        <v>610</v>
      </c>
      <c r="B87" s="269" t="s">
        <v>1499</v>
      </c>
      <c r="C87" s="270" t="s">
        <v>1499</v>
      </c>
      <c r="D87" s="270" t="s">
        <v>1499</v>
      </c>
      <c r="E87" s="269">
        <v>-24.71189</v>
      </c>
      <c r="F87" s="265">
        <v>-434.165907</v>
      </c>
      <c r="G87" s="265">
        <v>-1023.0493010000001</v>
      </c>
      <c r="H87" s="272">
        <v>-1838.7239870000001</v>
      </c>
      <c r="I87" s="267">
        <v>-1189.4733779999999</v>
      </c>
      <c r="J87" s="267">
        <v>-1010.4838999999999</v>
      </c>
      <c r="K87" s="267">
        <v>-849.71114299999999</v>
      </c>
      <c r="L87" s="267">
        <v>-1422.4981849999999</v>
      </c>
    </row>
    <row r="88" spans="1:12">
      <c r="A88" s="276" t="s">
        <v>611</v>
      </c>
      <c r="B88" s="269" t="s">
        <v>1499</v>
      </c>
      <c r="C88" s="270" t="s">
        <v>1499</v>
      </c>
      <c r="D88" s="270" t="s">
        <v>1499</v>
      </c>
      <c r="E88" s="269">
        <v>16351.564334000001</v>
      </c>
      <c r="F88" s="265">
        <v>-5175.6952337000002</v>
      </c>
      <c r="G88" s="265">
        <v>2965.5544039000001</v>
      </c>
      <c r="H88" s="272">
        <v>-14332.15706207</v>
      </c>
      <c r="I88" s="267">
        <v>3366.6686631500002</v>
      </c>
      <c r="J88" s="267">
        <v>1695.8792000000001</v>
      </c>
      <c r="K88" s="267">
        <v>437.81544000000002</v>
      </c>
      <c r="L88" s="267">
        <v>8159.2275516</v>
      </c>
    </row>
    <row r="89" spans="1:12">
      <c r="A89" s="276" t="s">
        <v>612</v>
      </c>
      <c r="B89" s="269" t="s">
        <v>1499</v>
      </c>
      <c r="C89" s="270" t="s">
        <v>1499</v>
      </c>
      <c r="D89" s="270" t="s">
        <v>1499</v>
      </c>
      <c r="E89" s="269">
        <v>-4.1443850000000001E-11</v>
      </c>
      <c r="F89" s="265">
        <v>-12.811830000042916</v>
      </c>
      <c r="G89" s="265">
        <v>-1206.7295960000565</v>
      </c>
      <c r="H89" s="269" t="s">
        <v>1229</v>
      </c>
      <c r="I89" s="269" t="s">
        <v>1229</v>
      </c>
      <c r="J89" s="269" t="s">
        <v>1229</v>
      </c>
      <c r="K89" s="269" t="s">
        <v>1229</v>
      </c>
      <c r="L89" s="269" t="s">
        <v>1229</v>
      </c>
    </row>
    <row r="90" spans="1:12">
      <c r="A90" s="260" t="s">
        <v>613</v>
      </c>
      <c r="B90" s="269" t="s">
        <v>1499</v>
      </c>
      <c r="C90" s="270" t="s">
        <v>1499</v>
      </c>
      <c r="D90" s="270" t="s">
        <v>1499</v>
      </c>
      <c r="E90" s="269" t="s">
        <v>1229</v>
      </c>
      <c r="F90" s="269" t="s">
        <v>1229</v>
      </c>
      <c r="G90" s="269" t="s">
        <v>1229</v>
      </c>
      <c r="H90" s="269" t="s">
        <v>1229</v>
      </c>
      <c r="I90" s="269" t="s">
        <v>1229</v>
      </c>
      <c r="J90" s="269" t="s">
        <v>1229</v>
      </c>
      <c r="K90" s="269" t="s">
        <v>1229</v>
      </c>
      <c r="L90" s="269" t="s">
        <v>1229</v>
      </c>
    </row>
    <row r="91" spans="1:12">
      <c r="A91" s="276"/>
    </row>
    <row r="92" spans="1:12" s="281" customFormat="1">
      <c r="A92" s="286" t="s">
        <v>614</v>
      </c>
      <c r="B92" s="264" t="s">
        <v>1499</v>
      </c>
      <c r="C92" s="264" t="s">
        <v>1499</v>
      </c>
      <c r="D92" s="264" t="s">
        <v>1499</v>
      </c>
      <c r="E92" s="264" t="s">
        <v>1499</v>
      </c>
      <c r="F92" s="264" t="s">
        <v>1499</v>
      </c>
      <c r="G92" s="264" t="s">
        <v>1499</v>
      </c>
      <c r="H92" s="264">
        <v>-1639.7386710000001</v>
      </c>
      <c r="I92" s="264">
        <v>-5414.4431745000002</v>
      </c>
      <c r="J92" s="264">
        <v>-8559.5011000000013</v>
      </c>
      <c r="K92" s="264">
        <v>-9513.4096009999994</v>
      </c>
      <c r="L92" s="264">
        <v>-15689.196047000001</v>
      </c>
    </row>
    <row r="93" spans="1:12">
      <c r="A93" s="276" t="s">
        <v>615</v>
      </c>
      <c r="B93" s="269" t="s">
        <v>1499</v>
      </c>
      <c r="C93" s="269" t="s">
        <v>1499</v>
      </c>
      <c r="D93" s="269" t="s">
        <v>1499</v>
      </c>
      <c r="E93" s="269" t="s">
        <v>1499</v>
      </c>
      <c r="F93" s="269" t="s">
        <v>1499</v>
      </c>
      <c r="G93" s="269" t="s">
        <v>1499</v>
      </c>
      <c r="H93" s="272">
        <v>-1402.5092999999999</v>
      </c>
      <c r="I93" s="267">
        <v>-3987.2887675000002</v>
      </c>
      <c r="J93" s="267">
        <v>-1710.9241999999999</v>
      </c>
      <c r="K93" s="267">
        <v>-2131.294989</v>
      </c>
      <c r="L93" s="267">
        <v>-3153.482023</v>
      </c>
    </row>
    <row r="94" spans="1:12">
      <c r="A94" s="276" t="s">
        <v>616</v>
      </c>
      <c r="B94" s="269" t="s">
        <v>1499</v>
      </c>
      <c r="C94" s="269" t="s">
        <v>1499</v>
      </c>
      <c r="D94" s="269" t="s">
        <v>1499</v>
      </c>
      <c r="E94" s="269" t="s">
        <v>1499</v>
      </c>
      <c r="F94" s="269" t="s">
        <v>1499</v>
      </c>
      <c r="G94" s="269" t="s">
        <v>1499</v>
      </c>
      <c r="H94" s="269" t="s">
        <v>1499</v>
      </c>
      <c r="I94" s="269" t="s">
        <v>1499</v>
      </c>
      <c r="J94" s="269" t="s">
        <v>1229</v>
      </c>
      <c r="K94" s="269" t="s">
        <v>1229</v>
      </c>
      <c r="L94" s="269">
        <v>-1.7742819999999999</v>
      </c>
    </row>
    <row r="95" spans="1:12">
      <c r="A95" s="276" t="s">
        <v>617</v>
      </c>
      <c r="B95" s="269" t="s">
        <v>1499</v>
      </c>
      <c r="C95" s="269" t="s">
        <v>1499</v>
      </c>
      <c r="D95" s="269" t="s">
        <v>1499</v>
      </c>
      <c r="E95" s="269" t="s">
        <v>1499</v>
      </c>
      <c r="F95" s="269" t="s">
        <v>1499</v>
      </c>
      <c r="G95" s="269" t="s">
        <v>1499</v>
      </c>
      <c r="H95" s="272">
        <v>-30.923064</v>
      </c>
      <c r="I95" s="267">
        <v>-36.837336000000001</v>
      </c>
      <c r="J95" s="267">
        <v>-241.50059999999999</v>
      </c>
      <c r="K95" s="267">
        <v>-371.87104699999998</v>
      </c>
      <c r="L95" s="267">
        <v>-521.75200500000005</v>
      </c>
    </row>
    <row r="96" spans="1:12">
      <c r="A96" s="276" t="s">
        <v>618</v>
      </c>
      <c r="B96" s="269" t="s">
        <v>1499</v>
      </c>
      <c r="C96" s="269" t="s">
        <v>1499</v>
      </c>
      <c r="D96" s="269" t="s">
        <v>1499</v>
      </c>
      <c r="E96" s="269" t="s">
        <v>1499</v>
      </c>
      <c r="F96" s="269" t="s">
        <v>1499</v>
      </c>
      <c r="G96" s="269" t="s">
        <v>1499</v>
      </c>
      <c r="H96" s="272">
        <v>-206.306307</v>
      </c>
      <c r="I96" s="267">
        <v>-1390.3170709999999</v>
      </c>
      <c r="J96" s="267">
        <v>-1537.3805</v>
      </c>
      <c r="K96" s="267">
        <v>-1676.5693510000001</v>
      </c>
      <c r="L96" s="267">
        <v>-1698.708572</v>
      </c>
    </row>
    <row r="97" spans="1:12">
      <c r="A97" s="276" t="s">
        <v>96</v>
      </c>
      <c r="D97" s="269"/>
      <c r="E97" s="269"/>
      <c r="H97" s="272"/>
      <c r="I97" s="267"/>
      <c r="J97" s="267"/>
      <c r="K97" s="267"/>
      <c r="L97" s="267">
        <v>-0.62917900000000004</v>
      </c>
    </row>
    <row r="98" spans="1:12">
      <c r="A98" s="276" t="s">
        <v>97</v>
      </c>
      <c r="D98" s="269"/>
      <c r="E98" s="269"/>
      <c r="H98" s="272"/>
      <c r="I98" s="267"/>
      <c r="J98" s="267">
        <v>-5056.8941000000004</v>
      </c>
      <c r="K98" s="267">
        <v>-4425.1726779999999</v>
      </c>
      <c r="L98" s="267">
        <v>-8775.8764100000008</v>
      </c>
    </row>
    <row r="99" spans="1:12">
      <c r="A99" s="276" t="s">
        <v>98</v>
      </c>
      <c r="D99" s="269"/>
      <c r="E99" s="269"/>
      <c r="H99" s="272"/>
      <c r="I99" s="267"/>
      <c r="J99" s="267">
        <v>-12.8017</v>
      </c>
      <c r="K99" s="267">
        <v>-114.715228</v>
      </c>
      <c r="L99" s="267">
        <v>-348.653121</v>
      </c>
    </row>
    <row r="100" spans="1:12">
      <c r="A100" s="276" t="s">
        <v>1295</v>
      </c>
      <c r="D100" s="269"/>
      <c r="E100" s="269"/>
      <c r="H100" s="272"/>
      <c r="I100" s="267"/>
      <c r="J100" s="269" t="s">
        <v>1229</v>
      </c>
      <c r="K100" s="267">
        <v>-793.78630799999996</v>
      </c>
      <c r="L100" s="267">
        <v>-738.32063700000003</v>
      </c>
    </row>
    <row r="101" spans="1:12">
      <c r="A101" s="276" t="s">
        <v>1296</v>
      </c>
      <c r="D101" s="269"/>
      <c r="E101" s="269"/>
      <c r="H101" s="272"/>
      <c r="I101" s="267"/>
      <c r="J101" s="269"/>
      <c r="K101" s="267"/>
      <c r="L101" s="269">
        <v>-449.999818</v>
      </c>
    </row>
    <row r="102" spans="1:12">
      <c r="A102" s="276"/>
    </row>
    <row r="103" spans="1:12">
      <c r="A103" s="282" t="s">
        <v>619</v>
      </c>
      <c r="B103" s="283">
        <v>27856.386000000002</v>
      </c>
      <c r="C103" s="283">
        <v>32780.57479038</v>
      </c>
      <c r="D103" s="264">
        <v>38947</v>
      </c>
      <c r="E103" s="264">
        <v>37452.526401000003</v>
      </c>
      <c r="F103" s="264">
        <v>34131.004560900001</v>
      </c>
      <c r="G103" s="264">
        <v>45542.267219499998</v>
      </c>
      <c r="H103" s="264">
        <v>50814</v>
      </c>
      <c r="I103" s="264">
        <v>49113.327302329992</v>
      </c>
      <c r="J103" s="264">
        <v>29242.224799999996</v>
      </c>
      <c r="K103" s="264">
        <v>35082.332423899999</v>
      </c>
      <c r="L103" s="264">
        <v>33184.364879989997</v>
      </c>
    </row>
    <row r="104" spans="1:12">
      <c r="H104" s="266"/>
    </row>
    <row r="105" spans="1:12">
      <c r="A105" s="282" t="s">
        <v>620</v>
      </c>
      <c r="B105" s="264">
        <v>8738.2819999999992</v>
      </c>
      <c r="C105" s="264">
        <v>14639.371859480001</v>
      </c>
      <c r="D105" s="264">
        <v>13000</v>
      </c>
      <c r="E105" s="264">
        <v>13865.342244029998</v>
      </c>
      <c r="F105" s="264">
        <v>10312.499518199998</v>
      </c>
      <c r="G105" s="264">
        <v>13713.3322795</v>
      </c>
      <c r="H105" s="264">
        <v>32489</v>
      </c>
      <c r="I105" s="264">
        <v>31297.000224129999</v>
      </c>
      <c r="J105" s="264">
        <v>11351.3516</v>
      </c>
      <c r="K105" s="264">
        <v>10269.377595</v>
      </c>
      <c r="L105" s="264">
        <v>10853.21196219</v>
      </c>
    </row>
    <row r="106" spans="1:12">
      <c r="A106" s="261" t="s">
        <v>621</v>
      </c>
      <c r="B106" s="269" t="s">
        <v>1229</v>
      </c>
      <c r="C106" s="269" t="s">
        <v>1229</v>
      </c>
      <c r="D106" s="269" t="s">
        <v>1229</v>
      </c>
      <c r="E106" s="269" t="s">
        <v>1229</v>
      </c>
      <c r="F106" s="269" t="s">
        <v>1229</v>
      </c>
      <c r="G106" s="269" t="s">
        <v>1229</v>
      </c>
      <c r="H106" s="269" t="s">
        <v>1229</v>
      </c>
      <c r="I106" s="269" t="s">
        <v>1229</v>
      </c>
      <c r="J106" s="269"/>
      <c r="K106" s="269" t="s">
        <v>1229</v>
      </c>
      <c r="L106" s="269" t="s">
        <v>1229</v>
      </c>
    </row>
    <row r="107" spans="1:12">
      <c r="A107" s="261" t="s">
        <v>622</v>
      </c>
      <c r="B107" s="271">
        <v>65.180000000000007</v>
      </c>
      <c r="C107" s="265">
        <v>81.757000000000005</v>
      </c>
      <c r="D107" s="279">
        <v>38</v>
      </c>
      <c r="E107" s="269">
        <v>12.015000000000001</v>
      </c>
      <c r="F107" s="265">
        <v>129.33000000000001</v>
      </c>
      <c r="G107" s="269" t="s">
        <v>1229</v>
      </c>
      <c r="H107" s="270">
        <v>52</v>
      </c>
      <c r="I107" s="267">
        <v>4.319</v>
      </c>
      <c r="J107" s="267">
        <v>39.997500000000002</v>
      </c>
      <c r="K107" s="269"/>
      <c r="L107" s="269">
        <v>29.594999999999999</v>
      </c>
    </row>
    <row r="108" spans="1:12">
      <c r="A108" s="261" t="s">
        <v>623</v>
      </c>
      <c r="B108" s="267"/>
      <c r="C108" s="267"/>
      <c r="D108" s="279"/>
      <c r="E108" s="266"/>
      <c r="F108" s="267"/>
      <c r="G108" s="267"/>
    </row>
    <row r="109" spans="1:12">
      <c r="A109" s="261" t="s">
        <v>624</v>
      </c>
      <c r="B109" s="271">
        <v>335</v>
      </c>
      <c r="C109" s="265">
        <v>346</v>
      </c>
      <c r="D109" s="279">
        <v>366</v>
      </c>
      <c r="E109" s="269">
        <v>421</v>
      </c>
      <c r="F109" s="265">
        <v>302.39999999999998</v>
      </c>
      <c r="G109" s="265">
        <v>961.74020650000011</v>
      </c>
      <c r="H109" s="272">
        <v>495</v>
      </c>
      <c r="I109" s="267">
        <v>474</v>
      </c>
      <c r="J109" s="266">
        <v>356</v>
      </c>
      <c r="K109" s="266">
        <v>309</v>
      </c>
      <c r="L109" s="266">
        <v>337</v>
      </c>
    </row>
    <row r="110" spans="1:12">
      <c r="A110" s="261" t="s">
        <v>625</v>
      </c>
      <c r="B110" s="271">
        <v>39.524000000000001</v>
      </c>
      <c r="C110" s="265">
        <v>73.221999999999994</v>
      </c>
      <c r="D110" s="279">
        <v>45</v>
      </c>
      <c r="E110" s="269">
        <v>310.50799999999998</v>
      </c>
      <c r="F110" s="265">
        <v>119.999</v>
      </c>
      <c r="G110" s="275" t="s">
        <v>1229</v>
      </c>
      <c r="H110" s="265">
        <v>17</v>
      </c>
      <c r="I110" s="275" t="s">
        <v>1229</v>
      </c>
      <c r="J110" s="275">
        <v>13.228999999999999</v>
      </c>
      <c r="K110" s="275">
        <v>19.751000000000001</v>
      </c>
      <c r="L110" s="267">
        <v>28.667000000000002</v>
      </c>
    </row>
    <row r="111" spans="1:12">
      <c r="A111" s="261" t="s">
        <v>626</v>
      </c>
      <c r="E111" s="266"/>
    </row>
    <row r="112" spans="1:12">
      <c r="A112" s="261" t="s">
        <v>627</v>
      </c>
      <c r="B112" s="271">
        <v>503.86200000000002</v>
      </c>
      <c r="C112" s="265">
        <v>424.43618125</v>
      </c>
      <c r="D112" s="279">
        <v>141</v>
      </c>
      <c r="E112" s="269">
        <v>37.427017630000002</v>
      </c>
      <c r="F112" s="265">
        <v>8.7779159</v>
      </c>
      <c r="G112" s="265">
        <v>8.0047053000000012</v>
      </c>
      <c r="H112" s="266">
        <v>61</v>
      </c>
      <c r="I112" s="267">
        <v>29.218240000000002</v>
      </c>
      <c r="J112" s="267">
        <v>68.559600000000003</v>
      </c>
      <c r="K112" s="267">
        <v>6.3544499999999999</v>
      </c>
      <c r="L112" s="275">
        <v>9.1275811900000008</v>
      </c>
    </row>
    <row r="113" spans="1:12">
      <c r="A113" s="261" t="s">
        <v>628</v>
      </c>
      <c r="E113" s="266"/>
      <c r="F113" s="267"/>
      <c r="G113" s="267"/>
    </row>
    <row r="114" spans="1:12">
      <c r="A114" s="261" t="s">
        <v>629</v>
      </c>
      <c r="B114" s="280" t="s">
        <v>1229</v>
      </c>
      <c r="C114" s="265">
        <v>3815.8680679999998</v>
      </c>
      <c r="D114" s="280" t="s">
        <v>1229</v>
      </c>
      <c r="E114" s="269" t="s">
        <v>1499</v>
      </c>
      <c r="F114" s="269" t="s">
        <v>1499</v>
      </c>
      <c r="G114" s="269" t="s">
        <v>1499</v>
      </c>
      <c r="H114" s="269" t="s">
        <v>1499</v>
      </c>
      <c r="I114" s="269" t="s">
        <v>1499</v>
      </c>
      <c r="J114" s="269" t="s">
        <v>1229</v>
      </c>
      <c r="K114" s="269" t="s">
        <v>1229</v>
      </c>
      <c r="L114" s="270" t="s">
        <v>1229</v>
      </c>
    </row>
    <row r="115" spans="1:12">
      <c r="A115" s="261" t="s">
        <v>1110</v>
      </c>
      <c r="B115" s="277" t="s">
        <v>1499</v>
      </c>
      <c r="C115" s="275" t="s">
        <v>1499</v>
      </c>
      <c r="D115" s="280">
        <v>168</v>
      </c>
      <c r="E115" s="269">
        <v>258</v>
      </c>
      <c r="F115" s="265">
        <v>133.94759070000001</v>
      </c>
      <c r="G115" s="265">
        <v>121.1004669</v>
      </c>
      <c r="H115" s="265">
        <v>103</v>
      </c>
      <c r="I115" s="267">
        <v>192.67620313</v>
      </c>
      <c r="J115" s="267">
        <v>73.321200000000005</v>
      </c>
      <c r="K115" s="267">
        <v>157.346125</v>
      </c>
      <c r="L115" s="267">
        <v>114.34926900000001</v>
      </c>
    </row>
    <row r="116" spans="1:12">
      <c r="A116" s="261" t="s">
        <v>1111</v>
      </c>
      <c r="B116" s="271">
        <v>6200</v>
      </c>
      <c r="C116" s="265">
        <v>8100</v>
      </c>
      <c r="D116" s="279">
        <v>8100</v>
      </c>
      <c r="E116" s="269">
        <v>9300</v>
      </c>
      <c r="F116" s="265">
        <v>7600</v>
      </c>
      <c r="G116" s="265">
        <v>9760</v>
      </c>
      <c r="H116" s="265">
        <v>28200</v>
      </c>
      <c r="I116" s="267">
        <v>27300</v>
      </c>
      <c r="J116" s="267">
        <v>7500</v>
      </c>
      <c r="K116" s="267">
        <v>6100</v>
      </c>
      <c r="L116" s="266">
        <v>6700</v>
      </c>
    </row>
    <row r="117" spans="1:12">
      <c r="A117" s="261" t="s">
        <v>1112</v>
      </c>
      <c r="B117" s="271">
        <v>1016.481</v>
      </c>
      <c r="C117" s="265">
        <v>1128.14569364</v>
      </c>
      <c r="D117" s="279">
        <v>1394</v>
      </c>
      <c r="E117" s="270" t="s">
        <v>1499</v>
      </c>
      <c r="F117" s="270" t="s">
        <v>1499</v>
      </c>
      <c r="G117" s="270" t="s">
        <v>1499</v>
      </c>
      <c r="H117" s="270" t="s">
        <v>1499</v>
      </c>
      <c r="I117" s="270" t="s">
        <v>1499</v>
      </c>
      <c r="J117" s="270" t="s">
        <v>1229</v>
      </c>
      <c r="K117" s="270" t="s">
        <v>1229</v>
      </c>
      <c r="L117" s="269" t="s">
        <v>1229</v>
      </c>
    </row>
    <row r="118" spans="1:12">
      <c r="A118" s="261" t="s">
        <v>1113</v>
      </c>
      <c r="B118" s="271">
        <v>578.23500000000001</v>
      </c>
      <c r="C118" s="265">
        <v>669.94291658999998</v>
      </c>
      <c r="D118" s="279">
        <v>223</v>
      </c>
      <c r="E118" s="270" t="s">
        <v>1499</v>
      </c>
      <c r="F118" s="270" t="s">
        <v>1499</v>
      </c>
      <c r="G118" s="270" t="s">
        <v>1499</v>
      </c>
      <c r="H118" s="270" t="s">
        <v>1499</v>
      </c>
      <c r="I118" s="270" t="s">
        <v>1499</v>
      </c>
      <c r="J118" s="270" t="s">
        <v>1229</v>
      </c>
      <c r="K118" s="270" t="s">
        <v>1229</v>
      </c>
      <c r="L118" s="269" t="s">
        <v>1229</v>
      </c>
    </row>
    <row r="119" spans="1:12">
      <c r="A119" s="261" t="s">
        <v>1114</v>
      </c>
      <c r="B119" s="277" t="s">
        <v>1499</v>
      </c>
      <c r="C119" s="275" t="s">
        <v>1499</v>
      </c>
      <c r="D119" s="280">
        <v>2525</v>
      </c>
      <c r="E119" s="269">
        <v>3526.3922264000003</v>
      </c>
      <c r="F119" s="265">
        <v>2018.0450116000002</v>
      </c>
      <c r="G119" s="265">
        <v>2862.4869008000001</v>
      </c>
      <c r="H119" s="265">
        <v>3561</v>
      </c>
      <c r="I119" s="267">
        <v>3296.7867809999998</v>
      </c>
      <c r="J119" s="267">
        <v>3300.2442999999998</v>
      </c>
      <c r="K119" s="267">
        <v>3676.9260199999999</v>
      </c>
      <c r="L119" s="267">
        <v>3634.4731120000001</v>
      </c>
    </row>
    <row r="120" spans="1:12">
      <c r="F120" s="267"/>
      <c r="G120" s="267"/>
    </row>
    <row r="121" spans="1:12">
      <c r="A121" s="286" t="s">
        <v>1115</v>
      </c>
      <c r="B121" s="283">
        <v>403.1</v>
      </c>
      <c r="C121" s="283">
        <v>338.10226912999997</v>
      </c>
      <c r="D121" s="264">
        <v>1101</v>
      </c>
      <c r="E121" s="264">
        <v>256.27721045999999</v>
      </c>
      <c r="F121" s="283">
        <v>95.59</v>
      </c>
      <c r="G121" s="283">
        <v>114.455</v>
      </c>
      <c r="H121" s="283">
        <v>99</v>
      </c>
      <c r="I121" s="283">
        <v>228.43407999999999</v>
      </c>
      <c r="J121" s="283">
        <v>388.42070000000001</v>
      </c>
      <c r="K121" s="283">
        <v>446.889949</v>
      </c>
      <c r="L121" s="283">
        <v>322.76077500000002</v>
      </c>
    </row>
    <row r="122" spans="1:12">
      <c r="A122" s="276" t="s">
        <v>1116</v>
      </c>
      <c r="B122" s="271">
        <v>403.1</v>
      </c>
      <c r="C122" s="279">
        <v>84.4</v>
      </c>
      <c r="D122" s="280" t="s">
        <v>1499</v>
      </c>
      <c r="E122" s="270" t="s">
        <v>1499</v>
      </c>
      <c r="F122" s="270" t="s">
        <v>1499</v>
      </c>
      <c r="G122" s="270" t="s">
        <v>1499</v>
      </c>
      <c r="H122" s="270" t="s">
        <v>1499</v>
      </c>
      <c r="I122" s="270" t="s">
        <v>1499</v>
      </c>
      <c r="J122" s="270"/>
      <c r="K122" s="270"/>
      <c r="L122" s="270"/>
    </row>
    <row r="123" spans="1:12">
      <c r="A123" s="276" t="s">
        <v>1117</v>
      </c>
      <c r="B123" s="269" t="s">
        <v>1229</v>
      </c>
      <c r="C123" s="279">
        <v>253.70226912999999</v>
      </c>
      <c r="D123" s="279">
        <v>1101</v>
      </c>
      <c r="E123" s="269">
        <v>256.27721045999999</v>
      </c>
      <c r="F123" s="265">
        <v>95.59</v>
      </c>
      <c r="G123" s="265">
        <v>114.455</v>
      </c>
      <c r="H123" s="265">
        <v>99</v>
      </c>
      <c r="I123" s="267">
        <v>228.43407999999999</v>
      </c>
      <c r="J123" s="267">
        <v>388.42070000000001</v>
      </c>
      <c r="K123" s="267">
        <v>446.889949</v>
      </c>
      <c r="L123" s="267">
        <v>322.76077500000002</v>
      </c>
    </row>
    <row r="124" spans="1:12">
      <c r="A124" s="273"/>
      <c r="F124" s="267"/>
      <c r="G124" s="267"/>
    </row>
    <row r="125" spans="1:12">
      <c r="A125" s="282" t="s">
        <v>1118</v>
      </c>
      <c r="B125" s="264">
        <v>2927.5760000000005</v>
      </c>
      <c r="C125" s="264">
        <v>818.96587325000007</v>
      </c>
      <c r="D125" s="264">
        <v>1412</v>
      </c>
      <c r="E125" s="264">
        <v>1652.2319960299999</v>
      </c>
      <c r="F125" s="264">
        <v>2215.3927733000005</v>
      </c>
      <c r="G125" s="264">
        <v>3107.6763369</v>
      </c>
      <c r="H125" s="264">
        <v>4323</v>
      </c>
      <c r="I125" s="264">
        <v>4722.6886052399996</v>
      </c>
      <c r="J125" s="264">
        <v>4775.1981999999998</v>
      </c>
      <c r="K125" s="264">
        <v>4577.8099974699999</v>
      </c>
      <c r="L125" s="264">
        <v>5754.6404807500003</v>
      </c>
    </row>
    <row r="126" spans="1:12">
      <c r="A126" s="276" t="s">
        <v>1119</v>
      </c>
      <c r="B126" s="271">
        <v>6.6520000000000001</v>
      </c>
      <c r="C126" s="265">
        <v>6.9958376700000002</v>
      </c>
      <c r="D126" s="279">
        <v>4</v>
      </c>
      <c r="E126" s="269">
        <v>2.68850356</v>
      </c>
      <c r="F126" s="265">
        <v>1.3260380999999999</v>
      </c>
      <c r="G126" s="265">
        <v>0.88891169999999997</v>
      </c>
      <c r="H126" s="265">
        <v>1</v>
      </c>
      <c r="I126" s="267">
        <v>1.6140210399999999</v>
      </c>
      <c r="J126" s="267">
        <v>1.1773</v>
      </c>
      <c r="K126" s="267">
        <v>0.97495699999999996</v>
      </c>
      <c r="L126" s="267">
        <v>0.77641199999999999</v>
      </c>
    </row>
    <row r="127" spans="1:12">
      <c r="A127" s="261" t="s">
        <v>1120</v>
      </c>
      <c r="B127" s="271">
        <v>0.10700000000000001</v>
      </c>
      <c r="C127" s="265">
        <v>4.1503929999999994E-2</v>
      </c>
      <c r="D127" s="269" t="s">
        <v>1229</v>
      </c>
      <c r="E127" s="269">
        <v>2.2651000000000001E-2</v>
      </c>
      <c r="F127" s="265">
        <v>1.8653000000000003E-2</v>
      </c>
      <c r="G127" s="265">
        <v>1.6421999999999999E-2</v>
      </c>
      <c r="H127" s="275" t="s">
        <v>1229</v>
      </c>
      <c r="I127" s="267">
        <v>9.835E-3</v>
      </c>
      <c r="J127" s="267">
        <v>8.3999999999999995E-3</v>
      </c>
      <c r="K127" s="267">
        <v>6.8710000000000004E-3</v>
      </c>
      <c r="L127" s="267"/>
    </row>
    <row r="128" spans="1:12">
      <c r="A128" s="261" t="s">
        <v>1121</v>
      </c>
      <c r="B128" s="271"/>
      <c r="C128" s="265"/>
      <c r="D128" s="279"/>
      <c r="E128" s="266"/>
      <c r="F128" s="267"/>
      <c r="G128" s="267"/>
    </row>
    <row r="129" spans="1:12">
      <c r="A129" s="261" t="s">
        <v>1122</v>
      </c>
      <c r="B129" s="271">
        <v>0.23199999999999998</v>
      </c>
      <c r="C129" s="265">
        <v>3.1532400000000002E-2</v>
      </c>
      <c r="D129" s="280" t="s">
        <v>1229</v>
      </c>
      <c r="E129" s="280" t="s">
        <v>1499</v>
      </c>
      <c r="F129" s="280" t="s">
        <v>1499</v>
      </c>
      <c r="G129" s="280" t="s">
        <v>1499</v>
      </c>
      <c r="H129" s="280" t="s">
        <v>1499</v>
      </c>
      <c r="I129" s="280" t="s">
        <v>1499</v>
      </c>
      <c r="J129" s="280" t="s">
        <v>1229</v>
      </c>
      <c r="K129" s="464" t="s">
        <v>1229</v>
      </c>
      <c r="L129" s="464"/>
    </row>
    <row r="130" spans="1:12">
      <c r="A130" s="261" t="s">
        <v>1123</v>
      </c>
      <c r="B130" s="271">
        <v>9.0000000000000011E-3</v>
      </c>
      <c r="C130" s="265">
        <v>5.3745200000000007E-3</v>
      </c>
      <c r="D130" s="280" t="s">
        <v>1229</v>
      </c>
      <c r="E130" s="269">
        <v>2.21996E-3</v>
      </c>
      <c r="F130" s="265">
        <v>8.7110000000000009E-4</v>
      </c>
      <c r="G130" s="265">
        <v>2.2169999999999999E-4</v>
      </c>
      <c r="H130" s="280" t="s">
        <v>1229</v>
      </c>
      <c r="I130" s="280" t="s">
        <v>1229</v>
      </c>
      <c r="J130" s="280" t="s">
        <v>1229</v>
      </c>
      <c r="K130" s="269" t="s">
        <v>1229</v>
      </c>
      <c r="L130" s="269"/>
    </row>
    <row r="131" spans="1:12">
      <c r="A131" s="261" t="s">
        <v>1124</v>
      </c>
      <c r="B131" s="271">
        <v>83.768000000000001</v>
      </c>
      <c r="C131" s="265">
        <v>79.274719290000007</v>
      </c>
      <c r="D131" s="279">
        <v>60</v>
      </c>
      <c r="E131" s="269">
        <v>56.122541620000007</v>
      </c>
      <c r="F131" s="265">
        <v>50.790959799999996</v>
      </c>
      <c r="G131" s="265">
        <v>-0.30956419999999996</v>
      </c>
      <c r="H131" s="265">
        <v>17</v>
      </c>
      <c r="I131" s="267">
        <v>5.3884212500000004</v>
      </c>
      <c r="J131" s="267">
        <v>3.6303000000000001</v>
      </c>
      <c r="K131" s="267">
        <v>0.88703849999999995</v>
      </c>
      <c r="L131" s="267">
        <v>-0.68458631999999997</v>
      </c>
    </row>
    <row r="132" spans="1:12">
      <c r="A132" s="261" t="s">
        <v>1125</v>
      </c>
      <c r="B132" s="271">
        <v>1.6890000000000001</v>
      </c>
      <c r="C132" s="265">
        <v>1.2702064399999999</v>
      </c>
      <c r="D132" s="279">
        <v>2</v>
      </c>
      <c r="E132" s="269">
        <v>0.89474878000000002</v>
      </c>
      <c r="F132" s="265">
        <v>0.29191700000000004</v>
      </c>
      <c r="G132" s="265">
        <v>0.17101940000000002</v>
      </c>
      <c r="H132" s="265">
        <v>0</v>
      </c>
      <c r="I132" s="267">
        <v>9.9263000000000004E-2</v>
      </c>
      <c r="J132" s="267">
        <v>4.9500000000000002E-2</v>
      </c>
      <c r="K132" s="267">
        <v>4.3596000000000003E-2</v>
      </c>
      <c r="L132" s="267"/>
    </row>
    <row r="133" spans="1:12">
      <c r="A133" s="261" t="s">
        <v>1126</v>
      </c>
      <c r="B133" s="277" t="s">
        <v>1499</v>
      </c>
      <c r="C133" s="275" t="s">
        <v>1499</v>
      </c>
      <c r="D133" s="279">
        <v>24</v>
      </c>
      <c r="E133" s="269">
        <v>25.39223801</v>
      </c>
      <c r="F133" s="265">
        <v>7.8033403999999997</v>
      </c>
      <c r="G133" s="265">
        <v>5.6467791000000007</v>
      </c>
      <c r="H133" s="265">
        <v>8</v>
      </c>
      <c r="I133" s="267">
        <v>5.2101201899999996</v>
      </c>
      <c r="J133" s="267">
        <v>4.2713999999999999</v>
      </c>
      <c r="K133" s="267">
        <v>2.30221915</v>
      </c>
      <c r="L133" s="267">
        <v>1.3610228600000001</v>
      </c>
    </row>
    <row r="134" spans="1:12">
      <c r="A134" s="261" t="s">
        <v>103</v>
      </c>
      <c r="B134" s="271">
        <v>1897.7670000000001</v>
      </c>
      <c r="C134" s="265">
        <v>-37.216162869999998</v>
      </c>
      <c r="D134" s="280" t="s">
        <v>1229</v>
      </c>
      <c r="E134" s="280" t="s">
        <v>1499</v>
      </c>
      <c r="F134" s="280" t="s">
        <v>1499</v>
      </c>
      <c r="G134" s="280" t="s">
        <v>1499</v>
      </c>
      <c r="H134" s="280" t="s">
        <v>1499</v>
      </c>
      <c r="I134" s="280" t="s">
        <v>1499</v>
      </c>
      <c r="J134" s="280">
        <v>0</v>
      </c>
      <c r="K134" s="269" t="s">
        <v>1229</v>
      </c>
      <c r="L134" s="269"/>
    </row>
    <row r="135" spans="1:12">
      <c r="A135" s="261" t="s">
        <v>104</v>
      </c>
      <c r="E135" s="266"/>
      <c r="I135" s="280"/>
      <c r="J135" s="280"/>
      <c r="K135" s="269"/>
      <c r="L135" s="269"/>
    </row>
    <row r="136" spans="1:12">
      <c r="A136" s="276" t="s">
        <v>906</v>
      </c>
      <c r="B136" s="271">
        <v>6.5000000000000002E-2</v>
      </c>
      <c r="C136" s="269" t="s">
        <v>1229</v>
      </c>
      <c r="D136" s="270" t="s">
        <v>1229</v>
      </c>
      <c r="E136" s="270" t="s">
        <v>1499</v>
      </c>
      <c r="F136" s="270" t="s">
        <v>1499</v>
      </c>
      <c r="G136" s="270" t="s">
        <v>1499</v>
      </c>
      <c r="H136" s="270" t="s">
        <v>1499</v>
      </c>
      <c r="I136" s="270" t="s">
        <v>1499</v>
      </c>
      <c r="J136" s="270" t="s">
        <v>1229</v>
      </c>
      <c r="K136" s="269" t="s">
        <v>1229</v>
      </c>
      <c r="L136" s="269"/>
    </row>
    <row r="137" spans="1:12">
      <c r="A137" s="261" t="s">
        <v>907</v>
      </c>
      <c r="B137" s="271">
        <v>2.5860000000000003</v>
      </c>
      <c r="C137" s="269" t="s">
        <v>1229</v>
      </c>
      <c r="D137" s="280" t="s">
        <v>1229</v>
      </c>
      <c r="E137" s="280" t="s">
        <v>1499</v>
      </c>
      <c r="F137" s="280" t="s">
        <v>1499</v>
      </c>
      <c r="G137" s="280" t="s">
        <v>1499</v>
      </c>
      <c r="H137" s="280" t="s">
        <v>1499</v>
      </c>
      <c r="I137" s="280" t="s">
        <v>1499</v>
      </c>
      <c r="J137" s="280">
        <v>0</v>
      </c>
      <c r="K137" s="269" t="s">
        <v>1229</v>
      </c>
      <c r="L137" s="269"/>
    </row>
    <row r="138" spans="1:12">
      <c r="A138" s="276" t="s">
        <v>908</v>
      </c>
      <c r="D138" s="280"/>
      <c r="E138" s="266"/>
      <c r="F138" s="267"/>
      <c r="G138" s="267"/>
      <c r="K138" s="267"/>
      <c r="L138" s="267"/>
    </row>
    <row r="139" spans="1:12">
      <c r="A139" s="276" t="s">
        <v>909</v>
      </c>
      <c r="B139" s="271">
        <v>7.0000000000000007E-2</v>
      </c>
      <c r="C139" s="265">
        <v>3.1712000000000004E-2</v>
      </c>
      <c r="D139" s="280" t="s">
        <v>1229</v>
      </c>
      <c r="E139" s="269">
        <v>3.4862999999999998E-2</v>
      </c>
      <c r="F139" s="265">
        <v>4.2332000000000002E-2</v>
      </c>
      <c r="G139" s="265">
        <v>5.0527000000000002E-2</v>
      </c>
      <c r="H139" s="265">
        <v>0</v>
      </c>
      <c r="I139" s="265">
        <v>0</v>
      </c>
      <c r="J139" s="265">
        <v>2.5000000000000001E-2</v>
      </c>
      <c r="K139" s="265">
        <v>1.3348E-2</v>
      </c>
      <c r="L139" s="265"/>
    </row>
    <row r="140" spans="1:12">
      <c r="A140" s="261" t="s">
        <v>1286</v>
      </c>
      <c r="B140" s="271">
        <v>42.612000000000002</v>
      </c>
      <c r="C140" s="265">
        <v>46.110979999999998</v>
      </c>
      <c r="D140" s="279">
        <v>44</v>
      </c>
      <c r="E140" s="269">
        <v>39.049607999999999</v>
      </c>
      <c r="F140" s="265">
        <v>39.696964000000001</v>
      </c>
      <c r="G140" s="265">
        <v>27.983990000000002</v>
      </c>
      <c r="H140" s="265">
        <v>22</v>
      </c>
      <c r="I140" s="267">
        <v>31.577950000000001</v>
      </c>
      <c r="J140" s="267">
        <v>43.0002</v>
      </c>
      <c r="K140" s="267">
        <v>57.547138750000002</v>
      </c>
      <c r="L140" s="267">
        <v>60.677605999999997</v>
      </c>
    </row>
    <row r="141" spans="1:12">
      <c r="A141" s="261" t="s">
        <v>1287</v>
      </c>
      <c r="B141" s="277" t="s">
        <v>1499</v>
      </c>
      <c r="C141" s="275" t="s">
        <v>1499</v>
      </c>
      <c r="D141" s="280">
        <v>1179</v>
      </c>
      <c r="E141" s="269">
        <v>1438</v>
      </c>
      <c r="F141" s="265">
        <v>1654.4366940000002</v>
      </c>
      <c r="G141" s="265">
        <v>2008.5824810000001</v>
      </c>
      <c r="H141" s="265">
        <v>2438</v>
      </c>
      <c r="I141" s="267">
        <v>2930.1098619999998</v>
      </c>
      <c r="J141" s="267">
        <v>3336.0246000000002</v>
      </c>
      <c r="K141" s="267">
        <v>3937.2343019999998</v>
      </c>
      <c r="L141" s="267">
        <v>4325.5546990000003</v>
      </c>
    </row>
    <row r="142" spans="1:12">
      <c r="A142" s="261" t="s">
        <v>1288</v>
      </c>
      <c r="B142" s="271">
        <v>77.917000000000002</v>
      </c>
      <c r="C142" s="280" t="s">
        <v>1229</v>
      </c>
      <c r="D142" s="280" t="s">
        <v>1229</v>
      </c>
      <c r="E142" s="269" t="s">
        <v>1499</v>
      </c>
      <c r="F142" s="269" t="s">
        <v>1499</v>
      </c>
      <c r="G142" s="269" t="s">
        <v>1499</v>
      </c>
      <c r="H142" s="269" t="s">
        <v>1499</v>
      </c>
      <c r="I142" s="269" t="s">
        <v>1499</v>
      </c>
      <c r="J142" s="269" t="s">
        <v>1229</v>
      </c>
      <c r="K142" s="269" t="s">
        <v>1229</v>
      </c>
      <c r="L142" s="269"/>
    </row>
    <row r="143" spans="1:12">
      <c r="A143" s="261" t="s">
        <v>54</v>
      </c>
      <c r="B143" s="271">
        <v>4.2460000000000004</v>
      </c>
      <c r="C143" s="265">
        <v>6.7732449600000004</v>
      </c>
      <c r="D143" s="279">
        <v>2</v>
      </c>
      <c r="E143" s="269">
        <v>4.0005441300000006</v>
      </c>
      <c r="F143" s="265">
        <v>1.9492287000000001</v>
      </c>
      <c r="G143" s="280" t="s">
        <v>1229</v>
      </c>
      <c r="H143" s="269" t="s">
        <v>1499</v>
      </c>
      <c r="I143" s="269" t="s">
        <v>1499</v>
      </c>
      <c r="J143" s="269" t="s">
        <v>1229</v>
      </c>
      <c r="K143" s="269" t="s">
        <v>1229</v>
      </c>
      <c r="L143" s="269"/>
    </row>
    <row r="144" spans="1:12">
      <c r="A144" s="261" t="s">
        <v>79</v>
      </c>
      <c r="B144" s="271">
        <v>468.67199999999997</v>
      </c>
      <c r="C144" s="265">
        <v>265.40232164999998</v>
      </c>
      <c r="D144" s="279">
        <v>34</v>
      </c>
      <c r="E144" s="280" t="s">
        <v>1229</v>
      </c>
      <c r="F144" s="280" t="s">
        <v>1229</v>
      </c>
      <c r="G144" s="280" t="s">
        <v>1499</v>
      </c>
      <c r="H144" s="269" t="s">
        <v>1499</v>
      </c>
      <c r="I144" s="269" t="s">
        <v>1499</v>
      </c>
      <c r="J144" s="269" t="s">
        <v>1229</v>
      </c>
      <c r="K144" s="269" t="s">
        <v>1229</v>
      </c>
      <c r="L144" s="269"/>
    </row>
    <row r="145" spans="1:12">
      <c r="A145" s="276" t="s">
        <v>80</v>
      </c>
      <c r="B145" s="280" t="s">
        <v>1229</v>
      </c>
      <c r="C145" s="265">
        <v>0.22561</v>
      </c>
      <c r="D145" s="280" t="s">
        <v>1229</v>
      </c>
      <c r="E145" s="280" t="s">
        <v>1229</v>
      </c>
      <c r="F145" s="280" t="s">
        <v>1229</v>
      </c>
      <c r="G145" s="280" t="s">
        <v>1229</v>
      </c>
      <c r="H145" s="269" t="s">
        <v>1499</v>
      </c>
      <c r="I145" s="269" t="s">
        <v>1499</v>
      </c>
      <c r="J145" s="269" t="s">
        <v>1229</v>
      </c>
      <c r="K145" s="269" t="s">
        <v>1229</v>
      </c>
      <c r="L145" s="269"/>
    </row>
    <row r="146" spans="1:12">
      <c r="A146" s="276" t="s">
        <v>81</v>
      </c>
      <c r="B146" s="271">
        <v>1.2E-2</v>
      </c>
      <c r="C146" s="265">
        <v>2.8551590000000002E-2</v>
      </c>
      <c r="D146" s="280" t="s">
        <v>1229</v>
      </c>
      <c r="E146" s="269">
        <v>2.419E-4</v>
      </c>
      <c r="F146" s="280" t="s">
        <v>1229</v>
      </c>
      <c r="G146" s="280" t="s">
        <v>1499</v>
      </c>
      <c r="H146" s="269" t="s">
        <v>1499</v>
      </c>
      <c r="I146" s="269" t="s">
        <v>1499</v>
      </c>
      <c r="J146" s="269" t="s">
        <v>1229</v>
      </c>
      <c r="K146" s="269" t="s">
        <v>1229</v>
      </c>
      <c r="L146" s="269"/>
    </row>
    <row r="147" spans="1:12">
      <c r="A147" s="261" t="s">
        <v>82</v>
      </c>
      <c r="B147" s="271">
        <v>4.3470000000000004</v>
      </c>
      <c r="C147" s="269" t="s">
        <v>1229</v>
      </c>
      <c r="D147" s="270" t="s">
        <v>1229</v>
      </c>
      <c r="E147" s="270" t="s">
        <v>1499</v>
      </c>
      <c r="F147" s="270" t="s">
        <v>1499</v>
      </c>
      <c r="G147" s="270" t="s">
        <v>1499</v>
      </c>
      <c r="H147" s="269" t="s">
        <v>1499</v>
      </c>
      <c r="I147" s="269" t="s">
        <v>1499</v>
      </c>
      <c r="J147" s="269" t="s">
        <v>1229</v>
      </c>
      <c r="K147" s="269" t="s">
        <v>1229</v>
      </c>
      <c r="L147" s="269"/>
    </row>
    <row r="148" spans="1:12">
      <c r="A148" s="261" t="s">
        <v>83</v>
      </c>
      <c r="B148" s="271" t="s">
        <v>84</v>
      </c>
      <c r="E148" s="266"/>
      <c r="F148" s="267"/>
      <c r="K148" s="267"/>
      <c r="L148" s="267"/>
    </row>
    <row r="149" spans="1:12">
      <c r="A149" s="261" t="s">
        <v>85</v>
      </c>
      <c r="B149" s="271">
        <v>5.0000000000000001E-3</v>
      </c>
      <c r="C149" s="269" t="s">
        <v>1229</v>
      </c>
      <c r="D149" s="270" t="s">
        <v>1229</v>
      </c>
      <c r="E149" s="270" t="s">
        <v>1499</v>
      </c>
      <c r="F149" s="270" t="s">
        <v>1499</v>
      </c>
      <c r="G149" s="270" t="s">
        <v>1499</v>
      </c>
      <c r="H149" s="270" t="s">
        <v>1499</v>
      </c>
      <c r="I149" s="270" t="s">
        <v>1499</v>
      </c>
      <c r="J149" s="270" t="s">
        <v>1229</v>
      </c>
      <c r="K149" s="269" t="s">
        <v>1229</v>
      </c>
      <c r="L149" s="269"/>
    </row>
    <row r="150" spans="1:12">
      <c r="A150" s="261" t="s">
        <v>86</v>
      </c>
      <c r="B150" s="271" t="s">
        <v>84</v>
      </c>
      <c r="G150" s="265"/>
      <c r="K150" s="267"/>
      <c r="L150" s="267"/>
    </row>
    <row r="151" spans="1:12">
      <c r="A151" s="261" t="s">
        <v>87</v>
      </c>
      <c r="B151" s="271">
        <v>1.103</v>
      </c>
      <c r="C151" s="265">
        <v>0.47208050000000001</v>
      </c>
      <c r="D151" s="279">
        <v>2</v>
      </c>
      <c r="E151" s="269">
        <v>1.2811884600000001</v>
      </c>
      <c r="F151" s="265">
        <v>1.2631995</v>
      </c>
      <c r="G151" s="284">
        <v>3.3235300000000002E-2</v>
      </c>
      <c r="H151" s="265">
        <v>0</v>
      </c>
      <c r="I151" s="267">
        <v>0.16628799999999999</v>
      </c>
      <c r="J151" s="267">
        <v>5.8700000000000002E-2</v>
      </c>
      <c r="K151" s="267">
        <v>0.16148299999999999</v>
      </c>
      <c r="L151" s="267"/>
    </row>
    <row r="152" spans="1:12">
      <c r="A152" s="261" t="s">
        <v>88</v>
      </c>
      <c r="B152" s="271">
        <v>4.8719999999999999</v>
      </c>
      <c r="C152" s="265">
        <v>3.4512675499999985</v>
      </c>
      <c r="D152" s="279">
        <v>2</v>
      </c>
      <c r="E152" s="269">
        <v>1.77858893</v>
      </c>
      <c r="F152" s="265">
        <v>1.3003188999999999</v>
      </c>
      <c r="G152" s="280">
        <v>1.2568577000000001</v>
      </c>
      <c r="H152" s="265">
        <v>1</v>
      </c>
      <c r="I152" s="267">
        <v>0.84028009000000004</v>
      </c>
      <c r="J152" s="267">
        <v>0.52359999999999995</v>
      </c>
      <c r="K152" s="269" t="s">
        <v>1229</v>
      </c>
      <c r="L152" s="269"/>
    </row>
    <row r="153" spans="1:12">
      <c r="A153" s="261" t="s">
        <v>89</v>
      </c>
      <c r="B153" s="271">
        <v>240.96600000000001</v>
      </c>
      <c r="C153" s="265">
        <v>377.27504864000008</v>
      </c>
      <c r="D153" s="279">
        <v>37</v>
      </c>
      <c r="E153" s="269">
        <v>60.371185799999999</v>
      </c>
      <c r="F153" s="265">
        <v>16.099736200000006</v>
      </c>
      <c r="G153" s="280">
        <v>26.434374199999997</v>
      </c>
      <c r="H153" s="265">
        <v>42</v>
      </c>
      <c r="I153" s="267">
        <v>55.821426250000002</v>
      </c>
      <c r="J153" s="267">
        <v>54.097299999999997</v>
      </c>
      <c r="K153" s="267">
        <v>22.213881529999998</v>
      </c>
      <c r="L153" s="267">
        <v>25.239550309999998</v>
      </c>
    </row>
    <row r="154" spans="1:12">
      <c r="A154" s="276" t="s">
        <v>670</v>
      </c>
      <c r="B154" s="271">
        <v>89.879000000000005</v>
      </c>
      <c r="C154" s="265">
        <v>68.79204498</v>
      </c>
      <c r="D154" s="279">
        <v>23</v>
      </c>
      <c r="E154" s="269">
        <v>2.4372838799999998</v>
      </c>
      <c r="F154" s="265">
        <v>1.1850606000000001</v>
      </c>
      <c r="G154" s="280" t="s">
        <v>1229</v>
      </c>
      <c r="H154" s="265">
        <v>0</v>
      </c>
      <c r="I154" s="267">
        <v>0.14867164999999999</v>
      </c>
      <c r="J154" s="269" t="s">
        <v>1229</v>
      </c>
      <c r="K154" s="269" t="s">
        <v>1229</v>
      </c>
      <c r="L154" s="269"/>
    </row>
    <row r="155" spans="1:12">
      <c r="A155" s="276" t="s">
        <v>671</v>
      </c>
      <c r="B155" s="277" t="s">
        <v>1499</v>
      </c>
      <c r="C155" s="275" t="s">
        <v>1499</v>
      </c>
      <c r="D155" s="280" t="s">
        <v>1499</v>
      </c>
      <c r="E155" s="269">
        <v>20.155588999999999</v>
      </c>
      <c r="F155" s="265">
        <v>439.18746000000004</v>
      </c>
      <c r="G155" s="280">
        <v>1036.9210820000001</v>
      </c>
      <c r="H155" s="265">
        <v>1794</v>
      </c>
      <c r="I155" s="267">
        <v>1691.70246677</v>
      </c>
      <c r="J155" s="267">
        <v>1332.3318999999999</v>
      </c>
      <c r="K155" s="267">
        <v>556.42516253999997</v>
      </c>
      <c r="L155" s="267">
        <v>1341.7157769</v>
      </c>
    </row>
    <row r="156" spans="1:12">
      <c r="F156" s="267"/>
      <c r="G156" s="267"/>
    </row>
    <row r="157" spans="1:12">
      <c r="A157" s="282" t="s">
        <v>672</v>
      </c>
      <c r="B157" s="283">
        <v>5658.7729999999992</v>
      </c>
      <c r="C157" s="283">
        <v>6412.7286182000007</v>
      </c>
      <c r="D157" s="283">
        <v>13054</v>
      </c>
      <c r="E157" s="283">
        <v>8922.8556435999999</v>
      </c>
      <c r="F157" s="283">
        <v>7971.544206300001</v>
      </c>
      <c r="G157" s="283">
        <v>16827.206687400001</v>
      </c>
      <c r="H157" s="283">
        <v>4991</v>
      </c>
      <c r="I157" s="283">
        <v>4200.6890833099997</v>
      </c>
      <c r="J157" s="283">
        <v>4515.9336000000003</v>
      </c>
      <c r="K157" s="283">
        <v>7597.2004467999996</v>
      </c>
      <c r="L157" s="283">
        <v>12143.444007</v>
      </c>
    </row>
    <row r="158" spans="1:12">
      <c r="A158" s="261" t="s">
        <v>673</v>
      </c>
      <c r="B158" s="271">
        <v>5658.7729999999992</v>
      </c>
      <c r="C158" s="265">
        <v>6412.7286182000007</v>
      </c>
      <c r="D158" s="279">
        <v>13054</v>
      </c>
      <c r="E158" s="269">
        <v>8922.8556435999999</v>
      </c>
      <c r="F158" s="265">
        <v>7971.544206300001</v>
      </c>
      <c r="G158" s="265">
        <v>16827.206687400001</v>
      </c>
      <c r="H158" s="265">
        <v>4991</v>
      </c>
      <c r="I158" s="267">
        <v>4200.6890833099997</v>
      </c>
      <c r="J158" s="267">
        <v>4515.9336000000003</v>
      </c>
      <c r="K158" s="267">
        <v>7597.2004467999996</v>
      </c>
      <c r="L158" s="267">
        <v>12143.444007</v>
      </c>
    </row>
    <row r="159" spans="1:12">
      <c r="E159" s="269"/>
      <c r="F159" s="267"/>
      <c r="G159" s="267"/>
    </row>
    <row r="160" spans="1:12">
      <c r="A160" s="282" t="s">
        <v>1297</v>
      </c>
      <c r="B160" s="264">
        <v>4434.2559999999994</v>
      </c>
      <c r="C160" s="264">
        <v>5509.5858996500001</v>
      </c>
      <c r="D160" s="264">
        <v>6037</v>
      </c>
      <c r="E160" s="264">
        <v>7546.3097733600016</v>
      </c>
      <c r="F160" s="264">
        <v>7694.0671667999986</v>
      </c>
      <c r="G160" s="264">
        <v>7432.2805790999992</v>
      </c>
      <c r="H160" s="264">
        <v>5833</v>
      </c>
      <c r="I160" s="264">
        <v>5841.9747288900007</v>
      </c>
      <c r="J160" s="264">
        <v>6220.9453999999987</v>
      </c>
      <c r="K160" s="264">
        <v>6676.7754582899997</v>
      </c>
      <c r="L160" s="264">
        <v>6658.5851396699991</v>
      </c>
    </row>
    <row r="161" spans="1:12">
      <c r="A161" s="261" t="s">
        <v>675</v>
      </c>
      <c r="B161" s="271">
        <v>523.96600000000001</v>
      </c>
      <c r="C161" s="265">
        <v>537.11880900999995</v>
      </c>
      <c r="D161" s="279">
        <v>582</v>
      </c>
      <c r="E161" s="269">
        <v>625.28059338000003</v>
      </c>
      <c r="F161" s="265">
        <v>652.80214839999996</v>
      </c>
      <c r="G161" s="265">
        <v>573.4962058000001</v>
      </c>
      <c r="H161" s="265">
        <v>441</v>
      </c>
      <c r="I161" s="285">
        <v>485.57518500999998</v>
      </c>
      <c r="J161" s="285">
        <v>501.96230000000003</v>
      </c>
      <c r="K161" s="285">
        <v>525.17603398000006</v>
      </c>
      <c r="L161" s="285">
        <v>578.13169968</v>
      </c>
    </row>
    <row r="162" spans="1:12">
      <c r="A162" s="261" t="s">
        <v>1262</v>
      </c>
      <c r="B162" s="270" t="s">
        <v>1229</v>
      </c>
      <c r="C162" s="265">
        <v>281.20438399999995</v>
      </c>
      <c r="D162" s="279">
        <v>276</v>
      </c>
      <c r="E162" s="269">
        <v>344.33190259999998</v>
      </c>
      <c r="F162" s="265">
        <v>425.5169745</v>
      </c>
      <c r="G162" s="265">
        <v>450.48601500000001</v>
      </c>
      <c r="H162" s="265">
        <v>525</v>
      </c>
      <c r="I162" s="285">
        <v>397.55932899999999</v>
      </c>
      <c r="J162" s="285">
        <v>411.12099999999998</v>
      </c>
      <c r="K162" s="285">
        <v>370.46129000000002</v>
      </c>
      <c r="L162" s="285">
        <v>331.39973199999997</v>
      </c>
    </row>
    <row r="163" spans="1:12">
      <c r="A163" s="276" t="s">
        <v>1263</v>
      </c>
      <c r="B163" s="271">
        <v>6.9269999999999996</v>
      </c>
      <c r="C163" s="270" t="s">
        <v>1229</v>
      </c>
      <c r="D163" s="279">
        <v>5</v>
      </c>
      <c r="E163" s="269">
        <v>4.4640000000000004</v>
      </c>
      <c r="F163" s="265">
        <v>4.8070000000000004</v>
      </c>
      <c r="G163" s="265">
        <v>5.0460000000000003</v>
      </c>
      <c r="H163" s="265">
        <v>6</v>
      </c>
      <c r="I163" s="285">
        <v>6.0629999999999997</v>
      </c>
      <c r="J163" s="285">
        <v>6.2149999999999999</v>
      </c>
      <c r="K163" s="285">
        <v>6.3970000000000002</v>
      </c>
      <c r="L163" s="285">
        <v>6.4889999999999999</v>
      </c>
    </row>
    <row r="164" spans="1:12">
      <c r="A164" s="261" t="s">
        <v>1264</v>
      </c>
      <c r="B164" s="271">
        <v>9.609</v>
      </c>
      <c r="C164" s="265">
        <v>10.544456</v>
      </c>
      <c r="D164" s="279">
        <v>11</v>
      </c>
      <c r="E164" s="269">
        <v>8.7751599999999996</v>
      </c>
      <c r="F164" s="265">
        <v>6.8545060000000007</v>
      </c>
      <c r="G164" s="265">
        <v>7.9335940000000003</v>
      </c>
      <c r="H164" s="265">
        <v>8</v>
      </c>
      <c r="I164" s="285">
        <v>9.4252409999999998</v>
      </c>
      <c r="J164" s="285">
        <v>9.7964000000000002</v>
      </c>
      <c r="K164" s="285">
        <v>10.555505</v>
      </c>
      <c r="L164" s="285">
        <v>10.5834492</v>
      </c>
    </row>
    <row r="165" spans="1:12">
      <c r="A165" s="261" t="s">
        <v>1265</v>
      </c>
      <c r="B165" s="277" t="s">
        <v>1499</v>
      </c>
      <c r="C165" s="275" t="s">
        <v>1499</v>
      </c>
      <c r="D165" s="280" t="s">
        <v>1499</v>
      </c>
      <c r="E165" s="269">
        <v>2.1624509999999999</v>
      </c>
      <c r="F165" s="265">
        <v>12.832746</v>
      </c>
      <c r="G165" s="265">
        <v>5.7086800000000002</v>
      </c>
      <c r="H165" s="265">
        <v>0</v>
      </c>
      <c r="I165" s="270" t="s">
        <v>1229</v>
      </c>
      <c r="J165" s="270" t="s">
        <v>1229</v>
      </c>
      <c r="K165" s="270" t="s">
        <v>1229</v>
      </c>
      <c r="L165" s="270" t="s">
        <v>1229</v>
      </c>
    </row>
    <row r="166" spans="1:12">
      <c r="A166" s="261" t="s">
        <v>1015</v>
      </c>
      <c r="B166" s="271">
        <v>339.065</v>
      </c>
      <c r="C166" s="265">
        <v>206.87452400000001</v>
      </c>
      <c r="D166" s="279">
        <v>371</v>
      </c>
      <c r="E166" s="269">
        <v>323.12210444000004</v>
      </c>
      <c r="F166" s="265">
        <v>232.89760899999999</v>
      </c>
      <c r="G166" s="265">
        <v>166.89884500000002</v>
      </c>
      <c r="H166" s="280" t="s">
        <v>1229</v>
      </c>
      <c r="I166" s="280" t="s">
        <v>1229</v>
      </c>
      <c r="J166" s="280" t="s">
        <v>1229</v>
      </c>
      <c r="K166" s="280" t="s">
        <v>1229</v>
      </c>
      <c r="L166" s="280" t="s">
        <v>1229</v>
      </c>
    </row>
    <row r="167" spans="1:12">
      <c r="A167" s="261" t="s">
        <v>1016</v>
      </c>
      <c r="B167" s="271">
        <v>605.69799999999998</v>
      </c>
      <c r="C167" s="265">
        <v>1228.1064389999999</v>
      </c>
      <c r="D167" s="279">
        <v>1719</v>
      </c>
      <c r="E167" s="269">
        <v>2491.5037670000002</v>
      </c>
      <c r="F167" s="265">
        <v>2530.3261050000001</v>
      </c>
      <c r="G167" s="265">
        <v>2586.2633310000001</v>
      </c>
      <c r="H167" s="265">
        <v>2646</v>
      </c>
      <c r="I167" s="285">
        <v>2816.9471210000002</v>
      </c>
      <c r="J167" s="285">
        <v>3010.3728000000001</v>
      </c>
      <c r="K167" s="285">
        <v>3068.3632929999999</v>
      </c>
      <c r="L167" s="285">
        <v>3102.0690725999998</v>
      </c>
    </row>
    <row r="168" spans="1:12">
      <c r="A168" s="261" t="s">
        <v>1017</v>
      </c>
      <c r="B168" s="277" t="s">
        <v>1229</v>
      </c>
      <c r="C168" s="265">
        <v>64.342749999999995</v>
      </c>
      <c r="D168" s="279">
        <v>64</v>
      </c>
      <c r="E168" s="269">
        <v>66.012172000000007</v>
      </c>
      <c r="F168" s="265">
        <v>65.814954</v>
      </c>
      <c r="G168" s="265">
        <v>65.975825999999998</v>
      </c>
      <c r="H168" s="265">
        <v>66</v>
      </c>
      <c r="I168" s="285">
        <v>65.959833000000003</v>
      </c>
      <c r="J168" s="285">
        <v>77.302700000000002</v>
      </c>
      <c r="K168" s="285">
        <v>77.542338999999998</v>
      </c>
      <c r="L168" s="285">
        <v>77.644317999999998</v>
      </c>
    </row>
    <row r="169" spans="1:12">
      <c r="A169" s="261" t="s">
        <v>1018</v>
      </c>
      <c r="B169" s="271">
        <v>5.64</v>
      </c>
      <c r="C169" s="265">
        <v>4.0979999999999999</v>
      </c>
      <c r="D169" s="279">
        <v>15</v>
      </c>
      <c r="E169" s="269">
        <v>14.7623</v>
      </c>
      <c r="F169" s="265">
        <v>15.59811</v>
      </c>
      <c r="G169" s="265">
        <v>17.384113000000003</v>
      </c>
      <c r="H169" s="265">
        <v>20</v>
      </c>
      <c r="I169" s="285">
        <v>19.442215999999998</v>
      </c>
      <c r="J169" s="285">
        <v>22.481999999999999</v>
      </c>
      <c r="K169" s="285">
        <v>21.080873</v>
      </c>
      <c r="L169" s="285">
        <v>24.009440000000001</v>
      </c>
    </row>
    <row r="170" spans="1:12">
      <c r="A170" s="261" t="s">
        <v>1423</v>
      </c>
      <c r="B170" s="271">
        <v>9.4320000000000004</v>
      </c>
      <c r="C170" s="265">
        <v>5.7768839999999999</v>
      </c>
      <c r="D170" s="279">
        <v>33</v>
      </c>
      <c r="E170" s="269">
        <v>-3.6104726399999998</v>
      </c>
      <c r="F170" s="265">
        <v>10.110761500000001</v>
      </c>
      <c r="G170" s="265">
        <v>8.7978381999999993</v>
      </c>
      <c r="H170" s="265">
        <v>9</v>
      </c>
      <c r="I170" s="285">
        <v>7.7237539999999996</v>
      </c>
      <c r="J170" s="285">
        <v>8.8485999999999994</v>
      </c>
      <c r="K170" s="285">
        <v>7.3387374999999997</v>
      </c>
      <c r="L170" s="285">
        <v>8.2443445000000004</v>
      </c>
    </row>
    <row r="171" spans="1:12">
      <c r="A171" s="276" t="s">
        <v>105</v>
      </c>
      <c r="B171" s="271">
        <v>35.374000000000002</v>
      </c>
      <c r="C171" s="265">
        <v>64.425991999999994</v>
      </c>
      <c r="D171" s="279">
        <v>53</v>
      </c>
      <c r="E171" s="269">
        <v>55.935330999999998</v>
      </c>
      <c r="F171" s="265">
        <v>66.31711</v>
      </c>
      <c r="G171" s="265">
        <v>79.472026</v>
      </c>
      <c r="H171" s="265">
        <v>200</v>
      </c>
      <c r="I171" s="285">
        <v>90.66046034</v>
      </c>
      <c r="J171" s="285">
        <v>87.358900000000006</v>
      </c>
      <c r="K171" s="285">
        <v>74.357263000000003</v>
      </c>
      <c r="L171" s="285">
        <v>62.652293620000002</v>
      </c>
    </row>
    <row r="172" spans="1:12">
      <c r="A172" s="261" t="s">
        <v>106</v>
      </c>
      <c r="B172" s="271">
        <v>3.59</v>
      </c>
      <c r="C172" s="265">
        <v>1.4411830000000001</v>
      </c>
      <c r="D172" s="279">
        <v>1</v>
      </c>
      <c r="E172" s="269">
        <v>1.1702750000000002</v>
      </c>
      <c r="F172" s="265">
        <v>1.0355924999999999</v>
      </c>
      <c r="G172" s="265">
        <v>1.0749300000000002</v>
      </c>
      <c r="H172" s="265">
        <v>1</v>
      </c>
      <c r="I172" s="285">
        <v>1.2726949999999999</v>
      </c>
      <c r="J172" s="285">
        <v>1.3492</v>
      </c>
      <c r="K172" s="285">
        <v>1.4713099999999999</v>
      </c>
      <c r="L172" s="285">
        <v>1.71207</v>
      </c>
    </row>
    <row r="173" spans="1:12">
      <c r="A173" s="261" t="s">
        <v>107</v>
      </c>
      <c r="B173" s="271">
        <v>814.21</v>
      </c>
      <c r="C173" s="265">
        <v>823.51275291000002</v>
      </c>
      <c r="D173" s="279">
        <v>798</v>
      </c>
      <c r="E173" s="269">
        <v>786.89397210000004</v>
      </c>
      <c r="F173" s="265">
        <v>753.30421290000004</v>
      </c>
      <c r="G173" s="265">
        <v>769.0997059</v>
      </c>
      <c r="H173" s="265">
        <v>780</v>
      </c>
      <c r="I173" s="285">
        <v>836.30854108999995</v>
      </c>
      <c r="J173" s="285">
        <v>881.66780000000006</v>
      </c>
      <c r="K173" s="285">
        <v>916.80403598999999</v>
      </c>
      <c r="L173" s="285">
        <v>971.24294449000001</v>
      </c>
    </row>
    <row r="174" spans="1:12">
      <c r="A174" s="261" t="s">
        <v>108</v>
      </c>
      <c r="B174" s="277" t="s">
        <v>1499</v>
      </c>
      <c r="C174" s="275" t="s">
        <v>1499</v>
      </c>
      <c r="D174" s="280" t="s">
        <v>1499</v>
      </c>
      <c r="E174" s="269">
        <v>530.16660243000001</v>
      </c>
      <c r="F174" s="265">
        <v>599.77729050000005</v>
      </c>
      <c r="G174" s="265">
        <v>564.99201229999994</v>
      </c>
      <c r="H174" s="280" t="s">
        <v>1229</v>
      </c>
      <c r="I174" s="280" t="s">
        <v>1499</v>
      </c>
      <c r="J174" s="280" t="s">
        <v>1229</v>
      </c>
      <c r="K174" s="280" t="s">
        <v>1229</v>
      </c>
      <c r="L174" s="280" t="s">
        <v>1229</v>
      </c>
    </row>
    <row r="175" spans="1:12">
      <c r="A175" s="261" t="s">
        <v>109</v>
      </c>
      <c r="B175" s="271">
        <v>646.28099999999995</v>
      </c>
      <c r="C175" s="265">
        <v>568.17349712000009</v>
      </c>
      <c r="D175" s="279">
        <v>577</v>
      </c>
      <c r="E175" s="269">
        <v>562.21008288999997</v>
      </c>
      <c r="F175" s="265">
        <v>579.42692</v>
      </c>
      <c r="G175" s="265">
        <v>561.78474899999992</v>
      </c>
      <c r="H175" s="265">
        <v>22</v>
      </c>
      <c r="I175" s="285">
        <v>20.773935000000002</v>
      </c>
      <c r="J175" s="285">
        <v>21.53</v>
      </c>
      <c r="K175" s="285">
        <v>17.140812</v>
      </c>
      <c r="L175" s="285">
        <v>33.093866660000003</v>
      </c>
    </row>
    <row r="176" spans="1:12">
      <c r="A176" s="261" t="s">
        <v>110</v>
      </c>
      <c r="B176" s="271">
        <v>182.63299999999998</v>
      </c>
      <c r="C176" s="265">
        <v>263.01555322000002</v>
      </c>
      <c r="D176" s="279">
        <v>12</v>
      </c>
      <c r="E176" s="269">
        <v>3.1389645799999997</v>
      </c>
      <c r="F176" s="265">
        <v>6.1966858</v>
      </c>
      <c r="G176" s="265">
        <v>4.4329372999999999</v>
      </c>
      <c r="H176" s="265">
        <v>3</v>
      </c>
      <c r="I176" s="285">
        <v>2.130172E-2</v>
      </c>
      <c r="J176" s="285">
        <v>2.76E-2</v>
      </c>
      <c r="K176" s="285">
        <v>1.542488E-2</v>
      </c>
      <c r="L176" s="284" t="s">
        <v>1229</v>
      </c>
    </row>
    <row r="177" spans="1:12">
      <c r="A177" s="261" t="s">
        <v>111</v>
      </c>
      <c r="B177" s="271">
        <v>20.454999999999998</v>
      </c>
      <c r="C177" s="265">
        <v>20.8385262</v>
      </c>
      <c r="D177" s="279">
        <v>24</v>
      </c>
      <c r="E177" s="269">
        <v>24.002582999999998</v>
      </c>
      <c r="F177" s="265">
        <v>23.524883000000003</v>
      </c>
      <c r="G177" s="265">
        <v>23.564332000000004</v>
      </c>
      <c r="H177" s="265">
        <v>24</v>
      </c>
      <c r="I177" s="285">
        <v>30.202901000000001</v>
      </c>
      <c r="J177" s="285">
        <v>31.959800000000001</v>
      </c>
      <c r="K177" s="285">
        <v>31.983015000000002</v>
      </c>
      <c r="L177" s="285">
        <v>30.626955500000001</v>
      </c>
    </row>
    <row r="178" spans="1:12">
      <c r="A178" s="261" t="s">
        <v>112</v>
      </c>
      <c r="B178" s="271">
        <v>59.510999999999996</v>
      </c>
      <c r="C178" s="265">
        <v>134.61166180000001</v>
      </c>
      <c r="D178" s="279">
        <v>62</v>
      </c>
      <c r="E178" s="269">
        <v>70.581044269999992</v>
      </c>
      <c r="F178" s="265">
        <v>87.216732000000007</v>
      </c>
      <c r="G178" s="265">
        <v>131.6002421</v>
      </c>
      <c r="H178" s="265">
        <v>118</v>
      </c>
      <c r="I178" s="285">
        <v>112.33872346</v>
      </c>
      <c r="J178" s="285">
        <v>108.90649999999999</v>
      </c>
      <c r="K178" s="285">
        <v>106.61307518</v>
      </c>
      <c r="L178" s="285">
        <v>104.48138661999999</v>
      </c>
    </row>
    <row r="179" spans="1:12">
      <c r="A179" s="261" t="s">
        <v>113</v>
      </c>
      <c r="B179" s="271">
        <v>332.25400000000002</v>
      </c>
      <c r="C179" s="265">
        <v>400.89264250000002</v>
      </c>
      <c r="D179" s="279">
        <v>427</v>
      </c>
      <c r="E179" s="269">
        <v>389.21098678999999</v>
      </c>
      <c r="F179" s="265">
        <v>398.880878</v>
      </c>
      <c r="G179" s="265">
        <v>434.08068430000003</v>
      </c>
      <c r="H179" s="280" t="s">
        <v>1229</v>
      </c>
      <c r="I179" s="280" t="s">
        <v>1229</v>
      </c>
      <c r="J179" s="280" t="s">
        <v>1229</v>
      </c>
      <c r="K179" s="280" t="s">
        <v>1229</v>
      </c>
      <c r="L179" s="280" t="s">
        <v>1229</v>
      </c>
    </row>
    <row r="180" spans="1:12">
      <c r="A180" s="261" t="s">
        <v>114</v>
      </c>
      <c r="B180" s="271">
        <v>36.942</v>
      </c>
      <c r="C180" s="265">
        <v>26.420651699999993</v>
      </c>
      <c r="D180" s="279">
        <v>26</v>
      </c>
      <c r="E180" s="269">
        <v>24.416492429999998</v>
      </c>
      <c r="F180" s="265">
        <v>16.303154500000002</v>
      </c>
      <c r="G180" s="265">
        <v>8.6778385999999994</v>
      </c>
      <c r="H180" s="265">
        <v>8</v>
      </c>
      <c r="I180" s="285">
        <v>10.9864426</v>
      </c>
      <c r="J180" s="285">
        <v>12.8741</v>
      </c>
      <c r="K180" s="285">
        <v>14.812155199999999</v>
      </c>
      <c r="L180" s="285">
        <v>17.056623500000001</v>
      </c>
    </row>
    <row r="181" spans="1:12">
      <c r="A181" s="261" t="s">
        <v>115</v>
      </c>
      <c r="B181" s="271">
        <v>69.165999999999997</v>
      </c>
      <c r="C181" s="265">
        <v>45.490137000000004</v>
      </c>
      <c r="D181" s="279">
        <v>61</v>
      </c>
      <c r="E181" s="269">
        <v>66.712102360000003</v>
      </c>
      <c r="F181" s="265">
        <v>49.978277800000001</v>
      </c>
      <c r="G181" s="265">
        <v>39.214089700000002</v>
      </c>
      <c r="H181" s="265">
        <v>21</v>
      </c>
      <c r="I181" s="285">
        <v>21.015163000000001</v>
      </c>
      <c r="J181" s="285">
        <v>14.207800000000001</v>
      </c>
      <c r="K181" s="285">
        <v>17.200956999999999</v>
      </c>
      <c r="L181" s="285">
        <v>13.452813000000001</v>
      </c>
    </row>
    <row r="182" spans="1:12">
      <c r="A182" s="276" t="s">
        <v>116</v>
      </c>
      <c r="B182" s="271">
        <v>6.9550000000000001</v>
      </c>
      <c r="C182" s="265">
        <v>7.9864620899999998</v>
      </c>
      <c r="D182" s="279">
        <v>8</v>
      </c>
      <c r="E182" s="269">
        <v>5.85747778</v>
      </c>
      <c r="F182" s="265">
        <v>5.7982475000000004</v>
      </c>
      <c r="G182" s="265">
        <v>5.0901527000000009</v>
      </c>
      <c r="H182" s="265">
        <v>2</v>
      </c>
      <c r="I182" s="285">
        <v>2.0860328199999998</v>
      </c>
      <c r="J182" s="285">
        <v>5.1238999999999999</v>
      </c>
      <c r="K182" s="285">
        <v>5.9040765000000004</v>
      </c>
      <c r="L182" s="285">
        <v>6.5951129899999996</v>
      </c>
    </row>
    <row r="183" spans="1:12">
      <c r="A183" s="261" t="s">
        <v>117</v>
      </c>
      <c r="B183" s="277" t="s">
        <v>1499</v>
      </c>
      <c r="C183" s="269" t="s">
        <v>1499</v>
      </c>
      <c r="D183" s="270">
        <v>56</v>
      </c>
      <c r="E183" s="269">
        <v>58.584092579999997</v>
      </c>
      <c r="F183" s="265">
        <v>62.360337300000005</v>
      </c>
      <c r="G183" s="265">
        <v>55.898961200000002</v>
      </c>
      <c r="H183" s="265">
        <v>63</v>
      </c>
      <c r="I183" s="285">
        <v>64.355268199999998</v>
      </c>
      <c r="J183" s="285">
        <v>62.166200000000003</v>
      </c>
      <c r="K183" s="285">
        <v>67.250584000000003</v>
      </c>
      <c r="L183" s="285">
        <v>65.844531000000003</v>
      </c>
    </row>
    <row r="184" spans="1:12">
      <c r="A184" s="276" t="s">
        <v>118</v>
      </c>
      <c r="B184" s="271">
        <v>20.701000000000001</v>
      </c>
      <c r="C184" s="265">
        <v>39.761850000000003</v>
      </c>
      <c r="D184" s="279">
        <v>27</v>
      </c>
      <c r="E184" s="269">
        <v>22.575279500000001</v>
      </c>
      <c r="F184" s="265">
        <v>22.471927999999998</v>
      </c>
      <c r="G184" s="265">
        <v>4.6484680000000003</v>
      </c>
      <c r="H184" s="265">
        <v>4</v>
      </c>
      <c r="I184" s="285">
        <v>4.0013620000000003</v>
      </c>
      <c r="J184" s="285">
        <v>4.2215999999999996</v>
      </c>
      <c r="K184" s="285">
        <v>4.8003900000000002</v>
      </c>
      <c r="L184" s="285">
        <v>3.114026</v>
      </c>
    </row>
    <row r="185" spans="1:12">
      <c r="A185" s="261" t="s">
        <v>119</v>
      </c>
      <c r="B185" s="271">
        <v>4.6530000000000005</v>
      </c>
      <c r="C185" s="265">
        <v>1.8707213999999999</v>
      </c>
      <c r="D185" s="279">
        <v>2</v>
      </c>
      <c r="E185" s="269">
        <v>1.2338750000000001</v>
      </c>
      <c r="F185" s="269" t="s">
        <v>1229</v>
      </c>
      <c r="G185" s="269" t="s">
        <v>1229</v>
      </c>
      <c r="H185" s="280" t="s">
        <v>1229</v>
      </c>
      <c r="I185" s="280" t="s">
        <v>1229</v>
      </c>
      <c r="J185" s="280" t="s">
        <v>1229</v>
      </c>
      <c r="K185" s="280" t="s">
        <v>1229</v>
      </c>
      <c r="L185" s="280" t="s">
        <v>1229</v>
      </c>
    </row>
    <row r="186" spans="1:12">
      <c r="A186" s="261" t="s">
        <v>120</v>
      </c>
      <c r="B186" s="271">
        <v>152.227</v>
      </c>
      <c r="C186" s="265">
        <v>131.68735599999999</v>
      </c>
      <c r="D186" s="279">
        <v>116</v>
      </c>
      <c r="E186" s="269">
        <v>118.04282499999999</v>
      </c>
      <c r="F186" s="265">
        <v>121.4567495</v>
      </c>
      <c r="G186" s="265">
        <v>106.69439370000001</v>
      </c>
      <c r="H186" s="265">
        <v>125</v>
      </c>
      <c r="I186" s="285">
        <v>128.15982500000001</v>
      </c>
      <c r="J186" s="285">
        <v>118.79130000000001</v>
      </c>
      <c r="K186" s="285">
        <v>125.154365</v>
      </c>
      <c r="L186" s="285">
        <v>123.21427300000001</v>
      </c>
    </row>
    <row r="187" spans="1:12">
      <c r="A187" s="276" t="s">
        <v>121</v>
      </c>
      <c r="B187" s="271">
        <v>130.559</v>
      </c>
      <c r="C187" s="265">
        <v>144.63425605</v>
      </c>
      <c r="D187" s="279">
        <v>126</v>
      </c>
      <c r="E187" s="269">
        <v>117.72800332</v>
      </c>
      <c r="F187" s="265">
        <v>120.52119620000001</v>
      </c>
      <c r="G187" s="275" t="s">
        <v>1229</v>
      </c>
      <c r="H187" s="280" t="s">
        <v>1229</v>
      </c>
      <c r="I187" s="280" t="s">
        <v>1229</v>
      </c>
      <c r="J187" s="280" t="s">
        <v>1229</v>
      </c>
      <c r="K187" s="280" t="s">
        <v>1229</v>
      </c>
      <c r="L187" s="280" t="s">
        <v>1229</v>
      </c>
    </row>
    <row r="188" spans="1:12">
      <c r="A188" s="276" t="s">
        <v>353</v>
      </c>
      <c r="B188" s="271">
        <v>80.734999999999999</v>
      </c>
      <c r="C188" s="265">
        <v>72.821124999999995</v>
      </c>
      <c r="D188" s="279">
        <v>103</v>
      </c>
      <c r="E188" s="269">
        <v>109.63325295</v>
      </c>
      <c r="F188" s="265">
        <v>116.84731150000002</v>
      </c>
      <c r="G188" s="265">
        <v>131.26487800000001</v>
      </c>
      <c r="H188" s="265">
        <v>135</v>
      </c>
      <c r="I188" s="285">
        <v>138.91132200000001</v>
      </c>
      <c r="J188" s="285">
        <v>164.89660000000001</v>
      </c>
      <c r="K188" s="285">
        <v>186.05199902999999</v>
      </c>
      <c r="L188" s="285">
        <v>176.40371400000001</v>
      </c>
    </row>
    <row r="189" spans="1:12">
      <c r="A189" s="261" t="s">
        <v>354</v>
      </c>
      <c r="B189" s="271">
        <v>6.4719999999999995</v>
      </c>
      <c r="C189" s="265">
        <v>5.0599999999999996</v>
      </c>
      <c r="D189" s="279">
        <v>8</v>
      </c>
      <c r="E189" s="269">
        <v>0.37573899999999999</v>
      </c>
      <c r="F189" s="269" t="s">
        <v>1229</v>
      </c>
      <c r="G189" s="269" t="s">
        <v>1229</v>
      </c>
      <c r="H189" s="280" t="s">
        <v>1229</v>
      </c>
      <c r="I189" s="280" t="s">
        <v>1229</v>
      </c>
      <c r="J189" s="280" t="s">
        <v>1229</v>
      </c>
      <c r="K189" s="280" t="s">
        <v>1229</v>
      </c>
      <c r="L189" s="280" t="s">
        <v>1229</v>
      </c>
    </row>
    <row r="190" spans="1:12">
      <c r="A190" s="261" t="s">
        <v>355</v>
      </c>
      <c r="B190" s="271">
        <v>162.834</v>
      </c>
      <c r="C190" s="265">
        <v>165.39400000000001</v>
      </c>
      <c r="D190" s="279">
        <v>164</v>
      </c>
      <c r="E190" s="269">
        <v>195.18600000000001</v>
      </c>
      <c r="F190" s="265">
        <v>178.10599999999999</v>
      </c>
      <c r="G190" s="265">
        <v>192.012</v>
      </c>
      <c r="H190" s="265">
        <v>193</v>
      </c>
      <c r="I190" s="285">
        <v>212.09200000000001</v>
      </c>
      <c r="J190" s="285">
        <v>226.18199999999999</v>
      </c>
      <c r="K190" s="285">
        <v>255.8854</v>
      </c>
      <c r="L190" s="285">
        <v>263.6739</v>
      </c>
    </row>
    <row r="191" spans="1:12">
      <c r="A191" s="261" t="s">
        <v>875</v>
      </c>
      <c r="B191" s="271">
        <v>168.36699999999999</v>
      </c>
      <c r="C191" s="265">
        <v>247.13063564999996</v>
      </c>
      <c r="D191" s="279">
        <v>284</v>
      </c>
      <c r="E191" s="269">
        <v>387.93805366999999</v>
      </c>
      <c r="F191" s="265">
        <v>385.68682480000007</v>
      </c>
      <c r="G191" s="265">
        <v>306.40756240000007</v>
      </c>
      <c r="H191" s="265">
        <v>305</v>
      </c>
      <c r="I191" s="285">
        <v>302.10067665000003</v>
      </c>
      <c r="J191" s="285">
        <v>356.69330000000002</v>
      </c>
      <c r="K191" s="285">
        <v>538.73705560999997</v>
      </c>
      <c r="L191" s="285">
        <v>374.24429142999998</v>
      </c>
    </row>
    <row r="192" spans="1:12">
      <c r="A192" s="261" t="s">
        <v>876</v>
      </c>
      <c r="B192" s="277" t="s">
        <v>1499</v>
      </c>
      <c r="C192" s="265">
        <v>6.3506499999999999</v>
      </c>
      <c r="D192" s="279">
        <v>6</v>
      </c>
      <c r="E192" s="269">
        <v>6.0183</v>
      </c>
      <c r="F192" s="265">
        <v>5.9148000000000005</v>
      </c>
      <c r="G192" s="265">
        <v>7.9305008000000008</v>
      </c>
      <c r="H192" s="265">
        <v>8</v>
      </c>
      <c r="I192" s="285">
        <v>7.9923999999999999</v>
      </c>
      <c r="J192" s="285">
        <v>8.1580999999999992</v>
      </c>
      <c r="K192" s="285">
        <v>8.8687500000000004</v>
      </c>
      <c r="L192" s="285">
        <v>9.6925000000000008</v>
      </c>
    </row>
    <row r="193" spans="1:12">
      <c r="A193" s="261" t="s">
        <v>1481</v>
      </c>
      <c r="B193" s="277" t="s">
        <v>1499</v>
      </c>
      <c r="C193" s="275" t="s">
        <v>1499</v>
      </c>
      <c r="D193" s="280">
        <v>20</v>
      </c>
      <c r="E193" s="269">
        <v>100.02157534</v>
      </c>
      <c r="F193" s="265">
        <v>100</v>
      </c>
      <c r="G193" s="265">
        <v>100</v>
      </c>
      <c r="H193" s="265">
        <v>100</v>
      </c>
      <c r="I193" s="285">
        <v>50</v>
      </c>
      <c r="J193" s="285">
        <v>50</v>
      </c>
      <c r="K193" s="285">
        <v>45.860250000000001</v>
      </c>
      <c r="L193" s="285">
        <v>93.282979999999995</v>
      </c>
    </row>
    <row r="194" spans="1:12">
      <c r="A194" s="261" t="s">
        <v>1482</v>
      </c>
      <c r="B194" s="277" t="s">
        <v>1499</v>
      </c>
      <c r="C194" s="275" t="s">
        <v>1499</v>
      </c>
      <c r="D194" s="280" t="s">
        <v>1499</v>
      </c>
      <c r="E194" s="269">
        <v>31.871921590000003</v>
      </c>
      <c r="F194" s="265">
        <v>25.602686600000002</v>
      </c>
      <c r="G194" s="265">
        <v>5.8194720999999996</v>
      </c>
      <c r="H194" s="265">
        <v>0</v>
      </c>
      <c r="I194" s="280" t="s">
        <v>1229</v>
      </c>
      <c r="J194" s="280" t="s">
        <v>1229</v>
      </c>
      <c r="K194" s="280" t="s">
        <v>1229</v>
      </c>
      <c r="L194" s="280" t="s">
        <v>1229</v>
      </c>
    </row>
    <row r="195" spans="1:12">
      <c r="A195" s="261" t="s">
        <v>1483</v>
      </c>
      <c r="B195" s="277" t="s">
        <v>1499</v>
      </c>
      <c r="C195" s="275" t="s">
        <v>1499</v>
      </c>
      <c r="D195" s="280" t="s">
        <v>1499</v>
      </c>
      <c r="E195" s="269">
        <v>9.6299999999999999E-4</v>
      </c>
      <c r="F195" s="265">
        <v>9.7784340000000007</v>
      </c>
      <c r="G195" s="265">
        <v>10.530194999999999</v>
      </c>
      <c r="H195" s="280" t="s">
        <v>1229</v>
      </c>
      <c r="I195" s="280" t="s">
        <v>1229</v>
      </c>
      <c r="J195" s="280" t="s">
        <v>1229</v>
      </c>
      <c r="K195" s="280" t="s">
        <v>1229</v>
      </c>
      <c r="L195" s="280" t="s">
        <v>1229</v>
      </c>
    </row>
    <row r="196" spans="1:12">
      <c r="A196" s="261" t="s">
        <v>1298</v>
      </c>
      <c r="B196" s="277"/>
      <c r="C196" s="275"/>
      <c r="D196" s="280"/>
      <c r="E196" s="269"/>
      <c r="F196" s="265"/>
      <c r="G196" s="265"/>
      <c r="H196" s="280"/>
      <c r="I196" s="280"/>
      <c r="J196" s="280">
        <v>16.729900000000001</v>
      </c>
      <c r="K196" s="280">
        <v>9.2696719999999999</v>
      </c>
      <c r="L196" s="280">
        <v>6.6595469999999999</v>
      </c>
    </row>
    <row r="197" spans="1:12">
      <c r="A197" s="261" t="s">
        <v>1299</v>
      </c>
      <c r="B197" s="277"/>
      <c r="C197" s="275"/>
      <c r="D197" s="280"/>
      <c r="E197" s="269"/>
      <c r="F197" s="265"/>
      <c r="G197" s="265"/>
      <c r="H197" s="280"/>
      <c r="I197" s="280"/>
      <c r="J197" s="280" t="s">
        <v>1229</v>
      </c>
      <c r="K197" s="280">
        <v>120.38138171999999</v>
      </c>
      <c r="L197" s="280">
        <v>120.88458618</v>
      </c>
    </row>
    <row r="198" spans="1:12">
      <c r="A198" s="261" t="s">
        <v>1300</v>
      </c>
      <c r="B198" s="277"/>
      <c r="C198" s="275"/>
      <c r="D198" s="280"/>
      <c r="E198" s="269"/>
      <c r="F198" s="265"/>
      <c r="G198" s="265"/>
      <c r="H198" s="280"/>
      <c r="I198" s="280"/>
      <c r="J198" s="280" t="s">
        <v>1229</v>
      </c>
      <c r="K198" s="280">
        <v>17.940277040000002</v>
      </c>
      <c r="L198" s="280">
        <v>20.496411999999999</v>
      </c>
    </row>
    <row r="199" spans="1:12">
      <c r="A199" s="261" t="s">
        <v>1301</v>
      </c>
      <c r="B199" s="277"/>
      <c r="C199" s="275"/>
      <c r="D199" s="280"/>
      <c r="E199" s="269"/>
      <c r="F199" s="265"/>
      <c r="G199" s="265"/>
      <c r="H199" s="280"/>
      <c r="I199" s="280"/>
      <c r="J199" s="280" t="s">
        <v>1229</v>
      </c>
      <c r="K199" s="280">
        <v>23.358137660000001</v>
      </c>
      <c r="L199" s="280">
        <v>21.5892567</v>
      </c>
    </row>
    <row r="200" spans="1:12">
      <c r="E200" s="266"/>
      <c r="F200" s="267"/>
      <c r="G200" s="267"/>
      <c r="I200" s="285"/>
      <c r="J200" s="285"/>
      <c r="K200" s="285"/>
      <c r="L200" s="285"/>
    </row>
    <row r="201" spans="1:12">
      <c r="A201" s="282" t="s">
        <v>1484</v>
      </c>
      <c r="B201" s="264">
        <v>1613.6779999999999</v>
      </c>
      <c r="C201" s="264">
        <v>2106.8391126199999</v>
      </c>
      <c r="D201" s="264">
        <v>1356</v>
      </c>
      <c r="E201" s="264">
        <v>1674.8437467900001</v>
      </c>
      <c r="F201" s="264">
        <v>1932.7771965999998</v>
      </c>
      <c r="G201" s="264">
        <v>769.66016289999993</v>
      </c>
      <c r="H201" s="264">
        <v>370</v>
      </c>
      <c r="I201" s="264">
        <v>211.57924990999999</v>
      </c>
      <c r="J201" s="264">
        <v>115.79149999999998</v>
      </c>
      <c r="K201" s="264">
        <v>393.29487080000001</v>
      </c>
      <c r="L201" s="264">
        <v>139.12658494999999</v>
      </c>
    </row>
    <row r="202" spans="1:12">
      <c r="A202" s="276" t="s">
        <v>1485</v>
      </c>
      <c r="B202" s="271">
        <v>90.391000000000005</v>
      </c>
      <c r="C202" s="269" t="s">
        <v>1499</v>
      </c>
      <c r="D202" s="270" t="s">
        <v>1499</v>
      </c>
      <c r="E202" s="270" t="s">
        <v>1499</v>
      </c>
      <c r="F202" s="270" t="s">
        <v>1499</v>
      </c>
      <c r="G202" s="270" t="s">
        <v>1499</v>
      </c>
      <c r="H202" s="270" t="s">
        <v>1499</v>
      </c>
      <c r="I202" s="270" t="s">
        <v>1499</v>
      </c>
      <c r="J202" s="270"/>
      <c r="K202" s="270"/>
    </row>
    <row r="203" spans="1:12">
      <c r="A203" s="276" t="s">
        <v>1486</v>
      </c>
      <c r="B203" s="271">
        <v>71.707999999999998</v>
      </c>
      <c r="C203" s="265">
        <v>54.856323999999994</v>
      </c>
      <c r="D203" s="279">
        <v>57</v>
      </c>
      <c r="E203" s="269">
        <v>53.97825168</v>
      </c>
      <c r="F203" s="265">
        <v>45.090687000000003</v>
      </c>
      <c r="G203" s="265">
        <v>44.2424459</v>
      </c>
      <c r="H203" s="265">
        <v>40</v>
      </c>
      <c r="I203" s="267">
        <v>45.637213559999999</v>
      </c>
      <c r="J203" s="267">
        <v>46.566699999999997</v>
      </c>
      <c r="K203" s="267">
        <v>53.473700649999998</v>
      </c>
      <c r="L203" s="269">
        <v>57.994347390000001</v>
      </c>
    </row>
    <row r="204" spans="1:12">
      <c r="A204" s="261" t="s">
        <v>1487</v>
      </c>
      <c r="B204" s="271">
        <v>904.36699999999996</v>
      </c>
      <c r="C204" s="265">
        <v>1326.7159821199998</v>
      </c>
      <c r="D204" s="279">
        <v>380</v>
      </c>
      <c r="E204" s="269">
        <v>687.26937436999992</v>
      </c>
      <c r="F204" s="265">
        <v>1620</v>
      </c>
      <c r="G204" s="265">
        <v>230.52060530000003</v>
      </c>
      <c r="H204" s="265">
        <v>179</v>
      </c>
      <c r="I204" s="267">
        <v>137.56181229000001</v>
      </c>
      <c r="J204" s="267">
        <v>5.8730000000000002</v>
      </c>
      <c r="K204" s="267">
        <v>1.45905357</v>
      </c>
      <c r="L204" s="269" t="s">
        <v>1229</v>
      </c>
    </row>
    <row r="205" spans="1:12">
      <c r="A205" s="261" t="s">
        <v>1488</v>
      </c>
      <c r="B205" s="271">
        <v>547.21199999999999</v>
      </c>
      <c r="C205" s="265">
        <v>725.26680649999992</v>
      </c>
      <c r="D205" s="279">
        <v>918</v>
      </c>
      <c r="E205" s="269">
        <v>875.7877704</v>
      </c>
      <c r="F205" s="270" t="s">
        <v>1229</v>
      </c>
      <c r="G205" s="270" t="s">
        <v>1499</v>
      </c>
      <c r="H205" s="270" t="s">
        <v>1499</v>
      </c>
      <c r="I205" s="270" t="s">
        <v>1499</v>
      </c>
      <c r="J205" s="270" t="s">
        <v>1229</v>
      </c>
      <c r="K205" s="270" t="s">
        <v>1229</v>
      </c>
      <c r="L205" s="269" t="s">
        <v>1229</v>
      </c>
    </row>
    <row r="206" spans="1:12">
      <c r="A206" s="261" t="s">
        <v>1489</v>
      </c>
      <c r="B206" s="277" t="s">
        <v>1499</v>
      </c>
      <c r="C206" s="275" t="s">
        <v>1499</v>
      </c>
      <c r="D206" s="279">
        <v>1</v>
      </c>
      <c r="E206" s="269">
        <v>57.808350339999997</v>
      </c>
      <c r="F206" s="265">
        <v>267.68650959999997</v>
      </c>
      <c r="G206" s="265">
        <v>494.89711169999998</v>
      </c>
      <c r="H206" s="265">
        <v>151</v>
      </c>
      <c r="I206" s="267">
        <v>28.38022406</v>
      </c>
      <c r="J206" s="267">
        <v>63.351799999999997</v>
      </c>
      <c r="K206" s="267">
        <v>338.36211658000002</v>
      </c>
      <c r="L206" s="269">
        <v>81.132237559999993</v>
      </c>
    </row>
    <row r="207" spans="1:12">
      <c r="E207" s="269"/>
      <c r="F207" s="267"/>
      <c r="G207" s="267"/>
    </row>
    <row r="208" spans="1:12">
      <c r="A208" s="282" t="s">
        <v>1490</v>
      </c>
      <c r="B208" s="264">
        <v>1117.846</v>
      </c>
      <c r="C208" s="264">
        <v>1331.67629627</v>
      </c>
      <c r="D208" s="264">
        <v>1343</v>
      </c>
      <c r="E208" s="264">
        <v>1304.8735279900002</v>
      </c>
      <c r="F208" s="264">
        <v>2575.8852742000004</v>
      </c>
      <c r="G208" s="264">
        <v>2219.6522170000003</v>
      </c>
      <c r="H208" s="264">
        <v>2408</v>
      </c>
      <c r="I208" s="264">
        <v>2264.34306462</v>
      </c>
      <c r="J208" s="264">
        <v>1609.0227</v>
      </c>
      <c r="K208" s="264">
        <v>1908.28658114</v>
      </c>
      <c r="L208" s="264">
        <v>2091.0640584299999</v>
      </c>
    </row>
    <row r="209" spans="1:12">
      <c r="A209" s="261" t="s">
        <v>1491</v>
      </c>
      <c r="B209" s="271">
        <v>748.21500000000003</v>
      </c>
      <c r="C209" s="265">
        <v>988.5363049</v>
      </c>
      <c r="D209" s="279">
        <v>974</v>
      </c>
      <c r="E209" s="269">
        <v>918.04819640000005</v>
      </c>
      <c r="F209" s="265">
        <v>629.51261600000009</v>
      </c>
      <c r="G209" s="265">
        <v>370.57587400000006</v>
      </c>
      <c r="H209" s="265">
        <v>110</v>
      </c>
      <c r="I209" s="267">
        <v>184.23425700000001</v>
      </c>
      <c r="J209" s="267">
        <v>142.80439999999999</v>
      </c>
      <c r="K209" s="267">
        <v>110.700079</v>
      </c>
      <c r="L209" s="267">
        <v>118.12574545</v>
      </c>
    </row>
    <row r="210" spans="1:12">
      <c r="A210" s="261" t="s">
        <v>842</v>
      </c>
      <c r="B210" s="271">
        <v>366.108</v>
      </c>
      <c r="C210" s="265">
        <v>332.80667352</v>
      </c>
      <c r="D210" s="279">
        <v>351</v>
      </c>
      <c r="E210" s="269">
        <v>330.51146649999998</v>
      </c>
      <c r="F210" s="265">
        <v>340.48074340000005</v>
      </c>
      <c r="G210" s="265">
        <v>354.19076590000003</v>
      </c>
      <c r="H210" s="265">
        <v>372</v>
      </c>
      <c r="I210" s="267">
        <v>406.93848086999998</v>
      </c>
      <c r="J210" s="267">
        <v>442.34230000000002</v>
      </c>
      <c r="K210" s="267">
        <v>455.61914309999997</v>
      </c>
      <c r="L210" s="267">
        <v>494.99003413999998</v>
      </c>
    </row>
    <row r="211" spans="1:12">
      <c r="A211" s="261" t="s">
        <v>843</v>
      </c>
      <c r="B211" s="271">
        <v>0.56800000000000006</v>
      </c>
      <c r="C211" s="265">
        <v>0.69983000000000006</v>
      </c>
      <c r="D211" s="279">
        <v>8</v>
      </c>
      <c r="E211" s="269">
        <v>9.1765920000000012</v>
      </c>
      <c r="F211" s="265">
        <v>3.211001</v>
      </c>
      <c r="G211" s="265">
        <v>2.1030640000000003</v>
      </c>
      <c r="H211" s="265">
        <v>5</v>
      </c>
      <c r="I211" s="267">
        <v>0.95296000000000003</v>
      </c>
      <c r="J211" s="267">
        <v>0.96450000000000002</v>
      </c>
      <c r="K211" s="267">
        <v>0.56376899999999996</v>
      </c>
      <c r="L211" s="267">
        <v>1.016</v>
      </c>
    </row>
    <row r="212" spans="1:12">
      <c r="A212" s="261" t="s">
        <v>844</v>
      </c>
      <c r="B212" s="271">
        <v>2.9550000000000001</v>
      </c>
      <c r="C212" s="265">
        <v>9.6334878499999999</v>
      </c>
      <c r="D212" s="279">
        <v>10</v>
      </c>
      <c r="E212" s="269">
        <v>6.8878290900000003</v>
      </c>
      <c r="F212" s="265">
        <v>8.5786008000000002</v>
      </c>
      <c r="G212" s="265">
        <v>13.402906100000001</v>
      </c>
      <c r="H212" s="265">
        <v>12</v>
      </c>
      <c r="I212" s="267">
        <v>24.52344575</v>
      </c>
      <c r="J212" s="267">
        <v>17.873100000000001</v>
      </c>
      <c r="K212" s="267">
        <v>5.5924020399999996</v>
      </c>
      <c r="L212" s="267">
        <v>129.72188384</v>
      </c>
    </row>
    <row r="213" spans="1:12">
      <c r="A213" s="261" t="s">
        <v>845</v>
      </c>
      <c r="B213" s="277" t="s">
        <v>1499</v>
      </c>
      <c r="C213" s="275" t="s">
        <v>1499</v>
      </c>
      <c r="D213" s="280" t="s">
        <v>1499</v>
      </c>
      <c r="E213" s="269">
        <v>40.249444000000004</v>
      </c>
      <c r="F213" s="265">
        <v>1469.6763130000002</v>
      </c>
      <c r="G213" s="265">
        <v>1182.6891070000001</v>
      </c>
      <c r="H213" s="265">
        <v>1632</v>
      </c>
      <c r="I213" s="267">
        <v>1389.7499210000001</v>
      </c>
      <c r="J213" s="267">
        <v>793.50739999999996</v>
      </c>
      <c r="K213" s="267">
        <v>1050.5824379999999</v>
      </c>
      <c r="L213" s="267">
        <v>1073.8778950000001</v>
      </c>
    </row>
    <row r="214" spans="1:12">
      <c r="A214" s="260" t="s">
        <v>846</v>
      </c>
      <c r="B214" s="277" t="s">
        <v>1499</v>
      </c>
      <c r="C214" s="275" t="s">
        <v>1499</v>
      </c>
      <c r="D214" s="280" t="s">
        <v>1499</v>
      </c>
      <c r="E214" s="280" t="s">
        <v>1229</v>
      </c>
      <c r="F214" s="265">
        <v>124.426</v>
      </c>
      <c r="G214" s="265">
        <v>296.69049999999999</v>
      </c>
      <c r="H214" s="265">
        <v>277</v>
      </c>
      <c r="I214" s="267">
        <v>257.94400000000002</v>
      </c>
      <c r="J214" s="267">
        <v>211.53100000000001</v>
      </c>
      <c r="K214" s="267">
        <v>285.22874999999999</v>
      </c>
      <c r="L214" s="267">
        <v>273.33249999999998</v>
      </c>
    </row>
    <row r="215" spans="1:12">
      <c r="E215" s="266"/>
      <c r="F215" s="267"/>
      <c r="G215" s="267"/>
    </row>
    <row r="216" spans="1:12">
      <c r="A216" s="286" t="s">
        <v>847</v>
      </c>
      <c r="B216" s="283">
        <v>2962.875</v>
      </c>
      <c r="C216" s="283">
        <v>1623.3048617800005</v>
      </c>
      <c r="D216" s="283">
        <v>1643</v>
      </c>
      <c r="E216" s="283">
        <v>2229.5736683700002</v>
      </c>
      <c r="F216" s="283">
        <v>1333.2484255000008</v>
      </c>
      <c r="G216" s="283">
        <v>1358.0039567000001</v>
      </c>
      <c r="H216" s="283">
        <v>301</v>
      </c>
      <c r="I216" s="283">
        <v>346.61826623000002</v>
      </c>
      <c r="J216" s="283">
        <v>265.56110000000001</v>
      </c>
      <c r="K216" s="283">
        <v>3212.6975253999999</v>
      </c>
      <c r="L216" s="283">
        <v>-4778.4681280000004</v>
      </c>
    </row>
    <row r="217" spans="1:12">
      <c r="A217" s="276" t="s">
        <v>848</v>
      </c>
      <c r="B217" s="271">
        <v>2867.2570000000001</v>
      </c>
      <c r="C217" s="265">
        <v>1385.2816115800003</v>
      </c>
      <c r="D217" s="279">
        <v>1406</v>
      </c>
      <c r="E217" s="269">
        <v>2040.8475297</v>
      </c>
      <c r="F217" s="265">
        <v>1075.9718934000009</v>
      </c>
      <c r="G217" s="265">
        <v>1244.3179133000001</v>
      </c>
      <c r="H217" s="265">
        <v>301</v>
      </c>
      <c r="I217" s="267">
        <v>346.61826623000002</v>
      </c>
      <c r="J217" s="267">
        <v>265.56110000000001</v>
      </c>
      <c r="K217" s="267">
        <v>3212.6975253999999</v>
      </c>
      <c r="L217" s="267">
        <v>-4778.4681280000004</v>
      </c>
    </row>
    <row r="218" spans="1:12">
      <c r="A218" s="276" t="s">
        <v>849</v>
      </c>
      <c r="B218" s="271">
        <v>95.617999999999995</v>
      </c>
      <c r="C218" s="265">
        <v>238.02325020000001</v>
      </c>
      <c r="D218" s="279">
        <v>237</v>
      </c>
      <c r="E218" s="269">
        <v>188.72613866999998</v>
      </c>
      <c r="F218" s="265">
        <v>257.2765321</v>
      </c>
      <c r="G218" s="265">
        <v>113.6860434</v>
      </c>
      <c r="H218" s="280" t="s">
        <v>1229</v>
      </c>
      <c r="I218" s="280" t="s">
        <v>1229</v>
      </c>
      <c r="J218" s="280" t="s">
        <v>1229</v>
      </c>
      <c r="K218" s="280" t="s">
        <v>1229</v>
      </c>
      <c r="L218" s="280" t="s">
        <v>1229</v>
      </c>
    </row>
    <row r="219" spans="1:12">
      <c r="E219" s="266"/>
      <c r="F219" s="267"/>
      <c r="G219" s="267"/>
    </row>
    <row r="220" spans="1:12">
      <c r="A220" s="282" t="s">
        <v>850</v>
      </c>
      <c r="B220" s="264">
        <v>6802.7730000000001</v>
      </c>
      <c r="C220" s="264">
        <v>7143.9006671799998</v>
      </c>
      <c r="D220" s="264">
        <v>15802</v>
      </c>
      <c r="E220" s="264">
        <v>11227.411459999999</v>
      </c>
      <c r="F220" s="264">
        <v>1019.8226849000001</v>
      </c>
      <c r="G220" s="264">
        <v>61516.767334200005</v>
      </c>
      <c r="H220" s="264">
        <v>188</v>
      </c>
      <c r="I220" s="264">
        <v>93.439601980000006</v>
      </c>
      <c r="J220" s="264">
        <v>2.7795000000000001</v>
      </c>
      <c r="K220" s="264">
        <v>136.2216875</v>
      </c>
      <c r="L220" s="264">
        <v>6688.7784847000003</v>
      </c>
    </row>
    <row r="221" spans="1:12">
      <c r="A221" s="282"/>
      <c r="E221" s="269"/>
      <c r="F221" s="267"/>
      <c r="G221" s="267"/>
    </row>
    <row r="222" spans="1:12" s="281" customFormat="1">
      <c r="A222" s="286" t="s">
        <v>851</v>
      </c>
      <c r="B222" s="264" t="s">
        <v>1229</v>
      </c>
      <c r="C222" s="264">
        <v>28.225000000000001</v>
      </c>
      <c r="D222" s="264">
        <v>34</v>
      </c>
      <c r="E222" s="264">
        <v>67.507689999999997</v>
      </c>
      <c r="F222" s="264" t="s">
        <v>1229</v>
      </c>
      <c r="G222" s="264" t="s">
        <v>1229</v>
      </c>
      <c r="H222" s="264" t="s">
        <v>1229</v>
      </c>
      <c r="I222" s="270" t="s">
        <v>1229</v>
      </c>
      <c r="J222" s="263" t="s">
        <v>1229</v>
      </c>
      <c r="K222" s="263" t="s">
        <v>1229</v>
      </c>
      <c r="L222" s="264">
        <v>180.95263700000001</v>
      </c>
    </row>
    <row r="223" spans="1:12">
      <c r="A223" s="276" t="s">
        <v>852</v>
      </c>
      <c r="B223" s="269" t="s">
        <v>1229</v>
      </c>
      <c r="C223" s="269" t="s">
        <v>1229</v>
      </c>
      <c r="D223" s="270" t="s">
        <v>1229</v>
      </c>
      <c r="E223" s="270" t="s">
        <v>1499</v>
      </c>
      <c r="F223" s="270" t="s">
        <v>1499</v>
      </c>
      <c r="G223" s="270" t="s">
        <v>1499</v>
      </c>
      <c r="H223" s="270" t="s">
        <v>1499</v>
      </c>
      <c r="I223" s="270" t="s">
        <v>1499</v>
      </c>
      <c r="J223" s="270" t="s">
        <v>1229</v>
      </c>
      <c r="K223" s="270"/>
      <c r="L223" s="270"/>
    </row>
    <row r="224" spans="1:12">
      <c r="A224" s="260" t="s">
        <v>853</v>
      </c>
      <c r="B224" s="269" t="s">
        <v>1229</v>
      </c>
      <c r="C224" s="265">
        <v>28.225000000000001</v>
      </c>
      <c r="D224" s="270">
        <v>34</v>
      </c>
      <c r="E224" s="269">
        <v>67.507689999999997</v>
      </c>
      <c r="F224" s="270" t="s">
        <v>1229</v>
      </c>
      <c r="G224" s="270" t="s">
        <v>1229</v>
      </c>
      <c r="H224" s="270" t="s">
        <v>1229</v>
      </c>
      <c r="I224" s="270" t="s">
        <v>1229</v>
      </c>
      <c r="J224" s="270" t="s">
        <v>1229</v>
      </c>
      <c r="K224" s="270" t="s">
        <v>1229</v>
      </c>
      <c r="L224" s="269">
        <v>180.95263700000001</v>
      </c>
    </row>
    <row r="225" spans="1:12">
      <c r="A225" s="273"/>
      <c r="E225" s="269"/>
      <c r="F225" s="267"/>
      <c r="G225" s="267"/>
      <c r="I225" s="281"/>
      <c r="J225" s="281"/>
      <c r="K225" s="281"/>
      <c r="L225" s="281"/>
    </row>
    <row r="226" spans="1:12">
      <c r="A226" s="282" t="s">
        <v>854</v>
      </c>
      <c r="B226" s="264" t="s">
        <v>1229</v>
      </c>
      <c r="C226" s="264" t="s">
        <v>1229</v>
      </c>
      <c r="D226" s="263" t="s">
        <v>1229</v>
      </c>
      <c r="E226" s="264" t="s">
        <v>1229</v>
      </c>
      <c r="F226" s="264" t="s">
        <v>1229</v>
      </c>
      <c r="G226" s="264" t="s">
        <v>1229</v>
      </c>
      <c r="H226" s="264" t="s">
        <v>1229</v>
      </c>
      <c r="I226" s="264" t="s">
        <v>1229</v>
      </c>
      <c r="J226" s="264" t="s">
        <v>1229</v>
      </c>
      <c r="K226" s="264" t="s">
        <v>1229</v>
      </c>
      <c r="L226" s="264" t="s">
        <v>1229</v>
      </c>
    </row>
    <row r="227" spans="1:12">
      <c r="A227" s="261" t="s">
        <v>855</v>
      </c>
      <c r="B227" s="269" t="s">
        <v>1229</v>
      </c>
      <c r="C227" s="269" t="s">
        <v>1229</v>
      </c>
      <c r="D227" s="270" t="s">
        <v>1229</v>
      </c>
      <c r="E227" s="269" t="s">
        <v>1229</v>
      </c>
      <c r="F227" s="269" t="s">
        <v>1229</v>
      </c>
      <c r="G227" s="269" t="s">
        <v>1229</v>
      </c>
      <c r="H227" s="269" t="s">
        <v>1229</v>
      </c>
      <c r="I227" s="269" t="s">
        <v>1229</v>
      </c>
      <c r="J227" s="269" t="s">
        <v>1229</v>
      </c>
      <c r="K227" s="269" t="s">
        <v>1229</v>
      </c>
      <c r="L227" s="269" t="s">
        <v>1229</v>
      </c>
    </row>
    <row r="228" spans="1:12">
      <c r="E228" s="269"/>
      <c r="F228" s="267"/>
      <c r="G228" s="267"/>
    </row>
    <row r="229" spans="1:12">
      <c r="A229" s="282" t="s">
        <v>570</v>
      </c>
      <c r="B229" s="264">
        <v>6802.7730000000001</v>
      </c>
      <c r="C229" s="264">
        <v>7115.6756671799994</v>
      </c>
      <c r="D229" s="264">
        <v>15768</v>
      </c>
      <c r="E229" s="264">
        <v>11159.903769999999</v>
      </c>
      <c r="F229" s="264">
        <v>1019.8226849000001</v>
      </c>
      <c r="G229" s="264">
        <v>61516.767334200005</v>
      </c>
      <c r="H229" s="264">
        <v>188</v>
      </c>
      <c r="I229" s="264">
        <v>93.439601980000006</v>
      </c>
      <c r="J229" s="264">
        <v>2.7795000000000001</v>
      </c>
      <c r="K229" s="264">
        <v>136.2216875</v>
      </c>
      <c r="L229" s="264">
        <v>6507.8258476999999</v>
      </c>
    </row>
    <row r="230" spans="1:12">
      <c r="A230" s="261" t="s">
        <v>571</v>
      </c>
      <c r="B230" s="271">
        <v>24.134</v>
      </c>
      <c r="C230" s="265">
        <v>23.472000000000001</v>
      </c>
      <c r="D230" s="279">
        <v>22</v>
      </c>
      <c r="E230" s="270" t="s">
        <v>1229</v>
      </c>
      <c r="F230" s="270" t="s">
        <v>1229</v>
      </c>
      <c r="G230" s="270" t="s">
        <v>1229</v>
      </c>
      <c r="H230" s="270" t="s">
        <v>1229</v>
      </c>
      <c r="I230" s="270" t="s">
        <v>1229</v>
      </c>
      <c r="J230" s="270"/>
      <c r="K230" s="270"/>
      <c r="L230" s="270"/>
    </row>
    <row r="231" spans="1:12">
      <c r="A231" s="261" t="s">
        <v>572</v>
      </c>
      <c r="B231" s="271">
        <v>6778.6390000000001</v>
      </c>
      <c r="C231" s="265">
        <v>7092.2036671799997</v>
      </c>
      <c r="D231" s="279">
        <v>15746</v>
      </c>
      <c r="E231" s="269">
        <v>11159.903769999999</v>
      </c>
      <c r="F231" s="265">
        <v>1019.8226849000001</v>
      </c>
      <c r="G231" s="265">
        <v>61516.767334200005</v>
      </c>
      <c r="H231" s="265">
        <v>188</v>
      </c>
      <c r="I231" s="267">
        <v>93.439601980000006</v>
      </c>
      <c r="J231" s="267">
        <v>2.7795000000000001</v>
      </c>
      <c r="K231" s="267">
        <v>136.2216875</v>
      </c>
      <c r="L231" s="267">
        <v>6507.8258476999999</v>
      </c>
    </row>
    <row r="232" spans="1:12">
      <c r="E232" s="269"/>
      <c r="F232" s="267"/>
      <c r="G232" s="267"/>
    </row>
    <row r="233" spans="1:12">
      <c r="A233" s="282" t="s">
        <v>573</v>
      </c>
      <c r="B233" s="283">
        <v>4693.1979999999994</v>
      </c>
      <c r="C233" s="283">
        <v>4061.90419849</v>
      </c>
      <c r="D233" s="283">
        <v>3163</v>
      </c>
      <c r="E233" s="264">
        <v>2888.6517576000001</v>
      </c>
      <c r="F233" s="264">
        <v>3051.4900159000003</v>
      </c>
      <c r="G233" s="264">
        <v>2460.5989939999999</v>
      </c>
      <c r="H233" s="264">
        <v>2590</v>
      </c>
      <c r="I233" s="264">
        <v>2719.83307341</v>
      </c>
      <c r="J233" s="264">
        <v>2523.8083000000001</v>
      </c>
      <c r="K233" s="264">
        <v>2391.1484020000003</v>
      </c>
      <c r="L233" s="264">
        <v>2303.3735454399998</v>
      </c>
    </row>
    <row r="234" spans="1:12">
      <c r="E234" s="269"/>
      <c r="F234" s="267"/>
      <c r="G234" s="267"/>
    </row>
    <row r="235" spans="1:12">
      <c r="A235" s="282" t="s">
        <v>574</v>
      </c>
      <c r="B235" s="264">
        <v>271.17700000000002</v>
      </c>
      <c r="C235" s="264">
        <v>136.94245575000002</v>
      </c>
      <c r="D235" s="264">
        <v>261</v>
      </c>
      <c r="E235" s="264">
        <v>186.03524385999998</v>
      </c>
      <c r="F235" s="264">
        <v>554.85520989999998</v>
      </c>
      <c r="G235" s="264">
        <v>92.118009900000004</v>
      </c>
      <c r="H235" s="264">
        <v>163</v>
      </c>
      <c r="I235" s="264">
        <v>121.21326659000002</v>
      </c>
      <c r="J235" s="264">
        <v>113.39420000000001</v>
      </c>
      <c r="K235" s="264">
        <v>110.954736</v>
      </c>
      <c r="L235" s="264">
        <v>86.880458099999998</v>
      </c>
    </row>
    <row r="236" spans="1:12">
      <c r="A236" s="261" t="s">
        <v>575</v>
      </c>
      <c r="B236" s="271">
        <v>29.914000000000001</v>
      </c>
      <c r="C236" s="265">
        <v>37.168920149999998</v>
      </c>
      <c r="D236" s="279">
        <v>27</v>
      </c>
      <c r="E236" s="269">
        <v>21.678939200000002</v>
      </c>
      <c r="F236" s="265">
        <v>19.430338200000001</v>
      </c>
      <c r="G236" s="265">
        <v>16.166751000000001</v>
      </c>
      <c r="H236" s="265">
        <v>15</v>
      </c>
      <c r="I236" s="267">
        <v>17.575061000000002</v>
      </c>
      <c r="J236" s="267">
        <v>13.6807</v>
      </c>
      <c r="K236" s="267">
        <v>10.962243000000001</v>
      </c>
      <c r="L236" s="267">
        <v>9.0128719999999998</v>
      </c>
    </row>
    <row r="237" spans="1:12">
      <c r="A237" s="261" t="s">
        <v>55</v>
      </c>
      <c r="B237" s="271">
        <v>0.313</v>
      </c>
      <c r="C237" s="265">
        <v>0.42208200000000001</v>
      </c>
      <c r="D237" s="280" t="s">
        <v>1229</v>
      </c>
      <c r="E237" s="269">
        <v>8.3311999999999997E-2</v>
      </c>
      <c r="F237" s="265">
        <v>5.0942000000000001E-2</v>
      </c>
      <c r="G237" s="265">
        <v>7.1836999999999998E-2</v>
      </c>
      <c r="H237" s="265">
        <v>0</v>
      </c>
      <c r="I237" s="267">
        <v>2.8920000000000001E-2</v>
      </c>
      <c r="J237" s="267">
        <v>3.04E-2</v>
      </c>
      <c r="K237" s="267">
        <v>3.1884000000000003E-2</v>
      </c>
      <c r="L237" s="267" t="s">
        <v>1229</v>
      </c>
    </row>
    <row r="238" spans="1:12">
      <c r="A238" s="261" t="s">
        <v>56</v>
      </c>
      <c r="B238" s="277" t="s">
        <v>1499</v>
      </c>
      <c r="C238" s="275" t="s">
        <v>1499</v>
      </c>
      <c r="D238" s="280" t="s">
        <v>1499</v>
      </c>
      <c r="E238" s="269">
        <v>19.209697690000002</v>
      </c>
      <c r="F238" s="265">
        <v>23.410177699999998</v>
      </c>
      <c r="G238" s="265">
        <v>26.5672213</v>
      </c>
      <c r="H238" s="265">
        <v>20</v>
      </c>
      <c r="I238" s="267">
        <v>18.15155901</v>
      </c>
      <c r="J238" s="267">
        <v>15.1494</v>
      </c>
      <c r="K238" s="267">
        <v>13.722253</v>
      </c>
      <c r="L238" s="267">
        <v>5.1207750299999999</v>
      </c>
    </row>
    <row r="239" spans="1:12">
      <c r="A239" s="261" t="s">
        <v>57</v>
      </c>
      <c r="E239" s="266"/>
      <c r="F239" s="267"/>
      <c r="G239" s="267"/>
    </row>
    <row r="240" spans="1:12">
      <c r="A240" s="261" t="s">
        <v>58</v>
      </c>
      <c r="B240" s="271">
        <v>1.252</v>
      </c>
      <c r="C240" s="265">
        <v>0.36666100000000001</v>
      </c>
      <c r="D240" s="275" t="s">
        <v>1229</v>
      </c>
      <c r="E240" s="270" t="s">
        <v>1499</v>
      </c>
      <c r="F240" s="270" t="s">
        <v>1499</v>
      </c>
      <c r="G240" s="270" t="s">
        <v>1499</v>
      </c>
      <c r="H240" s="270" t="s">
        <v>1499</v>
      </c>
      <c r="I240" s="270" t="s">
        <v>1499</v>
      </c>
      <c r="J240" s="270" t="s">
        <v>1229</v>
      </c>
      <c r="K240" s="270" t="s">
        <v>1229</v>
      </c>
      <c r="L240" s="270" t="s">
        <v>1229</v>
      </c>
    </row>
    <row r="241" spans="1:12">
      <c r="A241" s="261" t="s">
        <v>59</v>
      </c>
      <c r="B241" s="271">
        <v>2.5999999999999999E-2</v>
      </c>
      <c r="C241" s="265">
        <v>1.301505E-2</v>
      </c>
      <c r="D241" s="275" t="s">
        <v>1229</v>
      </c>
      <c r="E241" s="269">
        <v>1.5878900000000001E-2</v>
      </c>
      <c r="F241" s="265">
        <v>7.8807000000000009E-3</v>
      </c>
      <c r="G241" s="265">
        <v>2.0350000000000004E-3</v>
      </c>
      <c r="H241" s="265">
        <v>0</v>
      </c>
      <c r="I241" s="275" t="s">
        <v>1229</v>
      </c>
      <c r="J241" s="275" t="s">
        <v>1229</v>
      </c>
      <c r="K241" s="275" t="s">
        <v>1229</v>
      </c>
    </row>
    <row r="242" spans="1:12">
      <c r="A242" s="261" t="s">
        <v>60</v>
      </c>
      <c r="B242" s="271">
        <v>233.262</v>
      </c>
      <c r="C242" s="265">
        <v>91.865792630000016</v>
      </c>
      <c r="D242" s="265">
        <v>181</v>
      </c>
      <c r="E242" s="269">
        <v>88.800246109999989</v>
      </c>
      <c r="F242" s="265">
        <v>472.01692250000002</v>
      </c>
      <c r="G242" s="265">
        <v>6.5623867000000002</v>
      </c>
      <c r="H242" s="265">
        <v>80</v>
      </c>
      <c r="I242" s="267">
        <v>44.302718300000002</v>
      </c>
      <c r="J242" s="267">
        <v>45.673200000000001</v>
      </c>
      <c r="K242" s="267">
        <v>48.408743000000001</v>
      </c>
      <c r="L242" s="275">
        <v>34.414253000000002</v>
      </c>
    </row>
    <row r="243" spans="1:12">
      <c r="A243" s="261" t="s">
        <v>61</v>
      </c>
      <c r="B243" s="271"/>
      <c r="C243" s="265"/>
      <c r="D243" s="265"/>
      <c r="E243" s="266"/>
      <c r="F243" s="266"/>
      <c r="G243" s="266"/>
    </row>
    <row r="244" spans="1:12">
      <c r="A244" s="261" t="s">
        <v>578</v>
      </c>
      <c r="B244" s="271">
        <v>3.3650000000000002</v>
      </c>
      <c r="C244" s="265">
        <v>2.6184830000000003</v>
      </c>
      <c r="D244" s="265">
        <v>4</v>
      </c>
      <c r="E244" s="269">
        <v>2.7343099999999998</v>
      </c>
      <c r="F244" s="265">
        <v>6.3302779999999998</v>
      </c>
      <c r="G244" s="265">
        <v>1.5961859999999999</v>
      </c>
      <c r="H244" s="265">
        <v>2</v>
      </c>
      <c r="I244" s="267">
        <v>1.313755</v>
      </c>
      <c r="J244" s="267">
        <v>1.0492999999999999</v>
      </c>
      <c r="K244" s="267">
        <v>0.44772400000000001</v>
      </c>
      <c r="L244" s="267">
        <v>0.17146900000000001</v>
      </c>
    </row>
    <row r="245" spans="1:12">
      <c r="A245" s="261" t="s">
        <v>579</v>
      </c>
      <c r="B245" s="271">
        <v>3.0449999999999999</v>
      </c>
      <c r="C245" s="265">
        <v>4.4875019200000006</v>
      </c>
      <c r="D245" s="265">
        <v>2</v>
      </c>
      <c r="E245" s="269">
        <v>1.7558246899999999</v>
      </c>
      <c r="F245" s="265">
        <v>3.2572885</v>
      </c>
      <c r="G245" s="265">
        <v>3.2483958000000004</v>
      </c>
      <c r="H245" s="265">
        <v>6</v>
      </c>
      <c r="I245" s="267">
        <v>8.5150000000000003E-2</v>
      </c>
      <c r="J245" s="267">
        <v>1.9E-3</v>
      </c>
      <c r="K245" s="269" t="s">
        <v>1229</v>
      </c>
      <c r="L245" s="266">
        <v>0</v>
      </c>
    </row>
    <row r="246" spans="1:12">
      <c r="A246" s="261" t="s">
        <v>580</v>
      </c>
      <c r="B246" s="277" t="s">
        <v>1499</v>
      </c>
      <c r="C246" s="275" t="s">
        <v>1499</v>
      </c>
      <c r="D246" s="280">
        <v>48</v>
      </c>
      <c r="E246" s="269">
        <v>51.757035270000003</v>
      </c>
      <c r="F246" s="265">
        <v>30.351382300000001</v>
      </c>
      <c r="G246" s="265">
        <v>37.903197100000007</v>
      </c>
      <c r="H246" s="265">
        <v>40</v>
      </c>
      <c r="I246" s="267">
        <v>39.756103279999998</v>
      </c>
      <c r="J246" s="267">
        <v>37.8093</v>
      </c>
      <c r="K246" s="267">
        <v>37.381889000000001</v>
      </c>
      <c r="L246" s="267">
        <v>38.161089070000003</v>
      </c>
    </row>
    <row r="247" spans="1:12">
      <c r="E247" s="266"/>
      <c r="F247" s="267"/>
      <c r="G247" s="267"/>
    </row>
    <row r="248" spans="1:12">
      <c r="A248" s="282" t="s">
        <v>581</v>
      </c>
      <c r="B248" s="264">
        <v>1401.0729999999999</v>
      </c>
      <c r="C248" s="264">
        <v>2.5799999999999999E-6</v>
      </c>
      <c r="D248" s="270" t="s">
        <v>1229</v>
      </c>
      <c r="E248" s="263" t="s">
        <v>1499</v>
      </c>
      <c r="F248" s="264" t="s">
        <v>1499</v>
      </c>
      <c r="G248" s="264" t="s">
        <v>1499</v>
      </c>
      <c r="H248" s="264" t="s">
        <v>1499</v>
      </c>
      <c r="I248" s="264" t="s">
        <v>1499</v>
      </c>
      <c r="J248" s="264">
        <v>0</v>
      </c>
      <c r="K248" s="264">
        <v>0</v>
      </c>
      <c r="L248" s="264">
        <v>0</v>
      </c>
    </row>
    <row r="249" spans="1:12">
      <c r="A249" s="261" t="s">
        <v>582</v>
      </c>
      <c r="B249" s="271">
        <v>1396.26</v>
      </c>
      <c r="C249" s="267">
        <v>2.5799999999999999E-6</v>
      </c>
      <c r="D249" s="280" t="s">
        <v>1229</v>
      </c>
      <c r="E249" s="270" t="s">
        <v>1499</v>
      </c>
      <c r="F249" s="269" t="s">
        <v>1499</v>
      </c>
      <c r="G249" s="269" t="s">
        <v>1499</v>
      </c>
      <c r="H249" s="269" t="s">
        <v>1499</v>
      </c>
      <c r="I249" s="269" t="s">
        <v>1499</v>
      </c>
      <c r="J249" s="269" t="s">
        <v>1229</v>
      </c>
      <c r="K249" s="269" t="s">
        <v>1229</v>
      </c>
      <c r="L249" s="269" t="s">
        <v>1229</v>
      </c>
    </row>
    <row r="250" spans="1:12">
      <c r="A250" s="261" t="s">
        <v>583</v>
      </c>
      <c r="B250" s="271" t="s">
        <v>84</v>
      </c>
      <c r="H250" s="269" t="s">
        <v>1499</v>
      </c>
      <c r="I250" s="269" t="s">
        <v>1499</v>
      </c>
      <c r="J250" s="269"/>
      <c r="K250" s="269"/>
      <c r="L250" s="269"/>
    </row>
    <row r="251" spans="1:12">
      <c r="A251" s="276" t="s">
        <v>584</v>
      </c>
      <c r="B251" s="271">
        <v>0.34</v>
      </c>
      <c r="C251" s="269" t="s">
        <v>1229</v>
      </c>
      <c r="D251" s="270" t="s">
        <v>1229</v>
      </c>
      <c r="E251" s="270" t="s">
        <v>1499</v>
      </c>
      <c r="F251" s="269" t="s">
        <v>1499</v>
      </c>
      <c r="G251" s="269" t="s">
        <v>1499</v>
      </c>
      <c r="H251" s="269" t="s">
        <v>1499</v>
      </c>
      <c r="I251" s="269" t="s">
        <v>1499</v>
      </c>
      <c r="J251" s="269" t="s">
        <v>1229</v>
      </c>
      <c r="K251" s="269" t="s">
        <v>1229</v>
      </c>
      <c r="L251" s="269" t="s">
        <v>1229</v>
      </c>
    </row>
    <row r="252" spans="1:12">
      <c r="A252" s="276" t="s">
        <v>585</v>
      </c>
      <c r="B252" s="271">
        <v>4.4729999999999999</v>
      </c>
      <c r="C252" s="269" t="s">
        <v>1229</v>
      </c>
      <c r="D252" s="270" t="s">
        <v>1229</v>
      </c>
      <c r="E252" s="270" t="s">
        <v>1499</v>
      </c>
      <c r="F252" s="269" t="s">
        <v>1499</v>
      </c>
      <c r="G252" s="269" t="s">
        <v>1499</v>
      </c>
      <c r="H252" s="269" t="s">
        <v>1499</v>
      </c>
      <c r="I252" s="269" t="s">
        <v>1499</v>
      </c>
      <c r="J252" s="269" t="s">
        <v>1229</v>
      </c>
      <c r="K252" s="269" t="s">
        <v>1229</v>
      </c>
      <c r="L252" s="269" t="s">
        <v>1229</v>
      </c>
    </row>
    <row r="253" spans="1:12">
      <c r="E253" s="266"/>
      <c r="F253" s="267"/>
      <c r="G253" s="267"/>
    </row>
    <row r="254" spans="1:12">
      <c r="A254" s="282" t="s">
        <v>586</v>
      </c>
      <c r="B254" s="264">
        <v>2612.462</v>
      </c>
      <c r="C254" s="264">
        <v>2588.586781</v>
      </c>
      <c r="D254" s="264">
        <v>2485</v>
      </c>
      <c r="E254" s="264">
        <v>2464.4841579999998</v>
      </c>
      <c r="F254" s="264">
        <v>2360.9266400000006</v>
      </c>
      <c r="G254" s="264">
        <v>2243.345828</v>
      </c>
      <c r="H254" s="264">
        <v>2315</v>
      </c>
      <c r="I254" s="264">
        <v>2323.2489090000004</v>
      </c>
      <c r="J254" s="264">
        <v>2245.3564999999999</v>
      </c>
      <c r="K254" s="264">
        <v>2199.427498</v>
      </c>
      <c r="L254" s="264">
        <v>2117.7439949</v>
      </c>
    </row>
    <row r="255" spans="1:12">
      <c r="A255" s="261" t="s">
        <v>587</v>
      </c>
      <c r="B255" s="271">
        <v>7.0000000000000007E-2</v>
      </c>
      <c r="C255" s="265">
        <v>3.3064999999999997E-2</v>
      </c>
      <c r="D255" s="270" t="s">
        <v>1229</v>
      </c>
      <c r="E255" s="269">
        <v>3.4134999999999999E-2</v>
      </c>
      <c r="F255" s="265">
        <v>2.6057000000000004E-2</v>
      </c>
      <c r="G255" s="265">
        <v>2.1412000000000004E-2</v>
      </c>
      <c r="H255" s="265">
        <v>0</v>
      </c>
      <c r="I255" s="267">
        <v>9.9360000000000004E-3</v>
      </c>
      <c r="J255" s="267">
        <v>2.8500000000000001E-2</v>
      </c>
      <c r="K255" s="267">
        <v>2.8500000000000001E-2</v>
      </c>
      <c r="L255" s="267">
        <v>6.2249999999999996E-3</v>
      </c>
    </row>
    <row r="256" spans="1:12">
      <c r="A256" s="261" t="s">
        <v>588</v>
      </c>
      <c r="B256" s="271">
        <v>1.976</v>
      </c>
      <c r="C256" s="265">
        <v>1.6824030000000001</v>
      </c>
      <c r="D256" s="279">
        <v>1</v>
      </c>
      <c r="E256" s="269">
        <v>0.92167999999999994</v>
      </c>
      <c r="F256" s="265">
        <v>0.92113800000000001</v>
      </c>
      <c r="G256" s="265">
        <v>0.73675100000000004</v>
      </c>
      <c r="H256" s="265">
        <v>1</v>
      </c>
      <c r="I256" s="267">
        <v>0.461258</v>
      </c>
      <c r="J256" s="267">
        <v>0.47370000000000001</v>
      </c>
      <c r="K256" s="267">
        <v>0.47370000000000001</v>
      </c>
      <c r="L256" s="267">
        <v>0.610178</v>
      </c>
    </row>
    <row r="257" spans="1:12">
      <c r="A257" s="261" t="s">
        <v>589</v>
      </c>
      <c r="B257" s="271">
        <v>2610.4160000000002</v>
      </c>
      <c r="C257" s="265">
        <v>2586.8713130000001</v>
      </c>
      <c r="D257" s="279">
        <v>2484</v>
      </c>
      <c r="E257" s="269">
        <v>2463.5283429999999</v>
      </c>
      <c r="F257" s="265">
        <v>2359.9794450000004</v>
      </c>
      <c r="G257" s="265">
        <v>2242.587665</v>
      </c>
      <c r="H257" s="265">
        <v>2314</v>
      </c>
      <c r="I257" s="267">
        <v>2322.7777150000002</v>
      </c>
      <c r="J257" s="267">
        <v>2244.8543</v>
      </c>
      <c r="K257" s="267">
        <v>2198.9252980000001</v>
      </c>
      <c r="L257" s="267">
        <v>2117.1275919</v>
      </c>
    </row>
    <row r="258" spans="1:12">
      <c r="E258" s="266"/>
      <c r="F258" s="267"/>
      <c r="G258" s="267"/>
    </row>
    <row r="259" spans="1:12">
      <c r="A259" s="282" t="s">
        <v>590</v>
      </c>
      <c r="B259" s="283">
        <v>132.834</v>
      </c>
      <c r="C259" s="263" t="s">
        <v>1229</v>
      </c>
      <c r="D259" s="263" t="s">
        <v>1229</v>
      </c>
      <c r="E259" s="263" t="s">
        <v>1499</v>
      </c>
      <c r="F259" s="263" t="s">
        <v>1499</v>
      </c>
      <c r="G259" s="263" t="s">
        <v>1499</v>
      </c>
      <c r="H259" s="263" t="s">
        <v>1499</v>
      </c>
      <c r="I259" s="263" t="s">
        <v>1499</v>
      </c>
      <c r="J259" s="263">
        <v>0</v>
      </c>
      <c r="K259" s="263">
        <v>0</v>
      </c>
      <c r="L259" s="263">
        <v>0</v>
      </c>
    </row>
    <row r="260" spans="1:12">
      <c r="A260" s="261" t="s">
        <v>591</v>
      </c>
      <c r="B260" s="271">
        <v>132.834</v>
      </c>
      <c r="C260" s="280" t="s">
        <v>1229</v>
      </c>
      <c r="D260" s="280" t="s">
        <v>1229</v>
      </c>
      <c r="E260" s="270" t="s">
        <v>1499</v>
      </c>
      <c r="F260" s="270" t="s">
        <v>1499</v>
      </c>
      <c r="G260" s="270" t="s">
        <v>1499</v>
      </c>
      <c r="H260" s="270" t="s">
        <v>1499</v>
      </c>
      <c r="I260" s="270" t="s">
        <v>1499</v>
      </c>
      <c r="J260" s="270" t="s">
        <v>1229</v>
      </c>
      <c r="K260" s="270" t="s">
        <v>1229</v>
      </c>
      <c r="L260" s="270" t="s">
        <v>1229</v>
      </c>
    </row>
    <row r="261" spans="1:12">
      <c r="E261" s="266"/>
      <c r="F261" s="267"/>
      <c r="G261" s="267"/>
    </row>
    <row r="262" spans="1:12">
      <c r="A262" s="282" t="s">
        <v>592</v>
      </c>
      <c r="B262" s="264">
        <v>275.65199999999999</v>
      </c>
      <c r="C262" s="264">
        <v>1336.3749591599999</v>
      </c>
      <c r="D262" s="264">
        <v>417</v>
      </c>
      <c r="E262" s="264">
        <v>238.13235573</v>
      </c>
      <c r="F262" s="264">
        <v>135.70816600000001</v>
      </c>
      <c r="G262" s="264">
        <v>125.13515609999999</v>
      </c>
      <c r="H262" s="264">
        <v>112</v>
      </c>
      <c r="I262" s="264">
        <v>275.37089781999998</v>
      </c>
      <c r="J262" s="264">
        <v>165.05760000000001</v>
      </c>
      <c r="K262" s="264">
        <v>80.766167999999993</v>
      </c>
      <c r="L262" s="264">
        <v>98.749092439999998</v>
      </c>
    </row>
    <row r="263" spans="1:12">
      <c r="A263" s="276" t="s">
        <v>1566</v>
      </c>
      <c r="B263" s="271">
        <v>8.5000000000000006E-2</v>
      </c>
      <c r="C263" s="265">
        <v>0.22556143000000001</v>
      </c>
      <c r="D263" s="280" t="s">
        <v>1229</v>
      </c>
      <c r="E263" s="269">
        <v>1.5913399999999998E-2</v>
      </c>
      <c r="F263" s="280" t="s">
        <v>1229</v>
      </c>
      <c r="G263" s="280" t="s">
        <v>1229</v>
      </c>
      <c r="H263" s="280" t="s">
        <v>1229</v>
      </c>
      <c r="I263" s="280" t="s">
        <v>1229</v>
      </c>
      <c r="J263" s="280" t="s">
        <v>1229</v>
      </c>
      <c r="K263" s="280" t="s">
        <v>1229</v>
      </c>
      <c r="L263" s="280" t="s">
        <v>1229</v>
      </c>
    </row>
    <row r="264" spans="1:12">
      <c r="A264" s="261" t="s">
        <v>1567</v>
      </c>
      <c r="B264" s="271">
        <v>8.3759999999999994</v>
      </c>
      <c r="C264" s="269" t="s">
        <v>1229</v>
      </c>
      <c r="D264" s="270" t="s">
        <v>1229</v>
      </c>
      <c r="E264" s="270" t="s">
        <v>1499</v>
      </c>
      <c r="F264" s="270" t="s">
        <v>1499</v>
      </c>
      <c r="G264" s="270" t="s">
        <v>1499</v>
      </c>
      <c r="H264" s="270" t="s">
        <v>1499</v>
      </c>
      <c r="I264" s="270" t="s">
        <v>1499</v>
      </c>
      <c r="J264" s="270" t="s">
        <v>1229</v>
      </c>
      <c r="K264" s="270" t="s">
        <v>1229</v>
      </c>
      <c r="L264" s="270" t="s">
        <v>1229</v>
      </c>
    </row>
    <row r="265" spans="1:12">
      <c r="A265" s="276" t="s">
        <v>1280</v>
      </c>
      <c r="B265" s="271">
        <v>1.962</v>
      </c>
      <c r="C265" s="265">
        <v>1.5529337000000001</v>
      </c>
      <c r="D265" s="279">
        <v>1</v>
      </c>
      <c r="E265" s="269">
        <v>0.52593034000000005</v>
      </c>
      <c r="F265" s="265">
        <v>0.22870219999999999</v>
      </c>
      <c r="G265" s="265">
        <v>0.13540140000000001</v>
      </c>
      <c r="H265" s="265">
        <v>0</v>
      </c>
      <c r="I265" s="267">
        <v>0.10166907</v>
      </c>
      <c r="J265" s="267">
        <v>7.0000000000000007E-2</v>
      </c>
      <c r="K265" s="269" t="s">
        <v>1229</v>
      </c>
      <c r="L265" s="269" t="s">
        <v>1229</v>
      </c>
    </row>
    <row r="266" spans="1:12">
      <c r="A266" s="276" t="s">
        <v>1281</v>
      </c>
      <c r="B266" s="269" t="s">
        <v>1229</v>
      </c>
      <c r="C266" s="269" t="s">
        <v>1229</v>
      </c>
      <c r="D266" s="270">
        <v>7</v>
      </c>
      <c r="E266" s="269">
        <v>58.225725149999995</v>
      </c>
      <c r="F266" s="265">
        <v>57.234248800000003</v>
      </c>
      <c r="G266" s="265">
        <v>59.683865600000004</v>
      </c>
      <c r="H266" s="265">
        <v>62</v>
      </c>
      <c r="I266" s="267">
        <v>63.968841779999998</v>
      </c>
      <c r="J266" s="269" t="s">
        <v>1229</v>
      </c>
      <c r="K266" s="269" t="s">
        <v>1229</v>
      </c>
      <c r="L266" s="269" t="s">
        <v>1229</v>
      </c>
    </row>
    <row r="267" spans="1:12">
      <c r="A267" s="276" t="s">
        <v>421</v>
      </c>
      <c r="B267" s="269" t="s">
        <v>1229</v>
      </c>
      <c r="C267" s="265">
        <v>0.36759500000000001</v>
      </c>
      <c r="D267" s="270" t="s">
        <v>1229</v>
      </c>
      <c r="E267" s="270" t="s">
        <v>1229</v>
      </c>
      <c r="F267" s="270" t="s">
        <v>1229</v>
      </c>
      <c r="G267" s="270" t="s">
        <v>1229</v>
      </c>
      <c r="H267" s="270" t="s">
        <v>1229</v>
      </c>
      <c r="I267" s="270" t="s">
        <v>1229</v>
      </c>
      <c r="J267" s="270" t="s">
        <v>1229</v>
      </c>
      <c r="K267" s="270" t="s">
        <v>1229</v>
      </c>
      <c r="L267" s="270" t="s">
        <v>1229</v>
      </c>
    </row>
    <row r="268" spans="1:12">
      <c r="A268" s="261" t="s">
        <v>1547</v>
      </c>
      <c r="B268" s="267"/>
      <c r="C268" s="265"/>
      <c r="D268" s="265"/>
      <c r="E268" s="269"/>
    </row>
    <row r="269" spans="1:12">
      <c r="A269" s="261" t="s">
        <v>1548</v>
      </c>
      <c r="B269" s="271">
        <v>8.5000000000000006E-2</v>
      </c>
      <c r="C269" s="269" t="s">
        <v>1229</v>
      </c>
      <c r="D269" s="275" t="s">
        <v>1229</v>
      </c>
      <c r="E269" s="270" t="s">
        <v>1229</v>
      </c>
      <c r="F269" s="270" t="s">
        <v>1229</v>
      </c>
      <c r="G269" s="270" t="s">
        <v>1229</v>
      </c>
      <c r="H269" s="270" t="s">
        <v>1229</v>
      </c>
      <c r="I269" s="270" t="s">
        <v>1229</v>
      </c>
      <c r="J269" s="270" t="s">
        <v>1229</v>
      </c>
      <c r="K269" s="270" t="s">
        <v>1229</v>
      </c>
      <c r="L269" s="270" t="s">
        <v>1229</v>
      </c>
    </row>
    <row r="270" spans="1:12">
      <c r="A270" s="276" t="s">
        <v>1549</v>
      </c>
      <c r="B270" s="271">
        <v>110.877</v>
      </c>
      <c r="C270" s="265">
        <v>92.521999010000002</v>
      </c>
      <c r="D270" s="265">
        <v>47</v>
      </c>
      <c r="E270" s="269">
        <v>27.264418539999998</v>
      </c>
      <c r="F270" s="265">
        <v>22.898686900000001</v>
      </c>
      <c r="G270" s="265">
        <v>21.184045400000002</v>
      </c>
      <c r="H270" s="265">
        <v>11</v>
      </c>
      <c r="I270" s="267">
        <v>156.81142886999999</v>
      </c>
      <c r="J270" s="267">
        <v>121.05410000000001</v>
      </c>
      <c r="K270" s="267">
        <v>47.320332000000001</v>
      </c>
      <c r="L270" s="267">
        <v>56.30371676</v>
      </c>
    </row>
    <row r="271" spans="1:12">
      <c r="A271" s="261" t="s">
        <v>1550</v>
      </c>
      <c r="B271" s="271">
        <v>154.267</v>
      </c>
      <c r="C271" s="265">
        <v>1241.70687002</v>
      </c>
      <c r="D271" s="279">
        <v>362</v>
      </c>
      <c r="E271" s="269">
        <v>152.10036830000001</v>
      </c>
      <c r="F271" s="265">
        <v>55.346528099999993</v>
      </c>
      <c r="G271" s="265">
        <v>44.131843699999997</v>
      </c>
      <c r="H271" s="265">
        <v>39</v>
      </c>
      <c r="I271" s="267">
        <v>54.488958099999998</v>
      </c>
      <c r="J271" s="267">
        <v>43.933500000000002</v>
      </c>
      <c r="K271" s="267">
        <v>33.445836</v>
      </c>
      <c r="L271" s="267">
        <v>42.445375679999998</v>
      </c>
    </row>
    <row r="272" spans="1:12">
      <c r="F272" s="267"/>
      <c r="G272" s="267"/>
    </row>
    <row r="273" spans="1:12">
      <c r="A273" s="286" t="s">
        <v>1551</v>
      </c>
      <c r="B273" s="264">
        <v>-644.0930000000003</v>
      </c>
      <c r="C273" s="264">
        <v>-2967.7873787800013</v>
      </c>
      <c r="D273" s="264">
        <v>6839</v>
      </c>
      <c r="E273" s="264">
        <v>5164.9695400000001</v>
      </c>
      <c r="F273" s="264">
        <v>5194.3223734000003</v>
      </c>
      <c r="G273" s="264">
        <v>8619.3048919000012</v>
      </c>
      <c r="H273" s="264">
        <v>8447</v>
      </c>
      <c r="I273" s="264">
        <v>9865.3830414500007</v>
      </c>
      <c r="J273" s="264">
        <v>9484.1605999999992</v>
      </c>
      <c r="K273" s="264">
        <v>8251.909470999999</v>
      </c>
      <c r="L273" s="264">
        <v>8787.9721711000002</v>
      </c>
    </row>
    <row r="274" spans="1:12">
      <c r="A274" s="273"/>
      <c r="E274" s="269"/>
    </row>
    <row r="275" spans="1:12">
      <c r="A275" s="286" t="s">
        <v>214</v>
      </c>
      <c r="B275" s="283">
        <v>1673.1909999999998</v>
      </c>
      <c r="C275" s="283">
        <v>964.81471002000001</v>
      </c>
      <c r="D275" s="283">
        <v>2608</v>
      </c>
      <c r="E275" s="264">
        <v>1187.6075016999998</v>
      </c>
      <c r="F275" s="264">
        <v>1166.4488820000001</v>
      </c>
      <c r="G275" s="264">
        <v>1214.792895</v>
      </c>
      <c r="H275" s="264">
        <v>940</v>
      </c>
      <c r="I275" s="264">
        <v>1689.748607</v>
      </c>
      <c r="J275" s="264">
        <v>524.00160000000005</v>
      </c>
      <c r="K275" s="264">
        <v>585.21994100000006</v>
      </c>
      <c r="L275" s="264">
        <v>1246.307411</v>
      </c>
    </row>
    <row r="276" spans="1:12">
      <c r="A276" s="261" t="s">
        <v>215</v>
      </c>
      <c r="B276" s="269" t="s">
        <v>1229</v>
      </c>
      <c r="C276" s="269" t="s">
        <v>1229</v>
      </c>
      <c r="D276" s="275" t="s">
        <v>1229</v>
      </c>
      <c r="E276" s="270" t="s">
        <v>1229</v>
      </c>
      <c r="F276" s="270" t="s">
        <v>1229</v>
      </c>
      <c r="G276" s="270" t="s">
        <v>1229</v>
      </c>
      <c r="H276" s="270" t="s">
        <v>1229</v>
      </c>
      <c r="I276" s="270" t="s">
        <v>1229</v>
      </c>
      <c r="J276" s="270" t="s">
        <v>1229</v>
      </c>
      <c r="K276" s="270" t="s">
        <v>1229</v>
      </c>
      <c r="L276" s="270" t="s">
        <v>1229</v>
      </c>
    </row>
    <row r="277" spans="1:12">
      <c r="A277" s="261" t="s">
        <v>216</v>
      </c>
      <c r="B277" s="271">
        <v>524.20000000000005</v>
      </c>
      <c r="C277" s="265">
        <v>500</v>
      </c>
      <c r="D277" s="265">
        <v>809</v>
      </c>
      <c r="E277" s="269">
        <v>435.047348</v>
      </c>
      <c r="F277" s="265">
        <v>451.23432500000001</v>
      </c>
      <c r="G277" s="265">
        <v>577.73536000000001</v>
      </c>
      <c r="H277" s="265">
        <v>391</v>
      </c>
      <c r="I277" s="267">
        <v>981.62906699999996</v>
      </c>
      <c r="J277" s="267">
        <v>514.80160000000001</v>
      </c>
      <c r="K277" s="267">
        <v>576.11994100000004</v>
      </c>
      <c r="L277" s="267">
        <v>1241.952411</v>
      </c>
    </row>
    <row r="278" spans="1:12">
      <c r="A278" s="261" t="s">
        <v>217</v>
      </c>
      <c r="B278" s="271">
        <v>1136.7169999999999</v>
      </c>
      <c r="C278" s="265">
        <v>463.19461902</v>
      </c>
      <c r="D278" s="265">
        <v>1798</v>
      </c>
      <c r="E278" s="269">
        <v>752.56015368999999</v>
      </c>
      <c r="F278" s="265">
        <v>715.21455700000001</v>
      </c>
      <c r="G278" s="265">
        <v>637.05753500000003</v>
      </c>
      <c r="H278" s="265">
        <v>549</v>
      </c>
      <c r="I278" s="267">
        <v>708.11954000000003</v>
      </c>
      <c r="J278" s="267">
        <v>9.1999999999999993</v>
      </c>
      <c r="K278" s="267">
        <v>9.1</v>
      </c>
      <c r="L278" s="267">
        <v>4.3550000000000004</v>
      </c>
    </row>
    <row r="279" spans="1:12">
      <c r="A279" s="276" t="s">
        <v>218</v>
      </c>
      <c r="B279" s="271">
        <v>12.274000000000001</v>
      </c>
      <c r="C279" s="265">
        <v>1.6200909999999999</v>
      </c>
      <c r="D279" s="265">
        <v>1</v>
      </c>
      <c r="E279" s="269" t="s">
        <v>1229</v>
      </c>
      <c r="F279" s="269" t="s">
        <v>1229</v>
      </c>
      <c r="G279" s="269" t="s">
        <v>1229</v>
      </c>
      <c r="H279" s="269" t="s">
        <v>1229</v>
      </c>
      <c r="I279" s="269" t="s">
        <v>1229</v>
      </c>
      <c r="J279" s="270" t="s">
        <v>1229</v>
      </c>
      <c r="K279" s="270" t="s">
        <v>1229</v>
      </c>
      <c r="L279" s="270" t="s">
        <v>1229</v>
      </c>
    </row>
    <row r="280" spans="1:12">
      <c r="D280" s="265"/>
      <c r="E280" s="269"/>
      <c r="F280" s="267"/>
      <c r="G280" s="267"/>
    </row>
    <row r="281" spans="1:12">
      <c r="A281" s="268" t="s">
        <v>67</v>
      </c>
      <c r="B281" s="283">
        <v>-2317.2840000000001</v>
      </c>
      <c r="C281" s="283">
        <v>-3932.6020888000012</v>
      </c>
      <c r="D281" s="283">
        <v>4231</v>
      </c>
      <c r="E281" s="283">
        <v>3977.3620383000002</v>
      </c>
      <c r="F281" s="283">
        <v>4027.8734914000001</v>
      </c>
      <c r="G281" s="283">
        <v>7404.5119969000007</v>
      </c>
      <c r="H281" s="283">
        <v>7507</v>
      </c>
      <c r="I281" s="283">
        <v>8175.6344344500003</v>
      </c>
      <c r="J281" s="283">
        <v>8960.1589999999997</v>
      </c>
      <c r="K281" s="283">
        <v>7666.6895299999996</v>
      </c>
      <c r="L281" s="283">
        <v>7541.6647601000004</v>
      </c>
    </row>
    <row r="282" spans="1:12">
      <c r="A282" s="276" t="s">
        <v>68</v>
      </c>
      <c r="B282" s="271">
        <v>-2317.2840000000001</v>
      </c>
      <c r="C282" s="265">
        <v>-3932.6020888000012</v>
      </c>
      <c r="D282" s="265">
        <v>4231</v>
      </c>
      <c r="E282" s="269">
        <v>3977.3620383000002</v>
      </c>
      <c r="F282" s="265">
        <v>4027.8734914000001</v>
      </c>
      <c r="G282" s="265">
        <v>7404.5119969000007</v>
      </c>
      <c r="H282" s="265">
        <v>7507</v>
      </c>
      <c r="I282" s="267">
        <v>8175.6344344500003</v>
      </c>
      <c r="J282" s="267">
        <v>8960.1589999999997</v>
      </c>
      <c r="K282" s="267">
        <v>7666.6895299999996</v>
      </c>
      <c r="L282" s="267">
        <v>7541.6647601000004</v>
      </c>
    </row>
    <row r="283" spans="1:12">
      <c r="A283" s="276"/>
      <c r="D283" s="265"/>
      <c r="E283" s="269"/>
      <c r="F283" s="267"/>
      <c r="G283" s="267"/>
    </row>
    <row r="284" spans="1:12">
      <c r="A284" s="268" t="s">
        <v>69</v>
      </c>
      <c r="B284" s="283">
        <v>1130.0039999999999</v>
      </c>
      <c r="C284" s="283">
        <v>6771.3551717399996</v>
      </c>
      <c r="D284" s="283">
        <v>8228</v>
      </c>
      <c r="E284" s="283">
        <v>9612.7953597300002</v>
      </c>
      <c r="F284" s="283">
        <v>9295.8780880000013</v>
      </c>
      <c r="G284" s="283">
        <v>9030.6495528000014</v>
      </c>
      <c r="H284" s="283">
        <v>8485</v>
      </c>
      <c r="I284" s="283">
        <v>9306.9084435100012</v>
      </c>
      <c r="J284" s="283">
        <v>12016.1731</v>
      </c>
      <c r="K284" s="283">
        <v>11554.678527999999</v>
      </c>
      <c r="L284" s="283">
        <v>12592.36415197</v>
      </c>
    </row>
    <row r="285" spans="1:12">
      <c r="A285" s="268"/>
      <c r="D285" s="265"/>
      <c r="F285" s="267"/>
      <c r="G285" s="267"/>
    </row>
    <row r="286" spans="1:12">
      <c r="A286" s="268" t="s">
        <v>70</v>
      </c>
      <c r="B286" s="283">
        <v>804.495</v>
      </c>
      <c r="C286" s="283">
        <v>5635.9085309000002</v>
      </c>
      <c r="D286" s="283">
        <v>6634</v>
      </c>
      <c r="E286" s="264">
        <v>7245.9189639999995</v>
      </c>
      <c r="F286" s="283">
        <v>7137.7815563000013</v>
      </c>
      <c r="G286" s="283">
        <v>7226.6031084000006</v>
      </c>
      <c r="H286" s="283">
        <v>7084</v>
      </c>
      <c r="I286" s="283">
        <v>7640.9375454000001</v>
      </c>
      <c r="J286" s="283">
        <v>8162.6008000000002</v>
      </c>
      <c r="K286" s="283">
        <v>8034.6295839999993</v>
      </c>
      <c r="L286" s="283">
        <v>8946.3148178100018</v>
      </c>
    </row>
    <row r="287" spans="1:12">
      <c r="A287" s="276" t="s">
        <v>71</v>
      </c>
      <c r="B287" s="271">
        <v>187.411</v>
      </c>
      <c r="C287" s="265">
        <v>3598.81708647</v>
      </c>
      <c r="D287" s="265">
        <v>3728</v>
      </c>
      <c r="E287" s="269">
        <v>3636.1493475000002</v>
      </c>
      <c r="F287" s="265">
        <v>3673.7618345000005</v>
      </c>
      <c r="G287" s="265">
        <v>3244.7783484000001</v>
      </c>
      <c r="H287" s="265">
        <v>3484</v>
      </c>
      <c r="I287" s="267">
        <v>4086.8321891000001</v>
      </c>
      <c r="J287" s="267">
        <v>4028.7901999999999</v>
      </c>
      <c r="K287" s="267">
        <v>4024.7479720000001</v>
      </c>
      <c r="L287" s="267">
        <v>4058.3486186</v>
      </c>
    </row>
    <row r="288" spans="1:12">
      <c r="A288" s="276" t="s">
        <v>72</v>
      </c>
      <c r="B288" s="277" t="s">
        <v>1229</v>
      </c>
      <c r="C288" s="265">
        <v>372.89058288999996</v>
      </c>
      <c r="D288" s="265">
        <v>715</v>
      </c>
      <c r="E288" s="269">
        <v>880.52117090000002</v>
      </c>
      <c r="F288" s="265">
        <v>1049.9371025</v>
      </c>
      <c r="G288" s="265">
        <v>1499.0839058000001</v>
      </c>
      <c r="H288" s="265">
        <v>959</v>
      </c>
      <c r="I288" s="267">
        <v>315.13558205999999</v>
      </c>
      <c r="J288" s="267">
        <v>88.812700000000007</v>
      </c>
      <c r="K288" s="267">
        <v>20.848213999999999</v>
      </c>
      <c r="L288" s="267">
        <v>3.1721062299999998</v>
      </c>
    </row>
    <row r="289" spans="1:12">
      <c r="A289" s="276" t="s">
        <v>155</v>
      </c>
      <c r="B289" s="271">
        <v>249.56800000000001</v>
      </c>
      <c r="C289" s="265">
        <v>321.3306455</v>
      </c>
      <c r="D289" s="265">
        <v>356</v>
      </c>
      <c r="E289" s="269">
        <v>332.45599446999995</v>
      </c>
      <c r="F289" s="265">
        <v>373.35436019999997</v>
      </c>
      <c r="G289" s="265">
        <v>349.63104019999997</v>
      </c>
      <c r="H289" s="265">
        <v>328</v>
      </c>
      <c r="I289" s="267">
        <v>259.92817043000002</v>
      </c>
      <c r="J289" s="267">
        <v>311.99290000000002</v>
      </c>
      <c r="K289" s="267">
        <v>248.279516</v>
      </c>
      <c r="L289" s="267">
        <v>263.31519111</v>
      </c>
    </row>
    <row r="290" spans="1:12">
      <c r="A290" s="276" t="s">
        <v>156</v>
      </c>
      <c r="B290" s="271">
        <v>263.17599999999999</v>
      </c>
      <c r="C290" s="265">
        <v>301.93149854000001</v>
      </c>
      <c r="D290" s="265">
        <v>766</v>
      </c>
      <c r="E290" s="269">
        <v>553.60738600000002</v>
      </c>
      <c r="F290" s="265">
        <v>775.86755320000009</v>
      </c>
      <c r="G290" s="265">
        <v>710.69946279999999</v>
      </c>
      <c r="H290" s="265">
        <v>628</v>
      </c>
      <c r="I290" s="267">
        <v>400.82739559999999</v>
      </c>
      <c r="J290" s="267">
        <v>399.81029999999998</v>
      </c>
      <c r="K290" s="267">
        <v>465.75791299999997</v>
      </c>
      <c r="L290" s="267">
        <v>675.44427832999997</v>
      </c>
    </row>
    <row r="291" spans="1:12">
      <c r="A291" s="276" t="s">
        <v>157</v>
      </c>
      <c r="B291" s="277" t="s">
        <v>1229</v>
      </c>
      <c r="C291" s="265">
        <v>760.76576073000001</v>
      </c>
      <c r="D291" s="265">
        <v>731</v>
      </c>
      <c r="E291" s="269">
        <v>666.29626086000007</v>
      </c>
      <c r="F291" s="265">
        <v>662.848973</v>
      </c>
      <c r="G291" s="265">
        <v>657.53142009999999</v>
      </c>
      <c r="H291" s="265">
        <v>945</v>
      </c>
      <c r="I291" s="267">
        <v>1163.42666876</v>
      </c>
      <c r="J291" s="267">
        <v>1568.5767000000001</v>
      </c>
      <c r="K291" s="267">
        <v>1514.095654</v>
      </c>
      <c r="L291" s="267">
        <v>1939.8141307999999</v>
      </c>
    </row>
    <row r="292" spans="1:12">
      <c r="A292" s="276" t="s">
        <v>158</v>
      </c>
      <c r="B292" s="277" t="s">
        <v>1499</v>
      </c>
      <c r="C292" s="275" t="s">
        <v>1499</v>
      </c>
      <c r="D292" s="275">
        <v>20</v>
      </c>
      <c r="E292" s="269">
        <v>412.85862121000002</v>
      </c>
      <c r="F292" s="265">
        <v>207.86078040000001</v>
      </c>
      <c r="G292" s="265">
        <v>-58.231670000000001</v>
      </c>
      <c r="H292" s="265">
        <v>-12</v>
      </c>
      <c r="I292" s="267">
        <v>55.17815315</v>
      </c>
      <c r="J292" s="267">
        <v>86.217699999999994</v>
      </c>
      <c r="K292" s="267">
        <v>1.9557150000000001</v>
      </c>
      <c r="L292" s="267">
        <v>254.42411787</v>
      </c>
    </row>
    <row r="293" spans="1:12">
      <c r="A293" s="276" t="s">
        <v>159</v>
      </c>
      <c r="B293" s="275" t="s">
        <v>1499</v>
      </c>
      <c r="C293" s="275" t="s">
        <v>1499</v>
      </c>
      <c r="D293" s="275" t="s">
        <v>1499</v>
      </c>
      <c r="E293" s="275" t="s">
        <v>1499</v>
      </c>
      <c r="F293" s="275" t="s">
        <v>1499</v>
      </c>
      <c r="G293" s="275" t="s">
        <v>1499</v>
      </c>
      <c r="H293" s="265">
        <v>404</v>
      </c>
      <c r="I293" s="267">
        <v>1179.7385975</v>
      </c>
      <c r="J293" s="267">
        <v>1425.3747000000001</v>
      </c>
      <c r="K293" s="267">
        <v>1465.892668</v>
      </c>
      <c r="L293" s="267">
        <v>1580.4035533000001</v>
      </c>
    </row>
    <row r="294" spans="1:12">
      <c r="A294" s="276" t="s">
        <v>160</v>
      </c>
      <c r="B294" s="277" t="s">
        <v>1229</v>
      </c>
      <c r="C294" s="275" t="s">
        <v>1229</v>
      </c>
      <c r="D294" s="265">
        <v>88</v>
      </c>
      <c r="E294" s="269">
        <v>220.23712024</v>
      </c>
      <c r="F294" s="265">
        <v>29.290891999999999</v>
      </c>
      <c r="G294" s="265">
        <v>397.68939780000005</v>
      </c>
      <c r="H294" s="265">
        <v>266</v>
      </c>
      <c r="I294" s="275">
        <v>73.349707879999997</v>
      </c>
      <c r="J294" s="275">
        <v>54.515000000000001</v>
      </c>
      <c r="K294" s="275">
        <v>70.193269999999998</v>
      </c>
      <c r="L294" s="275">
        <v>7.0980596</v>
      </c>
    </row>
    <row r="295" spans="1:12">
      <c r="A295" s="276" t="s">
        <v>161</v>
      </c>
      <c r="B295" s="271"/>
      <c r="C295" s="265"/>
      <c r="D295" s="265"/>
      <c r="E295" s="266"/>
      <c r="F295" s="266"/>
      <c r="G295" s="266"/>
    </row>
    <row r="296" spans="1:12">
      <c r="A296" s="276" t="s">
        <v>162</v>
      </c>
      <c r="B296" s="271">
        <v>104.34</v>
      </c>
      <c r="C296" s="265">
        <v>280.17295676999998</v>
      </c>
      <c r="D296" s="265">
        <v>229</v>
      </c>
      <c r="E296" s="269">
        <v>543.79306279000002</v>
      </c>
      <c r="F296" s="265">
        <v>364.86006050000003</v>
      </c>
      <c r="G296" s="265">
        <v>425.4212033</v>
      </c>
      <c r="H296" s="275" t="s">
        <v>1229</v>
      </c>
      <c r="I296" s="275" t="s">
        <v>1229</v>
      </c>
      <c r="J296" s="275">
        <v>28.313700000000001</v>
      </c>
      <c r="K296" s="275">
        <v>38.167624000000004</v>
      </c>
      <c r="L296" s="267">
        <v>0.84009741000000004</v>
      </c>
    </row>
    <row r="297" spans="1:12">
      <c r="A297" s="276" t="s">
        <v>163</v>
      </c>
      <c r="B297" s="271"/>
      <c r="C297" s="265"/>
      <c r="D297" s="265"/>
      <c r="E297" s="269"/>
      <c r="F297" s="265"/>
      <c r="G297" s="265"/>
    </row>
    <row r="298" spans="1:12">
      <c r="A298" s="276" t="s">
        <v>164</v>
      </c>
      <c r="B298" s="275" t="s">
        <v>1499</v>
      </c>
      <c r="C298" s="275" t="s">
        <v>1499</v>
      </c>
      <c r="D298" s="275" t="s">
        <v>1499</v>
      </c>
      <c r="E298" s="275" t="s">
        <v>1499</v>
      </c>
      <c r="F298" s="275" t="s">
        <v>1499</v>
      </c>
      <c r="G298" s="275" t="s">
        <v>1499</v>
      </c>
      <c r="H298" s="265">
        <v>82</v>
      </c>
      <c r="I298" s="267">
        <v>106.52108092</v>
      </c>
      <c r="J298" s="267">
        <v>170.1969</v>
      </c>
      <c r="K298" s="267">
        <v>184.69103799999999</v>
      </c>
      <c r="L298" s="275">
        <v>163.45466456</v>
      </c>
    </row>
    <row r="299" spans="1:12">
      <c r="A299" s="276"/>
      <c r="B299" s="267"/>
      <c r="C299" s="267"/>
      <c r="D299" s="265"/>
      <c r="E299" s="266"/>
      <c r="F299" s="267"/>
      <c r="G299" s="267"/>
    </row>
    <row r="300" spans="1:12">
      <c r="A300" s="286" t="s">
        <v>165</v>
      </c>
      <c r="B300" s="283">
        <v>3.11</v>
      </c>
      <c r="C300" s="283">
        <v>107.50740275999999</v>
      </c>
      <c r="D300" s="283">
        <v>176</v>
      </c>
      <c r="E300" s="283">
        <v>5.3940656000000002</v>
      </c>
      <c r="F300" s="283">
        <v>1.6580875000000002</v>
      </c>
      <c r="G300" s="283">
        <v>90.690286099999994</v>
      </c>
      <c r="H300" s="283">
        <v>40</v>
      </c>
      <c r="I300" s="283">
        <v>32.49470041</v>
      </c>
      <c r="J300" s="283">
        <v>33.677999999999997</v>
      </c>
      <c r="K300" s="283">
        <v>25.435486999999998</v>
      </c>
      <c r="L300" s="283">
        <v>109.23982727000001</v>
      </c>
    </row>
    <row r="301" spans="1:12">
      <c r="A301" s="276" t="s">
        <v>166</v>
      </c>
      <c r="B301" s="271">
        <v>3.11</v>
      </c>
      <c r="C301" s="265">
        <v>107.50740275999999</v>
      </c>
      <c r="D301" s="265">
        <v>176</v>
      </c>
      <c r="E301" s="269">
        <v>5.3940656000000002</v>
      </c>
      <c r="F301" s="265">
        <v>1.6580875000000002</v>
      </c>
      <c r="G301" s="265">
        <v>90.690286099999994</v>
      </c>
      <c r="H301" s="275" t="s">
        <v>1229</v>
      </c>
      <c r="I301" s="275" t="s">
        <v>1229</v>
      </c>
      <c r="J301" s="275" t="s">
        <v>1229</v>
      </c>
      <c r="K301" s="275" t="s">
        <v>1229</v>
      </c>
      <c r="L301" s="275" t="s">
        <v>1229</v>
      </c>
    </row>
    <row r="302" spans="1:12">
      <c r="A302" s="276" t="s">
        <v>337</v>
      </c>
      <c r="B302" s="275" t="s">
        <v>1499</v>
      </c>
      <c r="C302" s="275" t="s">
        <v>1499</v>
      </c>
      <c r="D302" s="275" t="s">
        <v>1499</v>
      </c>
      <c r="E302" s="275" t="s">
        <v>1499</v>
      </c>
      <c r="F302" s="275" t="s">
        <v>1499</v>
      </c>
      <c r="G302" s="275" t="s">
        <v>1499</v>
      </c>
      <c r="H302" s="265">
        <v>40</v>
      </c>
      <c r="I302" s="267">
        <v>32.49470041</v>
      </c>
      <c r="J302" s="267">
        <v>33.677999999999997</v>
      </c>
      <c r="K302" s="267">
        <v>25.435486999999998</v>
      </c>
      <c r="L302" s="267">
        <v>109.23982727000001</v>
      </c>
    </row>
    <row r="303" spans="1:12">
      <c r="A303" s="276"/>
      <c r="B303" s="267"/>
      <c r="C303" s="267"/>
      <c r="D303" s="265"/>
      <c r="E303" s="269"/>
      <c r="F303" s="267"/>
      <c r="G303" s="267"/>
    </row>
    <row r="304" spans="1:12">
      <c r="A304" s="286" t="s">
        <v>338</v>
      </c>
      <c r="B304" s="283">
        <v>320.75</v>
      </c>
      <c r="C304" s="283">
        <v>199.00266031000001</v>
      </c>
      <c r="D304" s="283">
        <v>612</v>
      </c>
      <c r="E304" s="283">
        <v>451.26481804999997</v>
      </c>
      <c r="F304" s="283">
        <v>922.55919100000006</v>
      </c>
      <c r="G304" s="283">
        <v>796.56442970000001</v>
      </c>
      <c r="H304" s="283">
        <v>252</v>
      </c>
      <c r="I304" s="283">
        <v>1302.96119905</v>
      </c>
      <c r="J304" s="283">
        <v>1639.8603000000001</v>
      </c>
      <c r="K304" s="283">
        <v>1458.397481</v>
      </c>
      <c r="L304" s="283">
        <v>1380.6381789</v>
      </c>
    </row>
    <row r="305" spans="1:12">
      <c r="A305" s="276" t="s">
        <v>339</v>
      </c>
      <c r="B305" s="271">
        <v>320.75</v>
      </c>
      <c r="C305" s="265">
        <v>199.00266031000001</v>
      </c>
      <c r="D305" s="265">
        <v>612</v>
      </c>
      <c r="E305" s="269">
        <v>451.26481804999997</v>
      </c>
      <c r="F305" s="265">
        <v>922.55919100000006</v>
      </c>
      <c r="G305" s="265">
        <v>796.56442970000001</v>
      </c>
      <c r="H305" s="275" t="s">
        <v>1229</v>
      </c>
      <c r="I305" s="275" t="s">
        <v>1229</v>
      </c>
      <c r="J305" s="267">
        <v>210.0642</v>
      </c>
      <c r="K305" s="267">
        <v>112.20444500000001</v>
      </c>
      <c r="L305" s="267">
        <v>25.0582815</v>
      </c>
    </row>
    <row r="306" spans="1:12">
      <c r="A306" s="276" t="s">
        <v>340</v>
      </c>
      <c r="B306" s="275" t="s">
        <v>1229</v>
      </c>
      <c r="C306" s="275" t="s">
        <v>1229</v>
      </c>
      <c r="D306" s="275" t="s">
        <v>1229</v>
      </c>
      <c r="E306" s="275" t="s">
        <v>1229</v>
      </c>
      <c r="F306" s="275" t="s">
        <v>1229</v>
      </c>
      <c r="G306" s="275" t="s">
        <v>1229</v>
      </c>
      <c r="H306" s="265">
        <v>252</v>
      </c>
      <c r="I306" s="267">
        <v>1302.96119905</v>
      </c>
      <c r="J306" s="267">
        <v>1429.7961</v>
      </c>
      <c r="K306" s="267">
        <v>1346.1930359999999</v>
      </c>
      <c r="L306" s="267">
        <v>1355.5798973999999</v>
      </c>
    </row>
    <row r="307" spans="1:12">
      <c r="A307" s="276"/>
      <c r="B307" s="267"/>
      <c r="C307" s="267"/>
      <c r="D307" s="265"/>
      <c r="E307" s="269"/>
      <c r="F307" s="267"/>
      <c r="G307" s="267"/>
    </row>
    <row r="308" spans="1:12">
      <c r="A308" s="282" t="s">
        <v>341</v>
      </c>
      <c r="B308" s="264" t="s">
        <v>1229</v>
      </c>
      <c r="C308" s="264">
        <v>791.97463387000005</v>
      </c>
      <c r="D308" s="264">
        <v>668</v>
      </c>
      <c r="E308" s="264">
        <v>1670.6775057999998</v>
      </c>
      <c r="F308" s="264">
        <v>1111.9583525999999</v>
      </c>
      <c r="G308" s="264">
        <v>695.91698860000008</v>
      </c>
      <c r="H308" s="264">
        <v>1039</v>
      </c>
      <c r="I308" s="264">
        <v>210.76003889</v>
      </c>
      <c r="J308" s="264">
        <v>2072.2003999999997</v>
      </c>
      <c r="K308" s="264">
        <v>1914.5661500000001</v>
      </c>
      <c r="L308" s="264">
        <v>1848.4246934999999</v>
      </c>
    </row>
    <row r="309" spans="1:12">
      <c r="A309" s="261" t="s">
        <v>342</v>
      </c>
      <c r="B309" s="277" t="s">
        <v>1229</v>
      </c>
      <c r="C309" s="265">
        <v>791.97463387000005</v>
      </c>
      <c r="D309" s="265">
        <v>668</v>
      </c>
      <c r="E309" s="269">
        <v>1670.6775057999998</v>
      </c>
      <c r="F309" s="265">
        <v>1111.9583525999999</v>
      </c>
      <c r="G309" s="265">
        <v>695.91698860000008</v>
      </c>
      <c r="H309" s="265">
        <v>410</v>
      </c>
      <c r="I309" s="267">
        <v>1.9638440399999999</v>
      </c>
      <c r="J309" s="267">
        <v>229.5316</v>
      </c>
      <c r="K309" s="267">
        <v>621.14961000000005</v>
      </c>
      <c r="L309" s="267">
        <v>-25.0582815</v>
      </c>
    </row>
    <row r="310" spans="1:12">
      <c r="A310" s="261" t="s">
        <v>343</v>
      </c>
      <c r="B310" s="275" t="s">
        <v>1499</v>
      </c>
      <c r="C310" s="275" t="s">
        <v>1499</v>
      </c>
      <c r="D310" s="275" t="s">
        <v>1499</v>
      </c>
      <c r="E310" s="269" t="s">
        <v>1499</v>
      </c>
      <c r="F310" s="275" t="s">
        <v>1499</v>
      </c>
      <c r="G310" s="275" t="s">
        <v>1499</v>
      </c>
      <c r="H310" s="265">
        <v>629</v>
      </c>
      <c r="I310" s="267">
        <v>208.79619485000001</v>
      </c>
      <c r="J310" s="267">
        <v>1842.6687999999999</v>
      </c>
      <c r="K310" s="267">
        <v>1293.4165399999999</v>
      </c>
      <c r="L310" s="267">
        <v>1873.4829749999999</v>
      </c>
    </row>
    <row r="311" spans="1:12">
      <c r="D311" s="265"/>
      <c r="E311" s="266"/>
      <c r="F311" s="267"/>
      <c r="G311" s="267"/>
    </row>
    <row r="312" spans="1:12">
      <c r="A312" s="282" t="s">
        <v>344</v>
      </c>
      <c r="B312" s="264" t="s">
        <v>1499</v>
      </c>
      <c r="C312" s="264">
        <v>36.294765949999999</v>
      </c>
      <c r="D312" s="264">
        <v>94</v>
      </c>
      <c r="E312" s="264">
        <v>144.60370574999999</v>
      </c>
      <c r="F312" s="264">
        <v>91.228794000000008</v>
      </c>
      <c r="G312" s="264">
        <v>196.14972560000001</v>
      </c>
      <c r="H312" s="264">
        <v>29</v>
      </c>
      <c r="I312" s="264">
        <v>91.071804650000004</v>
      </c>
      <c r="J312" s="264">
        <v>68.803700000000006</v>
      </c>
      <c r="K312" s="264">
        <v>90.951559000000003</v>
      </c>
      <c r="L312" s="264">
        <v>300.36572983999997</v>
      </c>
    </row>
    <row r="313" spans="1:12">
      <c r="A313" s="261" t="s">
        <v>345</v>
      </c>
      <c r="B313" s="269" t="s">
        <v>1499</v>
      </c>
      <c r="C313" s="265">
        <v>36.294765949999999</v>
      </c>
      <c r="D313" s="265">
        <v>94</v>
      </c>
      <c r="E313" s="265">
        <v>144.60370574999999</v>
      </c>
      <c r="F313" s="265">
        <v>91.228794000000008</v>
      </c>
      <c r="G313" s="265">
        <v>196.14972560000001</v>
      </c>
      <c r="H313" s="265">
        <v>29</v>
      </c>
      <c r="I313" s="267">
        <v>91.071804650000004</v>
      </c>
      <c r="J313" s="267">
        <v>68.803700000000006</v>
      </c>
      <c r="K313" s="267">
        <v>90.951559000000003</v>
      </c>
      <c r="L313" s="267">
        <v>300.36572983999997</v>
      </c>
    </row>
    <row r="314" spans="1:12">
      <c r="D314" s="265"/>
      <c r="E314" s="266"/>
      <c r="F314" s="267"/>
      <c r="G314" s="267"/>
    </row>
    <row r="315" spans="1:12">
      <c r="A315" s="286" t="s">
        <v>346</v>
      </c>
      <c r="B315" s="264">
        <v>1.649</v>
      </c>
      <c r="C315" s="264">
        <v>0.66717795000000002</v>
      </c>
      <c r="D315" s="264">
        <v>44</v>
      </c>
      <c r="E315" s="264">
        <v>94.936300529999997</v>
      </c>
      <c r="F315" s="264">
        <v>30.692106600000002</v>
      </c>
      <c r="G315" s="264">
        <v>24.725014399999999</v>
      </c>
      <c r="H315" s="264">
        <v>41</v>
      </c>
      <c r="I315" s="264">
        <v>28.683155110000001</v>
      </c>
      <c r="J315" s="264">
        <v>39.029899999999998</v>
      </c>
      <c r="K315" s="264">
        <v>30.698267000000001</v>
      </c>
      <c r="L315" s="264">
        <v>7.3809046499999997</v>
      </c>
    </row>
    <row r="316" spans="1:12">
      <c r="A316" s="276" t="s">
        <v>347</v>
      </c>
      <c r="B316" s="271">
        <v>1.649</v>
      </c>
      <c r="C316" s="265">
        <v>0.66717795000000002</v>
      </c>
      <c r="D316" s="265">
        <v>44</v>
      </c>
      <c r="E316" s="269">
        <v>94.936300529999997</v>
      </c>
      <c r="F316" s="265">
        <v>30.692106600000002</v>
      </c>
      <c r="G316" s="265">
        <v>24.725014399999999</v>
      </c>
      <c r="H316" s="265">
        <v>41</v>
      </c>
      <c r="I316" s="267">
        <v>28.683155110000001</v>
      </c>
      <c r="J316" s="267">
        <v>39.029899999999998</v>
      </c>
      <c r="K316" s="267">
        <v>30.698267000000001</v>
      </c>
      <c r="L316" s="267">
        <v>7.3809046499999997</v>
      </c>
    </row>
    <row r="317" spans="1:12">
      <c r="A317" s="286"/>
      <c r="D317" s="265"/>
      <c r="E317" s="269"/>
      <c r="F317" s="267"/>
      <c r="G317" s="267"/>
    </row>
    <row r="318" spans="1:12">
      <c r="A318" s="286" t="s">
        <v>348</v>
      </c>
      <c r="B318" s="264">
        <v>4531.0680000000002</v>
      </c>
      <c r="C318" s="264">
        <v>3622.1976</v>
      </c>
      <c r="D318" s="264">
        <v>657</v>
      </c>
      <c r="E318" s="264">
        <v>275.08056668</v>
      </c>
      <c r="F318" s="264" t="s">
        <v>1229</v>
      </c>
      <c r="G318" s="264" t="s">
        <v>1229</v>
      </c>
      <c r="H318" s="264" t="s">
        <v>1229</v>
      </c>
      <c r="I318" s="264" t="s">
        <v>1229</v>
      </c>
      <c r="J318" s="264" t="s">
        <v>1229</v>
      </c>
      <c r="K318" s="264" t="s">
        <v>1229</v>
      </c>
      <c r="L318" s="264" t="s">
        <v>1229</v>
      </c>
    </row>
    <row r="319" spans="1:12">
      <c r="A319" s="286"/>
      <c r="D319" s="265"/>
      <c r="E319" s="269"/>
      <c r="F319" s="264"/>
      <c r="G319" s="264"/>
      <c r="H319" s="264"/>
    </row>
    <row r="320" spans="1:12">
      <c r="A320" s="286" t="s">
        <v>349</v>
      </c>
      <c r="B320" s="283">
        <v>4531.0680000000002</v>
      </c>
      <c r="C320" s="283">
        <v>3622.1976</v>
      </c>
      <c r="D320" s="283">
        <v>657</v>
      </c>
      <c r="E320" s="283">
        <v>275.08056668</v>
      </c>
      <c r="F320" s="264" t="s">
        <v>1229</v>
      </c>
      <c r="G320" s="264" t="s">
        <v>1229</v>
      </c>
      <c r="H320" s="264" t="s">
        <v>1229</v>
      </c>
      <c r="I320" s="264" t="s">
        <v>1229</v>
      </c>
      <c r="J320" s="264" t="s">
        <v>1229</v>
      </c>
      <c r="K320" s="264" t="s">
        <v>1229</v>
      </c>
      <c r="L320" s="264" t="s">
        <v>1229</v>
      </c>
    </row>
    <row r="321" spans="1:12">
      <c r="A321" s="261" t="s">
        <v>202</v>
      </c>
      <c r="B321" s="271">
        <v>4531.0680000000002</v>
      </c>
      <c r="C321" s="265">
        <v>3622.1976</v>
      </c>
      <c r="D321" s="265">
        <v>657</v>
      </c>
      <c r="E321" s="265">
        <v>275.08056668</v>
      </c>
      <c r="F321" s="277" t="s">
        <v>1229</v>
      </c>
      <c r="G321" s="277" t="s">
        <v>1229</v>
      </c>
      <c r="H321" s="277" t="s">
        <v>1229</v>
      </c>
      <c r="I321" s="277" t="s">
        <v>1229</v>
      </c>
      <c r="J321" s="277" t="s">
        <v>1229</v>
      </c>
      <c r="K321" s="277" t="s">
        <v>1229</v>
      </c>
      <c r="L321" s="277" t="s">
        <v>1229</v>
      </c>
    </row>
    <row r="322" spans="1:12">
      <c r="E322" s="269"/>
    </row>
    <row r="323" spans="1:12" ht="12" thickBot="1">
      <c r="A323" s="287" t="s">
        <v>203</v>
      </c>
      <c r="B323" s="288">
        <v>465589.99899999995</v>
      </c>
      <c r="C323" s="288">
        <v>600477.77221597976</v>
      </c>
      <c r="D323" s="288">
        <v>648928</v>
      </c>
      <c r="E323" s="288">
        <v>706313.51911328989</v>
      </c>
      <c r="F323" s="288">
        <v>725103.36773990002</v>
      </c>
      <c r="G323" s="288">
        <v>800000.47908750013</v>
      </c>
      <c r="H323" s="288">
        <v>755126.97806329001</v>
      </c>
      <c r="I323" s="288">
        <v>730487.56453840993</v>
      </c>
      <c r="J323" s="288">
        <v>661731.43846189976</v>
      </c>
      <c r="K323" s="288">
        <v>694417.59350147995</v>
      </c>
      <c r="L323" s="288">
        <v>745824.83656888001</v>
      </c>
    </row>
    <row r="324" spans="1:12">
      <c r="A324" s="240" t="s">
        <v>179</v>
      </c>
      <c r="E324" s="269"/>
      <c r="F324" s="267"/>
      <c r="G324" s="267"/>
    </row>
    <row r="325" spans="1:12">
      <c r="A325" s="240"/>
      <c r="E325" s="269"/>
      <c r="F325" s="267"/>
      <c r="G325" s="267"/>
    </row>
    <row r="326" spans="1:12">
      <c r="A326" s="465"/>
      <c r="E326" s="266"/>
      <c r="F326" s="267"/>
      <c r="G326" s="267"/>
    </row>
    <row r="327" spans="1:12">
      <c r="E327" s="269"/>
      <c r="F327" s="267"/>
      <c r="G327" s="267"/>
    </row>
    <row r="328" spans="1:12">
      <c r="E328" s="269"/>
      <c r="F328" s="267"/>
      <c r="G328" s="267"/>
    </row>
    <row r="329" spans="1:12">
      <c r="E329" s="266"/>
      <c r="F329" s="267"/>
      <c r="G329" s="267"/>
    </row>
    <row r="330" spans="1:12">
      <c r="E330" s="269"/>
      <c r="F330" s="267"/>
      <c r="G330" s="267"/>
    </row>
    <row r="331" spans="1:12">
      <c r="E331" s="269"/>
      <c r="F331" s="267"/>
      <c r="G331" s="267"/>
    </row>
    <row r="332" spans="1:12">
      <c r="E332" s="266"/>
      <c r="F332" s="267"/>
      <c r="G332" s="267"/>
    </row>
    <row r="333" spans="1:12">
      <c r="E333" s="266"/>
      <c r="F333" s="267"/>
      <c r="G333" s="267"/>
    </row>
    <row r="334" spans="1:12">
      <c r="E334" s="269"/>
      <c r="F334" s="267"/>
      <c r="G334" s="267"/>
    </row>
    <row r="335" spans="1:12">
      <c r="E335" s="269"/>
    </row>
    <row r="336" spans="1:12">
      <c r="E336" s="266"/>
    </row>
    <row r="337" spans="5:5">
      <c r="E337" s="266"/>
    </row>
  </sheetData>
  <phoneticPr fontId="18" type="noConversion"/>
  <pageMargins left="0.74803149606299213" right="0.35433070866141736" top="0.59055118110236227" bottom="0.59055118110236227" header="0.51181102362204722" footer="0.51181102362204722"/>
  <pageSetup paperSize="9" scale="66" fitToHeight="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8"/>
  <sheetViews>
    <sheetView workbookViewId="0">
      <pane ySplit="5" topLeftCell="A6" activePane="bottomLeft" state="frozen"/>
      <selection activeCell="F49" sqref="F49"/>
      <selection pane="bottomLeft" activeCell="F49" sqref="F49"/>
    </sheetView>
  </sheetViews>
  <sheetFormatPr defaultColWidth="10.6640625" defaultRowHeight="12.75"/>
  <cols>
    <col min="1" max="1" width="6.33203125" style="210" customWidth="1"/>
    <col min="2" max="2" width="51.6640625" style="210" customWidth="1"/>
    <col min="3" max="4" width="10.6640625" style="234"/>
    <col min="5" max="5" width="10.6640625" style="222" customWidth="1"/>
    <col min="6" max="8" width="10.6640625" style="210"/>
    <col min="9" max="11" width="10.6640625" style="210" customWidth="1"/>
    <col min="12" max="197" width="10.6640625" style="210"/>
    <col min="198" max="198" width="54.1640625" style="210" customWidth="1"/>
    <col min="199" max="16384" width="10.6640625" style="210"/>
  </cols>
  <sheetData>
    <row r="1" spans="1:11">
      <c r="A1" s="204" t="s">
        <v>1774</v>
      </c>
      <c r="B1" s="205"/>
      <c r="C1" s="206"/>
      <c r="D1" s="207"/>
      <c r="E1" s="208"/>
      <c r="F1" s="209"/>
    </row>
    <row r="2" spans="1:11">
      <c r="A2" s="204" t="s">
        <v>1959</v>
      </c>
      <c r="B2" s="205"/>
      <c r="C2" s="206"/>
      <c r="D2" s="207"/>
      <c r="E2" s="208"/>
      <c r="F2" s="209"/>
    </row>
    <row r="3" spans="1:11">
      <c r="A3" s="211" t="s">
        <v>1960</v>
      </c>
      <c r="B3" s="205"/>
      <c r="C3" s="206"/>
      <c r="D3" s="207"/>
      <c r="E3" s="208"/>
      <c r="F3" s="209"/>
    </row>
    <row r="4" spans="1:11" ht="13.5" thickBot="1">
      <c r="A4" s="211"/>
      <c r="B4" s="205"/>
      <c r="C4" s="206"/>
      <c r="D4" s="212"/>
      <c r="E4" s="208"/>
      <c r="F4" s="209"/>
    </row>
    <row r="5" spans="1:11" s="209" customFormat="1" ht="12" customHeight="1" thickBot="1">
      <c r="A5" s="213" t="s">
        <v>958</v>
      </c>
      <c r="B5" s="214"/>
      <c r="C5" s="215">
        <v>2006</v>
      </c>
      <c r="D5" s="216">
        <v>2007</v>
      </c>
      <c r="E5" s="216">
        <v>2008</v>
      </c>
      <c r="F5" s="216">
        <v>2009</v>
      </c>
      <c r="G5" s="217">
        <v>2010</v>
      </c>
      <c r="H5" s="217">
        <v>2011</v>
      </c>
      <c r="I5" s="217">
        <v>2012</v>
      </c>
      <c r="J5" s="217">
        <v>2013</v>
      </c>
      <c r="K5" s="217">
        <v>2014</v>
      </c>
    </row>
    <row r="6" spans="1:11">
      <c r="A6" s="218">
        <v>1000</v>
      </c>
      <c r="B6" s="218" t="s">
        <v>1181</v>
      </c>
      <c r="C6" s="219">
        <v>806316.06099999999</v>
      </c>
      <c r="D6" s="219">
        <v>815528.41099999996</v>
      </c>
      <c r="E6" s="219">
        <v>808723.26993236667</v>
      </c>
      <c r="F6" s="219">
        <v>705783.19203776703</v>
      </c>
      <c r="G6" s="220">
        <v>779472.79141634994</v>
      </c>
      <c r="H6" s="220">
        <v>839974.33072577848</v>
      </c>
      <c r="I6" s="220">
        <v>792652.45035443001</v>
      </c>
      <c r="J6" s="220">
        <v>777295.45903278003</v>
      </c>
      <c r="K6" s="220">
        <v>801952.12260669132</v>
      </c>
    </row>
    <row r="7" spans="1:11">
      <c r="A7" s="218"/>
      <c r="B7" s="218"/>
      <c r="C7" s="219"/>
      <c r="D7" s="221"/>
    </row>
    <row r="8" spans="1:11">
      <c r="A8" s="218"/>
      <c r="B8" s="218" t="s">
        <v>1260</v>
      </c>
      <c r="C8" s="219">
        <v>857152.82499999995</v>
      </c>
      <c r="D8" s="219">
        <v>873518.33100000001</v>
      </c>
      <c r="E8" s="219">
        <v>908958.9754593001</v>
      </c>
      <c r="F8" s="219">
        <v>867104.22746047936</v>
      </c>
      <c r="G8" s="219">
        <v>874068.23634310998</v>
      </c>
      <c r="H8" s="219">
        <v>905142.48823895003</v>
      </c>
      <c r="I8" s="219">
        <v>937194.51771431009</v>
      </c>
      <c r="J8" s="219">
        <v>964847.55114031001</v>
      </c>
      <c r="K8" s="219">
        <v>982817.64159937785</v>
      </c>
    </row>
    <row r="9" spans="1:11">
      <c r="A9" s="218"/>
      <c r="B9" s="218"/>
      <c r="C9" s="219"/>
      <c r="D9" s="221"/>
    </row>
    <row r="10" spans="1:11" ht="15" customHeight="1">
      <c r="A10" s="218">
        <v>1100</v>
      </c>
      <c r="B10" s="218" t="s">
        <v>427</v>
      </c>
      <c r="C10" s="219">
        <v>490145.79100000003</v>
      </c>
      <c r="D10" s="219">
        <v>483012.92499999999</v>
      </c>
      <c r="E10" s="219">
        <v>497451.24279000011</v>
      </c>
      <c r="F10" s="219">
        <v>475659.62270867935</v>
      </c>
      <c r="G10" s="220">
        <v>474699.21616000001</v>
      </c>
      <c r="H10" s="220">
        <v>487341.03783400008</v>
      </c>
      <c r="I10" s="220">
        <v>505063.33444900002</v>
      </c>
      <c r="J10" s="220">
        <v>522974.600875</v>
      </c>
      <c r="K10" s="220">
        <v>525710.30212863465</v>
      </c>
    </row>
    <row r="11" spans="1:11" ht="15" customHeight="1">
      <c r="A11" s="293">
        <v>1110</v>
      </c>
      <c r="B11" s="208" t="s">
        <v>428</v>
      </c>
      <c r="C11" s="229">
        <v>495121.96299999999</v>
      </c>
      <c r="D11" s="229">
        <v>523867.38020200003</v>
      </c>
      <c r="E11" s="229">
        <v>551375.60115900007</v>
      </c>
      <c r="F11" s="229">
        <v>551237.04613967938</v>
      </c>
      <c r="G11" s="294">
        <v>565325.16990500013</v>
      </c>
      <c r="H11" s="294">
        <v>582875.94281599997</v>
      </c>
      <c r="I11" s="294">
        <v>604919.26545499999</v>
      </c>
      <c r="J11" s="294">
        <v>626746.1912280001</v>
      </c>
      <c r="K11" s="294">
        <v>646263.88164999022</v>
      </c>
    </row>
    <row r="12" spans="1:11" ht="15" customHeight="1">
      <c r="A12" s="208">
        <v>1111</v>
      </c>
      <c r="B12" s="208" t="s">
        <v>429</v>
      </c>
      <c r="C12" s="221">
        <v>41004.633999999998</v>
      </c>
      <c r="D12" s="221">
        <v>44799.210334000003</v>
      </c>
      <c r="E12" s="221">
        <v>47953.028238999999</v>
      </c>
      <c r="F12" s="221">
        <v>40087.111037000002</v>
      </c>
      <c r="G12" s="223">
        <v>42475.065498999997</v>
      </c>
      <c r="H12" s="223">
        <v>44648.614810999999</v>
      </c>
      <c r="I12" s="223">
        <v>44152.983715000002</v>
      </c>
      <c r="J12" s="223">
        <v>44812.428755000001</v>
      </c>
      <c r="K12" s="223">
        <v>46236.307054854609</v>
      </c>
    </row>
    <row r="13" spans="1:11" ht="15" customHeight="1">
      <c r="A13" s="208">
        <v>1115</v>
      </c>
      <c r="B13" s="208" t="s">
        <v>430</v>
      </c>
      <c r="C13" s="221">
        <v>454117.32799999998</v>
      </c>
      <c r="D13" s="221">
        <v>479068.16986800003</v>
      </c>
      <c r="E13" s="221">
        <v>503422.57292000001</v>
      </c>
      <c r="F13" s="221">
        <v>511149.93510267948</v>
      </c>
      <c r="G13" s="223">
        <v>522850.10440600011</v>
      </c>
      <c r="H13" s="223">
        <v>538227.32800500002</v>
      </c>
      <c r="I13" s="223">
        <v>560766.28174000001</v>
      </c>
      <c r="J13" s="223">
        <v>581933.7624730001</v>
      </c>
      <c r="K13" s="223">
        <v>600027.57459513552</v>
      </c>
    </row>
    <row r="14" spans="1:11" ht="15" customHeight="1">
      <c r="A14" s="293">
        <v>1120</v>
      </c>
      <c r="B14" s="208" t="s">
        <v>431</v>
      </c>
      <c r="C14" s="229">
        <v>77329.092000000004</v>
      </c>
      <c r="D14" s="229">
        <v>81088.126499999998</v>
      </c>
      <c r="E14" s="229">
        <v>85162.334499999997</v>
      </c>
      <c r="F14" s="229">
        <v>86844.9179</v>
      </c>
      <c r="G14" s="294">
        <v>89174.917000000016</v>
      </c>
      <c r="H14" s="294">
        <v>93499.585200000001</v>
      </c>
      <c r="I14" s="294">
        <v>97560.646900000007</v>
      </c>
      <c r="J14" s="294">
        <v>100860.9362</v>
      </c>
      <c r="K14" s="294">
        <v>103850.578559</v>
      </c>
    </row>
    <row r="15" spans="1:11" ht="15" customHeight="1">
      <c r="A15" s="208">
        <v>1121</v>
      </c>
      <c r="B15" s="208" t="s">
        <v>431</v>
      </c>
      <c r="C15" s="221">
        <v>77329.092000000004</v>
      </c>
      <c r="D15" s="221">
        <v>81088.126499999998</v>
      </c>
      <c r="E15" s="221">
        <v>85162.334499999997</v>
      </c>
      <c r="F15" s="221">
        <v>86844.9179</v>
      </c>
      <c r="G15" s="223">
        <v>89174.917000000016</v>
      </c>
      <c r="H15" s="223">
        <v>93499.585200000001</v>
      </c>
      <c r="I15" s="223">
        <v>97560.646900000007</v>
      </c>
      <c r="J15" s="223">
        <v>100860.9362</v>
      </c>
      <c r="K15" s="223">
        <v>103850.578559</v>
      </c>
    </row>
    <row r="16" spans="1:11">
      <c r="A16" s="293">
        <v>1130</v>
      </c>
      <c r="B16" s="208" t="s">
        <v>432</v>
      </c>
      <c r="C16" s="229">
        <v>73.706999999999994</v>
      </c>
      <c r="D16" s="229">
        <v>86.260999999999996</v>
      </c>
      <c r="E16" s="229">
        <v>103.35958000000001</v>
      </c>
      <c r="F16" s="229">
        <v>127.27703000000001</v>
      </c>
      <c r="G16" s="294">
        <v>89.492197999999973</v>
      </c>
      <c r="H16" s="294">
        <v>85.104984000000002</v>
      </c>
      <c r="I16" s="294">
        <v>6.3457979999999994</v>
      </c>
      <c r="J16" s="294">
        <v>-0.53461999999999998</v>
      </c>
      <c r="K16" s="585" t="s">
        <v>1229</v>
      </c>
    </row>
    <row r="17" spans="1:11">
      <c r="A17" s="208">
        <v>1131</v>
      </c>
      <c r="B17" s="208" t="s">
        <v>432</v>
      </c>
      <c r="C17" s="221">
        <v>73.706999999999994</v>
      </c>
      <c r="D17" s="221">
        <v>86.261287999999993</v>
      </c>
      <c r="E17" s="221">
        <v>103.35958000000001</v>
      </c>
      <c r="F17" s="221">
        <v>127.27703000000001</v>
      </c>
      <c r="G17" s="223">
        <v>89.492197999999973</v>
      </c>
      <c r="H17" s="223">
        <v>85.104984000000002</v>
      </c>
      <c r="I17" s="223">
        <v>6.3457979999999994</v>
      </c>
      <c r="J17" s="223">
        <v>-0.53461999999999998</v>
      </c>
      <c r="K17" s="585" t="s">
        <v>1229</v>
      </c>
    </row>
    <row r="18" spans="1:11" ht="15" customHeight="1">
      <c r="A18" s="293">
        <v>1140</v>
      </c>
      <c r="B18" s="208" t="s">
        <v>433</v>
      </c>
      <c r="C18" s="229">
        <v>-82378.971000000005</v>
      </c>
      <c r="D18" s="229">
        <v>-122028.84299999999</v>
      </c>
      <c r="E18" s="229">
        <v>-139190.05244900004</v>
      </c>
      <c r="F18" s="229">
        <v>-162549.618361</v>
      </c>
      <c r="G18" s="294">
        <v>-179890.36294300001</v>
      </c>
      <c r="H18" s="294">
        <v>-189119.59516599998</v>
      </c>
      <c r="I18" s="294">
        <v>-197422.92370399999</v>
      </c>
      <c r="J18" s="294">
        <v>-204631.99193300001</v>
      </c>
      <c r="K18" s="294">
        <v>-224404.1580803555</v>
      </c>
    </row>
    <row r="19" spans="1:11" ht="15" customHeight="1">
      <c r="A19" s="208">
        <v>1141</v>
      </c>
      <c r="B19" s="208" t="s">
        <v>431</v>
      </c>
      <c r="C19" s="221">
        <v>-77295.335999999996</v>
      </c>
      <c r="D19" s="221">
        <v>-81060.951641000007</v>
      </c>
      <c r="E19" s="221">
        <v>-85134.436711000017</v>
      </c>
      <c r="F19" s="221">
        <v>-86815.385525999998</v>
      </c>
      <c r="G19" s="223">
        <v>-89144.245561000003</v>
      </c>
      <c r="H19" s="223">
        <v>-93471.458111</v>
      </c>
      <c r="I19" s="223">
        <v>-97531.990235000005</v>
      </c>
      <c r="J19" s="223">
        <v>-100829.61597900001</v>
      </c>
      <c r="K19" s="223">
        <v>-103818.3007262678</v>
      </c>
    </row>
    <row r="20" spans="1:11" ht="15" customHeight="1">
      <c r="A20" s="208">
        <v>1142</v>
      </c>
      <c r="B20" s="208" t="s">
        <v>434</v>
      </c>
      <c r="C20" s="221">
        <v>-2141.64</v>
      </c>
      <c r="D20" s="585" t="s">
        <v>1229</v>
      </c>
      <c r="E20" s="585" t="s">
        <v>1229</v>
      </c>
      <c r="F20" s="585" t="s">
        <v>1229</v>
      </c>
      <c r="G20" s="585" t="s">
        <v>1229</v>
      </c>
      <c r="H20" s="585" t="s">
        <v>1229</v>
      </c>
      <c r="I20" s="585" t="s">
        <v>1229</v>
      </c>
      <c r="J20" s="585" t="s">
        <v>1229</v>
      </c>
      <c r="K20" s="585" t="s">
        <v>1229</v>
      </c>
    </row>
    <row r="21" spans="1:11">
      <c r="A21" s="208">
        <v>1143</v>
      </c>
      <c r="B21" s="208" t="s">
        <v>435</v>
      </c>
      <c r="C21" s="221">
        <v>-1668.037</v>
      </c>
      <c r="D21" s="585" t="s">
        <v>1229</v>
      </c>
      <c r="E21" s="585" t="s">
        <v>1229</v>
      </c>
      <c r="F21" s="585" t="s">
        <v>1229</v>
      </c>
      <c r="G21" s="585" t="s">
        <v>1229</v>
      </c>
      <c r="H21" s="585" t="s">
        <v>1229</v>
      </c>
      <c r="I21" s="585" t="s">
        <v>1229</v>
      </c>
      <c r="J21" s="585" t="s">
        <v>1229</v>
      </c>
      <c r="K21" s="585" t="s">
        <v>1229</v>
      </c>
    </row>
    <row r="22" spans="1:11">
      <c r="A22" s="208">
        <v>1144</v>
      </c>
      <c r="B22" s="208" t="s">
        <v>436</v>
      </c>
      <c r="C22" s="221">
        <v>-277.40899999999999</v>
      </c>
      <c r="D22" s="221">
        <v>-264.28725300000002</v>
      </c>
      <c r="E22" s="221">
        <v>-68.445555000000013</v>
      </c>
      <c r="F22" s="221">
        <v>-107.61581200000001</v>
      </c>
      <c r="G22" s="223">
        <v>-128.705872</v>
      </c>
      <c r="H22" s="223">
        <v>-178.38888399999999</v>
      </c>
      <c r="I22" s="223">
        <v>-199.07462700000002</v>
      </c>
      <c r="J22" s="223">
        <v>-207.74285399999999</v>
      </c>
      <c r="K22" s="223">
        <v>-207.74285399999999</v>
      </c>
    </row>
    <row r="23" spans="1:11">
      <c r="A23" s="208">
        <v>1145</v>
      </c>
      <c r="B23" s="208" t="s">
        <v>576</v>
      </c>
      <c r="C23" s="221">
        <v>-78.069000000000003</v>
      </c>
      <c r="D23" s="585" t="s">
        <v>1229</v>
      </c>
      <c r="E23" s="585" t="s">
        <v>1229</v>
      </c>
      <c r="F23" s="585" t="s">
        <v>1229</v>
      </c>
      <c r="G23" s="585" t="s">
        <v>1229</v>
      </c>
      <c r="H23" s="585" t="s">
        <v>1229</v>
      </c>
      <c r="I23" s="585" t="s">
        <v>1229</v>
      </c>
      <c r="J23" s="585" t="s">
        <v>1229</v>
      </c>
      <c r="K23" s="585" t="s">
        <v>1229</v>
      </c>
    </row>
    <row r="24" spans="1:11">
      <c r="A24" s="208">
        <v>1146</v>
      </c>
      <c r="B24" s="208" t="s">
        <v>577</v>
      </c>
      <c r="C24" s="221">
        <v>-90.113</v>
      </c>
      <c r="D24" s="585" t="s">
        <v>1229</v>
      </c>
      <c r="E24" s="585" t="s">
        <v>1229</v>
      </c>
      <c r="F24" s="585" t="s">
        <v>1229</v>
      </c>
      <c r="G24" s="585" t="s">
        <v>1229</v>
      </c>
      <c r="H24" s="585" t="s">
        <v>1229</v>
      </c>
      <c r="I24" s="585" t="s">
        <v>1229</v>
      </c>
      <c r="J24" s="585" t="s">
        <v>1229</v>
      </c>
      <c r="K24" s="585" t="s">
        <v>1229</v>
      </c>
    </row>
    <row r="25" spans="1:11">
      <c r="A25" s="208">
        <v>1149</v>
      </c>
      <c r="B25" s="208" t="s">
        <v>856</v>
      </c>
      <c r="C25" s="221">
        <v>-20.797999999999998</v>
      </c>
      <c r="D25" s="221">
        <v>-30.683</v>
      </c>
      <c r="E25" s="585" t="s">
        <v>1229</v>
      </c>
      <c r="F25" s="585" t="s">
        <v>1229</v>
      </c>
      <c r="G25" s="585" t="s">
        <v>1229</v>
      </c>
      <c r="H25" s="585" t="s">
        <v>1229</v>
      </c>
      <c r="I25" s="585" t="s">
        <v>1229</v>
      </c>
      <c r="J25" s="585" t="s">
        <v>1229</v>
      </c>
      <c r="K25" s="585" t="s">
        <v>1229</v>
      </c>
    </row>
    <row r="26" spans="1:11">
      <c r="A26" s="208">
        <v>1151</v>
      </c>
      <c r="B26" s="208" t="s">
        <v>857</v>
      </c>
      <c r="C26" s="221">
        <v>-77.305999999999997</v>
      </c>
      <c r="D26" s="221">
        <v>-77.636889999999994</v>
      </c>
      <c r="E26" s="221">
        <v>-77.846183999999994</v>
      </c>
      <c r="F26" s="221">
        <v>-76.951093999999998</v>
      </c>
      <c r="G26" s="223">
        <v>-72.397772000000003</v>
      </c>
      <c r="H26" s="223">
        <v>-67.552051000000006</v>
      </c>
      <c r="I26" s="223">
        <v>-62.784375999999995</v>
      </c>
      <c r="J26" s="223">
        <v>-56.440218000000002</v>
      </c>
      <c r="K26" s="223">
        <v>-56.440218000000002</v>
      </c>
    </row>
    <row r="27" spans="1:11">
      <c r="A27" s="208">
        <v>1152</v>
      </c>
      <c r="B27" s="208" t="s">
        <v>858</v>
      </c>
      <c r="C27" s="221">
        <v>-730.26300000000003</v>
      </c>
      <c r="D27" s="585" t="s">
        <v>1229</v>
      </c>
      <c r="E27" s="585" t="s">
        <v>1229</v>
      </c>
      <c r="F27" s="585" t="s">
        <v>1229</v>
      </c>
      <c r="G27" s="585" t="s">
        <v>1229</v>
      </c>
      <c r="H27" s="585" t="s">
        <v>1229</v>
      </c>
      <c r="I27" s="585" t="s">
        <v>1229</v>
      </c>
      <c r="J27" s="585" t="s">
        <v>1229</v>
      </c>
      <c r="K27" s="585" t="s">
        <v>1229</v>
      </c>
    </row>
    <row r="28" spans="1:11">
      <c r="A28" s="208">
        <v>1153</v>
      </c>
      <c r="B28" s="208" t="s">
        <v>910</v>
      </c>
      <c r="C28" s="221">
        <v>0</v>
      </c>
      <c r="D28" s="221">
        <v>-40475.231183999997</v>
      </c>
      <c r="E28" s="221">
        <v>-53466.932858000007</v>
      </c>
      <c r="F28" s="221">
        <v>-65195.112896999999</v>
      </c>
      <c r="G28" s="223">
        <v>-76811.817978000021</v>
      </c>
      <c r="H28" s="223">
        <v>-80358.505011999994</v>
      </c>
      <c r="I28" s="223">
        <v>-83603.805606000009</v>
      </c>
      <c r="J28" s="223">
        <v>-85795.434325000009</v>
      </c>
      <c r="K28" s="223">
        <v>-100135.01763208771</v>
      </c>
    </row>
    <row r="29" spans="1:11">
      <c r="A29" s="208">
        <v>1154</v>
      </c>
      <c r="B29" s="208" t="s">
        <v>911</v>
      </c>
      <c r="C29" s="221">
        <v>0</v>
      </c>
      <c r="D29" s="221">
        <v>-120.05252299999999</v>
      </c>
      <c r="E29" s="221">
        <v>-442.391141</v>
      </c>
      <c r="F29" s="221">
        <v>-10354.553032</v>
      </c>
      <c r="G29" s="223">
        <v>-13733.195760000002</v>
      </c>
      <c r="H29" s="223">
        <v>-15043.691108000001</v>
      </c>
      <c r="I29" s="223">
        <v>-15871.876865</v>
      </c>
      <c r="J29" s="223">
        <v>-17532.708484000002</v>
      </c>
      <c r="K29" s="223">
        <v>-19966.656649999997</v>
      </c>
    </row>
    <row r="30" spans="1:11">
      <c r="A30" s="208">
        <v>1155</v>
      </c>
      <c r="B30" s="208" t="s">
        <v>1625</v>
      </c>
      <c r="C30" s="585" t="s">
        <v>1229</v>
      </c>
      <c r="D30" s="585" t="s">
        <v>1229</v>
      </c>
      <c r="E30" s="585" t="s">
        <v>1229</v>
      </c>
      <c r="F30" s="585" t="s">
        <v>1229</v>
      </c>
      <c r="G30" s="585" t="s">
        <v>1229</v>
      </c>
      <c r="H30" s="585" t="s">
        <v>1229</v>
      </c>
      <c r="I30" s="223">
        <v>-153.39199500000001</v>
      </c>
      <c r="J30" s="223">
        <v>-210.050073</v>
      </c>
      <c r="K30" s="223">
        <v>-220</v>
      </c>
    </row>
    <row r="31" spans="1:11" s="225" customFormat="1">
      <c r="A31" s="208"/>
      <c r="B31" s="208"/>
      <c r="C31" s="221"/>
      <c r="D31" s="221"/>
      <c r="E31" s="222"/>
      <c r="F31" s="210"/>
      <c r="G31" s="223"/>
      <c r="H31" s="223"/>
      <c r="I31" s="223"/>
      <c r="J31" s="223"/>
      <c r="K31" s="223"/>
    </row>
    <row r="32" spans="1:11">
      <c r="A32" s="218">
        <v>1200</v>
      </c>
      <c r="B32" s="218" t="s">
        <v>859</v>
      </c>
      <c r="C32" s="219">
        <v>367007.03399999999</v>
      </c>
      <c r="D32" s="219">
        <v>390577.80200000003</v>
      </c>
      <c r="E32" s="219">
        <v>411507.73266929999</v>
      </c>
      <c r="F32" s="219">
        <v>391444.60475180001</v>
      </c>
      <c r="G32" s="220">
        <v>399369.02018311003</v>
      </c>
      <c r="H32" s="220">
        <v>417801.45040494995</v>
      </c>
      <c r="I32" s="220">
        <v>432131.18326531001</v>
      </c>
      <c r="J32" s="220">
        <v>441872.95026531001</v>
      </c>
      <c r="K32" s="220">
        <v>457107.33947074326</v>
      </c>
    </row>
    <row r="33" spans="1:11">
      <c r="A33" s="293">
        <v>1210</v>
      </c>
      <c r="B33" s="208" t="s">
        <v>696</v>
      </c>
      <c r="C33" s="229">
        <v>357047.83500000002</v>
      </c>
      <c r="D33" s="229">
        <v>382114.61300000001</v>
      </c>
      <c r="E33" s="229">
        <v>404068.77899031382</v>
      </c>
      <c r="F33" s="229">
        <v>392446.0688536017</v>
      </c>
      <c r="G33" s="294">
        <v>403863.16089649714</v>
      </c>
      <c r="H33" s="294">
        <v>426553.34601629502</v>
      </c>
      <c r="I33" s="294">
        <v>442447.52520723996</v>
      </c>
      <c r="J33" s="294">
        <v>454314.19084282999</v>
      </c>
      <c r="K33" s="294">
        <v>471546.93734632782</v>
      </c>
    </row>
    <row r="34" spans="1:11">
      <c r="A34" s="208">
        <v>1211</v>
      </c>
      <c r="B34" s="208" t="s">
        <v>860</v>
      </c>
      <c r="C34" s="221">
        <v>94084.876999999993</v>
      </c>
      <c r="D34" s="221">
        <v>100992.98493478002</v>
      </c>
      <c r="E34" s="221">
        <v>92340.433962340001</v>
      </c>
      <c r="F34" s="221">
        <v>78630.661116829986</v>
      </c>
      <c r="G34" s="223">
        <v>71292.259861569997</v>
      </c>
      <c r="H34" s="223">
        <v>63318.135127409994</v>
      </c>
      <c r="I34" s="223">
        <v>65433.999173069999</v>
      </c>
      <c r="J34" s="223">
        <v>58364.74155757</v>
      </c>
      <c r="K34" s="223">
        <v>60287.318378929995</v>
      </c>
    </row>
    <row r="35" spans="1:11">
      <c r="A35" s="208">
        <v>1212</v>
      </c>
      <c r="B35" s="208" t="s">
        <v>682</v>
      </c>
      <c r="C35" s="221">
        <v>24229.761999999999</v>
      </c>
      <c r="D35" s="221">
        <v>25356.042851479997</v>
      </c>
      <c r="E35" s="221">
        <v>26331.32313053</v>
      </c>
      <c r="F35" s="221">
        <v>25764.216668290002</v>
      </c>
      <c r="G35" s="223">
        <v>26354.632881269998</v>
      </c>
      <c r="H35" s="223">
        <v>27729.436948099996</v>
      </c>
      <c r="I35" s="223">
        <v>33877.936940920001</v>
      </c>
      <c r="J35" s="223">
        <v>34854.49742105</v>
      </c>
      <c r="K35" s="223">
        <v>36037.568204880001</v>
      </c>
    </row>
    <row r="36" spans="1:11">
      <c r="A36" s="208">
        <v>1213</v>
      </c>
      <c r="B36" s="208" t="s">
        <v>683</v>
      </c>
      <c r="C36" s="221">
        <v>7498.7060000000001</v>
      </c>
      <c r="D36" s="221">
        <v>7844.3584902000011</v>
      </c>
      <c r="E36" s="221">
        <v>8138.9292716000009</v>
      </c>
      <c r="F36" s="221">
        <v>7963.5069113999998</v>
      </c>
      <c r="G36" s="223">
        <v>8146.0422695699999</v>
      </c>
      <c r="H36" s="223">
        <v>8570.9993183900006</v>
      </c>
      <c r="I36" s="223">
        <v>3914.10794356</v>
      </c>
      <c r="J36" s="223">
        <v>4022.4903396200002</v>
      </c>
      <c r="K36" s="223">
        <v>4151.3537054099997</v>
      </c>
    </row>
    <row r="37" spans="1:11">
      <c r="A37" s="208">
        <v>1214</v>
      </c>
      <c r="B37" s="208" t="s">
        <v>684</v>
      </c>
      <c r="C37" s="221">
        <v>112631.609</v>
      </c>
      <c r="D37" s="221">
        <v>120881.52332045001</v>
      </c>
      <c r="E37" s="221">
        <v>127872.68987969001</v>
      </c>
      <c r="F37" s="221">
        <v>128750.82974601</v>
      </c>
      <c r="G37" s="223">
        <v>132234.04565392004</v>
      </c>
      <c r="H37" s="223">
        <v>140075.74735359001</v>
      </c>
      <c r="I37" s="223">
        <v>145215.83532925998</v>
      </c>
      <c r="J37" s="223">
        <v>149659.63297929001</v>
      </c>
      <c r="K37" s="223">
        <v>154990.39088216005</v>
      </c>
    </row>
    <row r="38" spans="1:11">
      <c r="A38" s="208">
        <v>1215</v>
      </c>
      <c r="B38" s="208" t="s">
        <v>169</v>
      </c>
      <c r="C38" s="221">
        <v>18745.835999999999</v>
      </c>
      <c r="D38" s="221">
        <v>19610.615857009998</v>
      </c>
      <c r="E38" s="221">
        <v>20351.423460999998</v>
      </c>
      <c r="F38" s="221">
        <v>19904.901771499997</v>
      </c>
      <c r="G38" s="223">
        <v>20362.330727430002</v>
      </c>
      <c r="H38" s="223">
        <v>14771.410971789999</v>
      </c>
      <c r="I38" s="223">
        <v>15250.316025189999</v>
      </c>
      <c r="J38" s="223">
        <v>15692.80599289</v>
      </c>
      <c r="K38" s="223">
        <v>16216.1129588</v>
      </c>
    </row>
    <row r="39" spans="1:11">
      <c r="A39" s="208">
        <v>1216</v>
      </c>
      <c r="B39" s="208" t="s">
        <v>171</v>
      </c>
      <c r="C39" s="221">
        <v>44472.999000000003</v>
      </c>
      <c r="D39" s="221">
        <v>48471.214268109994</v>
      </c>
      <c r="E39" s="221">
        <v>29012.213675229999</v>
      </c>
      <c r="F39" s="221">
        <v>28324.78106668</v>
      </c>
      <c r="G39" s="223">
        <v>55443.334340900008</v>
      </c>
      <c r="H39" s="223">
        <v>36752.128246280001</v>
      </c>
      <c r="I39" s="223">
        <v>37918.546441799997</v>
      </c>
      <c r="J39" s="223">
        <v>39006.71671665</v>
      </c>
      <c r="K39" s="223">
        <v>39365.61277824</v>
      </c>
    </row>
    <row r="40" spans="1:11">
      <c r="A40" s="208">
        <v>1217</v>
      </c>
      <c r="B40" s="208" t="s">
        <v>685</v>
      </c>
      <c r="C40" s="221">
        <v>48342.139000000003</v>
      </c>
      <c r="D40" s="221">
        <v>51207.367069949993</v>
      </c>
      <c r="E40" s="221">
        <v>88982.246394660004</v>
      </c>
      <c r="F40" s="221">
        <v>87177.619219150016</v>
      </c>
      <c r="G40" s="223">
        <v>71830.721261780011</v>
      </c>
      <c r="H40" s="223">
        <v>115399.80961210001</v>
      </c>
      <c r="I40" s="223">
        <v>119393.13434736</v>
      </c>
      <c r="J40" s="223">
        <v>131670.28389240001</v>
      </c>
      <c r="K40" s="223">
        <v>136710.68510225002</v>
      </c>
    </row>
    <row r="41" spans="1:11">
      <c r="A41" s="208">
        <v>1218</v>
      </c>
      <c r="B41" s="208" t="s">
        <v>686</v>
      </c>
      <c r="C41" s="221">
        <v>-26.986000000000001</v>
      </c>
      <c r="D41" s="221">
        <v>144.52777300000889</v>
      </c>
      <c r="E41" s="221">
        <v>612.9190799699835</v>
      </c>
      <c r="F41" s="221">
        <v>-859.8714918599926</v>
      </c>
      <c r="G41" s="223">
        <v>471.77652555995166</v>
      </c>
      <c r="H41" s="223">
        <v>-141.33609066001418</v>
      </c>
      <c r="I41" s="223">
        <v>419.79732984000003</v>
      </c>
      <c r="J41" s="223">
        <v>-475.22143947000001</v>
      </c>
      <c r="K41" s="223">
        <v>121.70136032999289</v>
      </c>
    </row>
    <row r="42" spans="1:11">
      <c r="A42" s="208">
        <v>1219</v>
      </c>
      <c r="B42" s="208" t="s">
        <v>687</v>
      </c>
      <c r="C42" s="221">
        <v>5695.1</v>
      </c>
      <c r="D42" s="221">
        <v>7619.8138990919879</v>
      </c>
      <c r="E42" s="221">
        <v>10426.642612293797</v>
      </c>
      <c r="F42" s="221">
        <v>16789.423845601676</v>
      </c>
      <c r="G42" s="223">
        <v>17728.017374497089</v>
      </c>
      <c r="H42" s="223">
        <v>20077.014529295026</v>
      </c>
      <c r="I42" s="223">
        <v>21023.85167624</v>
      </c>
      <c r="J42" s="223">
        <v>21518.243382830002</v>
      </c>
      <c r="K42" s="223">
        <v>23666.193975327813</v>
      </c>
    </row>
    <row r="43" spans="1:11">
      <c r="A43" s="208">
        <v>1221</v>
      </c>
      <c r="B43" s="208" t="s">
        <v>688</v>
      </c>
      <c r="C43" s="221">
        <v>1373.7929999999999</v>
      </c>
      <c r="D43" s="221">
        <v>-13.835227999999999</v>
      </c>
      <c r="E43" s="221">
        <v>-4.2476999999999994E-2</v>
      </c>
      <c r="F43" s="585" t="s">
        <v>1229</v>
      </c>
      <c r="G43" s="585" t="s">
        <v>1229</v>
      </c>
      <c r="H43" s="585" t="s">
        <v>1229</v>
      </c>
      <c r="I43" s="585" t="s">
        <v>1229</v>
      </c>
      <c r="J43" s="585" t="s">
        <v>1229</v>
      </c>
      <c r="K43" s="585" t="s">
        <v>1229</v>
      </c>
    </row>
    <row r="44" spans="1:11">
      <c r="A44" s="293">
        <v>1240</v>
      </c>
      <c r="B44" s="208" t="s">
        <v>689</v>
      </c>
      <c r="C44" s="229">
        <v>10946.655000000001</v>
      </c>
      <c r="D44" s="229">
        <v>11794.348</v>
      </c>
      <c r="E44" s="229">
        <v>12098.277522</v>
      </c>
      <c r="F44" s="229">
        <v>11573.040677999999</v>
      </c>
      <c r="G44" s="294">
        <v>12286.296928</v>
      </c>
      <c r="H44" s="294">
        <v>12388.394040000001</v>
      </c>
      <c r="I44" s="294">
        <v>11721.450384</v>
      </c>
      <c r="J44" s="294">
        <v>11534.991332</v>
      </c>
      <c r="K44" s="294">
        <v>12417.404124011588</v>
      </c>
    </row>
    <row r="45" spans="1:11">
      <c r="A45" s="208">
        <v>1241</v>
      </c>
      <c r="B45" s="208" t="s">
        <v>860</v>
      </c>
      <c r="C45" s="221">
        <v>3205.7159999999999</v>
      </c>
      <c r="D45" s="221">
        <v>3451.6192919999999</v>
      </c>
      <c r="E45" s="221">
        <v>2910.1496080000002</v>
      </c>
      <c r="F45" s="221">
        <v>2609.4162269999997</v>
      </c>
      <c r="G45" s="223">
        <v>2081.8911050000002</v>
      </c>
      <c r="H45" s="223">
        <v>840.28720100000032</v>
      </c>
      <c r="I45" s="223">
        <v>751.27998100000002</v>
      </c>
      <c r="J45" s="223">
        <v>550.33327899999995</v>
      </c>
      <c r="K45" s="223">
        <v>41.003294942197272</v>
      </c>
    </row>
    <row r="46" spans="1:11">
      <c r="A46" s="208">
        <v>1242</v>
      </c>
      <c r="B46" s="208" t="s">
        <v>682</v>
      </c>
      <c r="C46" s="221">
        <v>801.80600000000004</v>
      </c>
      <c r="D46" s="221">
        <v>857.31699400000002</v>
      </c>
      <c r="E46" s="221">
        <v>864.57852500000001</v>
      </c>
      <c r="F46" s="221">
        <v>833.73683400000016</v>
      </c>
      <c r="G46" s="223">
        <v>888.13292200000001</v>
      </c>
      <c r="H46" s="223">
        <v>903.45801700000004</v>
      </c>
      <c r="I46" s="223">
        <v>1007.7505609999999</v>
      </c>
      <c r="J46" s="223">
        <v>960.4406580000001</v>
      </c>
      <c r="K46" s="223">
        <v>1038.364931815102</v>
      </c>
    </row>
    <row r="47" spans="1:11">
      <c r="A47" s="208">
        <v>1243</v>
      </c>
      <c r="B47" s="208" t="s">
        <v>683</v>
      </c>
      <c r="C47" s="221">
        <v>247.61</v>
      </c>
      <c r="D47" s="221">
        <v>264.362168</v>
      </c>
      <c r="E47" s="221">
        <v>267.14517499999999</v>
      </c>
      <c r="F47" s="221">
        <v>257.55379899999997</v>
      </c>
      <c r="G47" s="223">
        <v>274.84176500000001</v>
      </c>
      <c r="H47" s="223">
        <v>279.45191699999998</v>
      </c>
      <c r="I47" s="223">
        <v>115.638323</v>
      </c>
      <c r="J47" s="223">
        <v>113.17509200000001</v>
      </c>
      <c r="K47" s="223">
        <v>119.60658531487975</v>
      </c>
    </row>
    <row r="48" spans="1:11">
      <c r="A48" s="208">
        <v>1244</v>
      </c>
      <c r="B48" s="208" t="s">
        <v>170</v>
      </c>
      <c r="C48" s="221">
        <v>3774.3980000000001</v>
      </c>
      <c r="D48" s="221">
        <v>4099.7458749999996</v>
      </c>
      <c r="E48" s="221">
        <v>4331.1152300000003</v>
      </c>
      <c r="F48" s="221">
        <v>4195.62824</v>
      </c>
      <c r="G48" s="223">
        <v>4553.6182680000002</v>
      </c>
      <c r="H48" s="223">
        <v>4678.0450490000003</v>
      </c>
      <c r="I48" s="223">
        <v>4447.9002929999997</v>
      </c>
      <c r="J48" s="223">
        <v>4438.5782549999994</v>
      </c>
      <c r="K48" s="223">
        <v>4820.7930373388754</v>
      </c>
    </row>
    <row r="49" spans="1:11">
      <c r="A49" s="208">
        <v>1245</v>
      </c>
      <c r="B49" s="208" t="s">
        <v>169</v>
      </c>
      <c r="C49" s="221">
        <v>618.94399999999996</v>
      </c>
      <c r="D49" s="221">
        <v>661.72520199999997</v>
      </c>
      <c r="E49" s="221">
        <v>668.021658</v>
      </c>
      <c r="F49" s="221">
        <v>643.16942900000015</v>
      </c>
      <c r="G49" s="223">
        <v>686.79121499999997</v>
      </c>
      <c r="H49" s="223">
        <v>481.57124500000003</v>
      </c>
      <c r="I49" s="223">
        <v>452.473906</v>
      </c>
      <c r="J49" s="223">
        <v>441.50014500000003</v>
      </c>
      <c r="K49" s="223">
        <v>467.14632891349765</v>
      </c>
    </row>
    <row r="50" spans="1:11">
      <c r="A50" s="208">
        <v>1246</v>
      </c>
      <c r="B50" s="208" t="s">
        <v>171</v>
      </c>
      <c r="C50" s="221">
        <v>695.99</v>
      </c>
      <c r="D50" s="221">
        <v>743.73273700000004</v>
      </c>
      <c r="E50" s="221">
        <v>197.56057200000001</v>
      </c>
      <c r="F50" s="221">
        <v>189.00419399999998</v>
      </c>
      <c r="G50" s="223">
        <v>218.529224</v>
      </c>
      <c r="H50" s="223">
        <v>13.610937999999976</v>
      </c>
      <c r="I50" s="223">
        <v>1.8501829999999999</v>
      </c>
      <c r="J50" s="223">
        <v>6.8595389999999998</v>
      </c>
      <c r="K50" s="223">
        <v>0</v>
      </c>
    </row>
    <row r="51" spans="1:11">
      <c r="A51" s="208">
        <v>1247</v>
      </c>
      <c r="B51" s="208" t="s">
        <v>685</v>
      </c>
      <c r="C51" s="221">
        <v>1602.19</v>
      </c>
      <c r="D51" s="221">
        <v>1715.845679</v>
      </c>
      <c r="E51" s="221">
        <v>2859.7067539999998</v>
      </c>
      <c r="F51" s="221">
        <v>2761.8043040000002</v>
      </c>
      <c r="G51" s="223">
        <v>2375.8089539999996</v>
      </c>
      <c r="H51" s="223">
        <v>3709.6850669999999</v>
      </c>
      <c r="I51" s="223">
        <v>3531.2261509999998</v>
      </c>
      <c r="J51" s="223">
        <v>3660.7095199999999</v>
      </c>
      <c r="K51" s="223">
        <v>3776.5800566842113</v>
      </c>
    </row>
    <row r="52" spans="1:11">
      <c r="A52" s="208">
        <v>1248</v>
      </c>
      <c r="B52" s="208" t="s">
        <v>686</v>
      </c>
      <c r="C52" s="585" t="s">
        <v>1229</v>
      </c>
      <c r="D52" s="585" t="s">
        <v>1229</v>
      </c>
      <c r="E52" s="585" t="s">
        <v>1229</v>
      </c>
      <c r="F52" s="585" t="s">
        <v>1229</v>
      </c>
      <c r="G52" s="585" t="s">
        <v>1229</v>
      </c>
      <c r="H52" s="585" t="s">
        <v>1229</v>
      </c>
      <c r="I52" s="585" t="s">
        <v>1229</v>
      </c>
      <c r="J52" s="585" t="s">
        <v>1229</v>
      </c>
      <c r="K52" s="585" t="s">
        <v>1229</v>
      </c>
    </row>
    <row r="53" spans="1:11">
      <c r="A53" s="208">
        <v>1249</v>
      </c>
      <c r="B53" s="208" t="s">
        <v>687</v>
      </c>
      <c r="C53" s="585" t="s">
        <v>1229</v>
      </c>
      <c r="D53" s="585" t="s">
        <v>1229</v>
      </c>
      <c r="E53" s="585" t="s">
        <v>1229</v>
      </c>
      <c r="F53" s="221">
        <v>82.727650999999994</v>
      </c>
      <c r="G53" s="223">
        <v>1206.6834749999998</v>
      </c>
      <c r="H53" s="223">
        <v>1482.2846059999999</v>
      </c>
      <c r="I53" s="223">
        <v>1413.3309859999999</v>
      </c>
      <c r="J53" s="223">
        <v>1363.3948440000001</v>
      </c>
      <c r="K53" s="223">
        <v>2153.909889002824</v>
      </c>
    </row>
    <row r="54" spans="1:11">
      <c r="A54" s="293">
        <v>1260</v>
      </c>
      <c r="B54" s="208" t="s">
        <v>126</v>
      </c>
      <c r="C54" s="229">
        <v>-22320.664000000001</v>
      </c>
      <c r="D54" s="229">
        <v>-23920.220647879996</v>
      </c>
      <c r="E54" s="229">
        <v>-25111.445634260002</v>
      </c>
      <c r="F54" s="229">
        <v>-25350.281495949996</v>
      </c>
      <c r="G54" s="294">
        <v>-26423.865869000001</v>
      </c>
      <c r="H54" s="294">
        <v>-28876.935302999991</v>
      </c>
      <c r="I54" s="294">
        <v>-29994.263946999999</v>
      </c>
      <c r="J54" s="294">
        <v>-31048.242184999999</v>
      </c>
      <c r="K54" s="294">
        <v>-31875.650201999997</v>
      </c>
    </row>
    <row r="55" spans="1:11">
      <c r="A55" s="208">
        <v>1261</v>
      </c>
      <c r="B55" s="208" t="s">
        <v>126</v>
      </c>
      <c r="C55" s="221">
        <v>-22320.664000000001</v>
      </c>
      <c r="D55" s="221">
        <v>-23920.220647879996</v>
      </c>
      <c r="E55" s="221">
        <v>-25111.445634260002</v>
      </c>
      <c r="F55" s="221">
        <v>-25350.281495949996</v>
      </c>
      <c r="G55" s="223">
        <v>-26423.865869000001</v>
      </c>
      <c r="H55" s="223">
        <v>-28876.935302999991</v>
      </c>
      <c r="I55" s="223">
        <v>-29994.263946999999</v>
      </c>
      <c r="J55" s="223">
        <v>-31048.242184999999</v>
      </c>
      <c r="K55" s="223">
        <v>-31875.650201999997</v>
      </c>
    </row>
    <row r="56" spans="1:11">
      <c r="A56" s="293">
        <v>1270</v>
      </c>
      <c r="B56" s="208" t="s">
        <v>172</v>
      </c>
      <c r="C56" s="221">
        <v>28920.47</v>
      </c>
      <c r="D56" s="229">
        <v>30225.115000000002</v>
      </c>
      <c r="E56" s="229">
        <v>32570.305169539999</v>
      </c>
      <c r="F56" s="229">
        <v>32462.115923750003</v>
      </c>
      <c r="G56" s="294">
        <v>33089.813852110005</v>
      </c>
      <c r="H56" s="294">
        <v>36218.323392949998</v>
      </c>
      <c r="I56" s="294">
        <v>37399.682465309997</v>
      </c>
      <c r="J56" s="294">
        <v>36832.150302320006</v>
      </c>
      <c r="K56" s="294">
        <v>38200.416667344456</v>
      </c>
    </row>
    <row r="57" spans="1:11">
      <c r="A57" s="208">
        <v>1271</v>
      </c>
      <c r="B57" s="208" t="s">
        <v>690</v>
      </c>
      <c r="C57" s="221">
        <v>21568.705999999998</v>
      </c>
      <c r="D57" s="221">
        <v>24123.650410000002</v>
      </c>
      <c r="E57" s="221">
        <v>26184.901765999999</v>
      </c>
      <c r="F57" s="221">
        <v>26305.449732000001</v>
      </c>
      <c r="G57" s="223">
        <v>26790.042733000002</v>
      </c>
      <c r="H57" s="223">
        <v>30458.778183999999</v>
      </c>
      <c r="I57" s="223">
        <v>31546.289608999999</v>
      </c>
      <c r="J57" s="223">
        <v>30922.952992999999</v>
      </c>
      <c r="K57" s="223">
        <v>32078.672072817575</v>
      </c>
    </row>
    <row r="58" spans="1:11">
      <c r="A58" s="208">
        <v>1272</v>
      </c>
      <c r="B58" s="208" t="s">
        <v>691</v>
      </c>
      <c r="C58" s="221">
        <v>2835.8319999999999</v>
      </c>
      <c r="D58" s="221">
        <v>2908.0717267699997</v>
      </c>
      <c r="E58" s="221">
        <v>3190.5120185400001</v>
      </c>
      <c r="F58" s="221">
        <v>3238.6931397499998</v>
      </c>
      <c r="G58" s="223">
        <v>3470.3479931099996</v>
      </c>
      <c r="H58" s="223">
        <v>3139.5967499500002</v>
      </c>
      <c r="I58" s="223">
        <v>3387.27267231</v>
      </c>
      <c r="J58" s="223">
        <v>3416.3681493199997</v>
      </c>
      <c r="K58" s="223">
        <v>3615.0165257900007</v>
      </c>
    </row>
    <row r="59" spans="1:11">
      <c r="A59" s="208">
        <v>1273</v>
      </c>
      <c r="B59" s="208" t="s">
        <v>692</v>
      </c>
      <c r="C59" s="221">
        <v>3016.884</v>
      </c>
      <c r="D59" s="221">
        <v>1863.8060150000001</v>
      </c>
      <c r="E59" s="221">
        <v>2159.1953529999996</v>
      </c>
      <c r="F59" s="221">
        <v>1917.0934690000004</v>
      </c>
      <c r="G59" s="223">
        <v>1835.085243</v>
      </c>
      <c r="H59" s="223">
        <v>1679.3749170000001</v>
      </c>
      <c r="I59" s="223">
        <v>1616.3737390000001</v>
      </c>
      <c r="J59" s="223">
        <v>1690.4212769999999</v>
      </c>
      <c r="K59" s="223">
        <v>1668.5676129999999</v>
      </c>
    </row>
    <row r="60" spans="1:11">
      <c r="A60" s="208">
        <v>1274</v>
      </c>
      <c r="B60" s="208" t="s">
        <v>693</v>
      </c>
      <c r="C60" s="221">
        <v>1499.048</v>
      </c>
      <c r="D60" s="221">
        <v>1329.5871969999998</v>
      </c>
      <c r="E60" s="221">
        <v>1035.6960320000001</v>
      </c>
      <c r="F60" s="221">
        <v>1000.8795829999999</v>
      </c>
      <c r="G60" s="223">
        <v>994.33788299999992</v>
      </c>
      <c r="H60" s="223">
        <v>940.57354199999997</v>
      </c>
      <c r="I60" s="223">
        <v>849.74644499999999</v>
      </c>
      <c r="J60" s="223">
        <v>802.40788300000008</v>
      </c>
      <c r="K60" s="223">
        <v>838.16045573688598</v>
      </c>
    </row>
    <row r="61" spans="1:11">
      <c r="A61" s="208">
        <v>1275</v>
      </c>
      <c r="B61" s="208" t="s">
        <v>1478</v>
      </c>
      <c r="C61" s="221">
        <v>0</v>
      </c>
      <c r="D61" s="221">
        <v>0</v>
      </c>
      <c r="E61" s="221">
        <v>0</v>
      </c>
      <c r="F61" s="221">
        <v>0</v>
      </c>
      <c r="G61" s="223">
        <v>0</v>
      </c>
      <c r="H61" s="223">
        <v>0</v>
      </c>
      <c r="I61" s="223">
        <v>0</v>
      </c>
      <c r="J61" s="223">
        <v>0</v>
      </c>
      <c r="K61" s="223">
        <v>0</v>
      </c>
    </row>
    <row r="62" spans="1:11">
      <c r="A62" s="293">
        <v>1280</v>
      </c>
      <c r="B62" s="208" t="s">
        <v>694</v>
      </c>
      <c r="C62" s="221">
        <v>-8824.7939999999999</v>
      </c>
      <c r="D62" s="229">
        <v>-10527.397000000001</v>
      </c>
      <c r="E62" s="229">
        <v>-13302.491456293797</v>
      </c>
      <c r="F62" s="229">
        <v>-20556.157352601673</v>
      </c>
      <c r="G62" s="294">
        <v>-24575.322938497098</v>
      </c>
      <c r="H62" s="294">
        <v>-29434.381122295028</v>
      </c>
      <c r="I62" s="294">
        <v>-30301.746180240003</v>
      </c>
      <c r="J62" s="294">
        <v>-30437.66498084</v>
      </c>
      <c r="K62" s="294">
        <v>-33849.053987940635</v>
      </c>
    </row>
    <row r="63" spans="1:11">
      <c r="A63" s="208">
        <v>1281</v>
      </c>
      <c r="B63" s="208" t="s">
        <v>695</v>
      </c>
      <c r="C63" s="221">
        <v>-1704.816</v>
      </c>
      <c r="D63" s="221">
        <v>-1772.418629</v>
      </c>
      <c r="E63" s="221">
        <v>-1892.080841</v>
      </c>
      <c r="F63" s="221">
        <v>-1925.740211</v>
      </c>
      <c r="G63" s="223">
        <v>-1818.7973969999996</v>
      </c>
      <c r="H63" s="223">
        <v>-1711.5831129999999</v>
      </c>
      <c r="I63" s="223">
        <v>-1671.980888</v>
      </c>
      <c r="J63" s="223">
        <v>-1482.6192800000001</v>
      </c>
      <c r="K63" s="223">
        <v>-1414.7457619999998</v>
      </c>
    </row>
    <row r="64" spans="1:11">
      <c r="A64" s="208">
        <v>1282</v>
      </c>
      <c r="B64" s="208" t="s">
        <v>696</v>
      </c>
      <c r="C64" s="221">
        <v>-5695.1</v>
      </c>
      <c r="D64" s="221">
        <v>-7619.8138990919879</v>
      </c>
      <c r="E64" s="221">
        <v>-10426.642612293797</v>
      </c>
      <c r="F64" s="221">
        <v>-16789.423845601676</v>
      </c>
      <c r="G64" s="223">
        <v>-17728.017374497089</v>
      </c>
      <c r="H64" s="223">
        <v>-20077.014529295029</v>
      </c>
      <c r="I64" s="223">
        <v>-21023.85167624</v>
      </c>
      <c r="J64" s="223">
        <v>-21518.243382830002</v>
      </c>
      <c r="K64" s="223">
        <v>-23666.193975327813</v>
      </c>
    </row>
    <row r="65" spans="1:11">
      <c r="A65" s="208">
        <v>1283</v>
      </c>
      <c r="B65" s="208" t="s">
        <v>697</v>
      </c>
      <c r="C65" s="221">
        <v>-1338.6769999999999</v>
      </c>
      <c r="D65" s="221">
        <v>-681.21722499999998</v>
      </c>
      <c r="E65" s="585" t="s">
        <v>1229</v>
      </c>
      <c r="F65" s="585" t="s">
        <v>1229</v>
      </c>
      <c r="G65" s="223">
        <v>-1121.8421149999999</v>
      </c>
      <c r="H65" s="223">
        <v>-1398.788943</v>
      </c>
      <c r="I65" s="223">
        <v>-1335.7108820000001</v>
      </c>
      <c r="J65" s="223">
        <v>-1290.294666</v>
      </c>
      <c r="K65" s="223">
        <v>-2078.485455125011</v>
      </c>
    </row>
    <row r="66" spans="1:11">
      <c r="A66" s="208">
        <v>1284</v>
      </c>
      <c r="B66" s="208" t="s">
        <v>698</v>
      </c>
      <c r="C66" s="221">
        <v>-86.2</v>
      </c>
      <c r="D66" s="221">
        <v>-88.410645000000002</v>
      </c>
      <c r="E66" s="585" t="s">
        <v>1229</v>
      </c>
      <c r="F66" s="221">
        <v>-82.727650999999994</v>
      </c>
      <c r="G66" s="223">
        <v>-84.84135999999998</v>
      </c>
      <c r="H66" s="223">
        <v>-83.495662999999993</v>
      </c>
      <c r="I66" s="223">
        <v>-77.620104000000012</v>
      </c>
      <c r="J66" s="223">
        <v>-73.100178</v>
      </c>
      <c r="K66" s="223">
        <v>-75.424433877813115</v>
      </c>
    </row>
    <row r="67" spans="1:11">
      <c r="A67" s="208">
        <v>1285</v>
      </c>
      <c r="B67" s="208" t="s">
        <v>912</v>
      </c>
      <c r="C67" s="585" t="s">
        <v>1229</v>
      </c>
      <c r="D67" s="221">
        <v>-365.53612599999997</v>
      </c>
      <c r="E67" s="221">
        <v>-983.76800300000002</v>
      </c>
      <c r="F67" s="221">
        <v>-1758.2656450000002</v>
      </c>
      <c r="G67" s="223">
        <v>-3821.8246920000001</v>
      </c>
      <c r="H67" s="223">
        <v>-6163.4988739999999</v>
      </c>
      <c r="I67" s="223">
        <v>-6192.5826299999999</v>
      </c>
      <c r="J67" s="223">
        <v>-6073.4074740100004</v>
      </c>
      <c r="K67" s="223">
        <v>-6606.83813061</v>
      </c>
    </row>
    <row r="68" spans="1:11">
      <c r="A68" s="208">
        <v>1286</v>
      </c>
      <c r="B68" s="208" t="s">
        <v>1961</v>
      </c>
      <c r="C68" s="221"/>
      <c r="D68" s="221"/>
      <c r="E68" s="221"/>
      <c r="F68" s="221"/>
      <c r="G68" s="223"/>
      <c r="H68" s="223"/>
      <c r="I68" s="223"/>
      <c r="J68" s="223"/>
      <c r="K68" s="223">
        <v>-7.366231</v>
      </c>
    </row>
    <row r="69" spans="1:11">
      <c r="A69" s="293">
        <v>1290</v>
      </c>
      <c r="B69" s="208" t="s">
        <v>699</v>
      </c>
      <c r="C69" s="221">
        <v>1237.5309999999999</v>
      </c>
      <c r="D69" s="229">
        <v>891.34299999999996</v>
      </c>
      <c r="E69" s="229">
        <v>1184.308078</v>
      </c>
      <c r="F69" s="229">
        <v>869.81814499999973</v>
      </c>
      <c r="G69" s="294">
        <v>1128.937314</v>
      </c>
      <c r="H69" s="294">
        <v>952.70338100000026</v>
      </c>
      <c r="I69" s="294">
        <v>858.53533600000003</v>
      </c>
      <c r="J69" s="294">
        <v>677.52495399999998</v>
      </c>
      <c r="K69" s="294">
        <v>667.28552300000001</v>
      </c>
    </row>
    <row r="70" spans="1:11" s="225" customFormat="1">
      <c r="A70" s="208">
        <v>1291</v>
      </c>
      <c r="B70" s="208" t="s">
        <v>699</v>
      </c>
      <c r="C70" s="221">
        <v>1237.5309999999999</v>
      </c>
      <c r="D70" s="221">
        <v>891.34302200000013</v>
      </c>
      <c r="E70" s="221">
        <v>1184.308078</v>
      </c>
      <c r="F70" s="221">
        <v>869.81814499999973</v>
      </c>
      <c r="G70" s="223">
        <v>1128.937314</v>
      </c>
      <c r="H70" s="223">
        <v>952.70338100000026</v>
      </c>
      <c r="I70" s="223">
        <v>858.53533600000003</v>
      </c>
      <c r="J70" s="223">
        <v>677.52495399999998</v>
      </c>
      <c r="K70" s="223">
        <v>667.28552300000001</v>
      </c>
    </row>
    <row r="71" spans="1:11">
      <c r="A71" s="208"/>
      <c r="B71" s="208"/>
      <c r="C71" s="221"/>
      <c r="D71" s="221"/>
      <c r="G71" s="223"/>
      <c r="H71" s="223"/>
      <c r="I71" s="223"/>
      <c r="J71" s="223"/>
      <c r="K71" s="223"/>
    </row>
    <row r="72" spans="1:11">
      <c r="A72" s="218">
        <v>1300</v>
      </c>
      <c r="B72" s="218" t="s">
        <v>1224</v>
      </c>
      <c r="C72" s="219">
        <v>192196.076</v>
      </c>
      <c r="D72" s="219">
        <v>208736.53599999999</v>
      </c>
      <c r="E72" s="219">
        <v>163490.18581200001</v>
      </c>
      <c r="F72" s="221">
        <v>160237.19585555998</v>
      </c>
      <c r="G72" s="220">
        <v>191456.36157136995</v>
      </c>
      <c r="H72" s="220">
        <v>183523.51899634002</v>
      </c>
      <c r="I72" s="220">
        <v>167764.57337345002</v>
      </c>
      <c r="J72" s="220">
        <v>172723.10377693002</v>
      </c>
      <c r="K72" s="220">
        <v>191805.48988059428</v>
      </c>
    </row>
    <row r="73" spans="1:11">
      <c r="A73" s="293">
        <v>1310</v>
      </c>
      <c r="B73" s="208" t="s">
        <v>700</v>
      </c>
      <c r="C73" s="229">
        <v>37423.273999999998</v>
      </c>
      <c r="D73" s="229">
        <v>49706.71</v>
      </c>
      <c r="E73" s="229">
        <v>26301.21089300001</v>
      </c>
      <c r="F73" s="221">
        <v>24920.680119999997</v>
      </c>
      <c r="G73" s="294">
        <v>34542.717340000003</v>
      </c>
      <c r="H73" s="294">
        <v>28776.107889999999</v>
      </c>
      <c r="I73" s="294">
        <v>27723.809503</v>
      </c>
      <c r="J73" s="294">
        <v>32300.885151000002</v>
      </c>
      <c r="K73" s="294">
        <v>40609.625226520038</v>
      </c>
    </row>
    <row r="74" spans="1:11">
      <c r="A74" s="208">
        <v>1311</v>
      </c>
      <c r="B74" s="208" t="s">
        <v>1224</v>
      </c>
      <c r="C74" s="221">
        <v>52731.680999999997</v>
      </c>
      <c r="D74" s="221">
        <v>67957.055292999998</v>
      </c>
      <c r="E74" s="221">
        <v>50885.63702200001</v>
      </c>
      <c r="F74" s="221">
        <v>44543.685944999997</v>
      </c>
      <c r="G74" s="223">
        <v>51736.609595000009</v>
      </c>
      <c r="H74" s="223">
        <v>52764.239994000003</v>
      </c>
      <c r="I74" s="223">
        <v>53188.503613000001</v>
      </c>
      <c r="J74" s="223">
        <v>56128.396842000002</v>
      </c>
      <c r="K74" s="223">
        <v>61988.880799576807</v>
      </c>
    </row>
    <row r="75" spans="1:11">
      <c r="A75" s="208">
        <v>1312</v>
      </c>
      <c r="B75" s="208" t="s">
        <v>701</v>
      </c>
      <c r="C75" s="221">
        <v>-15587.8</v>
      </c>
      <c r="D75" s="221">
        <v>-18622.097367999999</v>
      </c>
      <c r="E75" s="221">
        <v>-24804.461653999995</v>
      </c>
      <c r="F75" s="221">
        <v>-19368.768008000003</v>
      </c>
      <c r="G75" s="223">
        <v>-17306.478134000005</v>
      </c>
      <c r="H75" s="223">
        <v>-24115.819449999999</v>
      </c>
      <c r="I75" s="223">
        <v>-25562.080076000002</v>
      </c>
      <c r="J75" s="223">
        <v>-23227.582693999997</v>
      </c>
      <c r="K75" s="223">
        <v>-21198.531408804789</v>
      </c>
    </row>
    <row r="76" spans="1:11">
      <c r="A76" s="208">
        <v>1313</v>
      </c>
      <c r="B76" s="208" t="s">
        <v>702</v>
      </c>
      <c r="C76" s="221">
        <v>279.39299999999997</v>
      </c>
      <c r="D76" s="221">
        <v>371.7518510000001</v>
      </c>
      <c r="E76" s="221">
        <v>220.03552499999989</v>
      </c>
      <c r="F76" s="221">
        <v>-254.23781700000004</v>
      </c>
      <c r="G76" s="223">
        <v>112.58587900000001</v>
      </c>
      <c r="H76" s="223">
        <v>127.68734599999992</v>
      </c>
      <c r="I76" s="223">
        <v>97.385965999999996</v>
      </c>
      <c r="J76" s="223">
        <v>-599.92899699999998</v>
      </c>
      <c r="K76" s="223">
        <v>-180.72416425197477</v>
      </c>
    </row>
    <row r="77" spans="1:11">
      <c r="A77" s="208">
        <v>1314</v>
      </c>
      <c r="B77" s="208" t="s">
        <v>703</v>
      </c>
      <c r="C77" s="585" t="s">
        <v>1229</v>
      </c>
      <c r="D77" s="585" t="s">
        <v>1229</v>
      </c>
      <c r="E77" s="585" t="s">
        <v>1229</v>
      </c>
      <c r="F77" s="585" t="s">
        <v>1229</v>
      </c>
      <c r="G77" s="585" t="s">
        <v>1229</v>
      </c>
      <c r="H77" s="585" t="s">
        <v>1229</v>
      </c>
      <c r="I77" s="585" t="s">
        <v>1229</v>
      </c>
      <c r="J77" s="585" t="s">
        <v>1229</v>
      </c>
      <c r="K77" s="585" t="s">
        <v>1229</v>
      </c>
    </row>
    <row r="78" spans="1:11">
      <c r="A78" s="293">
        <v>1320</v>
      </c>
      <c r="B78" s="208" t="s">
        <v>704</v>
      </c>
      <c r="C78" s="229">
        <v>99068.04</v>
      </c>
      <c r="D78" s="229">
        <v>104600.82399999999</v>
      </c>
      <c r="E78" s="229">
        <v>83041.530383999998</v>
      </c>
      <c r="F78" s="221">
        <v>86518.650695999997</v>
      </c>
      <c r="G78" s="294">
        <v>106631.008093</v>
      </c>
      <c r="H78" s="294">
        <v>102773.01791</v>
      </c>
      <c r="I78" s="294">
        <v>89473.761128999991</v>
      </c>
      <c r="J78" s="294">
        <v>88959.569189000002</v>
      </c>
      <c r="K78" s="294">
        <v>95524.556090848244</v>
      </c>
    </row>
    <row r="79" spans="1:11">
      <c r="A79" s="208">
        <v>1321</v>
      </c>
      <c r="B79" s="208" t="s">
        <v>704</v>
      </c>
      <c r="C79" s="221">
        <v>99217.034</v>
      </c>
      <c r="D79" s="221">
        <v>104611.65084500001</v>
      </c>
      <c r="E79" s="221">
        <v>83041.530383999998</v>
      </c>
      <c r="F79" s="221">
        <v>86518.650695999997</v>
      </c>
      <c r="G79" s="223">
        <v>106631.008093</v>
      </c>
      <c r="H79" s="223">
        <v>102773.01791</v>
      </c>
      <c r="I79" s="223">
        <v>89473.761128999991</v>
      </c>
      <c r="J79" s="223">
        <v>88959.569189000002</v>
      </c>
      <c r="K79" s="223">
        <v>95524.556090848244</v>
      </c>
    </row>
    <row r="80" spans="1:11">
      <c r="A80" s="208">
        <v>1322</v>
      </c>
      <c r="B80" s="208" t="s">
        <v>433</v>
      </c>
      <c r="C80" s="221">
        <v>-148.994</v>
      </c>
      <c r="D80" s="221">
        <v>-10.827253000000001</v>
      </c>
      <c r="E80" s="585" t="s">
        <v>1229</v>
      </c>
      <c r="F80" s="585" t="s">
        <v>1229</v>
      </c>
      <c r="G80" s="585" t="s">
        <v>1229</v>
      </c>
      <c r="H80" s="585" t="s">
        <v>1229</v>
      </c>
      <c r="I80" s="585" t="s">
        <v>1229</v>
      </c>
      <c r="J80" s="585" t="s">
        <v>1229</v>
      </c>
      <c r="K80" s="585" t="s">
        <v>1229</v>
      </c>
    </row>
    <row r="81" spans="1:11">
      <c r="A81" s="293">
        <v>1330</v>
      </c>
      <c r="B81" s="208" t="s">
        <v>705</v>
      </c>
      <c r="C81" s="229">
        <v>3880.1280000000002</v>
      </c>
      <c r="D81" s="229">
        <v>6339.8620000000001</v>
      </c>
      <c r="E81" s="229">
        <v>5520.2890160000006</v>
      </c>
      <c r="F81" s="221">
        <v>3088.6187460000006</v>
      </c>
      <c r="G81" s="294">
        <v>3064.4686899999988</v>
      </c>
      <c r="H81" s="294">
        <v>4580.0613160000003</v>
      </c>
      <c r="I81" s="294">
        <v>3772.3855440000002</v>
      </c>
      <c r="J81" s="294">
        <v>4144.7500580000005</v>
      </c>
      <c r="K81" s="294">
        <v>4209.7682000000004</v>
      </c>
    </row>
    <row r="82" spans="1:11">
      <c r="A82" s="208">
        <v>1331</v>
      </c>
      <c r="B82" s="208" t="s">
        <v>705</v>
      </c>
      <c r="C82" s="221">
        <v>3880.1280000000002</v>
      </c>
      <c r="D82" s="221">
        <v>6339.8618919999999</v>
      </c>
      <c r="E82" s="221">
        <v>5520.2890160000006</v>
      </c>
      <c r="F82" s="221">
        <v>3088.6187460000006</v>
      </c>
      <c r="G82" s="223">
        <v>3064.4686899999988</v>
      </c>
      <c r="H82" s="223">
        <v>4580.0613160000003</v>
      </c>
      <c r="I82" s="223">
        <v>3772.3855440000002</v>
      </c>
      <c r="J82" s="223">
        <v>4144.7500580000005</v>
      </c>
      <c r="K82" s="223">
        <v>4209.7682000000004</v>
      </c>
    </row>
    <row r="83" spans="1:11">
      <c r="A83" s="293">
        <v>1340</v>
      </c>
      <c r="B83" s="208" t="s">
        <v>706</v>
      </c>
      <c r="C83" s="229">
        <v>11085.552</v>
      </c>
      <c r="D83" s="229">
        <v>12786.97</v>
      </c>
      <c r="E83" s="229">
        <v>15233.925975000002</v>
      </c>
      <c r="F83" s="221">
        <v>12316.658041999999</v>
      </c>
      <c r="G83" s="294">
        <v>11856.402646999999</v>
      </c>
      <c r="H83" s="294">
        <v>11861.913006000001</v>
      </c>
      <c r="I83" s="294">
        <v>10145.533947</v>
      </c>
      <c r="J83" s="294">
        <v>6850.3256030000002</v>
      </c>
      <c r="K83" s="294">
        <v>10333.088248119078</v>
      </c>
    </row>
    <row r="84" spans="1:11">
      <c r="A84" s="208">
        <v>1341</v>
      </c>
      <c r="B84" s="208" t="s">
        <v>707</v>
      </c>
      <c r="C84" s="221">
        <v>119.87</v>
      </c>
      <c r="D84" s="221">
        <v>157.762171</v>
      </c>
      <c r="E84" s="221">
        <v>232.68346400000001</v>
      </c>
      <c r="F84" s="221">
        <v>220.46005300000002</v>
      </c>
      <c r="G84" s="223">
        <v>291.85828200000003</v>
      </c>
      <c r="H84" s="223">
        <v>324.69325199999997</v>
      </c>
      <c r="I84" s="223">
        <v>178.08632</v>
      </c>
      <c r="J84" s="223">
        <v>129.50545399999999</v>
      </c>
      <c r="K84" s="223">
        <v>129.50545399999999</v>
      </c>
    </row>
    <row r="85" spans="1:11">
      <c r="A85" s="208">
        <v>1342</v>
      </c>
      <c r="B85" s="208" t="s">
        <v>708</v>
      </c>
      <c r="C85" s="221">
        <v>10737.239</v>
      </c>
      <c r="D85" s="221">
        <v>12319.744532000001</v>
      </c>
      <c r="E85" s="221">
        <v>14614.951453000001</v>
      </c>
      <c r="F85" s="221">
        <v>11821.378283</v>
      </c>
      <c r="G85" s="223">
        <v>11260.299391</v>
      </c>
      <c r="H85" s="223">
        <v>11208.530776</v>
      </c>
      <c r="I85" s="223">
        <v>9693.3088989999997</v>
      </c>
      <c r="J85" s="223">
        <v>6537.6399689999998</v>
      </c>
      <c r="K85" s="223">
        <v>10020.402614119079</v>
      </c>
    </row>
    <row r="86" spans="1:11">
      <c r="A86" s="208">
        <v>1343</v>
      </c>
      <c r="B86" s="208" t="s">
        <v>913</v>
      </c>
      <c r="C86" s="221">
        <v>228.44300000000001</v>
      </c>
      <c r="D86" s="221">
        <v>309.46358600000002</v>
      </c>
      <c r="E86" s="221">
        <v>386.29105799999996</v>
      </c>
      <c r="F86" s="221">
        <v>274.819706</v>
      </c>
      <c r="G86" s="223">
        <v>304.24497400000001</v>
      </c>
      <c r="H86" s="223">
        <v>328.68897800000002</v>
      </c>
      <c r="I86" s="223">
        <v>274.13872800000001</v>
      </c>
      <c r="J86" s="223">
        <v>183.18018000000001</v>
      </c>
      <c r="K86" s="223">
        <v>183.18018000000001</v>
      </c>
    </row>
    <row r="87" spans="1:11">
      <c r="A87" s="293">
        <v>1350</v>
      </c>
      <c r="B87" s="208" t="s">
        <v>709</v>
      </c>
      <c r="C87" s="229">
        <v>25006.659</v>
      </c>
      <c r="D87" s="229">
        <v>25864.621999999999</v>
      </c>
      <c r="E87" s="229">
        <v>23953.720107999998</v>
      </c>
      <c r="F87" s="221">
        <v>25327.195288999999</v>
      </c>
      <c r="G87" s="294">
        <v>26384.048375999999</v>
      </c>
      <c r="H87" s="294">
        <v>27539.706439000001</v>
      </c>
      <c r="I87" s="294">
        <v>28692.633098999999</v>
      </c>
      <c r="J87" s="294">
        <v>31559.010307999997</v>
      </c>
      <c r="K87" s="294">
        <v>31866.996510266945</v>
      </c>
    </row>
    <row r="88" spans="1:11">
      <c r="A88" s="208">
        <v>1351</v>
      </c>
      <c r="B88" s="208" t="s">
        <v>710</v>
      </c>
      <c r="C88" s="221">
        <v>13239.374</v>
      </c>
      <c r="D88" s="221">
        <v>13474.456623</v>
      </c>
      <c r="E88" s="221">
        <v>787.69243900000015</v>
      </c>
      <c r="F88" s="221">
        <v>963.18954599999995</v>
      </c>
      <c r="G88" s="223">
        <v>717.34246799999994</v>
      </c>
      <c r="H88" s="223">
        <v>715.98797000000002</v>
      </c>
      <c r="I88" s="223">
        <v>676.116264</v>
      </c>
      <c r="J88" s="223">
        <v>681.62506900000005</v>
      </c>
      <c r="K88" s="223">
        <v>683.78714440010003</v>
      </c>
    </row>
    <row r="89" spans="1:11">
      <c r="A89" s="208">
        <v>1352</v>
      </c>
      <c r="B89" s="208" t="s">
        <v>711</v>
      </c>
      <c r="C89" s="221">
        <v>11767.285</v>
      </c>
      <c r="D89" s="221">
        <v>12390.165452000001</v>
      </c>
      <c r="E89" s="221">
        <v>10715.564899000001</v>
      </c>
      <c r="F89" s="221">
        <v>10289.277925</v>
      </c>
      <c r="G89" s="223">
        <v>11176.296896999998</v>
      </c>
      <c r="H89" s="223">
        <v>12005.805092999999</v>
      </c>
      <c r="I89" s="223">
        <v>12163.117487</v>
      </c>
      <c r="J89" s="223">
        <v>14985.204744000001</v>
      </c>
      <c r="K89" s="223">
        <v>15104.444505866848</v>
      </c>
    </row>
    <row r="90" spans="1:11">
      <c r="A90" s="295" t="s">
        <v>62</v>
      </c>
      <c r="B90" s="208" t="s">
        <v>63</v>
      </c>
      <c r="C90" s="585" t="s">
        <v>1229</v>
      </c>
      <c r="D90" s="585" t="s">
        <v>1229</v>
      </c>
      <c r="E90" s="221">
        <v>9619.9465689999997</v>
      </c>
      <c r="F90" s="221">
        <v>10998.754811000001</v>
      </c>
      <c r="G90" s="223">
        <v>11266.097802</v>
      </c>
      <c r="H90" s="223">
        <v>11545.785271000001</v>
      </c>
      <c r="I90" s="223">
        <v>12395.190624999999</v>
      </c>
      <c r="J90" s="223">
        <v>12740.294528</v>
      </c>
      <c r="K90" s="223">
        <v>12965.166546251976</v>
      </c>
    </row>
    <row r="91" spans="1:11">
      <c r="A91" s="295" t="s">
        <v>64</v>
      </c>
      <c r="B91" s="208" t="s">
        <v>65</v>
      </c>
      <c r="C91" s="585" t="s">
        <v>1229</v>
      </c>
      <c r="D91" s="585" t="s">
        <v>1229</v>
      </c>
      <c r="E91" s="221">
        <v>2830.5162009999999</v>
      </c>
      <c r="F91" s="221">
        <v>3075.9730069999996</v>
      </c>
      <c r="G91" s="223">
        <v>3224.311209</v>
      </c>
      <c r="H91" s="223">
        <v>3272.1281050000002</v>
      </c>
      <c r="I91" s="223">
        <v>3458.2087230000002</v>
      </c>
      <c r="J91" s="223">
        <v>3151.8859670000002</v>
      </c>
      <c r="K91" s="223">
        <v>3113.5983137480257</v>
      </c>
    </row>
    <row r="92" spans="1:11">
      <c r="A92" s="293">
        <v>1360</v>
      </c>
      <c r="B92" s="208" t="s">
        <v>967</v>
      </c>
      <c r="C92" s="229">
        <v>9470.8780000000006</v>
      </c>
      <c r="D92" s="229">
        <v>9414.0879999999997</v>
      </c>
      <c r="E92" s="229">
        <v>9423.4312549999977</v>
      </c>
      <c r="F92" s="221">
        <v>8063.7927795599999</v>
      </c>
      <c r="G92" s="294">
        <v>8968.3215983699993</v>
      </c>
      <c r="H92" s="294">
        <v>7988.9070263399999</v>
      </c>
      <c r="I92" s="294">
        <v>7960.9562864499994</v>
      </c>
      <c r="J92" s="294">
        <v>8912.9015569299991</v>
      </c>
      <c r="K92" s="294">
        <v>9261.4556048399991</v>
      </c>
    </row>
    <row r="93" spans="1:11">
      <c r="A93" s="208">
        <v>1361</v>
      </c>
      <c r="B93" s="208" t="s">
        <v>967</v>
      </c>
      <c r="C93" s="221">
        <v>9470.8780000000006</v>
      </c>
      <c r="D93" s="221">
        <v>9414.0879295000013</v>
      </c>
      <c r="E93" s="221">
        <v>9423.4312549999977</v>
      </c>
      <c r="F93" s="221">
        <v>8063.7927795599999</v>
      </c>
      <c r="G93" s="223">
        <v>8968.3215983699993</v>
      </c>
      <c r="H93" s="223">
        <v>7988.9070263399999</v>
      </c>
      <c r="I93" s="223">
        <v>7960.9562864499994</v>
      </c>
      <c r="J93" s="223">
        <v>8912.9015569299991</v>
      </c>
      <c r="K93" s="223">
        <v>9261.4556048399991</v>
      </c>
    </row>
    <row r="94" spans="1:11">
      <c r="A94" s="293">
        <v>1370</v>
      </c>
      <c r="B94" s="208" t="s">
        <v>576</v>
      </c>
      <c r="C94" s="229">
        <v>6141.8590000000004</v>
      </c>
      <c r="D94" s="585" t="s">
        <v>1229</v>
      </c>
      <c r="E94" s="585" t="s">
        <v>1229</v>
      </c>
      <c r="F94" s="585" t="s">
        <v>1229</v>
      </c>
      <c r="G94" s="585" t="s">
        <v>1229</v>
      </c>
      <c r="H94" s="585" t="s">
        <v>1229</v>
      </c>
      <c r="I94" s="585" t="s">
        <v>1229</v>
      </c>
      <c r="J94" s="585" t="s">
        <v>1229</v>
      </c>
      <c r="K94" s="585" t="s">
        <v>1229</v>
      </c>
    </row>
    <row r="95" spans="1:11">
      <c r="A95" s="208">
        <v>1371</v>
      </c>
      <c r="B95" s="208" t="s">
        <v>712</v>
      </c>
      <c r="C95" s="221">
        <v>5949.4290000000001</v>
      </c>
      <c r="D95" s="585" t="s">
        <v>1229</v>
      </c>
      <c r="E95" s="585" t="s">
        <v>1229</v>
      </c>
      <c r="F95" s="585" t="s">
        <v>1229</v>
      </c>
      <c r="G95" s="585" t="s">
        <v>1229</v>
      </c>
      <c r="H95" s="585" t="s">
        <v>1229</v>
      </c>
      <c r="I95" s="585" t="s">
        <v>1229</v>
      </c>
      <c r="J95" s="585" t="s">
        <v>1229</v>
      </c>
      <c r="K95" s="585" t="s">
        <v>1229</v>
      </c>
    </row>
    <row r="96" spans="1:11">
      <c r="A96" s="208">
        <v>1372</v>
      </c>
      <c r="B96" s="208" t="s">
        <v>713</v>
      </c>
      <c r="C96" s="221">
        <v>192.43</v>
      </c>
      <c r="D96" s="585" t="s">
        <v>1229</v>
      </c>
      <c r="E96" s="585" t="s">
        <v>1229</v>
      </c>
      <c r="F96" s="585" t="s">
        <v>1229</v>
      </c>
      <c r="G96" s="585" t="s">
        <v>1229</v>
      </c>
      <c r="H96" s="585" t="s">
        <v>1229</v>
      </c>
      <c r="I96" s="585" t="s">
        <v>1229</v>
      </c>
      <c r="J96" s="585" t="s">
        <v>1229</v>
      </c>
      <c r="K96" s="585" t="s">
        <v>1229</v>
      </c>
    </row>
    <row r="97" spans="1:11" s="225" customFormat="1">
      <c r="A97" s="293">
        <v>1380</v>
      </c>
      <c r="B97" s="208" t="s">
        <v>714</v>
      </c>
      <c r="C97" s="229">
        <v>119.68600000000001</v>
      </c>
      <c r="D97" s="229">
        <v>23.460999999999999</v>
      </c>
      <c r="E97" s="229">
        <v>16.078181000000001</v>
      </c>
      <c r="F97" s="221">
        <v>1.6001829999999999</v>
      </c>
      <c r="G97" s="294">
        <v>9.3948270000000011</v>
      </c>
      <c r="H97" s="294">
        <v>3.805409</v>
      </c>
      <c r="I97" s="294">
        <v>-4.5061350000000004</v>
      </c>
      <c r="J97" s="294">
        <v>-4.3380890000000001</v>
      </c>
      <c r="K97" s="294">
        <v>0</v>
      </c>
    </row>
    <row r="98" spans="1:11">
      <c r="A98" s="208">
        <v>1381</v>
      </c>
      <c r="B98" s="208" t="s">
        <v>963</v>
      </c>
      <c r="C98" s="221">
        <v>110.277</v>
      </c>
      <c r="D98" s="221">
        <v>14.962183000000003</v>
      </c>
      <c r="E98" s="221">
        <v>14.443344000000003</v>
      </c>
      <c r="F98" s="221">
        <v>1.6055229999999998</v>
      </c>
      <c r="G98" s="223">
        <v>9.3948270000000011</v>
      </c>
      <c r="H98" s="223">
        <v>3.805409</v>
      </c>
      <c r="I98" s="223">
        <v>-4.5061350000000004</v>
      </c>
      <c r="J98" s="223">
        <v>-4.3380890000000001</v>
      </c>
      <c r="K98" s="223">
        <v>0</v>
      </c>
    </row>
    <row r="99" spans="1:11">
      <c r="A99" s="208">
        <v>1382</v>
      </c>
      <c r="B99" s="208" t="s">
        <v>965</v>
      </c>
      <c r="C99" s="221">
        <v>9.4090000000000007</v>
      </c>
      <c r="D99" s="221">
        <v>8.4984940000000009</v>
      </c>
      <c r="E99" s="221">
        <v>1.6348370000000001</v>
      </c>
      <c r="F99" s="221">
        <v>-5.340000000000001E-3</v>
      </c>
      <c r="G99" s="585" t="s">
        <v>1229</v>
      </c>
      <c r="H99" s="585" t="s">
        <v>1229</v>
      </c>
      <c r="I99" s="585" t="s">
        <v>1229</v>
      </c>
      <c r="J99" s="585" t="s">
        <v>1229</v>
      </c>
      <c r="K99" s="585" t="s">
        <v>1229</v>
      </c>
    </row>
    <row r="100" spans="1:11">
      <c r="A100" s="208"/>
      <c r="B100" s="208"/>
      <c r="C100" s="221"/>
      <c r="D100" s="221"/>
      <c r="F100" s="221"/>
      <c r="G100" s="220"/>
      <c r="H100" s="220"/>
      <c r="I100" s="220"/>
      <c r="J100" s="220"/>
      <c r="K100" s="220"/>
    </row>
    <row r="101" spans="1:11">
      <c r="A101" s="218">
        <v>1400</v>
      </c>
      <c r="B101" s="218" t="s">
        <v>887</v>
      </c>
      <c r="C101" s="219">
        <v>370178.46399999998</v>
      </c>
      <c r="D101" s="219">
        <v>393682.49599999998</v>
      </c>
      <c r="E101" s="219">
        <v>412837.89546371694</v>
      </c>
      <c r="F101" s="219">
        <v>417717.12823598989</v>
      </c>
      <c r="G101" s="220">
        <v>443652.86555523198</v>
      </c>
      <c r="H101" s="220">
        <v>449364.9656041587</v>
      </c>
      <c r="I101" s="220">
        <v>447287.84315363003</v>
      </c>
      <c r="J101" s="220">
        <v>455845.41526257002</v>
      </c>
      <c r="K101" s="220">
        <v>468200.18863804481</v>
      </c>
    </row>
    <row r="102" spans="1:11">
      <c r="A102" s="293">
        <v>1410</v>
      </c>
      <c r="B102" s="208" t="s">
        <v>715</v>
      </c>
      <c r="C102" s="229">
        <v>265150.745</v>
      </c>
      <c r="D102" s="229">
        <v>284776.34499999997</v>
      </c>
      <c r="E102" s="229">
        <v>300270.21626617695</v>
      </c>
      <c r="F102" s="229">
        <v>301549.93938135984</v>
      </c>
      <c r="G102" s="294">
        <v>324346.403103802</v>
      </c>
      <c r="H102" s="294">
        <v>332459.25808824878</v>
      </c>
      <c r="I102" s="294">
        <v>330645.73017685005</v>
      </c>
      <c r="J102" s="294">
        <v>339477.04834451003</v>
      </c>
      <c r="K102" s="294">
        <v>353754.90220224479</v>
      </c>
    </row>
    <row r="103" spans="1:11">
      <c r="A103" s="208">
        <v>1411</v>
      </c>
      <c r="B103" s="208" t="s">
        <v>716</v>
      </c>
      <c r="C103" s="221">
        <v>265673.24099999998</v>
      </c>
      <c r="D103" s="221">
        <v>285461.59900941001</v>
      </c>
      <c r="E103" s="221">
        <v>300921.57026617695</v>
      </c>
      <c r="F103" s="221">
        <v>302312.61293535982</v>
      </c>
      <c r="G103" s="223">
        <v>324463.5433728022</v>
      </c>
      <c r="H103" s="223">
        <v>332460.95788824873</v>
      </c>
      <c r="I103" s="223">
        <v>330645.73017685005</v>
      </c>
      <c r="J103" s="223">
        <v>339477.04834451003</v>
      </c>
      <c r="K103" s="223">
        <v>353754.90220224479</v>
      </c>
    </row>
    <row r="104" spans="1:11">
      <c r="A104" s="208">
        <v>1412</v>
      </c>
      <c r="B104" s="208" t="s">
        <v>717</v>
      </c>
      <c r="C104" s="221">
        <v>-522.49699999999996</v>
      </c>
      <c r="D104" s="221">
        <v>-685.25444200000004</v>
      </c>
      <c r="E104" s="221">
        <v>-651.35400000000004</v>
      </c>
      <c r="F104" s="221">
        <v>-762.67355399999985</v>
      </c>
      <c r="G104" s="223">
        <v>-117.140269</v>
      </c>
      <c r="H104" s="223">
        <v>-1.6998</v>
      </c>
      <c r="I104" s="223">
        <v>0</v>
      </c>
      <c r="J104" s="223">
        <v>0</v>
      </c>
      <c r="K104" s="223">
        <v>0</v>
      </c>
    </row>
    <row r="105" spans="1:11">
      <c r="A105" s="293">
        <v>1420</v>
      </c>
      <c r="B105" s="208" t="s">
        <v>718</v>
      </c>
      <c r="C105" s="229">
        <v>19305.486000000001</v>
      </c>
      <c r="D105" s="229">
        <v>20765.563999999998</v>
      </c>
      <c r="E105" s="229">
        <v>21311.120991320004</v>
      </c>
      <c r="F105" s="229">
        <v>22760.507097700003</v>
      </c>
      <c r="G105" s="294">
        <v>22720.296676980004</v>
      </c>
      <c r="H105" s="294">
        <v>23473.1584702</v>
      </c>
      <c r="I105" s="294">
        <v>24132.041877709999</v>
      </c>
      <c r="J105" s="294">
        <v>23352.779340640001</v>
      </c>
      <c r="K105" s="294">
        <v>24173.925914480002</v>
      </c>
    </row>
    <row r="106" spans="1:11">
      <c r="A106" s="208">
        <v>1421</v>
      </c>
      <c r="B106" s="208" t="s">
        <v>175</v>
      </c>
      <c r="C106" s="221">
        <v>8617.3680000000004</v>
      </c>
      <c r="D106" s="221">
        <v>9741.9543760200013</v>
      </c>
      <c r="E106" s="221">
        <v>9925.6072950000016</v>
      </c>
      <c r="F106" s="221">
        <v>10604.343536979999</v>
      </c>
      <c r="G106" s="223">
        <v>10588.463598</v>
      </c>
      <c r="H106" s="223">
        <v>11260.996702000002</v>
      </c>
      <c r="I106" s="223">
        <v>11799.143246</v>
      </c>
      <c r="J106" s="223">
        <v>11135.833944</v>
      </c>
      <c r="K106" s="223">
        <v>11375.777209</v>
      </c>
    </row>
    <row r="107" spans="1:11">
      <c r="A107" s="208">
        <v>1422</v>
      </c>
      <c r="B107" s="208" t="s">
        <v>173</v>
      </c>
      <c r="C107" s="221">
        <v>4151.402</v>
      </c>
      <c r="D107" s="221">
        <v>4249.1181459999998</v>
      </c>
      <c r="E107" s="221">
        <v>4162.6364419999991</v>
      </c>
      <c r="F107" s="221">
        <v>4436.3062440000012</v>
      </c>
      <c r="G107" s="223">
        <v>4323.5883670000003</v>
      </c>
      <c r="H107" s="223">
        <v>4347.54925</v>
      </c>
      <c r="I107" s="223">
        <v>4325.5789425499997</v>
      </c>
      <c r="J107" s="223">
        <v>3996.2817930000001</v>
      </c>
      <c r="K107" s="223">
        <v>4073.0459530000003</v>
      </c>
    </row>
    <row r="108" spans="1:11">
      <c r="A108" s="208">
        <v>1423</v>
      </c>
      <c r="B108" s="208" t="s">
        <v>719</v>
      </c>
      <c r="C108" s="221">
        <v>3644.9140000000002</v>
      </c>
      <c r="D108" s="221">
        <v>3817.644957</v>
      </c>
      <c r="E108" s="221">
        <v>3901.7763669999999</v>
      </c>
      <c r="F108" s="221">
        <v>4254.9626550000003</v>
      </c>
      <c r="G108" s="223">
        <v>4411.2252940000017</v>
      </c>
      <c r="H108" s="223">
        <v>4505.1190099999994</v>
      </c>
      <c r="I108" s="223">
        <v>4592.85446125</v>
      </c>
      <c r="J108" s="223">
        <v>4709.2269139999999</v>
      </c>
      <c r="K108" s="223">
        <v>5039.4686419999998</v>
      </c>
    </row>
    <row r="109" spans="1:11">
      <c r="A109" s="208">
        <v>1424</v>
      </c>
      <c r="B109" s="208" t="s">
        <v>174</v>
      </c>
      <c r="C109" s="221">
        <v>180.56399999999999</v>
      </c>
      <c r="D109" s="221">
        <v>182.87164799999999</v>
      </c>
      <c r="E109" s="221">
        <v>191.58387300000001</v>
      </c>
      <c r="F109" s="221">
        <v>193.583361</v>
      </c>
      <c r="G109" s="223">
        <v>177.37425500000001</v>
      </c>
      <c r="H109" s="223">
        <v>172.677538</v>
      </c>
      <c r="I109" s="223">
        <v>174.61891200000002</v>
      </c>
      <c r="J109" s="223">
        <v>177.794544</v>
      </c>
      <c r="K109" s="223">
        <v>157.69920099999996</v>
      </c>
    </row>
    <row r="110" spans="1:11">
      <c r="A110" s="208">
        <v>1425</v>
      </c>
      <c r="B110" s="208" t="s">
        <v>720</v>
      </c>
      <c r="C110" s="221">
        <v>2710.2919999999999</v>
      </c>
      <c r="D110" s="221">
        <v>2773.4608300000009</v>
      </c>
      <c r="E110" s="221">
        <v>3130.5373130000007</v>
      </c>
      <c r="F110" s="221">
        <v>3270.6612930000001</v>
      </c>
      <c r="G110" s="223">
        <v>3219.3982210000004</v>
      </c>
      <c r="H110" s="223">
        <v>3185.5942401200004</v>
      </c>
      <c r="I110" s="223">
        <v>3237.1056079999998</v>
      </c>
      <c r="J110" s="223">
        <v>3328.8647809999998</v>
      </c>
      <c r="K110" s="223">
        <v>3509.3519006399993</v>
      </c>
    </row>
    <row r="111" spans="1:11">
      <c r="A111" s="208">
        <v>1426</v>
      </c>
      <c r="B111" s="208" t="s">
        <v>721</v>
      </c>
      <c r="C111" s="221">
        <v>0.94599999999999995</v>
      </c>
      <c r="D111" s="221">
        <v>0.51449794999999998</v>
      </c>
      <c r="E111" s="221">
        <v>-1.0202986800000002</v>
      </c>
      <c r="F111" s="221">
        <v>0.65000772000000007</v>
      </c>
      <c r="G111" s="223">
        <v>0.24694198000000003</v>
      </c>
      <c r="H111" s="223">
        <v>1.2217300799999999</v>
      </c>
      <c r="I111" s="223">
        <v>2.7407079100000002</v>
      </c>
      <c r="J111" s="223">
        <v>4.7773646400000001</v>
      </c>
      <c r="K111" s="223">
        <v>18.583008840000005</v>
      </c>
    </row>
    <row r="112" spans="1:11">
      <c r="A112" s="293">
        <v>1430</v>
      </c>
      <c r="B112" s="208" t="s">
        <v>725</v>
      </c>
      <c r="C112" s="229">
        <v>38244.267</v>
      </c>
      <c r="D112" s="229">
        <v>38245.652000000002</v>
      </c>
      <c r="E112" s="229">
        <v>38791.078913000005</v>
      </c>
      <c r="F112" s="229">
        <v>40063.872544999991</v>
      </c>
      <c r="G112" s="294">
        <v>41152.004976999997</v>
      </c>
      <c r="H112" s="294">
        <v>40582.800460999992</v>
      </c>
      <c r="I112" s="294">
        <v>40117.661597999999</v>
      </c>
      <c r="J112" s="294">
        <v>40910.721730999998</v>
      </c>
      <c r="K112" s="294">
        <v>38988.849508999992</v>
      </c>
    </row>
    <row r="113" spans="1:11">
      <c r="A113" s="208">
        <v>1431</v>
      </c>
      <c r="B113" s="208" t="s">
        <v>722</v>
      </c>
      <c r="C113" s="221">
        <v>19026.088</v>
      </c>
      <c r="D113" s="221">
        <v>18832.236537000001</v>
      </c>
      <c r="E113" s="221">
        <v>19081.910112000001</v>
      </c>
      <c r="F113" s="221">
        <v>19874.978203999995</v>
      </c>
      <c r="G113" s="223">
        <v>21060.707884999996</v>
      </c>
      <c r="H113" s="223">
        <v>20227.787772999996</v>
      </c>
      <c r="I113" s="223">
        <v>20262.552039000002</v>
      </c>
      <c r="J113" s="223">
        <v>21072.592131000001</v>
      </c>
      <c r="K113" s="223">
        <v>19719.457109000003</v>
      </c>
    </row>
    <row r="114" spans="1:11">
      <c r="A114" s="208">
        <v>1432</v>
      </c>
      <c r="B114" s="208" t="s">
        <v>926</v>
      </c>
      <c r="C114" s="221">
        <v>14542.822</v>
      </c>
      <c r="D114" s="221">
        <v>14405.522666000001</v>
      </c>
      <c r="E114" s="221">
        <v>13779.657744999999</v>
      </c>
      <c r="F114" s="221">
        <v>14175.421507000001</v>
      </c>
      <c r="G114" s="223">
        <v>13479.129394000001</v>
      </c>
      <c r="H114" s="223">
        <v>12348.240026000001</v>
      </c>
      <c r="I114" s="223">
        <v>11657.959674</v>
      </c>
      <c r="J114" s="223">
        <v>11099.190032</v>
      </c>
      <c r="K114" s="223">
        <v>10656.352623999999</v>
      </c>
    </row>
    <row r="115" spans="1:11">
      <c r="A115" s="208">
        <v>1433</v>
      </c>
      <c r="B115" s="208" t="s">
        <v>927</v>
      </c>
      <c r="C115" s="221">
        <v>4597.1329999999998</v>
      </c>
      <c r="D115" s="221">
        <v>4931.4843639999999</v>
      </c>
      <c r="E115" s="221">
        <v>5854.4528800000007</v>
      </c>
      <c r="F115" s="221">
        <v>5928.7604909999991</v>
      </c>
      <c r="G115" s="223">
        <v>6524.0074449999993</v>
      </c>
      <c r="H115" s="223">
        <v>7620.5245069999992</v>
      </c>
      <c r="I115" s="223">
        <v>7760.3812130000006</v>
      </c>
      <c r="J115" s="223">
        <v>8361.596544</v>
      </c>
      <c r="K115" s="223">
        <v>8311.7234869999993</v>
      </c>
    </row>
    <row r="116" spans="1:11">
      <c r="A116" s="208">
        <v>1434</v>
      </c>
      <c r="B116" s="208" t="s">
        <v>928</v>
      </c>
      <c r="C116" s="221">
        <v>78.224999999999994</v>
      </c>
      <c r="D116" s="221">
        <v>76.408300999999994</v>
      </c>
      <c r="E116" s="221">
        <v>75.058175999999975</v>
      </c>
      <c r="F116" s="221">
        <v>84.71234299999999</v>
      </c>
      <c r="G116" s="223">
        <v>88.160252999999997</v>
      </c>
      <c r="H116" s="223">
        <v>386.24815500000011</v>
      </c>
      <c r="I116" s="223">
        <v>436.76867200000004</v>
      </c>
      <c r="J116" s="223">
        <v>377.34302399999996</v>
      </c>
      <c r="K116" s="223">
        <v>301.31628899999993</v>
      </c>
    </row>
    <row r="117" spans="1:11">
      <c r="A117" s="293">
        <v>1440</v>
      </c>
      <c r="B117" s="208" t="s">
        <v>929</v>
      </c>
      <c r="C117" s="229">
        <v>24743.196</v>
      </c>
      <c r="D117" s="229">
        <v>25087.554</v>
      </c>
      <c r="E117" s="229">
        <v>25744.541588000004</v>
      </c>
      <c r="F117" s="229">
        <v>26084.708440000002</v>
      </c>
      <c r="G117" s="294">
        <v>27334.261989999995</v>
      </c>
      <c r="H117" s="294">
        <v>25368.314480999998</v>
      </c>
      <c r="I117" s="294">
        <v>25243.960537999999</v>
      </c>
      <c r="J117" s="294">
        <v>24030.964122000001</v>
      </c>
      <c r="K117" s="294">
        <v>23333.823034000005</v>
      </c>
    </row>
    <row r="118" spans="1:11">
      <c r="A118" s="208">
        <v>1441</v>
      </c>
      <c r="B118" s="208" t="s">
        <v>1167</v>
      </c>
      <c r="C118" s="221">
        <v>10843.477999999999</v>
      </c>
      <c r="D118" s="221">
        <v>10745.994000000001</v>
      </c>
      <c r="E118" s="221">
        <v>10952.099766000001</v>
      </c>
      <c r="F118" s="221">
        <v>11250.379234000002</v>
      </c>
      <c r="G118" s="223">
        <v>10671.009227</v>
      </c>
      <c r="H118" s="223">
        <v>9867.8779250000007</v>
      </c>
      <c r="I118" s="223">
        <v>9343.3297640000001</v>
      </c>
      <c r="J118" s="223">
        <v>8845.4040000000005</v>
      </c>
      <c r="K118" s="223">
        <v>8489.5681330000007</v>
      </c>
    </row>
    <row r="119" spans="1:11">
      <c r="A119" s="208">
        <v>1442</v>
      </c>
      <c r="B119" s="208" t="s">
        <v>1168</v>
      </c>
      <c r="C119" s="221">
        <v>12764.197</v>
      </c>
      <c r="D119" s="221">
        <v>13085.120999999999</v>
      </c>
      <c r="E119" s="221">
        <v>13583.254000000001</v>
      </c>
      <c r="F119" s="221">
        <v>13537.866563000001</v>
      </c>
      <c r="G119" s="223">
        <v>15303.740202999996</v>
      </c>
      <c r="H119" s="223">
        <v>14674.170281000001</v>
      </c>
      <c r="I119" s="223">
        <v>14750.855619000002</v>
      </c>
      <c r="J119" s="223">
        <v>14454.954695</v>
      </c>
      <c r="K119" s="223">
        <v>14262.576156000001</v>
      </c>
    </row>
    <row r="120" spans="1:11">
      <c r="A120" s="208">
        <v>1443</v>
      </c>
      <c r="B120" s="208" t="s">
        <v>1169</v>
      </c>
      <c r="C120" s="221">
        <v>1135.521</v>
      </c>
      <c r="D120" s="221">
        <v>1256.44</v>
      </c>
      <c r="E120" s="221">
        <v>1209.1878219999999</v>
      </c>
      <c r="F120" s="221">
        <v>1296.4626429999998</v>
      </c>
      <c r="G120" s="223">
        <v>1359.5125600000001</v>
      </c>
      <c r="H120" s="223">
        <v>826.26627500000006</v>
      </c>
      <c r="I120" s="223">
        <v>1149.775155</v>
      </c>
      <c r="J120" s="223">
        <v>730.60542700000008</v>
      </c>
      <c r="K120" s="223">
        <v>581.67874500000005</v>
      </c>
    </row>
    <row r="121" spans="1:11">
      <c r="A121" s="293">
        <v>1450</v>
      </c>
      <c r="B121" s="208" t="s">
        <v>1170</v>
      </c>
      <c r="C121" s="229">
        <v>4681.0450000000001</v>
      </c>
      <c r="D121" s="229">
        <v>4668.3190000000004</v>
      </c>
      <c r="E121" s="229">
        <v>5131.6576080599998</v>
      </c>
      <c r="F121" s="229">
        <v>4142.8051016099989</v>
      </c>
      <c r="G121" s="294">
        <v>4664.6162955500013</v>
      </c>
      <c r="H121" s="294">
        <v>4464.6758931799986</v>
      </c>
      <c r="I121" s="294">
        <v>4462.5401331599996</v>
      </c>
      <c r="J121" s="294">
        <v>4356.5767556299998</v>
      </c>
      <c r="K121" s="294">
        <v>4437.3879141500001</v>
      </c>
    </row>
    <row r="122" spans="1:11">
      <c r="A122" s="208">
        <v>1451</v>
      </c>
      <c r="B122" s="208" t="s">
        <v>726</v>
      </c>
      <c r="C122" s="221">
        <v>79.745999999999995</v>
      </c>
      <c r="D122" s="221">
        <v>55.594999999999999</v>
      </c>
      <c r="E122" s="221">
        <v>19.792695000000002</v>
      </c>
      <c r="F122" s="221">
        <v>38.791600000000003</v>
      </c>
      <c r="G122" s="223">
        <v>47.802949000000005</v>
      </c>
      <c r="H122" s="223">
        <v>27.220266000000009</v>
      </c>
      <c r="I122" s="223">
        <v>29.117241000000003</v>
      </c>
      <c r="J122" s="223">
        <v>14.109367000000001</v>
      </c>
      <c r="K122" s="223">
        <v>10.210958</v>
      </c>
    </row>
    <row r="123" spans="1:11">
      <c r="A123" s="208">
        <v>1452</v>
      </c>
      <c r="B123" s="208" t="s">
        <v>1171</v>
      </c>
      <c r="C123" s="221">
        <v>16.079999999999998</v>
      </c>
      <c r="D123" s="221">
        <v>0.85499999999999998</v>
      </c>
      <c r="E123" s="221">
        <v>0.72362199999999999</v>
      </c>
      <c r="F123" s="221">
        <v>-4.5765839999999995</v>
      </c>
      <c r="G123" s="223">
        <v>0</v>
      </c>
      <c r="H123" s="223">
        <v>0</v>
      </c>
      <c r="I123" s="223">
        <v>0</v>
      </c>
      <c r="J123" s="223">
        <v>0</v>
      </c>
      <c r="K123" s="223">
        <v>0</v>
      </c>
    </row>
    <row r="124" spans="1:11">
      <c r="A124" s="208">
        <v>1453</v>
      </c>
      <c r="B124" s="208" t="s">
        <v>385</v>
      </c>
      <c r="C124" s="221">
        <v>47.570999999999998</v>
      </c>
      <c r="D124" s="221">
        <v>50.811999999999998</v>
      </c>
      <c r="E124" s="221">
        <v>51.568523999999989</v>
      </c>
      <c r="F124" s="221">
        <v>40.102074000000002</v>
      </c>
      <c r="G124" s="223">
        <v>57.241998999999993</v>
      </c>
      <c r="H124" s="223">
        <v>58.556999999999995</v>
      </c>
      <c r="I124" s="223">
        <v>51.269599999999997</v>
      </c>
      <c r="J124" s="223">
        <v>57.402000000000001</v>
      </c>
      <c r="K124" s="223">
        <v>49.135105000000003</v>
      </c>
    </row>
    <row r="125" spans="1:11">
      <c r="A125" s="208">
        <v>1454</v>
      </c>
      <c r="B125" s="208" t="s">
        <v>386</v>
      </c>
      <c r="C125" s="221">
        <v>375.67399999999998</v>
      </c>
      <c r="D125" s="221">
        <v>386.43200000000002</v>
      </c>
      <c r="E125" s="221">
        <v>455.39750604999989</v>
      </c>
      <c r="F125" s="221">
        <v>248.69009461000002</v>
      </c>
      <c r="G125" s="223">
        <v>85.112615980000001</v>
      </c>
      <c r="H125" s="223">
        <v>86.984860179999984</v>
      </c>
      <c r="I125" s="223">
        <v>92.668847819999996</v>
      </c>
      <c r="J125" s="223">
        <v>92.358368630000001</v>
      </c>
      <c r="K125" s="223">
        <v>105.11165743000001</v>
      </c>
    </row>
    <row r="126" spans="1:11">
      <c r="A126" s="208">
        <v>1455</v>
      </c>
      <c r="B126" s="208" t="s">
        <v>387</v>
      </c>
      <c r="C126" s="221">
        <v>3197.9989999999998</v>
      </c>
      <c r="D126" s="221">
        <v>3238.3159999999998</v>
      </c>
      <c r="E126" s="221">
        <v>3975.4940329999999</v>
      </c>
      <c r="F126" s="221">
        <v>3394.3275389999994</v>
      </c>
      <c r="G126" s="223">
        <v>3997.3364530000008</v>
      </c>
      <c r="H126" s="223">
        <v>3851.5758219999998</v>
      </c>
      <c r="I126" s="223">
        <v>3938.7790019999998</v>
      </c>
      <c r="J126" s="223">
        <v>4037.5780559999998</v>
      </c>
      <c r="K126" s="223">
        <v>3840.6890880000001</v>
      </c>
    </row>
    <row r="127" spans="1:11">
      <c r="A127" s="208">
        <v>1456</v>
      </c>
      <c r="B127" s="208" t="s">
        <v>388</v>
      </c>
      <c r="C127" s="221">
        <v>645.58199999999999</v>
      </c>
      <c r="D127" s="221">
        <v>608.76599999999996</v>
      </c>
      <c r="E127" s="221">
        <v>332.76638700000001</v>
      </c>
      <c r="F127" s="221">
        <v>189.33166299999996</v>
      </c>
      <c r="G127" s="223">
        <v>289.150623</v>
      </c>
      <c r="H127" s="223">
        <v>204.600289</v>
      </c>
      <c r="I127" s="223">
        <v>198.39682000000002</v>
      </c>
      <c r="J127" s="223">
        <v>119.32021</v>
      </c>
      <c r="K127" s="223">
        <v>139.80760999999998</v>
      </c>
    </row>
    <row r="128" spans="1:11">
      <c r="A128" s="208">
        <v>1457</v>
      </c>
      <c r="B128" s="208" t="s">
        <v>389</v>
      </c>
      <c r="C128" s="221">
        <v>67.155000000000001</v>
      </c>
      <c r="D128" s="221">
        <v>66.09</v>
      </c>
      <c r="E128" s="221">
        <v>70.653678010000007</v>
      </c>
      <c r="F128" s="221">
        <v>68.739442999999994</v>
      </c>
      <c r="G128" s="223">
        <v>34.663166569999994</v>
      </c>
      <c r="H128" s="223">
        <v>44.815716999999999</v>
      </c>
      <c r="I128" s="223">
        <v>43.564639339999999</v>
      </c>
      <c r="J128" s="223">
        <v>2.075777</v>
      </c>
      <c r="K128" s="223">
        <v>42.654760720000006</v>
      </c>
    </row>
    <row r="129" spans="1:11">
      <c r="A129" s="208">
        <v>1458</v>
      </c>
      <c r="B129" s="208" t="s">
        <v>390</v>
      </c>
      <c r="C129" s="221">
        <v>251.238</v>
      </c>
      <c r="D129" s="221">
        <v>261.452</v>
      </c>
      <c r="E129" s="221">
        <v>225.26116300000001</v>
      </c>
      <c r="F129" s="221">
        <v>167.399272</v>
      </c>
      <c r="G129" s="223">
        <v>153.30848900000001</v>
      </c>
      <c r="H129" s="223">
        <v>190.92193900000004</v>
      </c>
      <c r="I129" s="223">
        <v>108.74398299999999</v>
      </c>
      <c r="J129" s="223">
        <v>33.732976999999998</v>
      </c>
      <c r="K129" s="223">
        <v>73.778734999999998</v>
      </c>
    </row>
    <row r="130" spans="1:11">
      <c r="A130" s="208">
        <v>1459</v>
      </c>
      <c r="B130" s="208" t="s">
        <v>1626</v>
      </c>
      <c r="C130" s="221"/>
      <c r="D130" s="221"/>
      <c r="E130" s="221"/>
      <c r="F130" s="221"/>
      <c r="G130" s="223">
        <v>0</v>
      </c>
      <c r="H130" s="223">
        <v>0</v>
      </c>
      <c r="I130" s="223">
        <v>0</v>
      </c>
      <c r="J130" s="223">
        <v>0</v>
      </c>
      <c r="K130" s="223">
        <v>176</v>
      </c>
    </row>
    <row r="131" spans="1:11">
      <c r="A131" s="293">
        <v>1470</v>
      </c>
      <c r="B131" s="208" t="s">
        <v>391</v>
      </c>
      <c r="C131" s="229">
        <v>11781.87</v>
      </c>
      <c r="D131" s="229">
        <v>13082.722</v>
      </c>
      <c r="E131" s="229">
        <v>16027.136966359994</v>
      </c>
      <c r="F131" s="229">
        <v>16376.120093319998</v>
      </c>
      <c r="G131" s="294">
        <v>16399.565689419996</v>
      </c>
      <c r="H131" s="294">
        <v>15723.707329069999</v>
      </c>
      <c r="I131" s="294">
        <v>15602.840452889999</v>
      </c>
      <c r="J131" s="294">
        <v>16501.959291020001</v>
      </c>
      <c r="K131" s="294">
        <v>16807.070258399996</v>
      </c>
    </row>
    <row r="132" spans="1:11">
      <c r="A132" s="208">
        <v>1471</v>
      </c>
      <c r="B132" s="208" t="s">
        <v>723</v>
      </c>
      <c r="C132" s="221">
        <v>10571.924999999999</v>
      </c>
      <c r="D132" s="221">
        <v>10348.550217979999</v>
      </c>
      <c r="E132" s="221">
        <v>11288.119751019998</v>
      </c>
      <c r="F132" s="221">
        <v>11682.117461199998</v>
      </c>
      <c r="G132" s="223">
        <v>11875.002435059996</v>
      </c>
      <c r="H132" s="223">
        <v>11236.524220309999</v>
      </c>
      <c r="I132" s="223">
        <v>11191.280422180002</v>
      </c>
      <c r="J132" s="223">
        <v>11492.381667420001</v>
      </c>
      <c r="K132" s="223">
        <v>11576.354126549999</v>
      </c>
    </row>
    <row r="133" spans="1:11">
      <c r="A133" s="208">
        <v>1472</v>
      </c>
      <c r="B133" s="208" t="s">
        <v>392</v>
      </c>
      <c r="C133" s="221">
        <v>718.37699999999995</v>
      </c>
      <c r="D133" s="221">
        <v>748.39263635000009</v>
      </c>
      <c r="E133" s="221">
        <v>781.97963289000006</v>
      </c>
      <c r="F133" s="221">
        <v>890.67114585000013</v>
      </c>
      <c r="G133" s="223">
        <v>777.56071602999987</v>
      </c>
      <c r="H133" s="223">
        <v>778.41393306999998</v>
      </c>
      <c r="I133" s="223">
        <v>771.37906585999997</v>
      </c>
      <c r="J133" s="223">
        <v>751.50348460999999</v>
      </c>
      <c r="K133" s="223">
        <v>753.46581784999989</v>
      </c>
    </row>
    <row r="134" spans="1:11">
      <c r="A134" s="208">
        <v>1473</v>
      </c>
      <c r="B134" s="208" t="s">
        <v>393</v>
      </c>
      <c r="C134" s="221">
        <v>491.56799999999998</v>
      </c>
      <c r="D134" s="221">
        <v>344.74869806999999</v>
      </c>
      <c r="E134" s="221">
        <v>687.32925645</v>
      </c>
      <c r="F134" s="221">
        <v>784.86849727000003</v>
      </c>
      <c r="G134" s="223">
        <v>799.05819833000021</v>
      </c>
      <c r="H134" s="223">
        <v>802.18040468999993</v>
      </c>
      <c r="I134" s="223">
        <v>811.99774285000001</v>
      </c>
      <c r="J134" s="223">
        <v>1492.6002119899999</v>
      </c>
      <c r="K134" s="223">
        <v>1675.8344100000002</v>
      </c>
    </row>
    <row r="135" spans="1:11">
      <c r="A135" s="208">
        <v>1474</v>
      </c>
      <c r="B135" s="208" t="s">
        <v>914</v>
      </c>
      <c r="C135" s="221">
        <v>0</v>
      </c>
      <c r="D135" s="221">
        <v>1641.030354</v>
      </c>
      <c r="E135" s="221">
        <v>3269.7083259999999</v>
      </c>
      <c r="F135" s="221">
        <v>3018.4629890000001</v>
      </c>
      <c r="G135" s="223">
        <v>2947.94434</v>
      </c>
      <c r="H135" s="223">
        <v>2906.5887709999997</v>
      </c>
      <c r="I135" s="223">
        <v>2828.1832220000001</v>
      </c>
      <c r="J135" s="223">
        <v>2765.473927</v>
      </c>
      <c r="K135" s="223">
        <v>2801.4159039999995</v>
      </c>
    </row>
    <row r="136" spans="1:11">
      <c r="A136" s="293">
        <v>1480</v>
      </c>
      <c r="B136" s="208" t="s">
        <v>390</v>
      </c>
      <c r="C136" s="229">
        <v>6271.8549999999996</v>
      </c>
      <c r="D136" s="229">
        <v>7056.3410000000003</v>
      </c>
      <c r="E136" s="229">
        <v>5562.1431307999992</v>
      </c>
      <c r="F136" s="229">
        <v>6739.1755770000009</v>
      </c>
      <c r="G136" s="294">
        <v>7035.7168224800007</v>
      </c>
      <c r="H136" s="294">
        <v>7293.0508814599998</v>
      </c>
      <c r="I136" s="294">
        <v>7083.0683770199994</v>
      </c>
      <c r="J136" s="294">
        <v>7215.3656777699998</v>
      </c>
      <c r="K136" s="294">
        <v>6704.2298057700009</v>
      </c>
    </row>
    <row r="137" spans="1:11">
      <c r="A137" s="208">
        <v>1481</v>
      </c>
      <c r="B137" s="208" t="s">
        <v>394</v>
      </c>
      <c r="C137" s="221">
        <v>210</v>
      </c>
      <c r="D137" s="221">
        <v>868.54515300000003</v>
      </c>
      <c r="E137" s="221">
        <v>201.24</v>
      </c>
      <c r="F137" s="221">
        <v>344.88</v>
      </c>
      <c r="G137" s="223">
        <v>302.04000000000008</v>
      </c>
      <c r="H137" s="223">
        <v>159.12</v>
      </c>
      <c r="I137" s="223">
        <v>90</v>
      </c>
      <c r="J137" s="223">
        <v>115.58489599999999</v>
      </c>
      <c r="K137" s="223">
        <v>150</v>
      </c>
    </row>
    <row r="138" spans="1:11">
      <c r="A138" s="208">
        <v>1482</v>
      </c>
      <c r="B138" s="208" t="s">
        <v>656</v>
      </c>
      <c r="C138" s="221">
        <v>3436.616</v>
      </c>
      <c r="D138" s="221">
        <v>3656.924</v>
      </c>
      <c r="E138" s="221">
        <v>3587.1759999999999</v>
      </c>
      <c r="F138" s="221">
        <v>4476.6419999999998</v>
      </c>
      <c r="G138" s="223">
        <v>4766.4094570000007</v>
      </c>
      <c r="H138" s="223">
        <v>5006.0229849999996</v>
      </c>
      <c r="I138" s="223">
        <v>5136.5739940000003</v>
      </c>
      <c r="J138" s="223">
        <v>5268.9496440000003</v>
      </c>
      <c r="K138" s="223">
        <v>4763</v>
      </c>
    </row>
    <row r="139" spans="1:11">
      <c r="A139" s="208">
        <v>1483</v>
      </c>
      <c r="B139" s="208" t="s">
        <v>177</v>
      </c>
      <c r="C139" s="221">
        <v>24.98</v>
      </c>
      <c r="D139" s="221">
        <v>21.919000000000004</v>
      </c>
      <c r="E139" s="221">
        <v>20.597000000000001</v>
      </c>
      <c r="F139" s="221">
        <v>19.218999999999998</v>
      </c>
      <c r="G139" s="223">
        <v>18.297999999999998</v>
      </c>
      <c r="H139" s="223">
        <v>16.667000000000002</v>
      </c>
      <c r="I139" s="223">
        <v>15.596</v>
      </c>
      <c r="J139" s="223">
        <v>15.423</v>
      </c>
      <c r="K139" s="223">
        <v>15.275000000000002</v>
      </c>
    </row>
    <row r="140" spans="1:11">
      <c r="A140" s="208">
        <v>1484</v>
      </c>
      <c r="B140" s="208" t="s">
        <v>176</v>
      </c>
      <c r="C140" s="221">
        <v>1243.242</v>
      </c>
      <c r="D140" s="221">
        <v>1293.5713730000002</v>
      </c>
      <c r="E140" s="221">
        <v>1268.1923690000001</v>
      </c>
      <c r="F140" s="221">
        <v>1351.0585530000001</v>
      </c>
      <c r="G140" s="223">
        <v>1360.1040560000001</v>
      </c>
      <c r="H140" s="223">
        <v>1394.4681780000001</v>
      </c>
      <c r="I140" s="223">
        <v>1319.237568</v>
      </c>
      <c r="J140" s="223">
        <v>1293.087309</v>
      </c>
      <c r="K140" s="223">
        <v>1304.7237999999998</v>
      </c>
    </row>
    <row r="141" spans="1:11">
      <c r="A141" s="208">
        <v>1485</v>
      </c>
      <c r="B141" s="208" t="s">
        <v>350</v>
      </c>
      <c r="C141" s="221">
        <v>32.563000000000002</v>
      </c>
      <c r="D141" s="221">
        <v>27.07974325</v>
      </c>
      <c r="E141" s="221">
        <v>29.5127168</v>
      </c>
      <c r="F141" s="221">
        <v>28.046119999999998</v>
      </c>
      <c r="G141" s="223">
        <v>25.168946179999995</v>
      </c>
      <c r="H141" s="223">
        <v>25.02202346</v>
      </c>
      <c r="I141" s="223">
        <v>21.26222727</v>
      </c>
      <c r="J141" s="223">
        <v>34.069425469999999</v>
      </c>
      <c r="K141" s="223">
        <v>29.237327770000004</v>
      </c>
    </row>
    <row r="142" spans="1:11">
      <c r="A142" s="208">
        <v>1486</v>
      </c>
      <c r="B142" s="208" t="s">
        <v>657</v>
      </c>
      <c r="C142" s="221">
        <v>659.45399999999995</v>
      </c>
      <c r="D142" s="221">
        <v>657.07565399999999</v>
      </c>
      <c r="E142" s="221">
        <v>212.70055800000003</v>
      </c>
      <c r="F142" s="221">
        <v>292.37602299999998</v>
      </c>
      <c r="G142" s="223">
        <v>335.10991100000001</v>
      </c>
      <c r="H142" s="223">
        <v>390.17819599999996</v>
      </c>
      <c r="I142" s="223">
        <v>290.03213699999998</v>
      </c>
      <c r="J142" s="223">
        <v>243.761234</v>
      </c>
      <c r="K142" s="223">
        <v>225.12997899999999</v>
      </c>
    </row>
    <row r="143" spans="1:11">
      <c r="A143" s="208">
        <v>1487</v>
      </c>
      <c r="B143" s="208" t="s">
        <v>658</v>
      </c>
      <c r="C143" s="221">
        <v>439.24299999999999</v>
      </c>
      <c r="D143" s="221">
        <v>297.05217099999999</v>
      </c>
      <c r="E143" s="221">
        <v>2.270089</v>
      </c>
      <c r="F143" s="221">
        <v>0</v>
      </c>
      <c r="G143" s="223">
        <v>0</v>
      </c>
      <c r="H143" s="223">
        <v>0</v>
      </c>
      <c r="I143" s="223">
        <v>0</v>
      </c>
      <c r="J143" s="223">
        <v>0</v>
      </c>
      <c r="K143" s="223">
        <v>0</v>
      </c>
    </row>
    <row r="144" spans="1:11" s="225" customFormat="1">
      <c r="A144" s="208">
        <v>1488</v>
      </c>
      <c r="B144" s="208" t="s">
        <v>659</v>
      </c>
      <c r="C144" s="221">
        <v>125.633</v>
      </c>
      <c r="D144" s="221">
        <v>128.02266700000001</v>
      </c>
      <c r="E144" s="221">
        <v>139.66300000000001</v>
      </c>
      <c r="F144" s="221">
        <v>121.729125</v>
      </c>
      <c r="G144" s="223">
        <v>126.1763503</v>
      </c>
      <c r="H144" s="223">
        <v>199.049993</v>
      </c>
      <c r="I144" s="223">
        <v>127.679361</v>
      </c>
      <c r="J144" s="223">
        <v>128.21131600000001</v>
      </c>
      <c r="K144" s="223">
        <v>115.89090200000001</v>
      </c>
    </row>
    <row r="145" spans="1:11">
      <c r="A145" s="208">
        <v>1489</v>
      </c>
      <c r="B145" s="208" t="s">
        <v>660</v>
      </c>
      <c r="C145" s="221">
        <v>6.6189999999999998</v>
      </c>
      <c r="D145" s="221">
        <v>6.7</v>
      </c>
      <c r="E145" s="221">
        <v>7.2</v>
      </c>
      <c r="F145" s="221">
        <v>7.32</v>
      </c>
      <c r="G145" s="223">
        <v>7.57</v>
      </c>
      <c r="H145" s="223">
        <v>7.5750000000000002</v>
      </c>
      <c r="I145" s="223">
        <v>7.6509999999999998</v>
      </c>
      <c r="J145" s="223">
        <v>7.66</v>
      </c>
      <c r="K145" s="223">
        <v>8.6999999999999993</v>
      </c>
    </row>
    <row r="146" spans="1:11">
      <c r="A146" s="208">
        <v>1491</v>
      </c>
      <c r="B146" s="208" t="s">
        <v>661</v>
      </c>
      <c r="C146" s="221">
        <v>91.84</v>
      </c>
      <c r="D146" s="221">
        <v>96.061109000000002</v>
      </c>
      <c r="E146" s="221">
        <v>93.623497999999998</v>
      </c>
      <c r="F146" s="221">
        <v>97.893162000000018</v>
      </c>
      <c r="G146" s="223">
        <v>94.836343000000014</v>
      </c>
      <c r="H146" s="223">
        <v>94.945670000000007</v>
      </c>
      <c r="I146" s="223">
        <v>75.034589749999995</v>
      </c>
      <c r="J146" s="223">
        <v>108.6188533</v>
      </c>
      <c r="K146" s="223">
        <v>92.272797000000025</v>
      </c>
    </row>
    <row r="147" spans="1:11">
      <c r="A147" s="208">
        <v>1492</v>
      </c>
      <c r="B147" s="208" t="s">
        <v>351</v>
      </c>
      <c r="C147" s="221">
        <v>1.665</v>
      </c>
      <c r="D147" s="221">
        <v>3.389726</v>
      </c>
      <c r="E147" s="221">
        <v>-3.2100000000000004E-2</v>
      </c>
      <c r="F147" s="221">
        <v>1.1594E-2</v>
      </c>
      <c r="G147" s="223">
        <v>3.7589999999999998E-3</v>
      </c>
      <c r="H147" s="223">
        <v>1.836E-3</v>
      </c>
      <c r="I147" s="223">
        <v>1.5E-3</v>
      </c>
      <c r="J147" s="585" t="s">
        <v>1229</v>
      </c>
      <c r="K147" s="585" t="s">
        <v>1229</v>
      </c>
    </row>
    <row r="148" spans="1:11">
      <c r="A148" s="208"/>
      <c r="B148" s="208"/>
      <c r="C148" s="221"/>
      <c r="D148" s="221"/>
      <c r="G148" s="220"/>
      <c r="H148" s="220"/>
      <c r="I148" s="220"/>
      <c r="J148" s="220"/>
      <c r="K148" s="220"/>
    </row>
    <row r="149" spans="1:11" s="225" customFormat="1">
      <c r="A149" s="218">
        <v>1500</v>
      </c>
      <c r="B149" s="218" t="s">
        <v>662</v>
      </c>
      <c r="C149" s="219">
        <v>5160.3509999999997</v>
      </c>
      <c r="D149" s="219">
        <v>5884.0050000000001</v>
      </c>
      <c r="E149" s="219">
        <v>5873.9089999999997</v>
      </c>
      <c r="F149" s="219">
        <v>5151.2254664199991</v>
      </c>
      <c r="G149" s="220">
        <v>5673.6238397500001</v>
      </c>
      <c r="H149" s="220">
        <v>5660.0701476900003</v>
      </c>
      <c r="I149" s="220">
        <v>5254.6792206800001</v>
      </c>
      <c r="J149" s="220">
        <v>5220.6762477399998</v>
      </c>
      <c r="K149" s="220">
        <v>5806.8102479700001</v>
      </c>
    </row>
    <row r="150" spans="1:11">
      <c r="A150" s="208">
        <v>1511</v>
      </c>
      <c r="B150" s="208" t="s">
        <v>663</v>
      </c>
      <c r="C150" s="221">
        <v>4704.0609999999997</v>
      </c>
      <c r="D150" s="221">
        <v>5098.6769999999997</v>
      </c>
      <c r="E150" s="221">
        <v>5211.7477559099998</v>
      </c>
      <c r="F150" s="221">
        <v>4764.2146102500001</v>
      </c>
      <c r="G150" s="223">
        <v>5412.4436967500005</v>
      </c>
      <c r="H150" s="223">
        <v>5398.5026406900006</v>
      </c>
      <c r="I150" s="223">
        <v>4995.08441167</v>
      </c>
      <c r="J150" s="223">
        <v>4976.3992657399995</v>
      </c>
      <c r="K150" s="223">
        <v>5737.03181958</v>
      </c>
    </row>
    <row r="151" spans="1:11">
      <c r="A151" s="208">
        <v>1512</v>
      </c>
      <c r="B151" s="208" t="s">
        <v>830</v>
      </c>
      <c r="C151" s="221">
        <v>232.69499999999999</v>
      </c>
      <c r="D151" s="221">
        <v>294.35599999999999</v>
      </c>
      <c r="E151" s="221">
        <v>276.85816321999999</v>
      </c>
      <c r="F151" s="221">
        <v>251.05633300000002</v>
      </c>
      <c r="G151" s="223">
        <v>261.18014299999999</v>
      </c>
      <c r="H151" s="223">
        <v>261.56750699999998</v>
      </c>
      <c r="I151" s="223">
        <v>259.59480901000001</v>
      </c>
      <c r="J151" s="223">
        <v>244.27698199999998</v>
      </c>
      <c r="K151" s="223">
        <v>69.778428390000002</v>
      </c>
    </row>
    <row r="152" spans="1:11">
      <c r="A152" s="208">
        <v>1513</v>
      </c>
      <c r="B152" s="208" t="s">
        <v>915</v>
      </c>
      <c r="C152" s="221">
        <v>223.59399999999999</v>
      </c>
      <c r="D152" s="221">
        <v>490.97199999999998</v>
      </c>
      <c r="E152" s="221">
        <v>385.30271861000006</v>
      </c>
      <c r="F152" s="221">
        <v>135.95452316999996</v>
      </c>
      <c r="G152" s="223">
        <v>0</v>
      </c>
      <c r="H152" s="223">
        <v>0</v>
      </c>
      <c r="I152" s="223">
        <v>0</v>
      </c>
      <c r="J152" s="223">
        <v>0</v>
      </c>
      <c r="K152" s="223">
        <v>0</v>
      </c>
    </row>
    <row r="153" spans="1:11">
      <c r="A153" s="208"/>
      <c r="B153" s="208"/>
      <c r="C153" s="221"/>
      <c r="D153" s="221"/>
      <c r="G153" s="223"/>
      <c r="H153" s="223"/>
      <c r="I153" s="223"/>
      <c r="J153" s="223"/>
      <c r="K153" s="223"/>
    </row>
    <row r="154" spans="1:11">
      <c r="A154" s="218">
        <v>1600</v>
      </c>
      <c r="B154" s="218" t="s">
        <v>916</v>
      </c>
      <c r="C154" s="219">
        <v>-1847.079</v>
      </c>
      <c r="D154" s="219">
        <v>-809.26300000000003</v>
      </c>
      <c r="E154" s="219">
        <v>-3302.1532729698756</v>
      </c>
      <c r="F154" s="219">
        <v>-4181.5655123199713</v>
      </c>
      <c r="G154" s="220">
        <v>950.54361788999495</v>
      </c>
      <c r="H154" s="220">
        <v>2744.7648753799876</v>
      </c>
      <c r="I154" s="220">
        <v>2850.4493864299998</v>
      </c>
      <c r="J154" s="220">
        <v>11263.81663089</v>
      </c>
      <c r="K154" s="220">
        <v>8876.2398644698605</v>
      </c>
    </row>
    <row r="155" spans="1:11">
      <c r="A155" s="293">
        <v>1610</v>
      </c>
      <c r="B155" s="208" t="s">
        <v>831</v>
      </c>
      <c r="C155" s="229">
        <v>-5374.6059999999998</v>
      </c>
      <c r="D155" s="229">
        <v>-7627.1840000000002</v>
      </c>
      <c r="E155" s="229">
        <v>-8180.2424360100013</v>
      </c>
      <c r="F155" s="229">
        <v>-7775.4812069999998</v>
      </c>
      <c r="G155" s="294">
        <v>-5694.1599930000002</v>
      </c>
      <c r="H155" s="294">
        <v>-6347.9430579999998</v>
      </c>
      <c r="I155" s="294">
        <v>-6263.7921069900003</v>
      </c>
      <c r="J155" s="294">
        <v>-6616.6130999999996</v>
      </c>
      <c r="K155" s="294">
        <v>-5874.8858689999997</v>
      </c>
    </row>
    <row r="156" spans="1:11">
      <c r="A156" s="208">
        <v>1611</v>
      </c>
      <c r="B156" s="208" t="s">
        <v>832</v>
      </c>
      <c r="C156" s="221">
        <v>-1853.164</v>
      </c>
      <c r="D156" s="221">
        <v>-2569.598</v>
      </c>
      <c r="E156" s="221">
        <v>-2787.8266221899999</v>
      </c>
      <c r="F156" s="221">
        <v>-2803.8385232400001</v>
      </c>
      <c r="G156" s="223">
        <v>-1922.34841364</v>
      </c>
      <c r="H156" s="223">
        <v>-2199.5622696</v>
      </c>
      <c r="I156" s="223">
        <v>-2256.84429615</v>
      </c>
      <c r="J156" s="223">
        <v>-2105.4062884200002</v>
      </c>
      <c r="K156" s="223">
        <v>-1535.1076775700001</v>
      </c>
    </row>
    <row r="157" spans="1:11">
      <c r="A157" s="208">
        <v>1612</v>
      </c>
      <c r="B157" s="208" t="s">
        <v>833</v>
      </c>
      <c r="C157" s="221">
        <v>-3521.442</v>
      </c>
      <c r="D157" s="221">
        <v>-5057.585</v>
      </c>
      <c r="E157" s="221">
        <v>-5392.4158138200009</v>
      </c>
      <c r="F157" s="221">
        <v>-4971.6426837599993</v>
      </c>
      <c r="G157" s="223">
        <v>-3771.81157936</v>
      </c>
      <c r="H157" s="223">
        <v>-4148.3807883999998</v>
      </c>
      <c r="I157" s="223">
        <v>-4006.9478108399999</v>
      </c>
      <c r="J157" s="223">
        <v>-4511.2068115800002</v>
      </c>
      <c r="K157" s="223">
        <v>-4339.7781914299994</v>
      </c>
    </row>
    <row r="158" spans="1:11">
      <c r="A158" s="293">
        <v>1620</v>
      </c>
      <c r="B158" s="208" t="s">
        <v>834</v>
      </c>
      <c r="C158" s="229">
        <v>2045.7940000000001</v>
      </c>
      <c r="D158" s="229">
        <v>2719.4290000000001</v>
      </c>
      <c r="E158" s="229">
        <v>2673.333061469622</v>
      </c>
      <c r="F158" s="229">
        <v>3626.0556756840497</v>
      </c>
      <c r="G158" s="294">
        <v>3031.8370169335371</v>
      </c>
      <c r="H158" s="294">
        <v>3211.3995807954516</v>
      </c>
      <c r="I158" s="294">
        <v>3184.5032275200001</v>
      </c>
      <c r="J158" s="294">
        <v>2930.0532319200001</v>
      </c>
      <c r="K158" s="294">
        <v>3379.5926066908582</v>
      </c>
    </row>
    <row r="159" spans="1:11">
      <c r="A159" s="208">
        <v>1621</v>
      </c>
      <c r="B159" s="208" t="s">
        <v>835</v>
      </c>
      <c r="C159" s="221">
        <v>-673.33100000000002</v>
      </c>
      <c r="D159" s="221">
        <v>-108.37708200000003</v>
      </c>
      <c r="E159" s="221">
        <v>-109.25492099999991</v>
      </c>
      <c r="F159" s="221">
        <v>76.783691000000104</v>
      </c>
      <c r="G159" s="223">
        <v>-166.54368499999998</v>
      </c>
      <c r="H159" s="223">
        <v>27.792375</v>
      </c>
      <c r="I159" s="223">
        <v>-330.89581699999997</v>
      </c>
      <c r="J159" s="223">
        <v>-82.586885999999993</v>
      </c>
      <c r="K159" s="223">
        <v>3.3095590000000001</v>
      </c>
    </row>
    <row r="160" spans="1:11">
      <c r="A160" s="208">
        <v>1622</v>
      </c>
      <c r="B160" s="208" t="s">
        <v>836</v>
      </c>
      <c r="C160" s="221">
        <v>413.38</v>
      </c>
      <c r="D160" s="221">
        <v>1153.0375610000001</v>
      </c>
      <c r="E160" s="221">
        <v>889.26063400000044</v>
      </c>
      <c r="F160" s="221">
        <v>534.18640800000048</v>
      </c>
      <c r="G160" s="223">
        <v>832.82457900000054</v>
      </c>
      <c r="H160" s="223">
        <v>332.152332</v>
      </c>
      <c r="I160" s="223">
        <v>2782.3791430000001</v>
      </c>
      <c r="J160" s="223">
        <v>49.581930999999997</v>
      </c>
      <c r="K160" s="223">
        <v>3579.4887179999996</v>
      </c>
    </row>
    <row r="161" spans="1:11">
      <c r="A161" s="208">
        <v>1623</v>
      </c>
      <c r="B161" s="208" t="s">
        <v>837</v>
      </c>
      <c r="C161" s="221">
        <v>96.25</v>
      </c>
      <c r="D161" s="221">
        <v>-405.79725800000006</v>
      </c>
      <c r="E161" s="221">
        <v>-355.42132399999974</v>
      </c>
      <c r="F161" s="221">
        <v>553.75552400000004</v>
      </c>
      <c r="G161" s="223">
        <v>140.84069899999955</v>
      </c>
      <c r="H161" s="223">
        <v>681.46379200000001</v>
      </c>
      <c r="I161" s="223">
        <v>-1737.3708859999999</v>
      </c>
      <c r="J161" s="223">
        <v>428.85217299999999</v>
      </c>
      <c r="K161" s="223">
        <v>-2604.7284890000001</v>
      </c>
    </row>
    <row r="162" spans="1:11">
      <c r="A162" s="208">
        <v>1624</v>
      </c>
      <c r="B162" s="208" t="s">
        <v>390</v>
      </c>
      <c r="C162" s="221">
        <v>1841.271</v>
      </c>
      <c r="D162" s="221">
        <v>1754.4310753594891</v>
      </c>
      <c r="E162" s="221">
        <v>1961.3237274696212</v>
      </c>
      <c r="F162" s="221">
        <v>2177.3115706840495</v>
      </c>
      <c r="G162" s="223">
        <v>1916.5769779335369</v>
      </c>
      <c r="H162" s="223">
        <v>1898.548316795451</v>
      </c>
      <c r="I162" s="223">
        <v>2217.5417265199999</v>
      </c>
      <c r="J162" s="223">
        <v>2265.2035569199998</v>
      </c>
      <c r="K162" s="223">
        <v>2132.5203616908589</v>
      </c>
    </row>
    <row r="163" spans="1:11">
      <c r="A163" s="208">
        <v>1625</v>
      </c>
      <c r="B163" s="208" t="s">
        <v>838</v>
      </c>
      <c r="C163" s="221">
        <v>265.08600000000001</v>
      </c>
      <c r="D163" s="221">
        <v>228.93558400000001</v>
      </c>
      <c r="E163" s="221">
        <v>194.090945</v>
      </c>
      <c r="F163" s="221">
        <v>195.43648200000001</v>
      </c>
      <c r="G163" s="223">
        <v>207.345696</v>
      </c>
      <c r="H163" s="223">
        <v>174.71021500000001</v>
      </c>
      <c r="I163" s="223">
        <v>145.004031</v>
      </c>
      <c r="J163" s="223">
        <v>137.058697</v>
      </c>
      <c r="K163" s="223">
        <v>137.05869700000002</v>
      </c>
    </row>
    <row r="164" spans="1:11">
      <c r="A164" s="208">
        <v>1626</v>
      </c>
      <c r="B164" s="208" t="s">
        <v>0</v>
      </c>
      <c r="C164" s="221">
        <v>103.13800000000001</v>
      </c>
      <c r="D164" s="221">
        <v>97.198750000000004</v>
      </c>
      <c r="E164" s="221">
        <v>93.334000000000003</v>
      </c>
      <c r="F164" s="221">
        <v>88.581999999999994</v>
      </c>
      <c r="G164" s="223">
        <v>100.79275</v>
      </c>
      <c r="H164" s="223">
        <v>96.732550000000003</v>
      </c>
      <c r="I164" s="223">
        <v>107.84502999999999</v>
      </c>
      <c r="J164" s="223">
        <v>131.94376</v>
      </c>
      <c r="K164" s="223">
        <v>131.94375999999997</v>
      </c>
    </row>
    <row r="165" spans="1:11">
      <c r="A165" s="293">
        <v>1630</v>
      </c>
      <c r="B165" s="208" t="s">
        <v>1</v>
      </c>
      <c r="C165" s="229">
        <v>-613.17399999999998</v>
      </c>
      <c r="D165" s="229">
        <v>1729.5409999999999</v>
      </c>
      <c r="E165" s="229">
        <v>310.02910157050331</v>
      </c>
      <c r="F165" s="229">
        <v>-2444.3589810040212</v>
      </c>
      <c r="G165" s="294">
        <v>-418.34140604354201</v>
      </c>
      <c r="H165" s="294">
        <v>1459.0643525845364</v>
      </c>
      <c r="I165" s="294">
        <v>-1360.8657341000001</v>
      </c>
      <c r="J165" s="294">
        <v>7430.6524989700001</v>
      </c>
      <c r="K165" s="294">
        <v>3716.8282267790005</v>
      </c>
    </row>
    <row r="166" spans="1:11">
      <c r="A166" s="208">
        <v>1631</v>
      </c>
      <c r="B166" s="208" t="s">
        <v>835</v>
      </c>
      <c r="C166" s="221">
        <v>-774.50300000000004</v>
      </c>
      <c r="D166" s="221">
        <v>-733.98596499999996</v>
      </c>
      <c r="E166" s="221">
        <v>-484.27100300000006</v>
      </c>
      <c r="F166" s="221">
        <v>-1618.6856760000001</v>
      </c>
      <c r="G166" s="223">
        <v>-1444.5825280000001</v>
      </c>
      <c r="H166" s="223">
        <v>-1315.1424539999998</v>
      </c>
      <c r="I166" s="223">
        <v>-1660.3601120000001</v>
      </c>
      <c r="J166" s="223">
        <v>-960.61198999999999</v>
      </c>
      <c r="K166" s="223">
        <v>-1660.3601119999998</v>
      </c>
    </row>
    <row r="167" spans="1:11">
      <c r="A167" s="208">
        <v>1632</v>
      </c>
      <c r="B167" s="208" t="s">
        <v>836</v>
      </c>
      <c r="C167" s="221">
        <v>792.50300000000004</v>
      </c>
      <c r="D167" s="221">
        <v>290.20943899999941</v>
      </c>
      <c r="E167" s="221">
        <v>113.00217699999999</v>
      </c>
      <c r="F167" s="221">
        <v>-1735.4033139999999</v>
      </c>
      <c r="G167" s="223">
        <v>2563.6264639999999</v>
      </c>
      <c r="H167" s="223">
        <v>-2748.1702340000011</v>
      </c>
      <c r="I167" s="223">
        <v>-439.23778000000004</v>
      </c>
      <c r="J167" s="223">
        <v>-298.41699999999997</v>
      </c>
      <c r="K167" s="223">
        <v>3340.735459</v>
      </c>
    </row>
    <row r="168" spans="1:11">
      <c r="A168" s="208">
        <v>1633</v>
      </c>
      <c r="B168" s="208" t="s">
        <v>837</v>
      </c>
      <c r="C168" s="221">
        <v>-2081.0630000000001</v>
      </c>
      <c r="D168" s="221">
        <v>38.805031999999215</v>
      </c>
      <c r="E168" s="221">
        <v>-685.12037800000007</v>
      </c>
      <c r="F168" s="221">
        <v>-1421.3150039999996</v>
      </c>
      <c r="G168" s="223">
        <v>-3249.4252720000004</v>
      </c>
      <c r="H168" s="223">
        <v>3121.6231699999998</v>
      </c>
      <c r="I168" s="223">
        <v>-955.52662199999997</v>
      </c>
      <c r="J168" s="223">
        <v>6903.9849780000004</v>
      </c>
      <c r="K168" s="223">
        <v>431.78606700000023</v>
      </c>
    </row>
    <row r="169" spans="1:11">
      <c r="A169" s="208">
        <v>1634</v>
      </c>
      <c r="B169" s="208" t="s">
        <v>390</v>
      </c>
      <c r="C169" s="221">
        <v>609.55799999999999</v>
      </c>
      <c r="D169" s="221">
        <v>692.8010339404567</v>
      </c>
      <c r="E169" s="221">
        <v>41.351142570503541</v>
      </c>
      <c r="F169" s="221">
        <v>625.07256299597918</v>
      </c>
      <c r="G169" s="223">
        <v>599.16167095645903</v>
      </c>
      <c r="H169" s="223">
        <v>918.43624558453723</v>
      </c>
      <c r="I169" s="223">
        <v>144.66648645000001</v>
      </c>
      <c r="J169" s="223">
        <v>248.56848095999999</v>
      </c>
      <c r="K169" s="223">
        <v>514.07648646899997</v>
      </c>
    </row>
    <row r="170" spans="1:11">
      <c r="A170" s="208">
        <v>1635</v>
      </c>
      <c r="B170" s="208" t="s">
        <v>838</v>
      </c>
      <c r="C170" s="221">
        <v>760.67700000000002</v>
      </c>
      <c r="D170" s="221">
        <v>1241.597156</v>
      </c>
      <c r="E170" s="221">
        <v>1156.7928449999999</v>
      </c>
      <c r="F170" s="221">
        <v>1513.6695179999999</v>
      </c>
      <c r="G170" s="223">
        <v>966.98425899999995</v>
      </c>
      <c r="H170" s="223">
        <v>1246.7536750000002</v>
      </c>
      <c r="I170" s="223">
        <v>1342.12444845</v>
      </c>
      <c r="J170" s="223">
        <v>1353.52248001</v>
      </c>
      <c r="K170" s="223">
        <v>851.39127130999998</v>
      </c>
    </row>
    <row r="171" spans="1:11">
      <c r="A171" s="208">
        <v>1636</v>
      </c>
      <c r="B171" s="208" t="s">
        <v>0</v>
      </c>
      <c r="C171" s="221">
        <v>79.653999999999996</v>
      </c>
      <c r="D171" s="221">
        <v>200.11452800000001</v>
      </c>
      <c r="E171" s="221">
        <v>168.27431799999999</v>
      </c>
      <c r="F171" s="221">
        <v>192.30293199999997</v>
      </c>
      <c r="G171" s="223">
        <v>145.89400000000003</v>
      </c>
      <c r="H171" s="223">
        <v>235.56395000000006</v>
      </c>
      <c r="I171" s="223">
        <v>207.46784500000001</v>
      </c>
      <c r="J171" s="223">
        <v>183.60554999999999</v>
      </c>
      <c r="K171" s="223">
        <v>239.19905500000002</v>
      </c>
    </row>
    <row r="172" spans="1:11">
      <c r="A172" s="293">
        <v>1640</v>
      </c>
      <c r="B172" s="208" t="s">
        <v>2</v>
      </c>
      <c r="C172" s="229">
        <v>2094.9070000000002</v>
      </c>
      <c r="D172" s="229">
        <v>2368.951</v>
      </c>
      <c r="E172" s="229">
        <v>1894.7270000000001</v>
      </c>
      <c r="F172" s="229">
        <v>2412.2190000000001</v>
      </c>
      <c r="G172" s="294">
        <v>4031.2080000000001</v>
      </c>
      <c r="H172" s="294">
        <v>4422.2439999999997</v>
      </c>
      <c r="I172" s="294">
        <v>7290.6040000000003</v>
      </c>
      <c r="J172" s="294">
        <v>7519.7240000000002</v>
      </c>
      <c r="K172" s="294">
        <v>7654.7049000000006</v>
      </c>
    </row>
    <row r="173" spans="1:11">
      <c r="A173" s="208">
        <v>1641</v>
      </c>
      <c r="B173" s="208" t="s">
        <v>3</v>
      </c>
      <c r="C173" s="221">
        <v>521.822</v>
      </c>
      <c r="D173" s="221">
        <v>586.84199999999998</v>
      </c>
      <c r="E173" s="221">
        <v>633.30200000000002</v>
      </c>
      <c r="F173" s="221">
        <v>879.23099999999999</v>
      </c>
      <c r="G173" s="223">
        <v>2259.2260000000001</v>
      </c>
      <c r="H173" s="223">
        <v>2580.3679999999999</v>
      </c>
      <c r="I173" s="223">
        <v>4215.91</v>
      </c>
      <c r="J173" s="223">
        <v>4370.25</v>
      </c>
      <c r="K173" s="223">
        <v>4533.1989000000003</v>
      </c>
    </row>
    <row r="174" spans="1:11" s="225" customFormat="1">
      <c r="A174" s="208">
        <v>1642</v>
      </c>
      <c r="B174" s="208" t="s">
        <v>4</v>
      </c>
      <c r="C174" s="221">
        <v>648.01099999999997</v>
      </c>
      <c r="D174" s="221">
        <v>980.51499999999999</v>
      </c>
      <c r="E174" s="221">
        <v>649.601</v>
      </c>
      <c r="F174" s="221">
        <v>845.85600000000011</v>
      </c>
      <c r="G174" s="223">
        <v>1032.7059999999999</v>
      </c>
      <c r="H174" s="223">
        <v>1040.6990000000001</v>
      </c>
      <c r="I174" s="223">
        <v>2412.0259999999998</v>
      </c>
      <c r="J174" s="223">
        <v>2478.4490000000001</v>
      </c>
      <c r="K174" s="223">
        <v>2451.0509999999999</v>
      </c>
    </row>
    <row r="175" spans="1:11">
      <c r="A175" s="208">
        <v>1643</v>
      </c>
      <c r="B175" s="208" t="s">
        <v>5</v>
      </c>
      <c r="C175" s="221">
        <v>270.41399999999999</v>
      </c>
      <c r="D175" s="221">
        <v>155.35</v>
      </c>
      <c r="E175" s="221">
        <v>0.04</v>
      </c>
      <c r="F175" s="585" t="s">
        <v>1229</v>
      </c>
      <c r="G175" s="585" t="s">
        <v>1229</v>
      </c>
      <c r="H175" s="585" t="s">
        <v>1229</v>
      </c>
      <c r="I175" s="585" t="s">
        <v>1229</v>
      </c>
      <c r="J175" s="585" t="s">
        <v>1229</v>
      </c>
      <c r="K175" s="585" t="s">
        <v>1229</v>
      </c>
    </row>
    <row r="176" spans="1:11">
      <c r="A176" s="208">
        <v>1644</v>
      </c>
      <c r="B176" s="208" t="s">
        <v>437</v>
      </c>
      <c r="C176" s="221">
        <v>84.275000000000006</v>
      </c>
      <c r="D176" s="221">
        <v>77.59</v>
      </c>
      <c r="E176" s="221">
        <v>76.47</v>
      </c>
      <c r="F176" s="221">
        <v>14.202</v>
      </c>
      <c r="G176" s="223">
        <v>25.131</v>
      </c>
      <c r="H176" s="223">
        <v>7.3210000000000006</v>
      </c>
      <c r="I176" s="223">
        <v>5.6239999999999997</v>
      </c>
      <c r="J176" s="223">
        <v>4.8689999999999998</v>
      </c>
      <c r="K176" s="223">
        <v>4.4509999999999987</v>
      </c>
    </row>
    <row r="177" spans="1:11">
      <c r="A177" s="208">
        <v>1645</v>
      </c>
      <c r="B177" s="208" t="s">
        <v>438</v>
      </c>
      <c r="C177" s="221">
        <v>570.38499999999999</v>
      </c>
      <c r="D177" s="221">
        <v>568.654</v>
      </c>
      <c r="E177" s="221">
        <v>535.31399999999996</v>
      </c>
      <c r="F177" s="221">
        <v>672.92999999999984</v>
      </c>
      <c r="G177" s="223">
        <v>714.14499999999998</v>
      </c>
      <c r="H177" s="223">
        <v>793.85599999999999</v>
      </c>
      <c r="I177" s="223">
        <v>657.04399999999998</v>
      </c>
      <c r="J177" s="223">
        <v>666.15599999999995</v>
      </c>
      <c r="K177" s="223">
        <v>666.00400000000002</v>
      </c>
    </row>
    <row r="178" spans="1:11">
      <c r="A178" s="208"/>
      <c r="B178" s="208"/>
      <c r="C178" s="221"/>
      <c r="D178" s="221"/>
      <c r="F178" s="221"/>
      <c r="G178" s="223"/>
      <c r="H178" s="223"/>
      <c r="I178" s="223"/>
      <c r="J178" s="223"/>
      <c r="K178" s="223"/>
    </row>
    <row r="179" spans="1:11">
      <c r="A179" s="218" t="s">
        <v>122</v>
      </c>
      <c r="B179" s="218"/>
      <c r="C179" s="219">
        <v>1422840.6370000001</v>
      </c>
      <c r="D179" s="219">
        <v>1481084.5020000001</v>
      </c>
      <c r="E179" s="219">
        <v>1487858.8120997869</v>
      </c>
      <c r="F179" s="219">
        <v>1446028.211506129</v>
      </c>
      <c r="G179" s="220">
        <v>1515801.6309273499</v>
      </c>
      <c r="H179" s="220">
        <v>1546435.8078625186</v>
      </c>
      <c r="I179" s="220">
        <v>1560352.0628485</v>
      </c>
      <c r="J179" s="220">
        <v>1609900.5630584399</v>
      </c>
      <c r="K179" s="220">
        <v>1657506.3702304568</v>
      </c>
    </row>
    <row r="180" spans="1:11" s="225" customFormat="1">
      <c r="A180" s="208"/>
      <c r="B180" s="208"/>
      <c r="C180" s="221"/>
      <c r="D180" s="221"/>
      <c r="E180" s="222"/>
      <c r="F180" s="210"/>
      <c r="G180" s="223"/>
      <c r="H180" s="223"/>
      <c r="I180" s="223"/>
      <c r="J180" s="223"/>
      <c r="K180" s="223"/>
    </row>
    <row r="181" spans="1:11">
      <c r="A181" s="218">
        <v>1700</v>
      </c>
      <c r="B181" s="218" t="s">
        <v>917</v>
      </c>
      <c r="C181" s="219">
        <v>-9387.5490000000009</v>
      </c>
      <c r="D181" s="219">
        <v>-7240.0649999999996</v>
      </c>
      <c r="E181" s="219">
        <v>-7304.3119591500008</v>
      </c>
      <c r="F181" s="219">
        <v>-6790.5699287600009</v>
      </c>
      <c r="G181" s="220">
        <v>-7109.78538321</v>
      </c>
      <c r="H181" s="220">
        <v>-7223.6744423299997</v>
      </c>
      <c r="I181" s="220">
        <v>-6897.75212336</v>
      </c>
      <c r="J181" s="220">
        <v>-6934.9138492599996</v>
      </c>
      <c r="K181" s="220">
        <v>-8351.5712662806891</v>
      </c>
    </row>
    <row r="182" spans="1:11">
      <c r="A182" s="293">
        <v>1710</v>
      </c>
      <c r="B182" s="293" t="s">
        <v>123</v>
      </c>
      <c r="C182" s="229">
        <v>-9387.5490000000009</v>
      </c>
      <c r="D182" s="229">
        <v>-7240.0649999999996</v>
      </c>
      <c r="E182" s="229">
        <v>-7304.3119591500008</v>
      </c>
      <c r="F182" s="229">
        <v>-6790.5699287600009</v>
      </c>
      <c r="G182" s="294">
        <v>-7109.78538321</v>
      </c>
      <c r="H182" s="294">
        <v>-7223.6744423299997</v>
      </c>
      <c r="I182" s="294">
        <v>-6897.75212336</v>
      </c>
      <c r="J182" s="294">
        <v>-6934.9138492599996</v>
      </c>
      <c r="K182" s="294">
        <v>-8351.5712662806891</v>
      </c>
    </row>
    <row r="183" spans="1:11">
      <c r="A183" s="208">
        <v>1711</v>
      </c>
      <c r="B183" s="208" t="s">
        <v>123</v>
      </c>
      <c r="C183" s="221">
        <v>-9387.5490000000009</v>
      </c>
      <c r="D183" s="221">
        <v>-7240.0649999999996</v>
      </c>
      <c r="E183" s="221">
        <v>-7304.3119591500008</v>
      </c>
      <c r="F183" s="221">
        <v>-6790.5699287600009</v>
      </c>
      <c r="G183" s="223">
        <v>-7109.78538321</v>
      </c>
      <c r="H183" s="223">
        <v>-7223.6744423299997</v>
      </c>
      <c r="I183" s="223">
        <v>-6897.75212336</v>
      </c>
      <c r="J183" s="223">
        <v>-6934.9138492599996</v>
      </c>
      <c r="K183" s="223">
        <v>-8351.5712662806891</v>
      </c>
    </row>
    <row r="184" spans="1:11">
      <c r="A184" s="208"/>
      <c r="B184" s="208"/>
      <c r="C184" s="221"/>
      <c r="D184" s="221"/>
      <c r="G184" s="223"/>
      <c r="H184" s="223"/>
      <c r="I184" s="223"/>
      <c r="J184" s="223"/>
      <c r="K184" s="223"/>
    </row>
    <row r="185" spans="1:11">
      <c r="A185" s="218" t="s">
        <v>888</v>
      </c>
      <c r="B185" s="218"/>
      <c r="C185" s="219">
        <v>1413453.088</v>
      </c>
      <c r="D185" s="219">
        <v>1473844.4369999999</v>
      </c>
      <c r="E185" s="219">
        <v>1480554.5001406369</v>
      </c>
      <c r="F185" s="219">
        <v>1439237.6415773691</v>
      </c>
      <c r="G185" s="220">
        <v>1508691.8455441401</v>
      </c>
      <c r="H185" s="220">
        <v>1539212.1334201887</v>
      </c>
      <c r="I185" s="220">
        <v>1553454.3107251402</v>
      </c>
      <c r="J185" s="220">
        <v>1602965.6492091801</v>
      </c>
      <c r="K185" s="220">
        <v>1649154.7989641761</v>
      </c>
    </row>
    <row r="186" spans="1:11">
      <c r="A186" s="208"/>
      <c r="B186" s="208"/>
      <c r="C186" s="221"/>
      <c r="D186" s="221"/>
      <c r="G186" s="223"/>
      <c r="H186" s="223"/>
      <c r="I186" s="223"/>
      <c r="J186" s="223"/>
      <c r="K186" s="223"/>
    </row>
    <row r="187" spans="1:11" s="225" customFormat="1">
      <c r="A187" s="218">
        <v>1800</v>
      </c>
      <c r="B187" s="218" t="s">
        <v>918</v>
      </c>
      <c r="C187" s="219">
        <v>-613713.39300000004</v>
      </c>
      <c r="D187" s="219">
        <v>-648011.67700000003</v>
      </c>
      <c r="E187" s="219">
        <v>-693590.85259372008</v>
      </c>
      <c r="F187" s="219">
        <v>-703626.70814307954</v>
      </c>
      <c r="G187" s="220">
        <v>-720447.36748059595</v>
      </c>
      <c r="H187" s="220">
        <v>-747862.69352811598</v>
      </c>
      <c r="I187" s="220">
        <v>-777823.20680912002</v>
      </c>
      <c r="J187" s="220">
        <v>-804857.54500499996</v>
      </c>
      <c r="K187" s="220">
        <v>-829268.72515613551</v>
      </c>
    </row>
    <row r="188" spans="1:11">
      <c r="A188" s="293">
        <v>1810</v>
      </c>
      <c r="B188" s="293" t="s">
        <v>919</v>
      </c>
      <c r="C188" s="229">
        <v>-613713.39300000004</v>
      </c>
      <c r="D188" s="229">
        <v>-648011.67700000003</v>
      </c>
      <c r="E188" s="229">
        <v>-693590.85259372008</v>
      </c>
      <c r="F188" s="221">
        <v>-703626.70814307954</v>
      </c>
      <c r="G188" s="294">
        <v>-720447.36748059595</v>
      </c>
      <c r="H188" s="294">
        <v>747862.6935281161</v>
      </c>
      <c r="I188" s="294">
        <v>-777823.20680912002</v>
      </c>
      <c r="J188" s="294">
        <v>-804857.54500499996</v>
      </c>
      <c r="K188" s="294">
        <v>-829268.72515613551</v>
      </c>
    </row>
    <row r="189" spans="1:11">
      <c r="A189" s="208">
        <v>1811</v>
      </c>
      <c r="B189" s="208" t="s">
        <v>124</v>
      </c>
      <c r="C189" s="221">
        <v>-454117.32799999998</v>
      </c>
      <c r="D189" s="221">
        <v>-479068.17</v>
      </c>
      <c r="E189" s="221">
        <v>-515482.5727570001</v>
      </c>
      <c r="F189" s="221">
        <v>-524834.19998367946</v>
      </c>
      <c r="G189" s="223">
        <v>-536950.05001111596</v>
      </c>
      <c r="H189" s="223">
        <v>552654.77797511604</v>
      </c>
      <c r="I189" s="223">
        <v>-576229.21768211992</v>
      </c>
      <c r="J189" s="223">
        <v>-597339.59113299998</v>
      </c>
      <c r="K189" s="223">
        <v>-615715.87651813554</v>
      </c>
    </row>
    <row r="190" spans="1:11">
      <c r="A190" s="208">
        <v>1812</v>
      </c>
      <c r="B190" s="208" t="s">
        <v>125</v>
      </c>
      <c r="C190" s="221">
        <v>-159596.065</v>
      </c>
      <c r="D190" s="221">
        <v>-168943.50700000001</v>
      </c>
      <c r="E190" s="221">
        <v>-178108.27983672</v>
      </c>
      <c r="F190" s="221">
        <v>-178792.50815939999</v>
      </c>
      <c r="G190" s="223">
        <v>-183497.31746947998</v>
      </c>
      <c r="H190" s="223">
        <v>195207.915553</v>
      </c>
      <c r="I190" s="223">
        <v>-201593.98912700001</v>
      </c>
      <c r="J190" s="223">
        <v>-207517.95387200001</v>
      </c>
      <c r="K190" s="223">
        <v>-213552.84863800005</v>
      </c>
    </row>
    <row r="191" spans="1:11">
      <c r="A191" s="208"/>
      <c r="B191" s="208"/>
      <c r="C191" s="221"/>
      <c r="D191" s="221"/>
      <c r="G191" s="223"/>
      <c r="H191" s="223"/>
      <c r="I191" s="223"/>
      <c r="J191" s="223"/>
      <c r="K191" s="223"/>
    </row>
    <row r="192" spans="1:11">
      <c r="A192" s="218" t="s">
        <v>127</v>
      </c>
      <c r="B192" s="218"/>
      <c r="C192" s="219">
        <v>799739.69400000002</v>
      </c>
      <c r="D192" s="219">
        <v>825832.76</v>
      </c>
      <c r="E192" s="219">
        <v>786963.64754691685</v>
      </c>
      <c r="F192" s="219">
        <v>735610.93343428941</v>
      </c>
      <c r="G192" s="220">
        <v>788244.478063546</v>
      </c>
      <c r="H192" s="220">
        <v>791349.43989207246</v>
      </c>
      <c r="I192" s="220">
        <v>775631.10391602002</v>
      </c>
      <c r="J192" s="220">
        <v>798108.10420417995</v>
      </c>
      <c r="K192" s="220">
        <v>819886.07380804059</v>
      </c>
    </row>
    <row r="193" spans="1:11">
      <c r="A193" s="208"/>
      <c r="B193" s="208"/>
      <c r="C193" s="221"/>
      <c r="D193" s="221"/>
      <c r="G193" s="220"/>
      <c r="H193" s="220"/>
      <c r="I193" s="220"/>
      <c r="J193" s="220"/>
      <c r="K193" s="220"/>
    </row>
    <row r="194" spans="1:11">
      <c r="A194" s="218">
        <v>1900</v>
      </c>
      <c r="B194" s="218" t="s">
        <v>890</v>
      </c>
      <c r="C194" s="219">
        <v>6576.3670000000002</v>
      </c>
      <c r="D194" s="219">
        <v>-10304.205</v>
      </c>
      <c r="E194" s="219">
        <v>21759.622385449842</v>
      </c>
      <c r="F194" s="219">
        <v>-29827.74139652243</v>
      </c>
      <c r="G194" s="220">
        <v>-8771.6866761956499</v>
      </c>
      <c r="H194" s="220">
        <v>48625.066575706216</v>
      </c>
      <c r="I194" s="220">
        <v>17021.346438410001</v>
      </c>
      <c r="J194" s="220">
        <v>-20812.6451714</v>
      </c>
      <c r="K194" s="220">
        <v>-17933.951201349249</v>
      </c>
    </row>
    <row r="195" spans="1:11">
      <c r="A195" s="293">
        <v>1910</v>
      </c>
      <c r="B195" s="293" t="s">
        <v>920</v>
      </c>
      <c r="C195" s="229">
        <v>-3637.9490000000001</v>
      </c>
      <c r="D195" s="229">
        <v>-2578.7614536206434</v>
      </c>
      <c r="E195" s="229">
        <v>36243.703972399882</v>
      </c>
      <c r="F195" s="229">
        <v>-2575.2238435519271</v>
      </c>
      <c r="G195" s="294">
        <v>-9236.0457360318105</v>
      </c>
      <c r="H195" s="294">
        <v>33714.664186670081</v>
      </c>
      <c r="I195" s="294">
        <v>33126.222804060002</v>
      </c>
      <c r="J195" s="294">
        <v>13844.047988159999</v>
      </c>
      <c r="K195" s="294">
        <v>3611.2675873415601</v>
      </c>
    </row>
    <row r="196" spans="1:11">
      <c r="A196" s="208">
        <v>1911</v>
      </c>
      <c r="B196" s="208" t="s">
        <v>146</v>
      </c>
      <c r="C196" s="221">
        <v>-3637.9490000000001</v>
      </c>
      <c r="D196" s="221">
        <v>-2578.7614536206434</v>
      </c>
      <c r="E196" s="221">
        <v>36243.703972399882</v>
      </c>
      <c r="F196" s="221">
        <v>-2575.2238435519271</v>
      </c>
      <c r="G196" s="223">
        <v>-9236.0457360318105</v>
      </c>
      <c r="H196" s="223">
        <v>33714.664186670081</v>
      </c>
      <c r="I196" s="223">
        <v>33126.222804060002</v>
      </c>
      <c r="J196" s="223">
        <v>13844.047988159999</v>
      </c>
      <c r="K196" s="223">
        <v>3611.2675873415601</v>
      </c>
    </row>
    <row r="197" spans="1:11">
      <c r="A197" s="293">
        <v>1920</v>
      </c>
      <c r="B197" s="293" t="s">
        <v>147</v>
      </c>
      <c r="C197" s="229">
        <v>10256.092000000001</v>
      </c>
      <c r="D197" s="229">
        <v>-6541.9790000000003</v>
      </c>
      <c r="E197" s="229">
        <v>-15620.715878950041</v>
      </c>
      <c r="F197" s="229">
        <v>-22698.313171970502</v>
      </c>
      <c r="G197" s="294">
        <v>-1137.56677716384</v>
      </c>
      <c r="H197" s="294">
        <v>11500.511077036133</v>
      </c>
      <c r="I197" s="294">
        <v>-16108.371077649999</v>
      </c>
      <c r="J197" s="294">
        <v>-34707.689669560001</v>
      </c>
      <c r="K197" s="294">
        <v>-21539.713574690806</v>
      </c>
    </row>
    <row r="198" spans="1:11">
      <c r="A198" s="208">
        <v>1921</v>
      </c>
      <c r="B198" s="208" t="s">
        <v>148</v>
      </c>
      <c r="C198" s="221">
        <v>6266.2150000000001</v>
      </c>
      <c r="D198" s="221">
        <v>8955.7952850000001</v>
      </c>
      <c r="E198" s="221">
        <v>-4215.2143420000202</v>
      </c>
      <c r="F198" s="221">
        <v>-22111.606904320484</v>
      </c>
      <c r="G198" s="223">
        <v>13189.145139116201</v>
      </c>
      <c r="H198" s="223">
        <v>27951.90943811613</v>
      </c>
      <c r="I198" s="223">
        <v>-375.31416087999997</v>
      </c>
      <c r="J198" s="223">
        <v>-15034.920141000001</v>
      </c>
      <c r="K198" s="223">
        <v>-10412.976948864416</v>
      </c>
    </row>
    <row r="199" spans="1:11">
      <c r="A199" s="208">
        <v>1922</v>
      </c>
      <c r="B199" s="208" t="s">
        <v>149</v>
      </c>
      <c r="C199" s="221">
        <v>2806.9960000000001</v>
      </c>
      <c r="D199" s="221">
        <v>1540.4786690000094</v>
      </c>
      <c r="E199" s="221">
        <v>-705.82061700002896</v>
      </c>
      <c r="F199" s="221">
        <v>-1270.9441679999998</v>
      </c>
      <c r="G199" s="223">
        <v>2870.0020255599552</v>
      </c>
      <c r="H199" s="223">
        <v>673.20076944000107</v>
      </c>
      <c r="I199" s="223">
        <v>864.81364567999992</v>
      </c>
      <c r="J199" s="223">
        <v>-164.59073999999998</v>
      </c>
      <c r="K199" s="223">
        <v>-552.25735699997358</v>
      </c>
    </row>
    <row r="200" spans="1:11">
      <c r="A200" s="208">
        <v>1923</v>
      </c>
      <c r="B200" s="208" t="s">
        <v>150</v>
      </c>
      <c r="C200" s="221">
        <v>1001.505</v>
      </c>
      <c r="D200" s="221">
        <v>-14522.888593730002</v>
      </c>
      <c r="E200" s="221">
        <v>-8140.0226249899943</v>
      </c>
      <c r="F200" s="221">
        <v>-4713.2149232200081</v>
      </c>
      <c r="G200" s="223">
        <v>-16345.081148469993</v>
      </c>
      <c r="H200" s="223">
        <v>-16852.104532129997</v>
      </c>
      <c r="I200" s="223">
        <v>-17218.957445750002</v>
      </c>
      <c r="J200" s="223">
        <v>-20173.62009</v>
      </c>
      <c r="K200" s="223">
        <v>-7869.3826173100042</v>
      </c>
    </row>
    <row r="201" spans="1:11" s="225" customFormat="1">
      <c r="A201" s="208">
        <v>1924</v>
      </c>
      <c r="B201" s="208" t="s">
        <v>151</v>
      </c>
      <c r="C201" s="221">
        <v>-59.44</v>
      </c>
      <c r="D201" s="221">
        <v>445.42256599999746</v>
      </c>
      <c r="E201" s="221">
        <v>545.11469100000068</v>
      </c>
      <c r="F201" s="221">
        <v>-339.28081900000876</v>
      </c>
      <c r="G201" s="223">
        <v>-958.04563499999904</v>
      </c>
      <c r="H201" s="223">
        <v>-226.16330000000016</v>
      </c>
      <c r="I201" s="223">
        <v>652.88305200000002</v>
      </c>
      <c r="J201" s="223">
        <v>619.65411600000004</v>
      </c>
      <c r="K201" s="223">
        <v>-11.275099937418418</v>
      </c>
    </row>
    <row r="202" spans="1:11" s="225" customFormat="1">
      <c r="A202" s="208">
        <v>1925</v>
      </c>
      <c r="B202" s="208" t="s">
        <v>921</v>
      </c>
      <c r="C202" s="221">
        <v>240.81700000000001</v>
      </c>
      <c r="D202" s="221">
        <v>-2960.7867452093933</v>
      </c>
      <c r="E202" s="221">
        <v>-3104.7729859600004</v>
      </c>
      <c r="F202" s="221">
        <v>5736.7336425700023</v>
      </c>
      <c r="G202" s="223">
        <v>106.412841630001</v>
      </c>
      <c r="H202" s="223">
        <v>-46.331298390000164</v>
      </c>
      <c r="I202" s="223">
        <v>-31.796168699999999</v>
      </c>
      <c r="J202" s="223">
        <v>45.787185440000002</v>
      </c>
      <c r="K202" s="223">
        <v>-2693.8215515789998</v>
      </c>
    </row>
    <row r="203" spans="1:11" s="225" customFormat="1">
      <c r="A203" s="293">
        <v>1930</v>
      </c>
      <c r="B203" s="293" t="s">
        <v>837</v>
      </c>
      <c r="C203" s="229">
        <v>-41.777000000000001</v>
      </c>
      <c r="D203" s="229">
        <v>-1183.4649999999999</v>
      </c>
      <c r="E203" s="229">
        <v>1136.634292</v>
      </c>
      <c r="F203" s="229">
        <v>-4554.2043810000014</v>
      </c>
      <c r="G203" s="294">
        <v>1601.925837</v>
      </c>
      <c r="H203" s="294">
        <v>3409.8913120000002</v>
      </c>
      <c r="I203" s="294">
        <v>3.4947119999999998</v>
      </c>
      <c r="J203" s="294">
        <v>50.996510000000001</v>
      </c>
      <c r="K203" s="294">
        <v>-5.5052139999999996</v>
      </c>
    </row>
    <row r="204" spans="1:11" s="225" customFormat="1">
      <c r="A204" s="208">
        <v>1931</v>
      </c>
      <c r="B204" s="208" t="s">
        <v>837</v>
      </c>
      <c r="C204" s="221">
        <v>-41.777000000000001</v>
      </c>
      <c r="D204" s="221">
        <v>-1183.4649999999999</v>
      </c>
      <c r="E204" s="221">
        <v>1136.634292</v>
      </c>
      <c r="F204" s="221">
        <v>-4554.2043810000014</v>
      </c>
      <c r="G204" s="223">
        <v>1601.925837</v>
      </c>
      <c r="H204" s="223">
        <v>3409.8913120000002</v>
      </c>
      <c r="I204" s="223">
        <v>3.4947119999999998</v>
      </c>
      <c r="J204" s="223">
        <v>50.996510000000001</v>
      </c>
      <c r="K204" s="223">
        <v>-5.5052139999999996</v>
      </c>
    </row>
    <row r="205" spans="1:11">
      <c r="A205" s="208"/>
      <c r="B205" s="208"/>
      <c r="C205" s="221"/>
      <c r="D205" s="221"/>
      <c r="E205" s="225"/>
      <c r="F205" s="225"/>
      <c r="G205" s="225"/>
      <c r="H205" s="225"/>
      <c r="I205" s="225"/>
      <c r="J205" s="225"/>
      <c r="K205" s="225"/>
    </row>
    <row r="206" spans="1:11">
      <c r="A206" s="218">
        <v>2000</v>
      </c>
      <c r="B206" s="218" t="s">
        <v>152</v>
      </c>
      <c r="C206" s="219">
        <v>43449.97</v>
      </c>
      <c r="D206" s="219">
        <v>66523.694000000003</v>
      </c>
      <c r="E206" s="219">
        <v>52964.048333430008</v>
      </c>
      <c r="F206" s="219">
        <v>48115.061924749993</v>
      </c>
      <c r="G206" s="219">
        <v>41783.420835129997</v>
      </c>
      <c r="H206" s="219">
        <v>55333.296901579997</v>
      </c>
      <c r="I206" s="219">
        <v>48849.264061310001</v>
      </c>
      <c r="J206" s="219">
        <v>48141.31624</v>
      </c>
      <c r="K206" s="219">
        <v>41711.990348610001</v>
      </c>
    </row>
    <row r="207" spans="1:11">
      <c r="A207" s="218"/>
      <c r="B207" s="218"/>
      <c r="C207" s="219"/>
      <c r="D207" s="219"/>
      <c r="E207" s="219"/>
      <c r="F207" s="219"/>
      <c r="G207" s="219"/>
      <c r="H207" s="219"/>
      <c r="I207" s="219"/>
      <c r="J207" s="219"/>
      <c r="K207" s="219"/>
    </row>
    <row r="208" spans="1:11">
      <c r="A208" s="218"/>
      <c r="B208" s="218"/>
      <c r="C208" s="219"/>
      <c r="D208" s="219"/>
      <c r="E208" s="221"/>
    </row>
    <row r="209" spans="1:11">
      <c r="A209" s="218">
        <v>2100</v>
      </c>
      <c r="B209" s="218" t="s">
        <v>891</v>
      </c>
      <c r="C209" s="219">
        <v>6956.4849999999997</v>
      </c>
      <c r="D209" s="219">
        <v>5017.7190000000001</v>
      </c>
      <c r="E209" s="219">
        <v>4170.3436939999992</v>
      </c>
      <c r="F209" s="219">
        <v>7143.452217</v>
      </c>
      <c r="G209" s="219">
        <v>6044</v>
      </c>
      <c r="H209" s="219">
        <v>6699</v>
      </c>
      <c r="I209" s="219">
        <v>8042.7812160000003</v>
      </c>
      <c r="J209" s="219">
        <v>7602.6817545100002</v>
      </c>
      <c r="K209" s="219">
        <v>4149.22262735</v>
      </c>
    </row>
    <row r="210" spans="1:11">
      <c r="A210" s="293">
        <v>2110</v>
      </c>
      <c r="B210" s="208" t="s">
        <v>153</v>
      </c>
      <c r="C210" s="229">
        <v>1604.241</v>
      </c>
      <c r="D210" s="229">
        <v>615.95600000000002</v>
      </c>
      <c r="E210" s="229">
        <v>476</v>
      </c>
      <c r="F210" s="221">
        <v>1218.575</v>
      </c>
      <c r="G210" s="221">
        <v>244</v>
      </c>
      <c r="H210" s="221">
        <v>499</v>
      </c>
      <c r="I210" s="221">
        <v>378</v>
      </c>
      <c r="J210" s="221">
        <v>618</v>
      </c>
      <c r="K210" s="221">
        <v>553</v>
      </c>
    </row>
    <row r="211" spans="1:11">
      <c r="A211" s="208">
        <v>2114</v>
      </c>
      <c r="B211" s="208" t="s">
        <v>787</v>
      </c>
      <c r="C211" s="585" t="s">
        <v>1229</v>
      </c>
      <c r="D211" s="221">
        <v>157.1</v>
      </c>
      <c r="E211" s="585" t="s">
        <v>1229</v>
      </c>
      <c r="F211" s="221">
        <v>30</v>
      </c>
      <c r="G211" s="585" t="s">
        <v>1229</v>
      </c>
      <c r="H211" s="585" t="s">
        <v>1229</v>
      </c>
      <c r="I211" s="585" t="s">
        <v>1229</v>
      </c>
      <c r="J211" s="585" t="s">
        <v>1229</v>
      </c>
      <c r="K211" s="585" t="s">
        <v>1229</v>
      </c>
    </row>
    <row r="212" spans="1:11">
      <c r="A212" s="208">
        <v>2116</v>
      </c>
      <c r="B212" s="208" t="s">
        <v>943</v>
      </c>
      <c r="G212" s="221"/>
      <c r="H212" s="221"/>
    </row>
    <row r="213" spans="1:11">
      <c r="A213" s="208"/>
      <c r="B213" s="208" t="s">
        <v>944</v>
      </c>
      <c r="C213" s="221">
        <v>1573</v>
      </c>
      <c r="D213" s="221">
        <v>439</v>
      </c>
      <c r="E213" s="221">
        <v>476</v>
      </c>
      <c r="F213" s="221">
        <v>1172</v>
      </c>
      <c r="G213" s="221">
        <v>244</v>
      </c>
      <c r="H213" s="221">
        <v>499</v>
      </c>
      <c r="I213" s="221">
        <v>378</v>
      </c>
      <c r="J213" s="221">
        <v>618</v>
      </c>
      <c r="K213" s="221">
        <v>553</v>
      </c>
    </row>
    <row r="214" spans="1:11">
      <c r="A214" s="208">
        <v>2118</v>
      </c>
      <c r="B214" s="208" t="s">
        <v>788</v>
      </c>
      <c r="C214" s="221">
        <v>31.241</v>
      </c>
      <c r="D214" s="221">
        <v>19.856000000000002</v>
      </c>
      <c r="E214" s="585" t="s">
        <v>1229</v>
      </c>
      <c r="F214" s="221">
        <v>16.574999999999999</v>
      </c>
      <c r="G214" s="585" t="s">
        <v>1229</v>
      </c>
      <c r="H214" s="585" t="s">
        <v>1229</v>
      </c>
      <c r="I214" s="585" t="s">
        <v>1229</v>
      </c>
      <c r="J214" s="585" t="s">
        <v>1229</v>
      </c>
      <c r="K214" s="585" t="s">
        <v>1229</v>
      </c>
    </row>
    <row r="215" spans="1:11">
      <c r="A215" s="293">
        <v>2120</v>
      </c>
      <c r="B215" s="208" t="s">
        <v>1380</v>
      </c>
      <c r="C215" s="229">
        <v>52.244</v>
      </c>
      <c r="D215" s="229">
        <v>1.7629999999999999</v>
      </c>
      <c r="E215" s="229">
        <v>94.343693999999999</v>
      </c>
      <c r="F215" s="229">
        <v>24.877217000000002</v>
      </c>
      <c r="G215" s="229">
        <v>0</v>
      </c>
      <c r="H215" s="229">
        <v>0</v>
      </c>
      <c r="I215" s="229">
        <v>164.78121599999997</v>
      </c>
      <c r="J215" s="229">
        <v>184.68175450999999</v>
      </c>
      <c r="K215" s="229">
        <v>296.22262735000004</v>
      </c>
    </row>
    <row r="216" spans="1:11" s="225" customFormat="1">
      <c r="A216" s="208">
        <v>2124</v>
      </c>
      <c r="B216" s="208" t="s">
        <v>1381</v>
      </c>
      <c r="C216" s="221">
        <v>0.746</v>
      </c>
      <c r="D216" s="585" t="s">
        <v>1229</v>
      </c>
      <c r="E216" s="585" t="s">
        <v>1229</v>
      </c>
      <c r="F216" s="585" t="s">
        <v>1229</v>
      </c>
      <c r="G216" s="585" t="s">
        <v>1229</v>
      </c>
      <c r="H216" s="585" t="s">
        <v>1229</v>
      </c>
      <c r="I216" s="221">
        <v>49.114601999999998</v>
      </c>
      <c r="J216" s="221">
        <v>56.289988510000001</v>
      </c>
      <c r="K216" s="221">
        <v>41.817873349999999</v>
      </c>
    </row>
    <row r="217" spans="1:11">
      <c r="A217" s="208">
        <v>2126</v>
      </c>
      <c r="B217" s="208" t="s">
        <v>789</v>
      </c>
      <c r="C217" s="221">
        <v>51.497999999999998</v>
      </c>
      <c r="D217" s="221">
        <v>1.7629999999999999</v>
      </c>
      <c r="E217" s="221">
        <v>94.343693999999999</v>
      </c>
      <c r="F217" s="221">
        <v>24.877217000000002</v>
      </c>
      <c r="G217" s="221">
        <v>0</v>
      </c>
      <c r="H217" s="221">
        <v>0</v>
      </c>
      <c r="I217" s="221">
        <v>115.666614</v>
      </c>
      <c r="J217" s="221">
        <v>128.39176599999999</v>
      </c>
      <c r="K217" s="221">
        <v>254.40475400000003</v>
      </c>
    </row>
    <row r="218" spans="1:11">
      <c r="A218" s="293">
        <v>2130</v>
      </c>
      <c r="B218" s="208" t="s">
        <v>790</v>
      </c>
      <c r="C218" s="229">
        <v>5300</v>
      </c>
      <c r="D218" s="229">
        <v>4400</v>
      </c>
      <c r="E218" s="221">
        <v>3600</v>
      </c>
      <c r="F218" s="229">
        <v>5900</v>
      </c>
      <c r="G218" s="229">
        <v>5800</v>
      </c>
      <c r="H218" s="229">
        <v>6200</v>
      </c>
      <c r="I218" s="229">
        <v>7500</v>
      </c>
      <c r="J218" s="229">
        <v>6800</v>
      </c>
      <c r="K218" s="229">
        <v>3300</v>
      </c>
    </row>
    <row r="219" spans="1:11">
      <c r="A219" s="208">
        <v>2131</v>
      </c>
      <c r="B219" s="208" t="s">
        <v>790</v>
      </c>
      <c r="C219" s="221">
        <v>5300</v>
      </c>
      <c r="D219" s="221">
        <v>4400</v>
      </c>
      <c r="E219" s="221">
        <v>3600</v>
      </c>
      <c r="F219" s="221">
        <v>5900</v>
      </c>
      <c r="G219" s="221">
        <v>5800</v>
      </c>
      <c r="H219" s="221">
        <v>6200</v>
      </c>
      <c r="I219" s="221">
        <v>7500</v>
      </c>
      <c r="J219" s="221">
        <v>6800</v>
      </c>
      <c r="K219" s="221">
        <v>3300</v>
      </c>
    </row>
    <row r="220" spans="1:11" s="225" customFormat="1">
      <c r="A220" s="208"/>
      <c r="B220" s="208"/>
      <c r="C220" s="221"/>
      <c r="D220" s="221"/>
      <c r="E220" s="219"/>
    </row>
    <row r="221" spans="1:11">
      <c r="A221" s="218">
        <v>2200</v>
      </c>
      <c r="B221" s="218" t="s">
        <v>791</v>
      </c>
      <c r="C221" s="219">
        <v>321.05500000000001</v>
      </c>
      <c r="D221" s="219">
        <v>622.04</v>
      </c>
      <c r="E221" s="219">
        <v>328.98280499999998</v>
      </c>
      <c r="F221" s="219">
        <v>935.2698539999999</v>
      </c>
      <c r="G221" s="219">
        <v>460.02793491999995</v>
      </c>
      <c r="H221" s="219">
        <v>312.98892061999999</v>
      </c>
      <c r="I221" s="219">
        <v>243.36382800000001</v>
      </c>
      <c r="J221" s="219">
        <v>456.53800624000002</v>
      </c>
      <c r="K221" s="219">
        <v>487.62398185000001</v>
      </c>
    </row>
    <row r="222" spans="1:11">
      <c r="A222" s="293">
        <v>2210</v>
      </c>
      <c r="B222" s="208" t="s">
        <v>1432</v>
      </c>
      <c r="C222" s="229">
        <v>321.05500000000001</v>
      </c>
      <c r="D222" s="229">
        <v>622.04</v>
      </c>
      <c r="E222" s="229">
        <v>328.98280499999998</v>
      </c>
      <c r="F222" s="229">
        <v>935.2698539999999</v>
      </c>
      <c r="G222" s="229">
        <v>460.02793491999995</v>
      </c>
      <c r="H222" s="229">
        <v>312.98892061999999</v>
      </c>
      <c r="I222" s="229">
        <v>243.36382800000001</v>
      </c>
      <c r="J222" s="229">
        <v>456.53800624000002</v>
      </c>
      <c r="K222" s="229">
        <v>487.62398185000001</v>
      </c>
    </row>
    <row r="223" spans="1:11">
      <c r="A223" s="208">
        <v>2215</v>
      </c>
      <c r="B223" s="208" t="s">
        <v>1177</v>
      </c>
      <c r="C223" s="221">
        <v>321.05500000000001</v>
      </c>
      <c r="D223" s="221">
        <v>622.04</v>
      </c>
      <c r="E223" s="221">
        <v>328.98280499999998</v>
      </c>
      <c r="F223" s="221">
        <v>935.2698539999999</v>
      </c>
      <c r="G223" s="221">
        <v>460.02793491999995</v>
      </c>
      <c r="H223" s="221">
        <v>312.98892061999999</v>
      </c>
      <c r="I223" s="221">
        <v>243.36382800000001</v>
      </c>
      <c r="J223" s="221">
        <v>456.53800624000002</v>
      </c>
      <c r="K223" s="221">
        <v>487.62398185000001</v>
      </c>
    </row>
    <row r="224" spans="1:11">
      <c r="A224" s="208"/>
      <c r="B224" s="208"/>
      <c r="C224" s="221"/>
      <c r="D224" s="221"/>
      <c r="E224" s="219"/>
      <c r="F224" s="225"/>
      <c r="G224" s="225"/>
      <c r="H224" s="225"/>
      <c r="I224" s="225"/>
      <c r="J224" s="225"/>
      <c r="K224" s="225"/>
    </row>
    <row r="225" spans="1:11">
      <c r="A225" s="218">
        <v>2300</v>
      </c>
      <c r="B225" s="218" t="s">
        <v>792</v>
      </c>
      <c r="C225" s="219">
        <v>5987.5389999999998</v>
      </c>
      <c r="D225" s="219">
        <v>7234.6459999999997</v>
      </c>
      <c r="E225" s="219">
        <v>7711.4143778199996</v>
      </c>
      <c r="F225" s="219">
        <v>7728.2773598299991</v>
      </c>
      <c r="G225" s="219">
        <v>6821.1168106899995</v>
      </c>
      <c r="H225" s="219">
        <v>5890.8101826600005</v>
      </c>
      <c r="I225" s="219">
        <v>5823.1526611400004</v>
      </c>
      <c r="J225" s="219">
        <v>6019.92560177</v>
      </c>
      <c r="K225" s="219">
        <v>2074.4359772500002</v>
      </c>
    </row>
    <row r="226" spans="1:11">
      <c r="A226" s="293">
        <v>2320</v>
      </c>
      <c r="B226" s="293" t="s">
        <v>569</v>
      </c>
      <c r="C226" s="296">
        <v>0.98299999999999998</v>
      </c>
      <c r="D226" s="296">
        <v>0.74199999999999999</v>
      </c>
      <c r="E226" s="296">
        <v>0.27200000000000002</v>
      </c>
      <c r="F226" s="229">
        <v>-0.16986155999999999</v>
      </c>
      <c r="G226" s="229">
        <v>-0.59426885000000007</v>
      </c>
      <c r="H226" s="229">
        <v>-0.57686196000000001</v>
      </c>
      <c r="I226" s="229">
        <v>-0.66490806000000002</v>
      </c>
      <c r="J226" s="229">
        <v>-0.86315543000000006</v>
      </c>
      <c r="K226" s="229">
        <v>-0.8990587000000001</v>
      </c>
    </row>
    <row r="227" spans="1:11">
      <c r="A227" s="208">
        <v>2314</v>
      </c>
      <c r="B227" s="208" t="s">
        <v>793</v>
      </c>
      <c r="C227" s="227">
        <v>0.50900000000000001</v>
      </c>
      <c r="D227" s="227">
        <v>0.32700000000000001</v>
      </c>
      <c r="E227" s="227">
        <v>0.33</v>
      </c>
      <c r="F227" s="221">
        <v>0.26694699999999993</v>
      </c>
      <c r="G227" s="221">
        <v>9.1372999999999996E-2</v>
      </c>
      <c r="H227" s="221">
        <v>0.13575000000000004</v>
      </c>
      <c r="I227" s="221">
        <v>2.4383999999999999E-2</v>
      </c>
      <c r="J227" s="221">
        <v>1.2641999999999999E-2</v>
      </c>
      <c r="K227" s="221">
        <v>1.0200000000000001E-2</v>
      </c>
    </row>
    <row r="228" spans="1:11">
      <c r="A228" s="208">
        <v>2316</v>
      </c>
      <c r="B228" s="208" t="s">
        <v>794</v>
      </c>
      <c r="C228" s="227">
        <v>4.0000000000000001E-3</v>
      </c>
      <c r="D228" s="227">
        <v>2E-3</v>
      </c>
      <c r="E228" s="227">
        <v>0</v>
      </c>
      <c r="F228" s="221">
        <v>0</v>
      </c>
      <c r="G228" s="221">
        <v>0</v>
      </c>
      <c r="H228" s="221">
        <v>0</v>
      </c>
      <c r="I228" s="221"/>
      <c r="J228" s="221"/>
      <c r="K228" s="221">
        <v>0</v>
      </c>
    </row>
    <row r="229" spans="1:11">
      <c r="A229" s="208">
        <v>2322</v>
      </c>
      <c r="B229" s="208" t="s">
        <v>795</v>
      </c>
      <c r="C229" s="227">
        <v>-0.79</v>
      </c>
      <c r="D229" s="227">
        <v>-0.76700000000000002</v>
      </c>
      <c r="E229" s="227">
        <v>-0.83599999999999997</v>
      </c>
      <c r="F229" s="221">
        <v>-0.9533680000000001</v>
      </c>
      <c r="G229" s="221">
        <v>-0.98025085000000012</v>
      </c>
      <c r="H229" s="221">
        <v>-0.98952295999999995</v>
      </c>
      <c r="I229" s="221">
        <v>-0.98863106000000001</v>
      </c>
      <c r="J229" s="221">
        <v>-0.99692242999999992</v>
      </c>
      <c r="K229" s="221">
        <v>-0.99299570000000004</v>
      </c>
    </row>
    <row r="230" spans="1:11">
      <c r="A230" s="208">
        <v>2323</v>
      </c>
      <c r="B230" s="208" t="s">
        <v>356</v>
      </c>
      <c r="C230" s="227">
        <v>0.01</v>
      </c>
      <c r="D230" s="227">
        <v>4.0000000000000001E-3</v>
      </c>
      <c r="E230" s="227">
        <v>3.0000000000000001E-3</v>
      </c>
      <c r="F230" s="221">
        <v>1.199244E-2</v>
      </c>
      <c r="G230" s="221">
        <v>5.2820000000000002E-3</v>
      </c>
      <c r="H230" s="221">
        <v>4.3930000000000002E-3</v>
      </c>
      <c r="I230" s="221">
        <v>2.7000000000000001E-3</v>
      </c>
      <c r="J230" s="221">
        <v>3.4399999999999996E-4</v>
      </c>
      <c r="K230" s="221">
        <v>0</v>
      </c>
    </row>
    <row r="231" spans="1:11">
      <c r="A231" s="208">
        <v>2324</v>
      </c>
      <c r="B231" s="208" t="s">
        <v>796</v>
      </c>
      <c r="C231" s="227">
        <v>1.25</v>
      </c>
      <c r="D231" s="227">
        <v>1.175</v>
      </c>
      <c r="E231" s="227">
        <v>0.77400000000000002</v>
      </c>
      <c r="F231" s="221">
        <v>0.5045670000000001</v>
      </c>
      <c r="G231" s="221">
        <v>0.289327</v>
      </c>
      <c r="H231" s="221">
        <v>0.27251799999999998</v>
      </c>
      <c r="I231" s="221">
        <v>0.29663899999999999</v>
      </c>
      <c r="J231" s="221">
        <v>0.120781</v>
      </c>
      <c r="K231" s="221">
        <v>8.3736999999999992E-2</v>
      </c>
    </row>
    <row r="232" spans="1:11">
      <c r="A232" s="293">
        <v>2340</v>
      </c>
      <c r="B232" s="208" t="s">
        <v>357</v>
      </c>
      <c r="C232" s="229">
        <v>4677.7629999999999</v>
      </c>
      <c r="D232" s="229">
        <v>4868.9539999999997</v>
      </c>
      <c r="E232" s="229">
        <v>4970.6751649999997</v>
      </c>
      <c r="F232" s="229">
        <v>5051.8118719999993</v>
      </c>
      <c r="G232" s="229">
        <v>5003.9199219999991</v>
      </c>
      <c r="H232" s="229">
        <v>4591.3468500000008</v>
      </c>
      <c r="I232" s="229">
        <v>4065.7414365099999</v>
      </c>
      <c r="J232" s="229">
        <v>3659.78845963</v>
      </c>
      <c r="K232" s="229">
        <v>37.195169999999997</v>
      </c>
    </row>
    <row r="233" spans="1:11">
      <c r="A233" s="208">
        <v>2341</v>
      </c>
      <c r="B233" s="208" t="s">
        <v>945</v>
      </c>
      <c r="E233" s="221"/>
      <c r="F233" s="221"/>
      <c r="G233" s="221"/>
      <c r="H233" s="221"/>
      <c r="I233" s="221"/>
      <c r="J233" s="221"/>
      <c r="K233" s="221"/>
    </row>
    <row r="234" spans="1:11">
      <c r="A234" s="208"/>
      <c r="B234" s="208" t="s">
        <v>359</v>
      </c>
      <c r="C234" s="221">
        <v>5.0000000000000001E-3</v>
      </c>
      <c r="D234" s="221">
        <v>2E-3</v>
      </c>
      <c r="E234" s="585" t="s">
        <v>1229</v>
      </c>
      <c r="F234" s="221">
        <v>2.9900000000000006E-4</v>
      </c>
      <c r="G234" s="221">
        <v>3.999999999999999E-6</v>
      </c>
      <c r="H234" s="585" t="s">
        <v>1229</v>
      </c>
      <c r="I234" s="585" t="s">
        <v>1229</v>
      </c>
      <c r="J234" s="585" t="s">
        <v>1229</v>
      </c>
      <c r="K234" s="585" t="s">
        <v>1229</v>
      </c>
    </row>
    <row r="235" spans="1:11">
      <c r="A235" s="208">
        <v>2342</v>
      </c>
      <c r="B235" s="208" t="s">
        <v>797</v>
      </c>
      <c r="C235" s="221">
        <v>61.957999999999998</v>
      </c>
      <c r="D235" s="221">
        <v>76.009</v>
      </c>
      <c r="E235" s="221">
        <v>66.865186000000008</v>
      </c>
      <c r="F235" s="221">
        <v>60.480469000000006</v>
      </c>
      <c r="G235" s="221">
        <v>59.287108000000011</v>
      </c>
      <c r="H235" s="221">
        <v>51.567757</v>
      </c>
      <c r="I235" s="221">
        <v>54.069368000000004</v>
      </c>
      <c r="J235" s="221">
        <v>39.738906999999998</v>
      </c>
      <c r="K235" s="221">
        <v>37.195169999999997</v>
      </c>
    </row>
    <row r="236" spans="1:11">
      <c r="A236" s="208">
        <v>2343</v>
      </c>
      <c r="B236" s="208" t="s">
        <v>798</v>
      </c>
      <c r="C236" s="221">
        <v>4615.8010000000004</v>
      </c>
      <c r="D236" s="221">
        <v>4792.9440000000004</v>
      </c>
      <c r="E236" s="221">
        <v>4903.8099789999997</v>
      </c>
      <c r="F236" s="221">
        <v>4991.331103999999</v>
      </c>
      <c r="G236" s="221">
        <v>4944.6328099999992</v>
      </c>
      <c r="H236" s="221">
        <v>4539.7790930000001</v>
      </c>
      <c r="I236" s="221">
        <v>4011.6720685099999</v>
      </c>
      <c r="J236" s="221">
        <v>3620.0495526299997</v>
      </c>
      <c r="K236" s="221">
        <v>0</v>
      </c>
    </row>
    <row r="237" spans="1:11">
      <c r="A237" s="293">
        <v>2390</v>
      </c>
      <c r="B237" s="208" t="s">
        <v>800</v>
      </c>
      <c r="C237" s="229">
        <v>1308.7929999999999</v>
      </c>
      <c r="D237" s="229">
        <v>2364.9499999999998</v>
      </c>
      <c r="E237" s="229">
        <v>2740.4672391299996</v>
      </c>
      <c r="F237" s="229">
        <v>2676.6353493899996</v>
      </c>
      <c r="G237" s="229">
        <v>1817.7911575400001</v>
      </c>
      <c r="H237" s="229">
        <v>1300.0401946199997</v>
      </c>
      <c r="I237" s="229">
        <v>1758.0761326900001</v>
      </c>
      <c r="J237" s="229">
        <v>2361.0002975699999</v>
      </c>
      <c r="K237" s="229">
        <v>2038.1398659500001</v>
      </c>
    </row>
    <row r="238" spans="1:11">
      <c r="A238" s="208">
        <v>2391</v>
      </c>
      <c r="B238" s="208" t="s">
        <v>360</v>
      </c>
      <c r="F238" s="221"/>
      <c r="G238" s="221"/>
      <c r="H238" s="221"/>
      <c r="I238" s="229"/>
      <c r="J238" s="229"/>
      <c r="K238" s="221"/>
    </row>
    <row r="239" spans="1:11" s="225" customFormat="1">
      <c r="A239" s="208"/>
      <c r="B239" s="208" t="s">
        <v>361</v>
      </c>
      <c r="C239" s="221">
        <v>5.7000000000000002E-2</v>
      </c>
      <c r="D239" s="221">
        <v>2.1000000000000001E-2</v>
      </c>
      <c r="E239" s="221">
        <v>8.003999999999999E-3</v>
      </c>
      <c r="F239" s="221">
        <v>5.6649999999999999E-3</v>
      </c>
      <c r="G239" s="221">
        <v>1.9395000000000003E-3</v>
      </c>
      <c r="H239" s="221">
        <v>1.508E-3</v>
      </c>
      <c r="I239" s="221">
        <v>3.1604840000000002E-2</v>
      </c>
      <c r="J239" s="221">
        <v>6.2690000000000003E-3</v>
      </c>
      <c r="K239" s="221">
        <v>3.8998100000000001E-3</v>
      </c>
    </row>
    <row r="240" spans="1:11">
      <c r="A240" s="208">
        <v>2392</v>
      </c>
      <c r="B240" s="208" t="s">
        <v>799</v>
      </c>
      <c r="C240" s="221">
        <v>1E-3</v>
      </c>
      <c r="D240" s="585" t="s">
        <v>1229</v>
      </c>
      <c r="E240" s="585" t="s">
        <v>1229</v>
      </c>
      <c r="F240" s="585" t="s">
        <v>1229</v>
      </c>
      <c r="G240" s="585" t="s">
        <v>1229</v>
      </c>
      <c r="H240" s="585" t="s">
        <v>1229</v>
      </c>
      <c r="I240" s="585" t="s">
        <v>1229</v>
      </c>
      <c r="J240" s="585" t="s">
        <v>1229</v>
      </c>
      <c r="K240" s="585" t="s">
        <v>1229</v>
      </c>
    </row>
    <row r="241" spans="1:11">
      <c r="A241" s="208">
        <v>2394</v>
      </c>
      <c r="B241" s="208" t="s">
        <v>800</v>
      </c>
      <c r="C241" s="221">
        <v>36.459000000000003</v>
      </c>
      <c r="D241" s="221">
        <v>28.122</v>
      </c>
      <c r="E241" s="221">
        <v>117.0034722</v>
      </c>
      <c r="F241" s="221">
        <v>148.70820691</v>
      </c>
      <c r="G241" s="221">
        <v>803.28772561000005</v>
      </c>
      <c r="H241" s="221">
        <v>55.531956800000003</v>
      </c>
      <c r="I241" s="221">
        <v>107.14597623</v>
      </c>
      <c r="J241" s="221">
        <v>66.582171849999995</v>
      </c>
      <c r="K241" s="221">
        <v>72.352334150000004</v>
      </c>
    </row>
    <row r="242" spans="1:11">
      <c r="A242" s="208">
        <v>2397</v>
      </c>
      <c r="B242" s="208" t="s">
        <v>358</v>
      </c>
      <c r="C242" s="221">
        <v>1272.2760000000001</v>
      </c>
      <c r="D242" s="221">
        <v>2336.8069999999998</v>
      </c>
      <c r="E242" s="221">
        <v>2623.4557629300002</v>
      </c>
      <c r="F242" s="221">
        <v>2527.9214774799993</v>
      </c>
      <c r="G242" s="221">
        <v>1014.50149243</v>
      </c>
      <c r="H242" s="221">
        <v>1244.5067298199997</v>
      </c>
      <c r="I242" s="221">
        <v>1650.89855162</v>
      </c>
      <c r="J242" s="221">
        <v>2294.4118567199998</v>
      </c>
      <c r="K242" s="221">
        <v>1965.78363199</v>
      </c>
    </row>
    <row r="243" spans="1:11" s="225" customFormat="1">
      <c r="A243" s="208"/>
      <c r="B243" s="208"/>
      <c r="C243" s="221"/>
      <c r="D243" s="221"/>
      <c r="E243" s="221"/>
      <c r="F243" s="210"/>
      <c r="G243" s="210"/>
      <c r="H243" s="210"/>
      <c r="I243" s="221"/>
      <c r="J243" s="221"/>
      <c r="K243" s="210"/>
    </row>
    <row r="244" spans="1:11">
      <c r="A244" s="218">
        <v>2400</v>
      </c>
      <c r="B244" s="218" t="s">
        <v>801</v>
      </c>
      <c r="C244" s="219">
        <v>22963.076000000001</v>
      </c>
      <c r="D244" s="219">
        <v>33248.828000000001</v>
      </c>
      <c r="E244" s="219">
        <v>24680.53573802</v>
      </c>
      <c r="F244" s="219">
        <v>19139.676852279998</v>
      </c>
      <c r="G244" s="219">
        <v>16875.675824890001</v>
      </c>
      <c r="H244" s="219">
        <v>26926.008280729999</v>
      </c>
      <c r="I244" s="219">
        <v>21657.782807659998</v>
      </c>
      <c r="J244" s="219">
        <v>20654.851563209999</v>
      </c>
      <c r="K244" s="219">
        <v>12435.928846239998</v>
      </c>
    </row>
    <row r="245" spans="1:11">
      <c r="A245" s="293">
        <v>2410</v>
      </c>
      <c r="B245" s="208" t="s">
        <v>802</v>
      </c>
      <c r="C245" s="229">
        <v>22963.076000000001</v>
      </c>
      <c r="D245" s="229">
        <v>33248.828000000001</v>
      </c>
      <c r="E245" s="229">
        <v>24680.53573802</v>
      </c>
      <c r="F245" s="229">
        <v>19139.676852279998</v>
      </c>
      <c r="G245" s="229">
        <v>16875.675824890001</v>
      </c>
      <c r="H245" s="229">
        <v>26926.008280729999</v>
      </c>
      <c r="I245" s="229">
        <v>21657.782807659998</v>
      </c>
      <c r="J245" s="229">
        <v>20654.851563209999</v>
      </c>
      <c r="K245" s="229">
        <v>12435.928846239998</v>
      </c>
    </row>
    <row r="246" spans="1:11">
      <c r="A246" s="208">
        <v>2411</v>
      </c>
      <c r="B246" s="208" t="s">
        <v>802</v>
      </c>
      <c r="C246" s="221">
        <v>22963.076000000001</v>
      </c>
      <c r="D246" s="221">
        <v>33248.828000000001</v>
      </c>
      <c r="E246" s="221">
        <v>24680.53573802</v>
      </c>
      <c r="F246" s="221">
        <v>19139.676852279998</v>
      </c>
      <c r="G246" s="221">
        <v>16875.675824890001</v>
      </c>
      <c r="H246" s="221">
        <v>26926.008280729999</v>
      </c>
      <c r="I246" s="221">
        <v>21657.782807659998</v>
      </c>
      <c r="J246" s="221">
        <v>20654.851563209999</v>
      </c>
      <c r="K246" s="221">
        <v>12435.928846239998</v>
      </c>
    </row>
    <row r="247" spans="1:11">
      <c r="A247" s="208"/>
      <c r="B247" s="208"/>
      <c r="C247" s="221"/>
      <c r="D247" s="221"/>
      <c r="E247" s="221"/>
    </row>
    <row r="248" spans="1:11">
      <c r="A248" s="218">
        <v>2500</v>
      </c>
      <c r="B248" s="218" t="s">
        <v>803</v>
      </c>
      <c r="C248" s="219">
        <v>6084.509</v>
      </c>
      <c r="D248" s="219">
        <v>13589.12</v>
      </c>
      <c r="E248" s="219">
        <v>12134.082952639999</v>
      </c>
      <c r="F248" s="219">
        <v>10762.489305439994</v>
      </c>
      <c r="G248" s="219">
        <v>9893.5121676000017</v>
      </c>
      <c r="H248" s="219">
        <v>10219.044402549996</v>
      </c>
      <c r="I248" s="219">
        <v>10392.9535292</v>
      </c>
      <c r="J248" s="219">
        <v>11070.343143209999</v>
      </c>
      <c r="K248" s="219">
        <v>8307.5129258899997</v>
      </c>
    </row>
    <row r="249" spans="1:11">
      <c r="A249" s="208">
        <v>2511</v>
      </c>
      <c r="B249" s="208" t="s">
        <v>804</v>
      </c>
      <c r="C249" s="221">
        <v>618.846</v>
      </c>
      <c r="D249" s="221">
        <v>658.38599999999997</v>
      </c>
      <c r="E249" s="221">
        <v>639.67767259000004</v>
      </c>
      <c r="F249" s="221">
        <v>695.89341688000002</v>
      </c>
      <c r="G249" s="221">
        <v>759.33237288999999</v>
      </c>
      <c r="H249" s="221">
        <v>749.7791791300001</v>
      </c>
      <c r="I249" s="221">
        <v>798.33696828000006</v>
      </c>
      <c r="J249" s="221">
        <v>800.79670919</v>
      </c>
      <c r="K249" s="221">
        <v>838.54081165000002</v>
      </c>
    </row>
    <row r="250" spans="1:11">
      <c r="A250" s="208">
        <v>2522</v>
      </c>
      <c r="B250" s="208" t="s">
        <v>805</v>
      </c>
      <c r="C250" s="221">
        <v>10.791</v>
      </c>
      <c r="D250" s="221">
        <v>9.11</v>
      </c>
      <c r="E250" s="221">
        <v>9.4426740000000002</v>
      </c>
      <c r="F250" s="221">
        <v>9.8928969999999996</v>
      </c>
      <c r="G250" s="221">
        <v>9.1908379999999994</v>
      </c>
      <c r="H250" s="221">
        <v>8.7975710299999967</v>
      </c>
      <c r="I250" s="221">
        <v>6.9347700000000003</v>
      </c>
      <c r="J250" s="221">
        <v>6.3990800099999996</v>
      </c>
      <c r="K250" s="221">
        <v>3.1803520000000001</v>
      </c>
    </row>
    <row r="251" spans="1:11">
      <c r="A251" s="208">
        <v>2525</v>
      </c>
      <c r="B251" s="208" t="s">
        <v>806</v>
      </c>
      <c r="C251" s="221">
        <v>3130.1390000000001</v>
      </c>
      <c r="D251" s="221">
        <v>10552.764999999999</v>
      </c>
      <c r="E251" s="221">
        <v>8940.7265025399993</v>
      </c>
      <c r="F251" s="221">
        <v>7381.3602241199997</v>
      </c>
      <c r="G251" s="221">
        <v>6381.3891020500005</v>
      </c>
      <c r="H251" s="221">
        <v>4991.577453509999</v>
      </c>
      <c r="I251" s="221">
        <v>5193.3783210699994</v>
      </c>
      <c r="J251" s="221">
        <v>5519.9715235700005</v>
      </c>
      <c r="K251" s="221">
        <v>2848.03444382</v>
      </c>
    </row>
    <row r="252" spans="1:11">
      <c r="A252" s="208">
        <v>2526</v>
      </c>
      <c r="B252" s="208" t="s">
        <v>1330</v>
      </c>
      <c r="C252" s="221">
        <v>77.655000000000001</v>
      </c>
      <c r="D252" s="585" t="s">
        <v>1229</v>
      </c>
      <c r="E252" s="585" t="s">
        <v>1229</v>
      </c>
      <c r="F252" s="585" t="s">
        <v>1229</v>
      </c>
      <c r="G252" s="585" t="s">
        <v>1229</v>
      </c>
      <c r="H252" s="585" t="s">
        <v>1229</v>
      </c>
      <c r="I252" s="585" t="s">
        <v>1229</v>
      </c>
      <c r="J252" s="585" t="s">
        <v>1229</v>
      </c>
      <c r="K252" s="585" t="s">
        <v>1229</v>
      </c>
    </row>
    <row r="253" spans="1:11">
      <c r="A253" s="208">
        <v>2527</v>
      </c>
      <c r="B253" s="208" t="s">
        <v>1331</v>
      </c>
      <c r="C253" s="221">
        <v>22.257999999999999</v>
      </c>
      <c r="D253" s="221">
        <v>22.704000000000001</v>
      </c>
      <c r="E253" s="221">
        <v>23.835547999999999</v>
      </c>
      <c r="F253" s="221">
        <v>30.526333999999999</v>
      </c>
      <c r="G253" s="221">
        <v>24.197997000000004</v>
      </c>
      <c r="H253" s="221">
        <v>25.901</v>
      </c>
      <c r="I253" s="221">
        <v>25.484296999999998</v>
      </c>
      <c r="J253" s="221">
        <v>26.514834999999998</v>
      </c>
      <c r="K253" s="221">
        <v>28.358395000000002</v>
      </c>
    </row>
    <row r="254" spans="1:11">
      <c r="A254" s="208">
        <v>2528</v>
      </c>
      <c r="B254" s="208" t="s">
        <v>1068</v>
      </c>
      <c r="C254" s="221">
        <v>14.308999999999999</v>
      </c>
      <c r="D254" s="221">
        <v>21.651</v>
      </c>
      <c r="E254" s="221">
        <v>25.534020780000002</v>
      </c>
      <c r="F254" s="221">
        <v>11.731311</v>
      </c>
      <c r="G254" s="221">
        <v>14.909008</v>
      </c>
      <c r="H254" s="221">
        <v>34.278824999999998</v>
      </c>
      <c r="I254" s="221">
        <v>26.921628999999999</v>
      </c>
      <c r="J254" s="221">
        <v>19.146511</v>
      </c>
      <c r="K254" s="221">
        <v>22.856527000000003</v>
      </c>
    </row>
    <row r="255" spans="1:11">
      <c r="A255" s="208">
        <v>2529</v>
      </c>
      <c r="B255" s="208" t="s">
        <v>1332</v>
      </c>
      <c r="C255" s="221">
        <v>77.325000000000003</v>
      </c>
      <c r="D255" s="221">
        <v>94.147000000000006</v>
      </c>
      <c r="E255" s="221">
        <v>108.52223293999999</v>
      </c>
      <c r="F255" s="221">
        <v>115.09098131</v>
      </c>
      <c r="G255" s="221">
        <v>114.98636212000001</v>
      </c>
      <c r="H255" s="221">
        <v>124.93544444999999</v>
      </c>
      <c r="I255" s="221">
        <v>111.22188396</v>
      </c>
      <c r="J255" s="221">
        <v>106.92162665000001</v>
      </c>
      <c r="K255" s="221">
        <v>82.31142672</v>
      </c>
    </row>
    <row r="256" spans="1:11">
      <c r="A256" s="208">
        <v>2531</v>
      </c>
      <c r="B256" s="208" t="s">
        <v>1069</v>
      </c>
      <c r="C256" s="221">
        <v>1.9450000000000001</v>
      </c>
      <c r="D256" s="221">
        <v>2.016</v>
      </c>
      <c r="E256" s="221">
        <v>1.9676689900000002</v>
      </c>
      <c r="F256" s="221">
        <v>2.1274839999999999</v>
      </c>
      <c r="G256" s="221">
        <v>2.0805400000000001</v>
      </c>
      <c r="H256" s="221">
        <v>2.1102300000000005</v>
      </c>
      <c r="I256" s="221">
        <v>2.44916</v>
      </c>
      <c r="J256" s="221">
        <v>2.3659400000000002</v>
      </c>
      <c r="K256" s="221">
        <v>2.1641300000000001</v>
      </c>
    </row>
    <row r="257" spans="1:11">
      <c r="A257" s="208">
        <v>2532</v>
      </c>
      <c r="B257" s="208" t="s">
        <v>1333</v>
      </c>
      <c r="C257" s="221">
        <v>975.798</v>
      </c>
      <c r="D257" s="221">
        <v>1027.5050000000001</v>
      </c>
      <c r="E257" s="221">
        <v>1151.1067332</v>
      </c>
      <c r="F257" s="221">
        <v>1290.87972896</v>
      </c>
      <c r="G257" s="221">
        <v>1388.88769946</v>
      </c>
      <c r="H257" s="221">
        <v>1385.5793437899999</v>
      </c>
      <c r="I257" s="221">
        <v>1364.5094402499999</v>
      </c>
      <c r="J257" s="221">
        <v>1710.65446204</v>
      </c>
      <c r="K257" s="221">
        <v>1501.3133408799999</v>
      </c>
    </row>
    <row r="258" spans="1:11">
      <c r="A258" s="208">
        <v>2534</v>
      </c>
      <c r="B258" s="208" t="s">
        <v>1334</v>
      </c>
      <c r="C258" s="221">
        <v>21.998000000000001</v>
      </c>
      <c r="D258" s="221">
        <v>26.835000000000001</v>
      </c>
      <c r="E258" s="221">
        <v>22.383834</v>
      </c>
      <c r="F258" s="221">
        <v>17.331093950000003</v>
      </c>
      <c r="G258" s="221">
        <v>25.060096300000001</v>
      </c>
      <c r="H258" s="221">
        <v>1545.27014319</v>
      </c>
      <c r="I258" s="221">
        <v>1548.25416651</v>
      </c>
      <c r="J258" s="221">
        <v>1558.8227847000001</v>
      </c>
      <c r="K258" s="221">
        <v>1516.1224317900001</v>
      </c>
    </row>
    <row r="259" spans="1:11">
      <c r="A259" s="208">
        <v>2535</v>
      </c>
      <c r="B259" s="208" t="s">
        <v>1335</v>
      </c>
      <c r="C259" s="221">
        <v>7.0000000000000001E-3</v>
      </c>
      <c r="D259" s="585" t="s">
        <v>1229</v>
      </c>
      <c r="E259" s="221">
        <v>6.6137699999999997E-3</v>
      </c>
      <c r="F259" s="585" t="s">
        <v>1229</v>
      </c>
      <c r="G259" s="585" t="s">
        <v>1229</v>
      </c>
      <c r="H259" s="585" t="s">
        <v>1229</v>
      </c>
      <c r="I259" s="585" t="s">
        <v>1229</v>
      </c>
      <c r="J259" s="585" t="s">
        <v>1229</v>
      </c>
      <c r="K259" s="585" t="s">
        <v>1229</v>
      </c>
    </row>
    <row r="260" spans="1:11">
      <c r="A260" s="208">
        <v>2537</v>
      </c>
      <c r="B260" s="208" t="s">
        <v>1336</v>
      </c>
      <c r="C260" s="221">
        <v>108.59399999999999</v>
      </c>
      <c r="D260" s="221">
        <v>118.946</v>
      </c>
      <c r="E260" s="221">
        <v>99.311644000000001</v>
      </c>
      <c r="F260" s="221">
        <v>95.023958980000003</v>
      </c>
      <c r="G260" s="221">
        <v>97.499646749999997</v>
      </c>
      <c r="H260" s="221">
        <v>127.793228</v>
      </c>
      <c r="I260" s="221">
        <v>125.80767123000001</v>
      </c>
      <c r="J260" s="221">
        <v>124.29207622</v>
      </c>
      <c r="K260" s="221">
        <v>122.98044571</v>
      </c>
    </row>
    <row r="261" spans="1:11">
      <c r="A261" s="208">
        <v>2539</v>
      </c>
      <c r="B261" s="208" t="s">
        <v>1337</v>
      </c>
      <c r="C261" s="221">
        <v>16.094000000000001</v>
      </c>
      <c r="D261" s="221">
        <v>16.588000000000001</v>
      </c>
      <c r="E261" s="221">
        <v>17.376161499999998</v>
      </c>
      <c r="F261" s="221">
        <v>17.489633000000001</v>
      </c>
      <c r="G261" s="221">
        <v>19.640487</v>
      </c>
      <c r="H261" s="585" t="s">
        <v>1229</v>
      </c>
      <c r="I261" s="585" t="s">
        <v>1229</v>
      </c>
      <c r="J261" s="585" t="s">
        <v>1229</v>
      </c>
      <c r="K261" s="585" t="s">
        <v>1229</v>
      </c>
    </row>
    <row r="262" spans="1:11">
      <c r="A262" s="208">
        <v>2541</v>
      </c>
      <c r="B262" s="208" t="s">
        <v>1338</v>
      </c>
      <c r="C262" s="221">
        <v>14.395</v>
      </c>
      <c r="D262" s="221">
        <v>20.047000000000001</v>
      </c>
      <c r="E262" s="221">
        <v>19.042188809999999</v>
      </c>
      <c r="F262" s="221">
        <v>20.819608690000003</v>
      </c>
      <c r="G262" s="221">
        <v>24.979729429999999</v>
      </c>
      <c r="H262" s="221">
        <v>26.89179244</v>
      </c>
      <c r="I262" s="585" t="s">
        <v>1229</v>
      </c>
      <c r="J262" s="585" t="s">
        <v>1229</v>
      </c>
      <c r="K262" s="585" t="s">
        <v>1229</v>
      </c>
    </row>
    <row r="263" spans="1:11">
      <c r="A263" s="208">
        <v>2542</v>
      </c>
      <c r="B263" s="208" t="s">
        <v>1339</v>
      </c>
      <c r="C263" s="221">
        <v>7.9089999999999998</v>
      </c>
      <c r="D263" s="221">
        <v>7.391</v>
      </c>
      <c r="E263" s="221">
        <v>5.9101028000000007</v>
      </c>
      <c r="F263" s="221">
        <v>2.9693882200000004</v>
      </c>
      <c r="G263" s="221">
        <v>1.8808113200000001</v>
      </c>
      <c r="H263" s="221">
        <v>1.86997575</v>
      </c>
      <c r="I263" s="221">
        <v>2.2886880000000001</v>
      </c>
      <c r="J263" s="221">
        <v>3.78855071</v>
      </c>
      <c r="K263" s="221">
        <v>3.0804244600000001</v>
      </c>
    </row>
    <row r="264" spans="1:11">
      <c r="A264" s="208">
        <v>2544</v>
      </c>
      <c r="B264" s="208" t="s">
        <v>1070</v>
      </c>
      <c r="C264" s="221">
        <v>3.6389999999999998</v>
      </c>
      <c r="D264" s="221">
        <v>-8.0000000000000002E-3</v>
      </c>
      <c r="E264" s="221">
        <v>-4.9255E-2</v>
      </c>
      <c r="F264" s="585" t="s">
        <v>1229</v>
      </c>
      <c r="G264" s="585" t="s">
        <v>1229</v>
      </c>
      <c r="H264" s="585" t="s">
        <v>1229</v>
      </c>
      <c r="I264" s="585" t="s">
        <v>1229</v>
      </c>
      <c r="J264" s="585" t="s">
        <v>1229</v>
      </c>
      <c r="K264" s="585" t="s">
        <v>1229</v>
      </c>
    </row>
    <row r="265" spans="1:11">
      <c r="A265" s="208">
        <v>2548</v>
      </c>
      <c r="B265" s="208" t="s">
        <v>1340</v>
      </c>
      <c r="C265" s="221">
        <v>169.00800000000001</v>
      </c>
      <c r="D265" s="221">
        <v>193.35499999999999</v>
      </c>
      <c r="E265" s="221">
        <v>214.97054250000002</v>
      </c>
      <c r="F265" s="221">
        <v>235.60958244</v>
      </c>
      <c r="G265" s="221">
        <v>245.63674804000001</v>
      </c>
      <c r="H265" s="221">
        <v>293.88017697000004</v>
      </c>
      <c r="I265" s="221">
        <v>332.02474806999999</v>
      </c>
      <c r="J265" s="221">
        <v>299.70181787999996</v>
      </c>
      <c r="K265" s="221">
        <v>424.43429563999996</v>
      </c>
    </row>
    <row r="266" spans="1:11">
      <c r="A266" s="208">
        <v>2551</v>
      </c>
      <c r="B266" s="208" t="s">
        <v>1341</v>
      </c>
      <c r="C266" s="221">
        <v>245.965</v>
      </c>
      <c r="D266" s="221">
        <v>251.82400000000001</v>
      </c>
      <c r="E266" s="221">
        <v>280.42728000000005</v>
      </c>
      <c r="F266" s="221">
        <v>270.36495000000008</v>
      </c>
      <c r="G266" s="221">
        <v>215.94360200000003</v>
      </c>
      <c r="H266" s="221">
        <v>324.33538099999998</v>
      </c>
      <c r="I266" s="221">
        <v>276.53214700000001</v>
      </c>
      <c r="J266" s="221">
        <v>285.27765500000004</v>
      </c>
      <c r="K266" s="221">
        <v>281.30693100000002</v>
      </c>
    </row>
    <row r="267" spans="1:11">
      <c r="A267" s="208">
        <v>2552</v>
      </c>
      <c r="B267" s="208" t="s">
        <v>1342</v>
      </c>
      <c r="C267" s="221">
        <v>386.64600000000002</v>
      </c>
      <c r="D267" s="221">
        <v>372.73500000000001</v>
      </c>
      <c r="E267" s="221">
        <v>378.46072896999999</v>
      </c>
      <c r="F267" s="221">
        <v>385.38382050999996</v>
      </c>
      <c r="G267" s="221">
        <v>383.05285256000002</v>
      </c>
      <c r="H267" s="221">
        <v>394.51737218</v>
      </c>
      <c r="I267" s="221">
        <v>388.59900281</v>
      </c>
      <c r="J267" s="221">
        <v>404.71047327000002</v>
      </c>
      <c r="K267" s="221">
        <v>424.93143899</v>
      </c>
    </row>
    <row r="268" spans="1:11">
      <c r="A268" s="208">
        <v>2553</v>
      </c>
      <c r="B268" s="208" t="s">
        <v>1343</v>
      </c>
      <c r="C268" s="221">
        <v>14.702</v>
      </c>
      <c r="D268" s="221">
        <v>15.506</v>
      </c>
      <c r="E268" s="221">
        <v>16.0980007</v>
      </c>
      <c r="F268" s="221">
        <v>16.244499999999999</v>
      </c>
      <c r="G268" s="221">
        <v>16.798986320000001</v>
      </c>
      <c r="H268" s="221">
        <v>17.329616569999999</v>
      </c>
      <c r="I268" s="221">
        <v>17.241796539999999</v>
      </c>
      <c r="J268" s="221">
        <v>17.0989</v>
      </c>
      <c r="K268" s="221">
        <v>17.323399999999999</v>
      </c>
    </row>
    <row r="269" spans="1:11" s="225" customFormat="1">
      <c r="A269" s="208">
        <v>2557</v>
      </c>
      <c r="B269" s="208" t="s">
        <v>1344</v>
      </c>
      <c r="C269" s="221">
        <v>6.0369999999999999</v>
      </c>
      <c r="D269" s="221">
        <v>5.6669999999999998</v>
      </c>
      <c r="E269" s="221">
        <v>6.5333880000000004</v>
      </c>
      <c r="F269" s="221">
        <v>4.7114839999999996</v>
      </c>
      <c r="G269" s="221">
        <v>4.4900650000000004</v>
      </c>
      <c r="H269" s="221">
        <v>4.780791999999999</v>
      </c>
      <c r="I269" s="221">
        <v>4.3922430000000006</v>
      </c>
      <c r="J269" s="221">
        <v>4.4634909500000006</v>
      </c>
      <c r="K269" s="221">
        <v>4.557525</v>
      </c>
    </row>
    <row r="270" spans="1:11">
      <c r="A270" s="208">
        <v>2558</v>
      </c>
      <c r="B270" s="208" t="s">
        <v>1345</v>
      </c>
      <c r="C270" s="221">
        <v>119.90300000000001</v>
      </c>
      <c r="D270" s="221">
        <v>132.07599999999999</v>
      </c>
      <c r="E270" s="221">
        <v>133.40492441000001</v>
      </c>
      <c r="F270" s="221">
        <v>118.37517086</v>
      </c>
      <c r="G270" s="221">
        <v>121.98434693</v>
      </c>
      <c r="H270" s="221">
        <v>112.692302</v>
      </c>
      <c r="I270" s="221">
        <v>125.16569362</v>
      </c>
      <c r="J270" s="221">
        <v>131.74232743000002</v>
      </c>
      <c r="K270" s="221">
        <v>139.24692724000002</v>
      </c>
    </row>
    <row r="271" spans="1:11">
      <c r="A271" s="208">
        <v>2559</v>
      </c>
      <c r="B271" s="208" t="s">
        <v>1346</v>
      </c>
      <c r="C271" s="221">
        <v>20.960999999999999</v>
      </c>
      <c r="D271" s="221">
        <v>21.873000000000001</v>
      </c>
      <c r="E271" s="221">
        <v>23.309556719999996</v>
      </c>
      <c r="F271" s="221">
        <v>24.420427850000003</v>
      </c>
      <c r="G271" s="221">
        <v>22.968455489999997</v>
      </c>
      <c r="H271" s="221">
        <v>24.777207910000001</v>
      </c>
      <c r="I271" s="221">
        <v>25.634910339999998</v>
      </c>
      <c r="J271" s="221">
        <v>26.326912830000001</v>
      </c>
      <c r="K271" s="221">
        <v>25.917791300000001</v>
      </c>
    </row>
    <row r="272" spans="1:11">
      <c r="A272" s="208">
        <v>2561</v>
      </c>
      <c r="B272" s="208" t="s">
        <v>1347</v>
      </c>
      <c r="C272" s="221">
        <v>19.588000000000001</v>
      </c>
      <c r="D272" s="221">
        <v>18</v>
      </c>
      <c r="E272" s="221">
        <v>16.08418842</v>
      </c>
      <c r="F272" s="221">
        <v>16.243309669999999</v>
      </c>
      <c r="G272" s="221">
        <v>18.602420940000005</v>
      </c>
      <c r="H272" s="221">
        <v>21.947367630000002</v>
      </c>
      <c r="I272" s="221">
        <v>17.775992519999999</v>
      </c>
      <c r="J272" s="221">
        <v>21.34746676</v>
      </c>
      <c r="K272" s="221">
        <v>20.851887689999998</v>
      </c>
    </row>
    <row r="273" spans="1:11">
      <c r="A273" s="208"/>
      <c r="B273" s="208"/>
      <c r="C273" s="221"/>
      <c r="D273" s="221"/>
      <c r="E273" s="221"/>
    </row>
    <row r="274" spans="1:11" s="225" customFormat="1">
      <c r="A274" s="218">
        <v>2600</v>
      </c>
      <c r="B274" s="218" t="s">
        <v>1348</v>
      </c>
      <c r="C274" s="219">
        <v>261.524</v>
      </c>
      <c r="D274" s="219">
        <v>254.73699999999999</v>
      </c>
      <c r="E274" s="219">
        <v>156.91156148000002</v>
      </c>
      <c r="F274" s="219">
        <v>84.170517430000004</v>
      </c>
      <c r="G274" s="219">
        <v>64.848825199999993</v>
      </c>
      <c r="H274" s="219">
        <v>259.80833353000003</v>
      </c>
      <c r="I274" s="219">
        <v>64.086284000000006</v>
      </c>
      <c r="J274" s="219">
        <v>53.953455499999997</v>
      </c>
      <c r="K274" s="219">
        <v>62.226488859999996</v>
      </c>
    </row>
    <row r="275" spans="1:11">
      <c r="A275" s="208">
        <v>2624</v>
      </c>
      <c r="B275" s="208" t="s">
        <v>724</v>
      </c>
      <c r="C275" s="221">
        <v>49.497999999999998</v>
      </c>
      <c r="D275" s="221">
        <v>57.987000000000002</v>
      </c>
      <c r="E275" s="221">
        <v>54.736218749999999</v>
      </c>
      <c r="F275" s="221">
        <v>53.020702000000007</v>
      </c>
      <c r="G275" s="221">
        <v>58.112362000000005</v>
      </c>
      <c r="H275" s="221">
        <v>58.635471000000003</v>
      </c>
      <c r="I275" s="221">
        <v>56.931269</v>
      </c>
      <c r="J275" s="221">
        <v>53.879962500000005</v>
      </c>
      <c r="K275" s="221">
        <v>61.986643999999998</v>
      </c>
    </row>
    <row r="276" spans="1:11">
      <c r="A276" s="208">
        <v>2625</v>
      </c>
      <c r="B276" s="208" t="s">
        <v>1349</v>
      </c>
      <c r="C276" s="221">
        <v>0</v>
      </c>
      <c r="D276" s="221">
        <v>0</v>
      </c>
      <c r="E276" s="221">
        <v>0</v>
      </c>
      <c r="F276" s="221">
        <v>0.41403017999999997</v>
      </c>
      <c r="G276" s="221">
        <v>0</v>
      </c>
      <c r="H276" s="221">
        <v>0</v>
      </c>
      <c r="I276" s="221">
        <v>7.1550150000000006</v>
      </c>
      <c r="J276" s="221">
        <v>0</v>
      </c>
      <c r="K276" s="221">
        <v>0</v>
      </c>
    </row>
    <row r="277" spans="1:11">
      <c r="A277" s="208">
        <v>2627</v>
      </c>
      <c r="B277" s="208" t="s">
        <v>1350</v>
      </c>
      <c r="C277" s="221">
        <v>212.02699999999999</v>
      </c>
      <c r="D277" s="221">
        <v>196.75</v>
      </c>
      <c r="E277" s="221">
        <v>102.17534273</v>
      </c>
      <c r="F277" s="221">
        <v>30.735785249999996</v>
      </c>
      <c r="G277" s="221">
        <v>6.7364632000000002</v>
      </c>
      <c r="H277" s="221">
        <v>201.17286252999997</v>
      </c>
      <c r="I277" s="221">
        <v>0</v>
      </c>
      <c r="J277" s="221">
        <v>7.3492999999999989E-2</v>
      </c>
      <c r="K277" s="221">
        <v>0.23984485999999999</v>
      </c>
    </row>
    <row r="278" spans="1:11">
      <c r="A278" s="208"/>
      <c r="B278" s="208"/>
      <c r="C278" s="221"/>
      <c r="D278" s="221"/>
      <c r="E278" s="221"/>
    </row>
    <row r="279" spans="1:11">
      <c r="A279" s="218">
        <v>2700</v>
      </c>
      <c r="B279" s="218" t="s">
        <v>1351</v>
      </c>
      <c r="C279" s="219">
        <v>710.25900000000001</v>
      </c>
      <c r="D279" s="219">
        <v>1330.4090000000001</v>
      </c>
      <c r="E279" s="219">
        <v>1201.53629297</v>
      </c>
      <c r="F279" s="219">
        <v>1404.8408394200001</v>
      </c>
      <c r="G279" s="219">
        <v>1127.3277477799998</v>
      </c>
      <c r="H279" s="219">
        <v>1303.8265213899999</v>
      </c>
      <c r="I279" s="219">
        <v>1458.3216723799999</v>
      </c>
      <c r="J279" s="219">
        <v>1373.05279417</v>
      </c>
      <c r="K279" s="219">
        <v>1129.9172407800002</v>
      </c>
    </row>
    <row r="280" spans="1:11">
      <c r="A280" s="208">
        <v>2711</v>
      </c>
      <c r="B280" s="208" t="s">
        <v>1071</v>
      </c>
      <c r="C280" s="221">
        <v>104.547</v>
      </c>
      <c r="D280" s="221">
        <v>80.823999999999998</v>
      </c>
      <c r="E280" s="221">
        <v>82.922396390000003</v>
      </c>
      <c r="F280" s="221">
        <v>101.063999</v>
      </c>
      <c r="G280" s="221">
        <v>93.168811000000005</v>
      </c>
      <c r="H280" s="221">
        <v>98.016663349999988</v>
      </c>
      <c r="I280" s="221">
        <v>92.774145569999988</v>
      </c>
      <c r="J280" s="221">
        <v>112.02857518</v>
      </c>
      <c r="K280" s="221">
        <v>93.585906000000008</v>
      </c>
    </row>
    <row r="281" spans="1:11">
      <c r="A281" s="208">
        <v>2712</v>
      </c>
      <c r="B281" s="208" t="s">
        <v>1352</v>
      </c>
      <c r="C281" s="221">
        <v>576.077</v>
      </c>
      <c r="D281" s="221">
        <v>901.31</v>
      </c>
      <c r="E281" s="221">
        <v>1037.1015256200001</v>
      </c>
      <c r="F281" s="221">
        <v>978.40735790999997</v>
      </c>
      <c r="G281" s="221">
        <v>995.08882615999994</v>
      </c>
      <c r="H281" s="221">
        <v>1112.1979310599997</v>
      </c>
      <c r="I281" s="221">
        <v>976.07986228000004</v>
      </c>
      <c r="J281" s="221">
        <v>1033.97616315</v>
      </c>
      <c r="K281" s="221">
        <v>910.45218095000007</v>
      </c>
    </row>
    <row r="282" spans="1:11">
      <c r="A282" s="208">
        <v>2713</v>
      </c>
      <c r="B282" s="208" t="s">
        <v>1353</v>
      </c>
      <c r="C282" s="221">
        <v>5.3550000000000004</v>
      </c>
      <c r="D282" s="221">
        <v>37.301000000000002</v>
      </c>
      <c r="E282" s="221">
        <v>14.086555989999999</v>
      </c>
      <c r="F282" s="221">
        <v>1.7149490000000001</v>
      </c>
      <c r="G282" s="221">
        <v>2.5883949999999998</v>
      </c>
      <c r="H282" s="221">
        <v>0.41915400000000003</v>
      </c>
      <c r="I282" s="221">
        <v>32.517833279999998</v>
      </c>
      <c r="J282" s="221">
        <v>-5.96867766</v>
      </c>
      <c r="K282" s="221">
        <v>-5.8218786200000006</v>
      </c>
    </row>
    <row r="283" spans="1:11">
      <c r="A283" s="208">
        <v>2714</v>
      </c>
      <c r="B283" s="208" t="s">
        <v>1354</v>
      </c>
      <c r="C283" s="221">
        <v>24.28</v>
      </c>
      <c r="D283" s="221">
        <v>287.58600000000001</v>
      </c>
      <c r="E283" s="221">
        <v>50.257014970000007</v>
      </c>
      <c r="F283" s="221">
        <v>311.72853350999998</v>
      </c>
      <c r="G283" s="221">
        <v>25.21621562</v>
      </c>
      <c r="H283" s="221">
        <v>61.679272979999993</v>
      </c>
      <c r="I283" s="221">
        <v>307.79333124999999</v>
      </c>
      <c r="J283" s="221">
        <v>184.59573349999999</v>
      </c>
      <c r="K283" s="221">
        <v>86.387532450000009</v>
      </c>
    </row>
    <row r="284" spans="1:11" s="225" customFormat="1">
      <c r="A284" s="208">
        <v>2717</v>
      </c>
      <c r="B284" s="208" t="s">
        <v>1178</v>
      </c>
      <c r="C284" s="221">
        <v>0</v>
      </c>
      <c r="D284" s="221">
        <v>23.388000000000002</v>
      </c>
      <c r="E284" s="221">
        <v>17.168800000000001</v>
      </c>
      <c r="F284" s="221">
        <v>11.926</v>
      </c>
      <c r="G284" s="221">
        <v>11.265499999999999</v>
      </c>
      <c r="H284" s="221">
        <v>31.513500000000001</v>
      </c>
      <c r="I284" s="221">
        <v>49.156500000000001</v>
      </c>
      <c r="J284" s="221">
        <v>48.420999999999999</v>
      </c>
      <c r="K284" s="221">
        <v>45.313499999999998</v>
      </c>
    </row>
    <row r="285" spans="1:11">
      <c r="A285" s="208"/>
      <c r="B285" s="208"/>
      <c r="C285" s="221"/>
      <c r="D285" s="221"/>
      <c r="E285" s="221"/>
    </row>
    <row r="286" spans="1:11">
      <c r="A286" s="218">
        <v>2800</v>
      </c>
      <c r="B286" s="218" t="s">
        <v>1355</v>
      </c>
      <c r="C286" s="219">
        <v>165.52199999999999</v>
      </c>
      <c r="D286" s="219">
        <v>5226.1949999999997</v>
      </c>
      <c r="E286" s="219">
        <v>2580.2409115</v>
      </c>
      <c r="F286" s="219">
        <v>916.88497935000009</v>
      </c>
      <c r="G286" s="219">
        <v>496.91152405000008</v>
      </c>
      <c r="H286" s="219">
        <v>3721.8102601000001</v>
      </c>
      <c r="I286" s="219">
        <v>1166.8220629299999</v>
      </c>
      <c r="J286" s="219">
        <v>909.96992139000008</v>
      </c>
      <c r="K286" s="219">
        <v>13065.122260389999</v>
      </c>
    </row>
    <row r="287" spans="1:11" s="225" customFormat="1">
      <c r="A287" s="208">
        <v>2811</v>
      </c>
      <c r="B287" s="208" t="s">
        <v>1355</v>
      </c>
      <c r="C287" s="221">
        <v>165.52199999999999</v>
      </c>
      <c r="D287" s="221">
        <v>5226.1949999999997</v>
      </c>
      <c r="E287" s="221">
        <v>2580.2409115</v>
      </c>
      <c r="F287" s="221">
        <v>916.88497935000009</v>
      </c>
      <c r="G287" s="221">
        <v>496.91152405000008</v>
      </c>
      <c r="H287" s="221">
        <v>3721.8102601000001</v>
      </c>
      <c r="I287" s="221">
        <v>1166.8220629299999</v>
      </c>
      <c r="J287" s="221">
        <v>909.96992139000008</v>
      </c>
      <c r="K287" s="221">
        <v>13065.122260389999</v>
      </c>
    </row>
    <row r="288" spans="1:11">
      <c r="A288" s="208"/>
      <c r="B288" s="208"/>
      <c r="C288" s="221"/>
      <c r="D288" s="221"/>
    </row>
    <row r="289" spans="1:11">
      <c r="A289" s="218">
        <v>3000</v>
      </c>
      <c r="B289" s="218" t="s">
        <v>1356</v>
      </c>
      <c r="C289" s="219">
        <v>56.451000000000001</v>
      </c>
      <c r="D289" s="219">
        <v>18015.803</v>
      </c>
      <c r="E289" s="219">
        <v>76519.098763149988</v>
      </c>
      <c r="F289" s="219">
        <v>101.81874248000001</v>
      </c>
      <c r="G289" s="219">
        <v>166.84705868</v>
      </c>
      <c r="H289" s="219">
        <v>23123.895850560002</v>
      </c>
      <c r="I289" s="219">
        <v>322.16467475000002</v>
      </c>
      <c r="J289" s="219">
        <v>20772.110457540002</v>
      </c>
      <c r="K289" s="219">
        <v>182.38214818000003</v>
      </c>
    </row>
    <row r="290" spans="1:11">
      <c r="A290" s="208"/>
      <c r="B290" s="208"/>
      <c r="C290" s="221"/>
      <c r="D290" s="221"/>
      <c r="E290" s="221"/>
      <c r="F290" s="225"/>
      <c r="G290" s="225"/>
      <c r="H290" s="225"/>
      <c r="I290" s="225"/>
      <c r="J290" s="225"/>
      <c r="K290" s="225"/>
    </row>
    <row r="291" spans="1:11">
      <c r="A291" s="208"/>
      <c r="B291" s="208"/>
      <c r="C291" s="221"/>
      <c r="D291" s="221"/>
      <c r="E291" s="221"/>
    </row>
    <row r="292" spans="1:11" s="225" customFormat="1">
      <c r="A292" s="218">
        <v>3100</v>
      </c>
      <c r="B292" s="218" t="s">
        <v>1357</v>
      </c>
      <c r="C292" s="219">
        <v>24.623000000000001</v>
      </c>
      <c r="D292" s="219">
        <v>20.251000000000001</v>
      </c>
      <c r="E292" s="219">
        <v>38.704999999999998</v>
      </c>
      <c r="F292" s="219">
        <v>23.277999999999999</v>
      </c>
      <c r="G292" s="219">
        <v>26.146000000000001</v>
      </c>
      <c r="H292" s="219">
        <v>33.844999999999999</v>
      </c>
      <c r="I292" s="219">
        <v>64.713978999999995</v>
      </c>
      <c r="J292" s="219">
        <v>70.581999999999994</v>
      </c>
      <c r="K292" s="219">
        <v>28.053000000000001</v>
      </c>
    </row>
    <row r="293" spans="1:11">
      <c r="A293" s="293">
        <v>3120</v>
      </c>
      <c r="B293" s="208" t="s">
        <v>362</v>
      </c>
      <c r="E293" s="219"/>
    </row>
    <row r="294" spans="1:11">
      <c r="A294" s="293"/>
      <c r="B294" s="208" t="s">
        <v>363</v>
      </c>
      <c r="C294" s="229">
        <v>24.623000000000001</v>
      </c>
      <c r="D294" s="229">
        <v>20.251000000000001</v>
      </c>
      <c r="E294" s="229">
        <v>38.704999999999998</v>
      </c>
      <c r="F294" s="229">
        <v>23.277999999999999</v>
      </c>
      <c r="G294" s="229">
        <v>26.146000000000001</v>
      </c>
      <c r="H294" s="229">
        <v>33.844999999999999</v>
      </c>
      <c r="I294" s="229">
        <v>64.713978999999995</v>
      </c>
      <c r="J294" s="229">
        <v>70.581999999999994</v>
      </c>
      <c r="K294" s="229">
        <v>28.053000000000001</v>
      </c>
    </row>
    <row r="295" spans="1:11" s="225" customFormat="1">
      <c r="A295" s="208">
        <v>3125</v>
      </c>
      <c r="B295" s="208" t="s">
        <v>1358</v>
      </c>
      <c r="C295" s="221">
        <v>24.623000000000001</v>
      </c>
      <c r="D295" s="221">
        <v>20.251000000000001</v>
      </c>
      <c r="E295" s="221">
        <v>38.704999999999998</v>
      </c>
      <c r="F295" s="221">
        <v>23.277999999999999</v>
      </c>
      <c r="G295" s="221">
        <v>26.146000000000001</v>
      </c>
      <c r="H295" s="221">
        <v>33.844999999999999</v>
      </c>
      <c r="I295" s="221">
        <v>64.713978999999995</v>
      </c>
      <c r="J295" s="221">
        <v>70.581999999999994</v>
      </c>
      <c r="K295" s="221">
        <v>28.053000000000001</v>
      </c>
    </row>
    <row r="296" spans="1:11">
      <c r="A296" s="208"/>
      <c r="B296" s="208"/>
      <c r="C296" s="221"/>
      <c r="D296" s="221"/>
      <c r="E296" s="219"/>
    </row>
    <row r="297" spans="1:11">
      <c r="A297" s="218">
        <v>3200</v>
      </c>
      <c r="B297" s="218" t="s">
        <v>1359</v>
      </c>
      <c r="C297" s="586" t="s">
        <v>1229</v>
      </c>
      <c r="D297" s="586" t="s">
        <v>1229</v>
      </c>
      <c r="E297" s="586" t="s">
        <v>1229</v>
      </c>
      <c r="F297" s="586" t="s">
        <v>1229</v>
      </c>
      <c r="G297" s="586" t="s">
        <v>1229</v>
      </c>
      <c r="H297" s="586" t="s">
        <v>1229</v>
      </c>
      <c r="I297" s="586" t="s">
        <v>1229</v>
      </c>
      <c r="J297" s="586" t="s">
        <v>1229</v>
      </c>
      <c r="K297" s="586" t="s">
        <v>1229</v>
      </c>
    </row>
    <row r="298" spans="1:11">
      <c r="A298" s="208">
        <v>3211</v>
      </c>
      <c r="B298" s="208" t="s">
        <v>1359</v>
      </c>
      <c r="C298" s="585" t="s">
        <v>1229</v>
      </c>
      <c r="D298" s="585" t="s">
        <v>1229</v>
      </c>
      <c r="E298" s="585" t="s">
        <v>1229</v>
      </c>
      <c r="F298" s="585" t="s">
        <v>1229</v>
      </c>
      <c r="G298" s="585" t="s">
        <v>1229</v>
      </c>
      <c r="H298" s="585" t="s">
        <v>1229</v>
      </c>
      <c r="I298" s="585" t="s">
        <v>1229</v>
      </c>
      <c r="J298" s="585" t="s">
        <v>1229</v>
      </c>
      <c r="K298" s="585" t="s">
        <v>1229</v>
      </c>
    </row>
    <row r="299" spans="1:11" s="225" customFormat="1">
      <c r="A299" s="208"/>
      <c r="B299" s="208"/>
      <c r="C299" s="221"/>
      <c r="D299" s="221"/>
      <c r="E299" s="221"/>
      <c r="F299" s="210"/>
      <c r="G299" s="210"/>
      <c r="H299" s="210"/>
      <c r="I299" s="210"/>
      <c r="J299" s="210"/>
      <c r="K299" s="210"/>
    </row>
    <row r="300" spans="1:11">
      <c r="A300" s="218">
        <v>3300</v>
      </c>
      <c r="B300" s="218" t="s">
        <v>1360</v>
      </c>
      <c r="C300" s="219">
        <v>31.827999999999999</v>
      </c>
      <c r="D300" s="219">
        <v>17995.550999999999</v>
      </c>
      <c r="E300" s="219">
        <v>76480.393763149987</v>
      </c>
      <c r="F300" s="219">
        <v>78.54074248000002</v>
      </c>
      <c r="G300" s="219">
        <v>140.70105868000002</v>
      </c>
      <c r="H300" s="219">
        <v>23090.050850560001</v>
      </c>
      <c r="I300" s="219">
        <v>257.45069575000002</v>
      </c>
      <c r="J300" s="219">
        <v>20701.52845754</v>
      </c>
      <c r="K300" s="219">
        <v>154.32914818</v>
      </c>
    </row>
    <row r="301" spans="1:11">
      <c r="A301" s="208">
        <v>3311</v>
      </c>
      <c r="B301" s="208" t="s">
        <v>1361</v>
      </c>
      <c r="C301" s="221">
        <v>0</v>
      </c>
      <c r="D301" s="221">
        <v>0</v>
      </c>
      <c r="E301" s="221">
        <v>0</v>
      </c>
      <c r="F301" s="221">
        <v>0</v>
      </c>
      <c r="G301" s="221">
        <v>0</v>
      </c>
      <c r="H301" s="221">
        <v>0</v>
      </c>
      <c r="I301" s="221"/>
      <c r="J301" s="221"/>
      <c r="K301" s="221">
        <v>0</v>
      </c>
    </row>
    <row r="302" spans="1:11" s="225" customFormat="1">
      <c r="A302" s="208">
        <v>3312</v>
      </c>
      <c r="B302" s="208" t="s">
        <v>1360</v>
      </c>
      <c r="C302" s="221">
        <v>31.827999999999999</v>
      </c>
      <c r="D302" s="221">
        <v>17995.550999999999</v>
      </c>
      <c r="E302" s="221">
        <v>76480.393763149987</v>
      </c>
      <c r="F302" s="221">
        <v>78.54074248000002</v>
      </c>
      <c r="G302" s="221">
        <v>140.70105868000002</v>
      </c>
      <c r="H302" s="221">
        <v>23090.050850560001</v>
      </c>
      <c r="I302" s="221">
        <v>257.45069575000002</v>
      </c>
      <c r="J302" s="221">
        <v>20701.52845754</v>
      </c>
      <c r="K302" s="221">
        <v>154.32914818</v>
      </c>
    </row>
    <row r="303" spans="1:11">
      <c r="A303" s="208"/>
      <c r="B303" s="208"/>
      <c r="C303" s="221"/>
      <c r="D303" s="221"/>
      <c r="E303" s="225"/>
    </row>
    <row r="304" spans="1:11">
      <c r="A304" s="218">
        <v>4000</v>
      </c>
      <c r="B304" s="218" t="s">
        <v>1362</v>
      </c>
      <c r="C304" s="219">
        <v>2143.9490000000001</v>
      </c>
      <c r="D304" s="219">
        <v>2046.0429999999999</v>
      </c>
      <c r="E304" s="219">
        <v>1881.0248586700002</v>
      </c>
      <c r="F304" s="219">
        <v>1736.32574662</v>
      </c>
      <c r="G304" s="219">
        <v>1687.1917476499998</v>
      </c>
      <c r="H304" s="219">
        <v>1452.3446371699999</v>
      </c>
      <c r="I304" s="219">
        <v>1322.34443689</v>
      </c>
      <c r="J304" s="219">
        <v>1105.04676045</v>
      </c>
      <c r="K304" s="219">
        <v>945.12521045999995</v>
      </c>
    </row>
    <row r="305" spans="1:11">
      <c r="A305" s="208"/>
      <c r="B305" s="208"/>
      <c r="C305" s="221"/>
      <c r="D305" s="221"/>
      <c r="E305" s="221"/>
    </row>
    <row r="306" spans="1:11">
      <c r="A306" s="208"/>
      <c r="B306" s="208"/>
      <c r="C306" s="221"/>
      <c r="D306" s="221"/>
      <c r="E306" s="221"/>
      <c r="F306" s="225"/>
      <c r="G306" s="225"/>
      <c r="H306" s="225"/>
      <c r="I306" s="225"/>
      <c r="J306" s="225"/>
      <c r="K306" s="225"/>
    </row>
    <row r="307" spans="1:11">
      <c r="A307" s="218">
        <v>4100</v>
      </c>
      <c r="B307" s="218" t="s">
        <v>1363</v>
      </c>
      <c r="C307" s="219">
        <v>55.023000000000003</v>
      </c>
      <c r="D307" s="219">
        <v>24.228999999999999</v>
      </c>
      <c r="E307" s="219">
        <v>13.861139059999999</v>
      </c>
      <c r="F307" s="219">
        <v>8.2914110000000001</v>
      </c>
      <c r="G307" s="219">
        <v>6.3502835199999987</v>
      </c>
      <c r="H307" s="219">
        <v>4.7073616199999995</v>
      </c>
      <c r="I307" s="219">
        <v>2.13177306</v>
      </c>
      <c r="J307" s="219">
        <v>2.4711564300000002</v>
      </c>
      <c r="K307" s="219">
        <v>0.82307870000000005</v>
      </c>
    </row>
    <row r="308" spans="1:11">
      <c r="A308" s="293">
        <v>4120</v>
      </c>
      <c r="B308" s="208" t="s">
        <v>1072</v>
      </c>
      <c r="C308" s="229">
        <v>10.323</v>
      </c>
      <c r="D308" s="229">
        <v>9.1180000000000003</v>
      </c>
      <c r="E308" s="229">
        <v>5.8462380000000005</v>
      </c>
      <c r="F308" s="229">
        <v>4.0619050000000003</v>
      </c>
      <c r="G308" s="229">
        <v>2.5986349999999998</v>
      </c>
      <c r="H308" s="229">
        <v>2.9199399999999995</v>
      </c>
      <c r="I308" s="229">
        <v>0.91210000000000002</v>
      </c>
      <c r="J308" s="229">
        <v>0.67893100000000006</v>
      </c>
      <c r="K308" s="229">
        <v>0.4738</v>
      </c>
    </row>
    <row r="309" spans="1:11">
      <c r="A309" s="208">
        <v>4123</v>
      </c>
      <c r="B309" s="208" t="s">
        <v>1364</v>
      </c>
      <c r="C309" s="221">
        <v>10.323</v>
      </c>
      <c r="D309" s="221">
        <v>9.1180000000000003</v>
      </c>
      <c r="E309" s="221">
        <v>5.8462380000000005</v>
      </c>
      <c r="F309" s="221">
        <v>4.0619050000000003</v>
      </c>
      <c r="G309" s="221">
        <v>2.5986349999999998</v>
      </c>
      <c r="H309" s="221">
        <v>2.9199399999999995</v>
      </c>
      <c r="I309" s="221">
        <v>0.91210000000000002</v>
      </c>
      <c r="J309" s="221">
        <v>0.67893100000000006</v>
      </c>
      <c r="K309" s="221">
        <v>0.4738</v>
      </c>
    </row>
    <row r="310" spans="1:11">
      <c r="A310" s="293">
        <v>4130</v>
      </c>
      <c r="B310" s="208" t="s">
        <v>1073</v>
      </c>
      <c r="C310" s="229">
        <v>44.7</v>
      </c>
      <c r="D310" s="229">
        <v>15.111000000000001</v>
      </c>
      <c r="E310" s="229">
        <v>8.0149010599999997</v>
      </c>
      <c r="F310" s="229">
        <v>4.2295059999999998</v>
      </c>
      <c r="G310" s="229">
        <v>3.7516485199999998</v>
      </c>
      <c r="H310" s="229">
        <v>1.7874216200000002</v>
      </c>
      <c r="I310" s="229">
        <v>1.2196730600000001</v>
      </c>
      <c r="J310" s="229">
        <v>1.79222543</v>
      </c>
      <c r="K310" s="229">
        <v>0.3492787</v>
      </c>
    </row>
    <row r="311" spans="1:11">
      <c r="A311" s="208">
        <v>4131</v>
      </c>
      <c r="B311" s="208" t="s">
        <v>1365</v>
      </c>
      <c r="C311" s="221">
        <v>3.5000000000000003E-2</v>
      </c>
      <c r="D311" s="221">
        <v>3.6999999999999998E-2</v>
      </c>
      <c r="E311" s="221">
        <v>0</v>
      </c>
      <c r="F311" s="221">
        <v>0</v>
      </c>
      <c r="G311" s="221">
        <v>0</v>
      </c>
      <c r="H311" s="221">
        <v>0</v>
      </c>
      <c r="I311" s="221">
        <v>0</v>
      </c>
      <c r="J311" s="221">
        <v>0</v>
      </c>
      <c r="K311" s="221">
        <v>0</v>
      </c>
    </row>
    <row r="312" spans="1:11">
      <c r="A312" s="208">
        <v>4132</v>
      </c>
      <c r="B312" s="208" t="s">
        <v>1366</v>
      </c>
      <c r="C312" s="221">
        <v>4.9489999999999998</v>
      </c>
      <c r="D312" s="221">
        <v>0.97799999999999998</v>
      </c>
      <c r="E312" s="221">
        <v>0.33820800000000001</v>
      </c>
      <c r="F312" s="221">
        <v>0</v>
      </c>
      <c r="G312" s="221">
        <v>0</v>
      </c>
      <c r="H312" s="221">
        <v>0</v>
      </c>
      <c r="I312" s="221"/>
      <c r="J312" s="221"/>
      <c r="K312" s="221">
        <v>0</v>
      </c>
    </row>
    <row r="313" spans="1:11" s="225" customFormat="1">
      <c r="A313" s="208">
        <v>4136</v>
      </c>
      <c r="B313" s="208" t="s">
        <v>1367</v>
      </c>
      <c r="C313" s="221">
        <v>0.94699999999999995</v>
      </c>
      <c r="D313" s="221">
        <v>1.085</v>
      </c>
      <c r="E313" s="221">
        <v>0.83893200000000001</v>
      </c>
      <c r="F313" s="221">
        <v>0.62955499999999998</v>
      </c>
      <c r="G313" s="221">
        <v>0.40963152000000003</v>
      </c>
      <c r="H313" s="221">
        <v>0.19692595999999998</v>
      </c>
      <c r="I313" s="221">
        <v>0.16683506000000001</v>
      </c>
      <c r="J313" s="221">
        <v>3.8065429999999997E-2</v>
      </c>
      <c r="K313" s="221">
        <v>6.8865700000000002E-2</v>
      </c>
    </row>
    <row r="314" spans="1:11">
      <c r="A314" s="208">
        <v>4137</v>
      </c>
      <c r="B314" s="208" t="s">
        <v>1074</v>
      </c>
      <c r="C314" s="221">
        <v>0.45800000000000002</v>
      </c>
      <c r="D314" s="221">
        <v>1.379</v>
      </c>
      <c r="E314" s="221">
        <v>0.79352156000000007</v>
      </c>
      <c r="F314" s="221">
        <v>1.390091</v>
      </c>
      <c r="G314" s="221">
        <v>2.1572119999999999</v>
      </c>
      <c r="H314" s="221">
        <v>0.67526965999999999</v>
      </c>
      <c r="I314" s="221">
        <v>0.403169</v>
      </c>
      <c r="J314" s="221">
        <v>1.020391</v>
      </c>
      <c r="K314" s="221">
        <v>-1.7303000000000002E-2</v>
      </c>
    </row>
    <row r="315" spans="1:11">
      <c r="A315" s="208">
        <v>4138</v>
      </c>
      <c r="B315" s="208" t="s">
        <v>1368</v>
      </c>
      <c r="C315" s="585" t="s">
        <v>1229</v>
      </c>
      <c r="D315" s="585" t="s">
        <v>1229</v>
      </c>
      <c r="E315" s="585" t="s">
        <v>1229</v>
      </c>
      <c r="F315" s="585" t="s">
        <v>1229</v>
      </c>
      <c r="G315" s="585" t="s">
        <v>1229</v>
      </c>
      <c r="H315" s="585" t="s">
        <v>1229</v>
      </c>
      <c r="I315" s="585" t="s">
        <v>1229</v>
      </c>
      <c r="J315" s="585" t="s">
        <v>1229</v>
      </c>
      <c r="K315" s="585" t="s">
        <v>1229</v>
      </c>
    </row>
    <row r="316" spans="1:11">
      <c r="A316" s="208">
        <v>4139</v>
      </c>
      <c r="B316" s="208" t="s">
        <v>1369</v>
      </c>
      <c r="C316" s="221">
        <v>38.31</v>
      </c>
      <c r="D316" s="221">
        <v>11.631</v>
      </c>
      <c r="E316" s="221">
        <v>6.0442394999999998</v>
      </c>
      <c r="F316" s="221">
        <v>2.2098599999999999</v>
      </c>
      <c r="G316" s="221">
        <v>1.1848050000000001</v>
      </c>
      <c r="H316" s="221">
        <v>0.91522599999999998</v>
      </c>
      <c r="I316" s="221">
        <v>0.64966899999999994</v>
      </c>
      <c r="J316" s="221">
        <v>0.733769</v>
      </c>
      <c r="K316" s="221">
        <v>0.29771599999999998</v>
      </c>
    </row>
    <row r="317" spans="1:11">
      <c r="A317" s="208"/>
      <c r="B317" s="208"/>
      <c r="C317" s="221"/>
      <c r="D317" s="221"/>
      <c r="E317" s="221"/>
    </row>
    <row r="318" spans="1:11" s="225" customFormat="1">
      <c r="A318" s="218">
        <v>4300</v>
      </c>
      <c r="B318" s="218" t="s">
        <v>1370</v>
      </c>
      <c r="C318" s="219">
        <v>1984.8409999999999</v>
      </c>
      <c r="D318" s="219">
        <v>1907.3789999999999</v>
      </c>
      <c r="E318" s="219">
        <v>1774.298552</v>
      </c>
      <c r="F318" s="219">
        <v>1674.338679</v>
      </c>
      <c r="G318" s="219">
        <v>1602.3003029999998</v>
      </c>
      <c r="H318" s="219">
        <v>1401.8093199999998</v>
      </c>
      <c r="I318" s="219">
        <v>1180.46175948</v>
      </c>
      <c r="J318" s="219">
        <v>968.01367075000007</v>
      </c>
      <c r="K318" s="219">
        <v>817.62704871000005</v>
      </c>
    </row>
    <row r="319" spans="1:11">
      <c r="A319" s="208">
        <v>4311</v>
      </c>
      <c r="B319" s="208" t="s">
        <v>1371</v>
      </c>
      <c r="C319" s="221">
        <v>4.0000000000000001E-3</v>
      </c>
      <c r="D319" s="221">
        <v>0.01</v>
      </c>
      <c r="E319" s="221">
        <v>1.5731999999999999E-2</v>
      </c>
      <c r="F319" s="221">
        <v>9.2359999999999994E-3</v>
      </c>
      <c r="G319" s="221">
        <v>2.1670000000000001E-3</v>
      </c>
      <c r="H319" s="221">
        <v>0</v>
      </c>
      <c r="I319" s="221"/>
      <c r="J319" s="221"/>
      <c r="K319" s="221">
        <v>0</v>
      </c>
    </row>
    <row r="320" spans="1:11">
      <c r="A320" s="208">
        <v>4312</v>
      </c>
      <c r="B320" s="208" t="s">
        <v>1372</v>
      </c>
      <c r="C320" s="221">
        <v>0.53400000000000003</v>
      </c>
      <c r="D320" s="221">
        <v>0.66500000000000004</v>
      </c>
      <c r="E320" s="221">
        <v>0.47881699999999994</v>
      </c>
      <c r="F320" s="221">
        <v>0.43511400000000006</v>
      </c>
      <c r="G320" s="221">
        <v>0.26646299999999995</v>
      </c>
      <c r="H320" s="221">
        <v>0.203322</v>
      </c>
      <c r="I320" s="221">
        <v>0.12526499999999999</v>
      </c>
      <c r="J320" s="221">
        <v>0.101659</v>
      </c>
      <c r="K320" s="221">
        <v>5.1470000000000002E-2</v>
      </c>
    </row>
    <row r="321" spans="1:11">
      <c r="A321" s="208">
        <v>4313</v>
      </c>
      <c r="B321" s="208" t="s">
        <v>1373</v>
      </c>
      <c r="C321" s="221">
        <v>1984.3030000000001</v>
      </c>
      <c r="D321" s="221">
        <v>1906.703</v>
      </c>
      <c r="E321" s="221">
        <v>1773.804003</v>
      </c>
      <c r="F321" s="221">
        <v>1673.894329</v>
      </c>
      <c r="G321" s="221">
        <v>1602.031673</v>
      </c>
      <c r="H321" s="221">
        <v>1401.605998</v>
      </c>
      <c r="I321" s="221">
        <v>1180.3364944800001</v>
      </c>
      <c r="J321" s="221">
        <v>967.91201174999992</v>
      </c>
      <c r="K321" s="221">
        <v>817.57557871000006</v>
      </c>
    </row>
    <row r="322" spans="1:11">
      <c r="A322" s="208"/>
      <c r="B322" s="208"/>
      <c r="C322" s="221"/>
      <c r="D322" s="221"/>
      <c r="E322" s="219"/>
    </row>
    <row r="323" spans="1:11" s="225" customFormat="1">
      <c r="A323" s="218">
        <v>4500</v>
      </c>
      <c r="B323" s="218" t="s">
        <v>1374</v>
      </c>
      <c r="C323" s="219">
        <v>104.08499999999999</v>
      </c>
      <c r="D323" s="219">
        <v>114.43600000000001</v>
      </c>
      <c r="E323" s="219">
        <v>92.86516761</v>
      </c>
      <c r="F323" s="219">
        <v>53.695656620000001</v>
      </c>
      <c r="G323" s="219">
        <v>78.541161129999992</v>
      </c>
      <c r="H323" s="219">
        <v>45.827955549999999</v>
      </c>
      <c r="I323" s="219">
        <v>139.75090434999998</v>
      </c>
      <c r="J323" s="219">
        <v>134.56193327</v>
      </c>
      <c r="K323" s="219">
        <v>126.67508305</v>
      </c>
    </row>
    <row r="324" spans="1:11">
      <c r="A324" s="208">
        <v>4516</v>
      </c>
      <c r="B324" s="208" t="s">
        <v>1375</v>
      </c>
      <c r="C324" s="221">
        <v>1.6E-2</v>
      </c>
      <c r="D324" s="221">
        <v>1.4999999999999999E-2</v>
      </c>
      <c r="E324" s="221">
        <v>1.8200000000000001E-2</v>
      </c>
      <c r="F324" s="221">
        <v>6.0000000000000001E-3</v>
      </c>
      <c r="G324" s="221">
        <v>3.1503100000000003E-3</v>
      </c>
      <c r="H324" s="221">
        <v>0</v>
      </c>
      <c r="I324" s="221">
        <v>0</v>
      </c>
      <c r="J324" s="221">
        <v>0</v>
      </c>
      <c r="K324" s="221">
        <v>0</v>
      </c>
    </row>
    <row r="325" spans="1:11">
      <c r="A325" s="208">
        <v>4525</v>
      </c>
      <c r="B325" s="208" t="s">
        <v>1376</v>
      </c>
      <c r="C325" s="221">
        <v>65.679000000000002</v>
      </c>
      <c r="D325" s="221">
        <v>65.069000000000003</v>
      </c>
      <c r="E325" s="221">
        <v>32.785462539999997</v>
      </c>
      <c r="F325" s="221">
        <v>25.348346750000001</v>
      </c>
      <c r="G325" s="221">
        <v>1.1339284999999999</v>
      </c>
      <c r="H325" s="221">
        <v>0.26887149999999999</v>
      </c>
      <c r="I325" s="221">
        <v>0</v>
      </c>
      <c r="J325" s="221">
        <v>0.7684626</v>
      </c>
      <c r="K325" s="221">
        <v>1.1698681299999998</v>
      </c>
    </row>
    <row r="326" spans="1:11" s="225" customFormat="1">
      <c r="A326" s="208">
        <v>4526</v>
      </c>
      <c r="B326" s="208" t="s">
        <v>1374</v>
      </c>
      <c r="C326" s="221">
        <v>38.390999999999998</v>
      </c>
      <c r="D326" s="221">
        <v>49.351999999999997</v>
      </c>
      <c r="E326" s="221">
        <v>60.061505070000003</v>
      </c>
      <c r="F326" s="221">
        <v>28.34130987</v>
      </c>
      <c r="G326" s="221">
        <v>77.404082319999986</v>
      </c>
      <c r="H326" s="221">
        <v>45.559084049999996</v>
      </c>
      <c r="I326" s="221">
        <v>139.75090434999998</v>
      </c>
      <c r="J326" s="221">
        <v>133.79347067</v>
      </c>
      <c r="K326" s="221">
        <v>125.50521492</v>
      </c>
    </row>
    <row r="327" spans="1:11">
      <c r="A327" s="208"/>
      <c r="B327" s="208"/>
      <c r="C327" s="221"/>
      <c r="D327" s="221"/>
    </row>
    <row r="328" spans="1:11">
      <c r="A328" s="218">
        <v>5000</v>
      </c>
      <c r="B328" s="218" t="s">
        <v>1377</v>
      </c>
      <c r="C328" s="219">
        <v>7762.759</v>
      </c>
      <c r="D328" s="219">
        <v>8173.6170000000002</v>
      </c>
      <c r="E328" s="219">
        <v>8700.2944312800009</v>
      </c>
      <c r="F328" s="219">
        <v>8912.0695590100004</v>
      </c>
      <c r="G328" s="219">
        <v>8940.310904269998</v>
      </c>
      <c r="H328" s="219">
        <v>11085.764927369999</v>
      </c>
      <c r="I328" s="219">
        <v>9717.1099445399996</v>
      </c>
      <c r="J328" s="219">
        <v>9938.1860300999997</v>
      </c>
      <c r="K328" s="219">
        <v>9867.5342732400022</v>
      </c>
    </row>
    <row r="329" spans="1:11">
      <c r="A329" s="208"/>
      <c r="B329" s="208"/>
      <c r="C329" s="221"/>
      <c r="D329" s="221"/>
      <c r="E329" s="221"/>
    </row>
    <row r="330" spans="1:11">
      <c r="A330" s="208"/>
      <c r="B330" s="208"/>
      <c r="C330" s="221"/>
      <c r="D330" s="221"/>
      <c r="E330" s="221"/>
    </row>
    <row r="331" spans="1:11">
      <c r="A331" s="218">
        <v>5100</v>
      </c>
      <c r="B331" s="218" t="s">
        <v>29</v>
      </c>
      <c r="C331" s="219">
        <v>522.12599999999998</v>
      </c>
      <c r="D331" s="219">
        <v>567.36800000000005</v>
      </c>
      <c r="E331" s="219">
        <v>512.01535699999999</v>
      </c>
      <c r="F331" s="219">
        <v>537.27711599999998</v>
      </c>
      <c r="G331" s="219">
        <v>550.17938944000002</v>
      </c>
      <c r="H331" s="219">
        <v>551.74544151999999</v>
      </c>
      <c r="I331" s="219">
        <v>525.80819950999989</v>
      </c>
      <c r="J331" s="219">
        <v>533.75655010000003</v>
      </c>
      <c r="K331" s="219">
        <v>540.50915728999985</v>
      </c>
    </row>
    <row r="332" spans="1:11">
      <c r="A332" s="293">
        <v>5120</v>
      </c>
      <c r="B332" s="208" t="s">
        <v>1075</v>
      </c>
      <c r="C332" s="229">
        <v>517.87</v>
      </c>
      <c r="D332" s="229">
        <v>567.36800000000005</v>
      </c>
      <c r="E332" s="229">
        <v>512.01535699999999</v>
      </c>
      <c r="F332" s="229">
        <v>537.27711599999998</v>
      </c>
      <c r="G332" s="229">
        <v>550.17938944000002</v>
      </c>
      <c r="H332" s="229">
        <v>551.74544151999999</v>
      </c>
      <c r="I332" s="229">
        <v>525.80819950999989</v>
      </c>
      <c r="J332" s="229">
        <v>533.75655010000003</v>
      </c>
      <c r="K332" s="229">
        <v>540.50915728999985</v>
      </c>
    </row>
    <row r="333" spans="1:11">
      <c r="A333" s="208">
        <v>5121</v>
      </c>
      <c r="B333" s="208" t="s">
        <v>30</v>
      </c>
      <c r="C333" s="221">
        <v>517.87</v>
      </c>
      <c r="D333" s="221">
        <v>567.36800000000005</v>
      </c>
      <c r="E333" s="221">
        <v>512.01535699999999</v>
      </c>
      <c r="F333" s="221">
        <v>537.27711599999998</v>
      </c>
      <c r="G333" s="221">
        <v>550.17938944000002</v>
      </c>
      <c r="H333" s="221">
        <v>551.74544151999999</v>
      </c>
      <c r="I333" s="221">
        <v>525.80819950999989</v>
      </c>
      <c r="J333" s="221">
        <v>533.75655010000003</v>
      </c>
      <c r="K333" s="221">
        <v>540.50915728999985</v>
      </c>
    </row>
    <row r="334" spans="1:11">
      <c r="A334" s="208">
        <v>5130</v>
      </c>
      <c r="B334" s="208" t="s">
        <v>1076</v>
      </c>
      <c r="C334" s="221">
        <v>4.2560000000000002</v>
      </c>
      <c r="D334" s="585" t="s">
        <v>1229</v>
      </c>
      <c r="E334" s="585" t="s">
        <v>1229</v>
      </c>
      <c r="F334" s="585" t="s">
        <v>1229</v>
      </c>
      <c r="G334" s="585" t="s">
        <v>1229</v>
      </c>
      <c r="H334" s="585" t="s">
        <v>1229</v>
      </c>
      <c r="I334" s="585" t="s">
        <v>1229</v>
      </c>
      <c r="J334" s="585" t="s">
        <v>1229</v>
      </c>
      <c r="K334" s="585" t="s">
        <v>1229</v>
      </c>
    </row>
    <row r="335" spans="1:11" s="225" customFormat="1">
      <c r="A335" s="208">
        <v>5131</v>
      </c>
      <c r="B335" s="208" t="s">
        <v>810</v>
      </c>
      <c r="C335" s="221">
        <v>4.2560000000000002</v>
      </c>
      <c r="D335" s="585" t="s">
        <v>1229</v>
      </c>
      <c r="E335" s="585" t="s">
        <v>1229</v>
      </c>
      <c r="F335" s="585" t="s">
        <v>1229</v>
      </c>
      <c r="G335" s="585" t="s">
        <v>1229</v>
      </c>
      <c r="H335" s="585" t="s">
        <v>1229</v>
      </c>
      <c r="I335" s="585" t="s">
        <v>1229</v>
      </c>
      <c r="J335" s="585" t="s">
        <v>1229</v>
      </c>
      <c r="K335" s="585" t="s">
        <v>1229</v>
      </c>
    </row>
    <row r="336" spans="1:11">
      <c r="A336" s="208"/>
      <c r="B336" s="208"/>
      <c r="C336" s="221"/>
      <c r="D336" s="221"/>
      <c r="E336" s="219"/>
    </row>
    <row r="337" spans="1:11" s="225" customFormat="1">
      <c r="A337" s="218">
        <v>5200</v>
      </c>
      <c r="B337" s="218" t="s">
        <v>811</v>
      </c>
      <c r="C337" s="219">
        <v>7240.6319999999996</v>
      </c>
      <c r="D337" s="219">
        <v>7606.2489999999998</v>
      </c>
      <c r="E337" s="219">
        <v>8188.2790742799998</v>
      </c>
      <c r="F337" s="219">
        <v>8374.7924430100011</v>
      </c>
      <c r="G337" s="219">
        <v>8390.1315148299982</v>
      </c>
      <c r="H337" s="219">
        <v>10534.019485849998</v>
      </c>
      <c r="I337" s="219">
        <v>9191.3017450300013</v>
      </c>
      <c r="J337" s="219">
        <v>9404.4294800000007</v>
      </c>
      <c r="K337" s="219">
        <v>9327.0251159500021</v>
      </c>
    </row>
    <row r="338" spans="1:11" s="225" customFormat="1">
      <c r="A338" s="208">
        <v>5211</v>
      </c>
      <c r="B338" s="208" t="s">
        <v>811</v>
      </c>
      <c r="C338" s="221">
        <v>7240.6319999999996</v>
      </c>
      <c r="D338" s="221">
        <v>7606.2489999999998</v>
      </c>
      <c r="E338" s="221">
        <v>8188.2790742799998</v>
      </c>
      <c r="F338" s="221">
        <v>8374.7924430100011</v>
      </c>
      <c r="G338" s="221">
        <v>8390.1315148299982</v>
      </c>
      <c r="H338" s="221">
        <v>10534.019485849998</v>
      </c>
      <c r="I338" s="221">
        <v>9191.3017450300013</v>
      </c>
      <c r="J338" s="221">
        <v>9404.4294800000007</v>
      </c>
      <c r="K338" s="221">
        <v>9327.0251159500021</v>
      </c>
    </row>
    <row r="339" spans="1:11">
      <c r="A339" s="208"/>
      <c r="B339" s="208"/>
      <c r="C339" s="221"/>
      <c r="D339" s="221"/>
    </row>
    <row r="340" spans="1:11">
      <c r="A340" s="218">
        <v>6000</v>
      </c>
      <c r="B340" s="218" t="s">
        <v>812</v>
      </c>
      <c r="C340" s="219">
        <v>12440.927</v>
      </c>
      <c r="D340" s="219">
        <v>13036.657999999999</v>
      </c>
      <c r="E340" s="219">
        <v>11035.53906809</v>
      </c>
      <c r="F340" s="219">
        <v>11682.320274669999</v>
      </c>
      <c r="G340" s="219">
        <v>12977.699934669999</v>
      </c>
      <c r="H340" s="219">
        <v>12328.127090060001</v>
      </c>
      <c r="I340" s="219">
        <v>9781.9058185899994</v>
      </c>
      <c r="J340" s="219">
        <v>10265.016151289999</v>
      </c>
      <c r="K340" s="219">
        <v>11863.594470529999</v>
      </c>
    </row>
    <row r="341" spans="1:11">
      <c r="A341" s="218"/>
      <c r="B341" s="218"/>
      <c r="C341" s="219"/>
      <c r="D341" s="219"/>
      <c r="E341" s="219"/>
    </row>
    <row r="342" spans="1:11">
      <c r="A342" s="208"/>
      <c r="B342" s="208"/>
      <c r="C342" s="221"/>
      <c r="D342" s="221"/>
      <c r="E342" s="221"/>
    </row>
    <row r="343" spans="1:11">
      <c r="A343" s="218">
        <v>6100</v>
      </c>
      <c r="B343" s="218" t="s">
        <v>1591</v>
      </c>
      <c r="C343" s="219">
        <v>8889.7559999999994</v>
      </c>
      <c r="D343" s="219">
        <v>9841.4779999999992</v>
      </c>
      <c r="E343" s="219">
        <v>8994.0201151700003</v>
      </c>
      <c r="F343" s="219">
        <v>9191.211501830001</v>
      </c>
      <c r="G343" s="219">
        <v>10229.53126125</v>
      </c>
      <c r="H343" s="219">
        <v>8671.2212936699998</v>
      </c>
      <c r="I343" s="219">
        <v>8459.23115263</v>
      </c>
      <c r="J343" s="219">
        <v>7452.6973214</v>
      </c>
      <c r="K343" s="219">
        <v>8110.2087213200002</v>
      </c>
    </row>
    <row r="344" spans="1:11">
      <c r="A344" s="293">
        <v>6110</v>
      </c>
      <c r="B344" s="293" t="s">
        <v>1594</v>
      </c>
      <c r="C344" s="229">
        <v>8691.56</v>
      </c>
      <c r="D344" s="229">
        <v>9572.43</v>
      </c>
      <c r="E344" s="229">
        <v>8870.9481468600006</v>
      </c>
      <c r="F344" s="229">
        <v>9181.7551106899991</v>
      </c>
      <c r="G344" s="229">
        <v>10229.53126125</v>
      </c>
      <c r="H344" s="229">
        <v>6170.0994695199997</v>
      </c>
      <c r="I344" s="229">
        <v>5895.3403184999997</v>
      </c>
      <c r="J344" s="229">
        <v>5850.4905915599993</v>
      </c>
      <c r="K344" s="229">
        <v>6164.8796999900005</v>
      </c>
    </row>
    <row r="345" spans="1:11">
      <c r="A345" s="208">
        <v>6111</v>
      </c>
      <c r="B345" s="208" t="s">
        <v>813</v>
      </c>
      <c r="C345" s="221">
        <v>5468.9790000000003</v>
      </c>
      <c r="D345" s="221">
        <v>5689.116</v>
      </c>
      <c r="E345" s="221">
        <v>6276.2071575199998</v>
      </c>
      <c r="F345" s="221">
        <v>6663.3066878899999</v>
      </c>
      <c r="G345" s="221">
        <v>6826.5360324200001</v>
      </c>
      <c r="H345" s="221">
        <v>6028.5244928699994</v>
      </c>
      <c r="I345" s="221">
        <v>5608.4207723600002</v>
      </c>
      <c r="J345" s="221">
        <v>5670.6366238399996</v>
      </c>
      <c r="K345" s="221">
        <v>5859.4301620200004</v>
      </c>
    </row>
    <row r="346" spans="1:11">
      <c r="A346" s="208">
        <v>6112</v>
      </c>
      <c r="B346" s="208" t="s">
        <v>814</v>
      </c>
      <c r="C346" s="221">
        <v>1.8380000000000001</v>
      </c>
      <c r="D346" s="221">
        <v>-4.2999999999999997E-2</v>
      </c>
      <c r="E346" s="221">
        <v>-1.205231E-2</v>
      </c>
      <c r="F346" s="585" t="s">
        <v>1229</v>
      </c>
      <c r="G346" s="585" t="s">
        <v>1229</v>
      </c>
      <c r="H346" s="585" t="s">
        <v>1229</v>
      </c>
      <c r="I346" s="585" t="s">
        <v>1229</v>
      </c>
      <c r="J346" s="585" t="s">
        <v>1229</v>
      </c>
      <c r="K346" s="585" t="s">
        <v>1229</v>
      </c>
    </row>
    <row r="347" spans="1:11">
      <c r="A347" s="208">
        <v>6113</v>
      </c>
      <c r="B347" s="208" t="s">
        <v>815</v>
      </c>
      <c r="C347" s="221">
        <v>162.34399999999999</v>
      </c>
      <c r="D347" s="221">
        <v>131.654</v>
      </c>
      <c r="E347" s="221">
        <v>126.05903848999999</v>
      </c>
      <c r="F347" s="221">
        <v>166.60782977000002</v>
      </c>
      <c r="G347" s="221">
        <v>217.15968315000001</v>
      </c>
      <c r="H347" s="221">
        <v>134.79685325999998</v>
      </c>
      <c r="I347" s="221">
        <v>150.56565255000001</v>
      </c>
      <c r="J347" s="221">
        <v>98.01899177</v>
      </c>
      <c r="K347" s="221">
        <v>124.13801932000001</v>
      </c>
    </row>
    <row r="348" spans="1:11">
      <c r="A348" s="208">
        <v>6114</v>
      </c>
      <c r="B348" s="208" t="s">
        <v>816</v>
      </c>
      <c r="C348" s="221">
        <v>599.54600000000005</v>
      </c>
      <c r="D348" s="221">
        <v>249.38800000000001</v>
      </c>
      <c r="E348" s="221">
        <v>105.81719967000001</v>
      </c>
      <c r="F348" s="221">
        <v>210.08966674999996</v>
      </c>
      <c r="G348" s="221">
        <v>55.866145090000003</v>
      </c>
      <c r="H348" s="221">
        <v>0.91914594999999999</v>
      </c>
      <c r="I348" s="221">
        <v>0.57007744999999999</v>
      </c>
      <c r="J348" s="221">
        <v>5.0104999999999995E-4</v>
      </c>
      <c r="K348" s="585" t="s">
        <v>1229</v>
      </c>
    </row>
    <row r="349" spans="1:11">
      <c r="A349" s="208">
        <v>6115</v>
      </c>
      <c r="B349" s="208" t="s">
        <v>817</v>
      </c>
      <c r="C349" s="221">
        <v>736.90300000000002</v>
      </c>
      <c r="D349" s="221">
        <v>1034.7950000000001</v>
      </c>
      <c r="E349" s="221">
        <v>324.58969934999999</v>
      </c>
      <c r="F349" s="221">
        <v>308.9915808500001</v>
      </c>
      <c r="G349" s="221">
        <v>346.99962829000003</v>
      </c>
      <c r="H349" s="221">
        <v>306.59993889999998</v>
      </c>
      <c r="I349" s="221">
        <v>312.07148629</v>
      </c>
      <c r="J349" s="221">
        <v>-8.5467009999999996E-2</v>
      </c>
      <c r="K349" s="221">
        <v>-7.4000899999999998E-3</v>
      </c>
    </row>
    <row r="350" spans="1:11">
      <c r="A350" s="208">
        <v>6116</v>
      </c>
      <c r="B350" s="208" t="s">
        <v>818</v>
      </c>
      <c r="C350" s="221">
        <v>71.870999999999995</v>
      </c>
      <c r="D350" s="221">
        <v>-81.891000000000005</v>
      </c>
      <c r="E350" s="221">
        <v>20.393999960000002</v>
      </c>
      <c r="F350" s="221">
        <v>6.74412637</v>
      </c>
      <c r="G350" s="221">
        <v>107.24365197</v>
      </c>
      <c r="H350" s="221">
        <v>-75.204898220000018</v>
      </c>
      <c r="I350" s="585" t="s">
        <v>1229</v>
      </c>
      <c r="J350" s="585" t="s">
        <v>1229</v>
      </c>
      <c r="K350" s="585" t="s">
        <v>1229</v>
      </c>
    </row>
    <row r="351" spans="1:11">
      <c r="A351" s="208">
        <v>6117</v>
      </c>
      <c r="B351" s="208" t="s">
        <v>364</v>
      </c>
      <c r="E351" s="221"/>
      <c r="F351" s="221"/>
      <c r="G351" s="221"/>
      <c r="H351" s="221"/>
      <c r="I351" s="221"/>
      <c r="J351" s="221"/>
      <c r="K351" s="221">
        <v>0</v>
      </c>
    </row>
    <row r="352" spans="1:11">
      <c r="A352" s="208"/>
      <c r="B352" s="208" t="s">
        <v>365</v>
      </c>
      <c r="C352" s="221">
        <v>1531.0219999999999</v>
      </c>
      <c r="D352" s="221">
        <v>-16.965</v>
      </c>
      <c r="E352" s="221">
        <v>-5.1208592800000003</v>
      </c>
      <c r="F352" s="221">
        <v>-2.9745955099999994</v>
      </c>
      <c r="G352" s="221">
        <v>-1.67277528</v>
      </c>
      <c r="H352" s="221">
        <v>0</v>
      </c>
      <c r="I352" s="585" t="s">
        <v>1229</v>
      </c>
      <c r="J352" s="585" t="s">
        <v>1229</v>
      </c>
      <c r="K352" s="585" t="s">
        <v>1229</v>
      </c>
    </row>
    <row r="353" spans="1:11" ht="12.75" customHeight="1">
      <c r="A353" s="208">
        <v>6118</v>
      </c>
      <c r="B353" s="208" t="s">
        <v>1132</v>
      </c>
      <c r="C353" s="221">
        <v>0</v>
      </c>
      <c r="D353" s="221">
        <v>2685.6179999999999</v>
      </c>
      <c r="E353" s="221">
        <v>1806.59248086</v>
      </c>
      <c r="F353" s="221">
        <v>1106.3892191099999</v>
      </c>
      <c r="G353" s="221">
        <v>2884.19138045</v>
      </c>
      <c r="H353" s="585" t="s">
        <v>1229</v>
      </c>
      <c r="I353" s="585" t="s">
        <v>1229</v>
      </c>
      <c r="J353" s="585" t="s">
        <v>1229</v>
      </c>
      <c r="K353" s="585" t="s">
        <v>1229</v>
      </c>
    </row>
    <row r="354" spans="1:11">
      <c r="A354" s="208">
        <v>6119</v>
      </c>
      <c r="B354" s="208" t="s">
        <v>1595</v>
      </c>
      <c r="C354" s="221">
        <v>119.05800000000001</v>
      </c>
      <c r="D354" s="221">
        <v>-119.24299999999999</v>
      </c>
      <c r="E354" s="221">
        <v>216.42148260000002</v>
      </c>
      <c r="F354" s="221">
        <v>722.60059546000002</v>
      </c>
      <c r="G354" s="221">
        <v>-206.79248484000001</v>
      </c>
      <c r="H354" s="221">
        <v>-225.53606323999998</v>
      </c>
      <c r="I354" s="221">
        <v>-238.97868122</v>
      </c>
      <c r="J354" s="221">
        <v>73.553594400000009</v>
      </c>
      <c r="K354" s="221">
        <v>181.31891873999999</v>
      </c>
    </row>
    <row r="355" spans="1:11" ht="12.75" customHeight="1">
      <c r="A355" s="293">
        <v>6120</v>
      </c>
      <c r="B355" s="293" t="s">
        <v>1596</v>
      </c>
      <c r="C355" s="229">
        <v>198.196</v>
      </c>
      <c r="D355" s="229">
        <v>269.04899999999998</v>
      </c>
      <c r="E355" s="229">
        <v>123.07196831</v>
      </c>
      <c r="F355" s="229">
        <v>9.4563911400000009</v>
      </c>
      <c r="G355" s="229">
        <v>0</v>
      </c>
      <c r="H355" s="229">
        <v>2501.1218241500001</v>
      </c>
      <c r="I355" s="229">
        <v>2563.8908341299998</v>
      </c>
      <c r="J355" s="229">
        <v>1602.20672984</v>
      </c>
      <c r="K355" s="229">
        <v>1945.3290213299999</v>
      </c>
    </row>
    <row r="356" spans="1:11" s="225" customFormat="1" ht="22.5">
      <c r="A356" s="235">
        <v>6121</v>
      </c>
      <c r="B356" s="297" t="s">
        <v>1597</v>
      </c>
      <c r="C356" s="234"/>
      <c r="D356" s="234"/>
      <c r="E356" s="221"/>
      <c r="F356" s="210"/>
      <c r="G356" s="210"/>
      <c r="H356" s="210"/>
      <c r="I356" s="210"/>
      <c r="J356" s="210"/>
      <c r="K356" s="210"/>
    </row>
    <row r="357" spans="1:11">
      <c r="A357" s="235"/>
      <c r="B357" s="208" t="s">
        <v>1598</v>
      </c>
      <c r="C357" s="585" t="s">
        <v>1229</v>
      </c>
      <c r="D357" s="585" t="s">
        <v>1229</v>
      </c>
      <c r="E357" s="585" t="s">
        <v>1229</v>
      </c>
      <c r="F357" s="585" t="s">
        <v>1229</v>
      </c>
      <c r="G357" s="585" t="s">
        <v>1229</v>
      </c>
      <c r="H357" s="585" t="s">
        <v>1229</v>
      </c>
      <c r="I357" s="585" t="s">
        <v>1229</v>
      </c>
      <c r="J357" s="585" t="s">
        <v>1229</v>
      </c>
      <c r="K357" s="585" t="s">
        <v>1229</v>
      </c>
    </row>
    <row r="358" spans="1:11" ht="22.5">
      <c r="A358" s="235">
        <v>6122</v>
      </c>
      <c r="B358" s="297" t="s">
        <v>1597</v>
      </c>
      <c r="E358" s="221"/>
      <c r="F358" s="221"/>
      <c r="G358" s="221"/>
      <c r="H358" s="221"/>
      <c r="I358" s="221"/>
      <c r="J358" s="221"/>
      <c r="K358" s="221"/>
    </row>
    <row r="359" spans="1:11" ht="12.75" customHeight="1">
      <c r="A359" s="235"/>
      <c r="B359" s="208" t="s">
        <v>1599</v>
      </c>
      <c r="C359" s="221">
        <v>198.196</v>
      </c>
      <c r="D359" s="221">
        <v>269.04899999999998</v>
      </c>
      <c r="E359" s="221">
        <v>123.07196831</v>
      </c>
      <c r="F359" s="221">
        <v>9.4563911400000009</v>
      </c>
      <c r="G359" s="221">
        <v>0</v>
      </c>
      <c r="H359" s="221">
        <v>-19.504959579999998</v>
      </c>
      <c r="I359" s="585" t="s">
        <v>1229</v>
      </c>
      <c r="J359" s="585" t="s">
        <v>1229</v>
      </c>
      <c r="K359" s="585" t="s">
        <v>1229</v>
      </c>
    </row>
    <row r="360" spans="1:11" ht="22.5">
      <c r="A360" s="235">
        <v>6123</v>
      </c>
      <c r="B360" s="297" t="s">
        <v>1600</v>
      </c>
      <c r="C360" s="221"/>
      <c r="D360" s="221"/>
    </row>
    <row r="361" spans="1:11">
      <c r="A361" s="235"/>
      <c r="B361" s="297" t="s">
        <v>1599</v>
      </c>
      <c r="C361" s="585" t="s">
        <v>1229</v>
      </c>
      <c r="D361" s="585" t="s">
        <v>1229</v>
      </c>
      <c r="E361" s="585" t="s">
        <v>1229</v>
      </c>
      <c r="F361" s="585" t="s">
        <v>1229</v>
      </c>
      <c r="G361" s="585" t="s">
        <v>1229</v>
      </c>
      <c r="H361" s="229">
        <v>-1.17838208</v>
      </c>
      <c r="I361" s="229">
        <v>-0.53632957999999997</v>
      </c>
      <c r="J361" s="229">
        <v>-0.88432809000000001</v>
      </c>
      <c r="K361" s="229">
        <v>-0.47991212999999999</v>
      </c>
    </row>
    <row r="362" spans="1:11" ht="22.5">
      <c r="A362" s="235">
        <v>6124</v>
      </c>
      <c r="B362" s="297" t="s">
        <v>1601</v>
      </c>
      <c r="C362" s="221"/>
      <c r="D362" s="221"/>
      <c r="E362" s="221"/>
      <c r="F362" s="221"/>
    </row>
    <row r="363" spans="1:11" s="225" customFormat="1">
      <c r="A363" s="235"/>
      <c r="B363" s="297" t="s">
        <v>1602</v>
      </c>
      <c r="C363" s="275" t="s">
        <v>1229</v>
      </c>
      <c r="D363" s="585" t="s">
        <v>1229</v>
      </c>
      <c r="E363" s="585" t="s">
        <v>1229</v>
      </c>
      <c r="F363" s="585" t="s">
        <v>1229</v>
      </c>
      <c r="G363" s="585" t="s">
        <v>1229</v>
      </c>
      <c r="H363" s="221">
        <v>2521.8051658100003</v>
      </c>
      <c r="I363" s="221">
        <v>2564.4271637100001</v>
      </c>
      <c r="J363" s="221">
        <v>1603.0910579299998</v>
      </c>
      <c r="K363" s="221">
        <v>1945.8089334599999</v>
      </c>
    </row>
    <row r="364" spans="1:11" ht="22.5">
      <c r="A364" s="235">
        <v>6125</v>
      </c>
      <c r="B364" s="297" t="s">
        <v>1601</v>
      </c>
      <c r="C364" s="221"/>
      <c r="D364" s="221"/>
    </row>
    <row r="365" spans="1:11">
      <c r="B365" s="297" t="s">
        <v>1962</v>
      </c>
      <c r="C365" s="221"/>
      <c r="D365" s="221"/>
      <c r="K365" s="585" t="s">
        <v>1229</v>
      </c>
    </row>
    <row r="366" spans="1:11">
      <c r="A366" s="587"/>
      <c r="B366" s="297"/>
      <c r="C366" s="221"/>
      <c r="D366" s="221"/>
    </row>
    <row r="367" spans="1:11">
      <c r="A367" s="218">
        <v>6200</v>
      </c>
      <c r="B367" s="218" t="s">
        <v>1592</v>
      </c>
      <c r="C367" s="219">
        <v>75.72</v>
      </c>
      <c r="D367" s="219">
        <v>89.906000000000006</v>
      </c>
      <c r="E367" s="219">
        <v>94.330979639999995</v>
      </c>
      <c r="F367" s="219">
        <v>69.959134829999996</v>
      </c>
      <c r="G367" s="219">
        <v>101.78873509</v>
      </c>
      <c r="H367" s="219">
        <v>49.648473609999996</v>
      </c>
      <c r="I367" s="219">
        <v>2.2572610000000002</v>
      </c>
      <c r="J367" s="219">
        <v>93.519561469999999</v>
      </c>
      <c r="K367" s="219">
        <v>38.158289860000004</v>
      </c>
    </row>
    <row r="368" spans="1:11">
      <c r="A368" s="208">
        <v>6211</v>
      </c>
      <c r="B368" s="208" t="s">
        <v>1603</v>
      </c>
      <c r="C368" s="221">
        <v>-1.454</v>
      </c>
      <c r="D368" s="585" t="s">
        <v>1229</v>
      </c>
      <c r="E368" s="585" t="s">
        <v>1229</v>
      </c>
      <c r="F368" s="585" t="s">
        <v>1229</v>
      </c>
      <c r="G368" s="585" t="s">
        <v>1229</v>
      </c>
      <c r="H368" s="585" t="s">
        <v>1229</v>
      </c>
      <c r="I368" s="585" t="s">
        <v>1229</v>
      </c>
      <c r="J368" s="585" t="s">
        <v>1229</v>
      </c>
      <c r="K368" s="585" t="s">
        <v>1229</v>
      </c>
    </row>
    <row r="369" spans="1:11">
      <c r="A369" s="208">
        <v>6212</v>
      </c>
      <c r="B369" s="208" t="s">
        <v>1604</v>
      </c>
      <c r="C369" s="221">
        <v>77.174000000000007</v>
      </c>
      <c r="D369" s="221">
        <v>89.906000000000006</v>
      </c>
      <c r="E369" s="221">
        <v>58.498936839999999</v>
      </c>
      <c r="F369" s="221">
        <v>24.62275726</v>
      </c>
      <c r="G369" s="585" t="s">
        <v>1229</v>
      </c>
      <c r="H369" s="585" t="s">
        <v>1229</v>
      </c>
      <c r="I369" s="585" t="s">
        <v>1229</v>
      </c>
      <c r="J369" s="585" t="s">
        <v>1229</v>
      </c>
      <c r="K369" s="221">
        <v>-12.331255199999998</v>
      </c>
    </row>
    <row r="370" spans="1:11">
      <c r="A370" s="208">
        <v>6213</v>
      </c>
      <c r="B370" s="208" t="s">
        <v>1605</v>
      </c>
      <c r="C370" s="221">
        <v>0</v>
      </c>
      <c r="D370" s="221">
        <v>0</v>
      </c>
      <c r="E370" s="221">
        <v>35.832042799999996</v>
      </c>
      <c r="F370" s="221">
        <v>45.336377570000003</v>
      </c>
      <c r="G370" s="221">
        <v>101.78873509</v>
      </c>
      <c r="H370" s="221">
        <v>49.648473609999996</v>
      </c>
      <c r="I370" s="221">
        <v>2.2572610000000002</v>
      </c>
      <c r="J370" s="221">
        <v>93.519561469999999</v>
      </c>
      <c r="K370" s="221">
        <v>50.489545060000005</v>
      </c>
    </row>
    <row r="371" spans="1:11">
      <c r="A371" s="208">
        <v>6214</v>
      </c>
      <c r="B371" s="208" t="s">
        <v>1963</v>
      </c>
      <c r="C371" s="221"/>
      <c r="D371" s="221"/>
      <c r="E371" s="221"/>
      <c r="F371" s="221"/>
      <c r="G371" s="221"/>
      <c r="H371" s="221"/>
      <c r="I371" s="221"/>
      <c r="J371" s="221"/>
      <c r="K371" s="221">
        <v>0</v>
      </c>
    </row>
    <row r="372" spans="1:11">
      <c r="A372" s="208"/>
      <c r="B372" s="208"/>
      <c r="C372" s="221"/>
      <c r="D372" s="221"/>
      <c r="E372" s="221"/>
      <c r="F372" s="225"/>
      <c r="G372" s="225"/>
      <c r="H372" s="225"/>
      <c r="I372" s="225"/>
      <c r="J372" s="225"/>
      <c r="K372" s="225"/>
    </row>
    <row r="373" spans="1:11">
      <c r="A373" s="218">
        <v>6300</v>
      </c>
      <c r="B373" s="218" t="s">
        <v>1606</v>
      </c>
      <c r="C373" s="219">
        <v>1212.0319999999999</v>
      </c>
      <c r="D373" s="219">
        <v>1130.4010000000001</v>
      </c>
      <c r="E373" s="219">
        <v>463.98259254999999</v>
      </c>
      <c r="F373" s="219">
        <v>1314.7310502500002</v>
      </c>
      <c r="G373" s="219">
        <v>872.20769972999983</v>
      </c>
      <c r="H373" s="219">
        <v>1844.4201824099998</v>
      </c>
      <c r="I373" s="219">
        <v>1002.45979516</v>
      </c>
      <c r="J373" s="219">
        <v>1291.7142867</v>
      </c>
      <c r="K373" s="219">
        <v>1395.21899992</v>
      </c>
    </row>
    <row r="374" spans="1:11" s="225" customFormat="1">
      <c r="A374" s="208">
        <v>6311</v>
      </c>
      <c r="B374" s="208" t="s">
        <v>1607</v>
      </c>
      <c r="C374" s="585" t="s">
        <v>1229</v>
      </c>
      <c r="D374" s="585" t="s">
        <v>1229</v>
      </c>
      <c r="E374" s="585" t="s">
        <v>1229</v>
      </c>
      <c r="F374" s="585" t="s">
        <v>1229</v>
      </c>
      <c r="G374" s="585" t="s">
        <v>1229</v>
      </c>
      <c r="H374" s="585" t="s">
        <v>1229</v>
      </c>
      <c r="I374" s="585" t="s">
        <v>1229</v>
      </c>
      <c r="J374" s="585" t="s">
        <v>1229</v>
      </c>
      <c r="K374" s="585" t="s">
        <v>1229</v>
      </c>
    </row>
    <row r="375" spans="1:11">
      <c r="A375" s="208">
        <v>6312</v>
      </c>
      <c r="B375" s="208" t="s">
        <v>1608</v>
      </c>
      <c r="C375" s="221">
        <v>1212.0319999999999</v>
      </c>
      <c r="D375" s="221">
        <v>948.71900000000005</v>
      </c>
      <c r="E375" s="221">
        <v>191.98039087999999</v>
      </c>
      <c r="F375" s="221">
        <v>57.945958229999995</v>
      </c>
      <c r="G375" s="221">
        <v>3.0072776700000001</v>
      </c>
      <c r="H375" s="221">
        <v>65.277078290000006</v>
      </c>
      <c r="I375" s="585" t="s">
        <v>1229</v>
      </c>
      <c r="J375" s="585" t="s">
        <v>1229</v>
      </c>
      <c r="K375" s="585" t="s">
        <v>1229</v>
      </c>
    </row>
    <row r="376" spans="1:11">
      <c r="A376" s="208">
        <v>6313</v>
      </c>
      <c r="B376" s="208" t="s">
        <v>1609</v>
      </c>
      <c r="C376" s="221">
        <v>0</v>
      </c>
      <c r="D376" s="221">
        <v>181.68199999999999</v>
      </c>
      <c r="E376" s="221">
        <v>272.00220166999998</v>
      </c>
      <c r="F376" s="221">
        <v>1256.7850920200001</v>
      </c>
      <c r="G376" s="221">
        <v>869.20042205999994</v>
      </c>
      <c r="H376" s="221">
        <v>1779.1431041199999</v>
      </c>
      <c r="I376" s="221">
        <v>991.86082756999997</v>
      </c>
      <c r="J376" s="221">
        <v>1291.7142867</v>
      </c>
      <c r="K376" s="221">
        <v>1330.8243342900003</v>
      </c>
    </row>
    <row r="377" spans="1:11" s="225" customFormat="1">
      <c r="A377" s="208">
        <v>6314</v>
      </c>
      <c r="B377" s="208" t="s">
        <v>1964</v>
      </c>
      <c r="C377" s="221"/>
      <c r="D377" s="221"/>
      <c r="E377" s="221"/>
      <c r="F377" s="210"/>
      <c r="G377" s="210"/>
      <c r="H377" s="210"/>
      <c r="I377" s="210"/>
      <c r="J377" s="221"/>
      <c r="K377" s="221">
        <v>64.394665630000006</v>
      </c>
    </row>
    <row r="378" spans="1:11">
      <c r="A378" s="208"/>
      <c r="B378" s="208"/>
      <c r="C378" s="221"/>
      <c r="D378" s="221"/>
      <c r="E378" s="221"/>
    </row>
    <row r="379" spans="1:11">
      <c r="A379" s="218">
        <v>6400</v>
      </c>
      <c r="B379" s="218" t="s">
        <v>1610</v>
      </c>
      <c r="C379" s="219">
        <v>1270.5989999999999</v>
      </c>
      <c r="D379" s="219">
        <v>1632.5820000000001</v>
      </c>
      <c r="E379" s="219">
        <v>870.17147888</v>
      </c>
      <c r="F379" s="219">
        <v>357.93367243000006</v>
      </c>
      <c r="G379" s="219">
        <v>1151.11168202</v>
      </c>
      <c r="H379" s="219">
        <v>1188.3085359499996</v>
      </c>
      <c r="I379" s="219">
        <v>-0.66934901999999996</v>
      </c>
      <c r="J379" s="219">
        <v>841.86833437000007</v>
      </c>
      <c r="K379" s="219">
        <v>1981.6928879700001</v>
      </c>
    </row>
    <row r="380" spans="1:11">
      <c r="A380" s="208">
        <v>6411</v>
      </c>
      <c r="B380" s="208" t="s">
        <v>1611</v>
      </c>
      <c r="C380" s="585" t="s">
        <v>1229</v>
      </c>
      <c r="D380" s="585" t="s">
        <v>1229</v>
      </c>
      <c r="E380" s="585" t="s">
        <v>1229</v>
      </c>
      <c r="F380" s="585" t="s">
        <v>1229</v>
      </c>
      <c r="G380" s="585" t="s">
        <v>1229</v>
      </c>
      <c r="H380" s="585" t="s">
        <v>1229</v>
      </c>
      <c r="I380" s="585" t="s">
        <v>1229</v>
      </c>
      <c r="J380" s="585" t="s">
        <v>1229</v>
      </c>
      <c r="K380" s="585" t="s">
        <v>1229</v>
      </c>
    </row>
    <row r="381" spans="1:11" s="225" customFormat="1">
      <c r="A381" s="208">
        <v>6412</v>
      </c>
      <c r="B381" s="208" t="s">
        <v>1612</v>
      </c>
      <c r="C381" s="221">
        <v>1270.5989999999999</v>
      </c>
      <c r="D381" s="221">
        <v>1504.375</v>
      </c>
      <c r="E381" s="221">
        <v>675.01011286000005</v>
      </c>
      <c r="F381" s="221">
        <v>102.07299164999999</v>
      </c>
      <c r="G381" s="585" t="s">
        <v>1229</v>
      </c>
      <c r="H381" s="221">
        <v>23.235991579999997</v>
      </c>
      <c r="I381" s="221">
        <v>-0.66934901999999996</v>
      </c>
      <c r="J381" s="221">
        <v>-25.719173009999999</v>
      </c>
      <c r="K381" s="221">
        <v>0</v>
      </c>
    </row>
    <row r="382" spans="1:11">
      <c r="A382" s="208">
        <v>6413</v>
      </c>
      <c r="B382" s="208" t="s">
        <v>1613</v>
      </c>
      <c r="C382" s="221">
        <v>0</v>
      </c>
      <c r="D382" s="221">
        <v>128.208</v>
      </c>
      <c r="E382" s="221">
        <v>195.16136602</v>
      </c>
      <c r="F382" s="221">
        <v>255.86068078000002</v>
      </c>
      <c r="G382" s="221">
        <v>1151.11168202</v>
      </c>
      <c r="H382" s="221">
        <v>1165.0725443699998</v>
      </c>
      <c r="I382" s="585" t="s">
        <v>1229</v>
      </c>
      <c r="J382" s="221">
        <v>867.58750737999992</v>
      </c>
      <c r="K382" s="221">
        <v>1908.6157435699999</v>
      </c>
    </row>
    <row r="383" spans="1:11" s="225" customFormat="1">
      <c r="A383" s="208">
        <v>6414</v>
      </c>
      <c r="B383" s="208" t="s">
        <v>1965</v>
      </c>
      <c r="C383" s="585" t="s">
        <v>1229</v>
      </c>
      <c r="D383" s="585" t="s">
        <v>1229</v>
      </c>
      <c r="E383" s="585" t="s">
        <v>1229</v>
      </c>
      <c r="F383" s="585" t="s">
        <v>1229</v>
      </c>
      <c r="G383" s="585" t="s">
        <v>1229</v>
      </c>
      <c r="H383" s="585" t="s">
        <v>1229</v>
      </c>
      <c r="I383" s="585" t="s">
        <v>1229</v>
      </c>
      <c r="J383" s="585" t="s">
        <v>1229</v>
      </c>
      <c r="K383" s="221">
        <v>73.077144400000009</v>
      </c>
    </row>
    <row r="384" spans="1:11" s="225" customFormat="1">
      <c r="A384" s="208"/>
      <c r="B384" s="208"/>
      <c r="C384" s="221"/>
      <c r="D384" s="221"/>
      <c r="E384" s="221"/>
    </row>
    <row r="385" spans="1:11">
      <c r="A385" s="218">
        <v>6500</v>
      </c>
      <c r="B385" s="218" t="s">
        <v>38</v>
      </c>
      <c r="C385" s="219">
        <v>193.80699999999999</v>
      </c>
      <c r="D385" s="219">
        <v>187.452</v>
      </c>
      <c r="E385" s="219">
        <v>347.75672850000001</v>
      </c>
      <c r="F385" s="219">
        <v>469.63291394999999</v>
      </c>
      <c r="G385" s="219">
        <v>391.36046470999997</v>
      </c>
      <c r="H385" s="219">
        <v>419.37499283</v>
      </c>
      <c r="I385" s="219">
        <v>211.90867746999999</v>
      </c>
      <c r="J385" s="219">
        <v>393.44757353</v>
      </c>
      <c r="K385" s="219">
        <v>293.57197740999999</v>
      </c>
    </row>
    <row r="386" spans="1:11">
      <c r="A386" s="208">
        <v>6511</v>
      </c>
      <c r="B386" s="208" t="s">
        <v>38</v>
      </c>
      <c r="C386" s="221">
        <v>193.80699999999999</v>
      </c>
      <c r="D386" s="221">
        <v>187.452</v>
      </c>
      <c r="E386" s="221">
        <v>347.75672850000001</v>
      </c>
      <c r="F386" s="221">
        <v>469.63291394999999</v>
      </c>
      <c r="G386" s="221">
        <v>391.36046470999997</v>
      </c>
      <c r="H386" s="221">
        <v>419.37499283</v>
      </c>
      <c r="I386" s="221">
        <v>211.90867746999999</v>
      </c>
      <c r="J386" s="221">
        <v>393.44757353</v>
      </c>
      <c r="K386" s="221">
        <v>293.57197740999999</v>
      </c>
    </row>
    <row r="387" spans="1:11">
      <c r="A387" s="208"/>
      <c r="B387" s="208"/>
      <c r="C387" s="221"/>
      <c r="D387" s="221"/>
      <c r="E387" s="221"/>
    </row>
    <row r="388" spans="1:11">
      <c r="A388" s="218">
        <v>6900</v>
      </c>
      <c r="B388" s="218" t="s">
        <v>1593</v>
      </c>
      <c r="C388" s="219">
        <v>799.01300000000003</v>
      </c>
      <c r="D388" s="219">
        <v>154.839</v>
      </c>
      <c r="E388" s="219">
        <v>265.27717335</v>
      </c>
      <c r="F388" s="219">
        <v>278.85200138000005</v>
      </c>
      <c r="G388" s="219">
        <v>231.70009186999999</v>
      </c>
      <c r="H388" s="219">
        <v>155.15361159</v>
      </c>
      <c r="I388" s="219">
        <v>106.71828135</v>
      </c>
      <c r="J388" s="219">
        <v>191.76907381999999</v>
      </c>
      <c r="K388" s="219">
        <v>44.743594049999999</v>
      </c>
    </row>
    <row r="389" spans="1:11">
      <c r="A389" s="208">
        <v>6911</v>
      </c>
      <c r="B389" s="208" t="s">
        <v>1593</v>
      </c>
      <c r="C389" s="221">
        <v>799.01300000000003</v>
      </c>
      <c r="D389" s="221">
        <v>39.948</v>
      </c>
      <c r="E389" s="221">
        <v>5.3222406999999992</v>
      </c>
      <c r="F389" s="221">
        <v>30.457568339999998</v>
      </c>
      <c r="G389" s="221">
        <v>205.92506611000002</v>
      </c>
      <c r="H389" s="221">
        <v>98.793476199999986</v>
      </c>
      <c r="I389" s="221">
        <v>82.773078519999999</v>
      </c>
      <c r="J389" s="221">
        <v>191.76907381999999</v>
      </c>
      <c r="K389" s="221">
        <v>44.743594049999999</v>
      </c>
    </row>
    <row r="390" spans="1:11">
      <c r="A390" s="208">
        <v>6912</v>
      </c>
      <c r="B390" s="208" t="s">
        <v>1261</v>
      </c>
      <c r="C390" s="221">
        <v>0</v>
      </c>
      <c r="D390" s="221">
        <v>114.89100000000001</v>
      </c>
      <c r="E390" s="221">
        <v>259.95493264999999</v>
      </c>
      <c r="F390" s="221">
        <v>248.39443304</v>
      </c>
      <c r="G390" s="221">
        <v>25.775025760000002</v>
      </c>
      <c r="H390" s="221">
        <v>56.360135390000003</v>
      </c>
      <c r="I390" s="330">
        <v>23.945202829999999</v>
      </c>
      <c r="J390" s="585" t="s">
        <v>1229</v>
      </c>
      <c r="K390" s="585" t="s">
        <v>1229</v>
      </c>
    </row>
    <row r="391" spans="1:11">
      <c r="A391" s="208"/>
      <c r="B391" s="208"/>
      <c r="C391" s="221"/>
      <c r="D391" s="221"/>
    </row>
    <row r="392" spans="1:11">
      <c r="A392" s="218">
        <v>7000</v>
      </c>
      <c r="B392" s="218" t="s">
        <v>366</v>
      </c>
      <c r="C392" s="219">
        <v>-48182.930999999997</v>
      </c>
      <c r="D392" s="219">
        <v>-51870.91</v>
      </c>
      <c r="E392" s="219">
        <v>-56156.140416516959</v>
      </c>
      <c r="F392" s="219">
        <v>-66807.931429809993</v>
      </c>
      <c r="G392" s="219">
        <v>-65528.367780680397</v>
      </c>
      <c r="H392" s="219">
        <v>-70768.381527728823</v>
      </c>
      <c r="I392" s="219">
        <v>-74928.130887859996</v>
      </c>
      <c r="J392" s="219">
        <v>-76979.334321490009</v>
      </c>
      <c r="K392" s="219">
        <v>-76313.209737012323</v>
      </c>
    </row>
    <row r="393" spans="1:11" s="225" customFormat="1">
      <c r="A393" s="218"/>
      <c r="B393" s="218"/>
      <c r="C393" s="219"/>
      <c r="D393" s="219"/>
      <c r="E393" s="219"/>
    </row>
    <row r="394" spans="1:11">
      <c r="A394" s="208"/>
      <c r="B394" s="208"/>
      <c r="C394" s="221"/>
      <c r="D394" s="227"/>
      <c r="E394" s="219"/>
    </row>
    <row r="395" spans="1:11">
      <c r="A395" s="218">
        <v>7100</v>
      </c>
      <c r="B395" s="218" t="s">
        <v>128</v>
      </c>
      <c r="C395" s="219">
        <v>10938.275</v>
      </c>
      <c r="D395" s="298">
        <v>12149.9</v>
      </c>
      <c r="E395" s="219">
        <v>12637.053272110003</v>
      </c>
      <c r="F395" s="219">
        <v>3846.7393671899999</v>
      </c>
      <c r="G395" s="219">
        <v>9936.7575645800007</v>
      </c>
      <c r="H395" s="219">
        <v>10284.781514719998</v>
      </c>
      <c r="I395" s="219">
        <v>10086.233186060001</v>
      </c>
      <c r="J395" s="219">
        <v>10195.23560582</v>
      </c>
      <c r="K395" s="219">
        <v>14510.721630859996</v>
      </c>
    </row>
    <row r="396" spans="1:11">
      <c r="A396" s="293">
        <v>7110</v>
      </c>
      <c r="B396" s="208" t="s">
        <v>123</v>
      </c>
      <c r="C396" s="229">
        <v>9146.7330000000002</v>
      </c>
      <c r="D396" s="229">
        <v>10200.995999999999</v>
      </c>
      <c r="E396" s="229">
        <v>10409.084945110002</v>
      </c>
      <c r="F396" s="229">
        <v>1053.8362861900005</v>
      </c>
      <c r="G396" s="229">
        <v>7003.37254158</v>
      </c>
      <c r="H396" s="229">
        <v>7270.1814777199988</v>
      </c>
      <c r="I396" s="229">
        <v>6929.5482920599998</v>
      </c>
      <c r="J396" s="229">
        <v>6889.1266638200004</v>
      </c>
      <c r="K396" s="229">
        <v>11045.392817859998</v>
      </c>
    </row>
    <row r="397" spans="1:11">
      <c r="A397" s="208">
        <v>7111</v>
      </c>
      <c r="B397" s="208" t="s">
        <v>129</v>
      </c>
      <c r="C397" s="221">
        <v>4227.1980000000003</v>
      </c>
      <c r="D397" s="221">
        <v>4475</v>
      </c>
      <c r="E397" s="221">
        <v>4322.7242895500003</v>
      </c>
      <c r="F397" s="221">
        <v>-4304.7063556599996</v>
      </c>
      <c r="G397" s="221">
        <v>1444.0614175799999</v>
      </c>
      <c r="H397" s="221">
        <v>1563.77903128</v>
      </c>
      <c r="I397" s="221">
        <v>1643.07290268</v>
      </c>
      <c r="J397" s="221">
        <v>1714.23760152</v>
      </c>
      <c r="K397" s="221">
        <v>5251.62172328</v>
      </c>
    </row>
    <row r="398" spans="1:11">
      <c r="A398" s="208">
        <v>7112</v>
      </c>
      <c r="B398" s="208" t="s">
        <v>663</v>
      </c>
      <c r="C398" s="221">
        <v>4691.01</v>
      </c>
      <c r="D398" s="221">
        <v>5071.6080000000002</v>
      </c>
      <c r="E398" s="221">
        <v>5225.0757349100013</v>
      </c>
      <c r="F398" s="221">
        <v>4814.6868742500001</v>
      </c>
      <c r="G398" s="221">
        <v>5300.0585980000005</v>
      </c>
      <c r="H398" s="221">
        <v>5447.3277344399985</v>
      </c>
      <c r="I398" s="221">
        <v>5027.1058343700006</v>
      </c>
      <c r="J398" s="221">
        <v>4908.3695723000001</v>
      </c>
      <c r="K398" s="221">
        <v>5723.99326432</v>
      </c>
    </row>
    <row r="399" spans="1:11">
      <c r="A399" s="208">
        <v>7113</v>
      </c>
      <c r="B399" s="208" t="s">
        <v>830</v>
      </c>
      <c r="C399" s="221">
        <v>228.524</v>
      </c>
      <c r="D399" s="221">
        <v>279.05099999999999</v>
      </c>
      <c r="E399" s="221">
        <v>348.19828522</v>
      </c>
      <c r="F399" s="221">
        <v>196.45555400000001</v>
      </c>
      <c r="G399" s="221">
        <v>259.25252599999999</v>
      </c>
      <c r="H399" s="221">
        <v>259.07471199999998</v>
      </c>
      <c r="I399" s="221">
        <v>259.36955501</v>
      </c>
      <c r="J399" s="221">
        <v>266.51949000000002</v>
      </c>
      <c r="K399" s="221">
        <v>69.777830260000002</v>
      </c>
    </row>
    <row r="400" spans="1:11" s="225" customFormat="1">
      <c r="A400" s="208">
        <v>7114</v>
      </c>
      <c r="B400" s="208" t="s">
        <v>915</v>
      </c>
      <c r="C400" s="221">
        <v>0</v>
      </c>
      <c r="D400" s="221">
        <v>375.33600000000001</v>
      </c>
      <c r="E400" s="221">
        <v>513.08663543</v>
      </c>
      <c r="F400" s="221">
        <v>347.40021360000003</v>
      </c>
      <c r="G400" s="585" t="s">
        <v>1229</v>
      </c>
      <c r="H400" s="585" t="s">
        <v>1229</v>
      </c>
      <c r="I400" s="585" t="s">
        <v>1229</v>
      </c>
      <c r="J400" s="585" t="s">
        <v>1229</v>
      </c>
      <c r="K400" s="585" t="s">
        <v>1229</v>
      </c>
    </row>
    <row r="401" spans="1:11">
      <c r="A401" s="293">
        <v>7120</v>
      </c>
      <c r="B401" s="208" t="s">
        <v>130</v>
      </c>
      <c r="C401" s="229">
        <v>1791.5429999999999</v>
      </c>
      <c r="D401" s="221">
        <v>1948.904</v>
      </c>
      <c r="E401" s="229">
        <v>2227.968327</v>
      </c>
      <c r="F401" s="229">
        <v>2792.9030809999999</v>
      </c>
      <c r="G401" s="229">
        <v>2933.3850229999998</v>
      </c>
      <c r="H401" s="229">
        <v>3014.6000370000002</v>
      </c>
      <c r="I401" s="229">
        <v>3156.684894</v>
      </c>
      <c r="J401" s="229">
        <v>3306.1089419999998</v>
      </c>
      <c r="K401" s="229">
        <v>3465.3288130000001</v>
      </c>
    </row>
    <row r="402" spans="1:11" s="225" customFormat="1">
      <c r="A402" s="208">
        <v>7121</v>
      </c>
      <c r="B402" s="208" t="s">
        <v>131</v>
      </c>
      <c r="C402" s="221">
        <v>1791.5429999999999</v>
      </c>
      <c r="D402" s="221">
        <v>1948.904</v>
      </c>
      <c r="E402" s="221">
        <v>2227.968327</v>
      </c>
      <c r="F402" s="221">
        <v>2792.9030809999999</v>
      </c>
      <c r="G402" s="221">
        <v>2933.3850229999998</v>
      </c>
      <c r="H402" s="221">
        <v>3014.6000370000002</v>
      </c>
      <c r="I402" s="221">
        <v>3156.684894</v>
      </c>
      <c r="J402" s="221">
        <v>3306.1089419999998</v>
      </c>
      <c r="K402" s="221">
        <v>3465.3288130000001</v>
      </c>
    </row>
    <row r="403" spans="1:11" s="225" customFormat="1">
      <c r="A403" s="208"/>
      <c r="B403" s="208"/>
      <c r="C403" s="221"/>
      <c r="D403" s="227"/>
      <c r="E403" s="219"/>
      <c r="F403" s="210"/>
      <c r="G403" s="210"/>
      <c r="H403" s="210"/>
      <c r="I403" s="210"/>
      <c r="J403" s="210"/>
      <c r="K403" s="210"/>
    </row>
    <row r="404" spans="1:11">
      <c r="A404" s="218">
        <v>7200</v>
      </c>
      <c r="B404" s="218" t="s">
        <v>889</v>
      </c>
      <c r="C404" s="219">
        <v>-59121.205999999998</v>
      </c>
      <c r="D404" s="219">
        <v>-64020.811000000002</v>
      </c>
      <c r="E404" s="219">
        <v>-68793.193688626954</v>
      </c>
      <c r="F404" s="219">
        <v>-70654.670796999984</v>
      </c>
      <c r="G404" s="219">
        <v>-75465.1253452604</v>
      </c>
      <c r="H404" s="219">
        <v>-81053.163042448825</v>
      </c>
      <c r="I404" s="219">
        <v>-85014.364073919991</v>
      </c>
      <c r="J404" s="219">
        <v>-87174.569927310004</v>
      </c>
      <c r="K404" s="219">
        <v>-90823.931367872327</v>
      </c>
    </row>
    <row r="405" spans="1:11">
      <c r="A405" s="293">
        <v>7210</v>
      </c>
      <c r="B405" s="208" t="s">
        <v>2</v>
      </c>
      <c r="C405" s="229">
        <v>-2094.9070000000002</v>
      </c>
      <c r="D405" s="229">
        <v>-2368.951</v>
      </c>
      <c r="E405" s="229">
        <v>-1894.7270000000001</v>
      </c>
      <c r="F405" s="229">
        <v>-2412.2190000000005</v>
      </c>
      <c r="G405" s="229">
        <v>-4031.2080000000005</v>
      </c>
      <c r="H405" s="229">
        <v>-4422.2439999999997</v>
      </c>
      <c r="I405" s="229">
        <v>-7290.6040000000003</v>
      </c>
      <c r="J405" s="229">
        <v>-7519.7240000000002</v>
      </c>
      <c r="K405" s="229">
        <v>-7654.7049000000006</v>
      </c>
    </row>
    <row r="406" spans="1:11">
      <c r="A406" s="208">
        <v>7211</v>
      </c>
      <c r="B406" s="208" t="s">
        <v>2</v>
      </c>
      <c r="C406" s="221">
        <v>-2094.9070000000002</v>
      </c>
      <c r="D406" s="221">
        <v>-2368.951</v>
      </c>
      <c r="E406" s="221">
        <v>-1894.7270000000001</v>
      </c>
      <c r="F406" s="221">
        <v>-2412.2190000000005</v>
      </c>
      <c r="G406" s="221">
        <v>-4031.2080000000005</v>
      </c>
      <c r="H406" s="221">
        <v>-4422.2439999999997</v>
      </c>
      <c r="I406" s="221">
        <v>-7290.6040000000003</v>
      </c>
      <c r="J406" s="221">
        <v>-7519.7240000000002</v>
      </c>
      <c r="K406" s="221">
        <v>-7654.7049000000006</v>
      </c>
    </row>
    <row r="407" spans="1:11">
      <c r="A407" s="293">
        <v>7220</v>
      </c>
      <c r="B407" s="208" t="s">
        <v>132</v>
      </c>
      <c r="C407" s="229">
        <v>-57026.298999999999</v>
      </c>
      <c r="D407" s="229">
        <v>-61651.86</v>
      </c>
      <c r="E407" s="229">
        <v>-66898.466688626955</v>
      </c>
      <c r="F407" s="229">
        <v>-68242.451796999987</v>
      </c>
      <c r="G407" s="229">
        <v>-71433.917345260401</v>
      </c>
      <c r="H407" s="229">
        <v>-76630.919042448819</v>
      </c>
      <c r="I407" s="229">
        <v>-77723.760073919999</v>
      </c>
      <c r="J407" s="229">
        <v>-79654.845927310002</v>
      </c>
      <c r="K407" s="229">
        <v>-83169.226467872315</v>
      </c>
    </row>
    <row r="408" spans="1:11">
      <c r="A408" s="208">
        <v>7221</v>
      </c>
      <c r="B408" s="208" t="s">
        <v>133</v>
      </c>
      <c r="C408" s="221">
        <v>-20395.098999999998</v>
      </c>
      <c r="D408" s="221">
        <v>-22037.654999999999</v>
      </c>
      <c r="E408" s="221">
        <v>-23227.055643626962</v>
      </c>
      <c r="F408" s="221">
        <v>-24234.842617999999</v>
      </c>
      <c r="G408" s="221">
        <v>-25965.098502260393</v>
      </c>
      <c r="H408" s="221">
        <v>-26944.02051244882</v>
      </c>
      <c r="I408" s="221">
        <v>-28199.052298920004</v>
      </c>
      <c r="J408" s="221">
        <v>-28640.599076310002</v>
      </c>
      <c r="K408" s="221">
        <v>-28711.694356872329</v>
      </c>
    </row>
    <row r="409" spans="1:11">
      <c r="A409" s="208">
        <v>7222</v>
      </c>
      <c r="B409" s="208" t="s">
        <v>134</v>
      </c>
      <c r="C409" s="221">
        <v>-36631.199999999997</v>
      </c>
      <c r="D409" s="221">
        <v>-39614.205000000002</v>
      </c>
      <c r="E409" s="221">
        <v>-43671.411045000001</v>
      </c>
      <c r="F409" s="221">
        <v>-44007.609178999999</v>
      </c>
      <c r="G409" s="221">
        <v>-45468.818843000001</v>
      </c>
      <c r="H409" s="221">
        <v>-49686.898529999999</v>
      </c>
      <c r="I409" s="221">
        <v>-49524.707774999995</v>
      </c>
      <c r="J409" s="221">
        <v>-51014.246851000004</v>
      </c>
      <c r="K409" s="221">
        <v>-54457.532111</v>
      </c>
    </row>
    <row r="410" spans="1:11">
      <c r="A410" s="208"/>
      <c r="B410" s="208"/>
      <c r="C410" s="221"/>
      <c r="D410" s="221"/>
    </row>
    <row r="411" spans="1:11">
      <c r="A411" s="218">
        <v>8000</v>
      </c>
      <c r="B411" s="218" t="s">
        <v>1480</v>
      </c>
      <c r="C411" s="219">
        <v>-13672.199000000001</v>
      </c>
      <c r="D411" s="219">
        <v>-7737.0339999999997</v>
      </c>
      <c r="E411" s="219">
        <v>-2392.6572470000001</v>
      </c>
      <c r="F411" s="219">
        <v>13.370823</v>
      </c>
      <c r="G411" s="219">
        <v>20.778931000000004</v>
      </c>
      <c r="H411" s="219">
        <v>-112.456239</v>
      </c>
      <c r="I411" s="219">
        <v>-143.915876</v>
      </c>
      <c r="J411" s="219">
        <v>-2.8644209999999997</v>
      </c>
      <c r="K411" s="219">
        <v>-3.6749999999999999E-3</v>
      </c>
    </row>
    <row r="412" spans="1:11">
      <c r="A412" s="218"/>
      <c r="B412" s="218"/>
      <c r="C412" s="219"/>
      <c r="D412" s="219"/>
      <c r="E412" s="226"/>
      <c r="F412" s="236"/>
      <c r="G412" s="236"/>
      <c r="H412" s="236"/>
      <c r="I412" s="236"/>
      <c r="J412" s="236"/>
      <c r="K412" s="236"/>
    </row>
    <row r="413" spans="1:11">
      <c r="A413" s="208"/>
      <c r="B413" s="208"/>
      <c r="C413" s="221"/>
      <c r="D413" s="221"/>
      <c r="E413" s="230"/>
    </row>
    <row r="414" spans="1:11">
      <c r="A414" s="218">
        <v>8100</v>
      </c>
      <c r="B414" s="218" t="s">
        <v>1480</v>
      </c>
      <c r="C414" s="219">
        <v>-13672.199000000001</v>
      </c>
      <c r="D414" s="219">
        <v>-7737.0339999999997</v>
      </c>
      <c r="E414" s="219">
        <v>-2392.6572470000001</v>
      </c>
      <c r="F414" s="226">
        <v>13.370823</v>
      </c>
      <c r="G414" s="226">
        <v>20.778931000000004</v>
      </c>
      <c r="H414" s="226">
        <v>-112.456239</v>
      </c>
      <c r="I414" s="226">
        <v>-143.915876</v>
      </c>
      <c r="J414" s="226">
        <v>-2.8644209999999997</v>
      </c>
      <c r="K414" s="226">
        <v>-3.6749999999999999E-3</v>
      </c>
    </row>
    <row r="415" spans="1:11">
      <c r="A415" s="208">
        <v>8111</v>
      </c>
      <c r="B415" s="208" t="s">
        <v>135</v>
      </c>
      <c r="C415" s="221">
        <v>-4813.8270000000002</v>
      </c>
      <c r="D415" s="221">
        <v>-5980.31</v>
      </c>
      <c r="E415" s="221">
        <v>-2220.5956230000002</v>
      </c>
      <c r="F415" s="230">
        <v>-5.6427680000000002</v>
      </c>
      <c r="G415" s="230">
        <v>-1.2335000000000002E-2</v>
      </c>
      <c r="H415" s="230">
        <v>0.14396100000000001</v>
      </c>
      <c r="I415" s="230">
        <v>-1.3176E-2</v>
      </c>
      <c r="J415" s="230">
        <v>-1.7210000000000001E-3</v>
      </c>
      <c r="K415" s="230">
        <v>-3.6749999999999999E-3</v>
      </c>
    </row>
    <row r="416" spans="1:11" s="225" customFormat="1">
      <c r="A416" s="208">
        <v>8112</v>
      </c>
      <c r="B416" s="208" t="s">
        <v>136</v>
      </c>
      <c r="C416" s="221">
        <v>-139.94300000000001</v>
      </c>
      <c r="D416" s="221">
        <v>-140.13800000000001</v>
      </c>
      <c r="E416" s="230">
        <v>-0.450291</v>
      </c>
      <c r="F416" s="230">
        <v>-0.31823199999999996</v>
      </c>
      <c r="G416" s="585" t="s">
        <v>1229</v>
      </c>
      <c r="H416" s="585" t="s">
        <v>1229</v>
      </c>
      <c r="I416" s="585" t="s">
        <v>1229</v>
      </c>
      <c r="J416" s="585" t="s">
        <v>1229</v>
      </c>
      <c r="K416" s="585" t="s">
        <v>1229</v>
      </c>
    </row>
    <row r="417" spans="1:11">
      <c r="A417" s="208">
        <v>8113</v>
      </c>
      <c r="B417" s="208" t="s">
        <v>137</v>
      </c>
      <c r="C417" s="221">
        <v>-17.766999999999999</v>
      </c>
      <c r="D417" s="221">
        <v>-22.100999999999999</v>
      </c>
      <c r="E417" s="230">
        <v>-2.2499999999999999E-2</v>
      </c>
      <c r="F417" s="585" t="s">
        <v>1229</v>
      </c>
      <c r="G417" s="585" t="s">
        <v>1229</v>
      </c>
      <c r="H417" s="585" t="s">
        <v>1229</v>
      </c>
      <c r="I417" s="585" t="s">
        <v>1229</v>
      </c>
      <c r="J417" s="585" t="s">
        <v>1229</v>
      </c>
      <c r="K417" s="585" t="s">
        <v>1229</v>
      </c>
    </row>
    <row r="418" spans="1:11">
      <c r="A418" s="208">
        <v>8114</v>
      </c>
      <c r="B418" s="208" t="s">
        <v>138</v>
      </c>
      <c r="C418" s="221">
        <v>-388.40300000000002</v>
      </c>
      <c r="D418" s="221">
        <v>-281.642</v>
      </c>
      <c r="E418" s="230">
        <v>-171.553259</v>
      </c>
      <c r="F418" s="585" t="s">
        <v>1229</v>
      </c>
      <c r="G418" s="585" t="s">
        <v>1229</v>
      </c>
      <c r="H418" s="585" t="s">
        <v>1229</v>
      </c>
      <c r="I418" s="585" t="s">
        <v>1229</v>
      </c>
      <c r="J418" s="585" t="s">
        <v>1229</v>
      </c>
      <c r="K418" s="585" t="s">
        <v>1229</v>
      </c>
    </row>
    <row r="419" spans="1:11">
      <c r="A419" s="208">
        <v>8115</v>
      </c>
      <c r="B419" s="208" t="s">
        <v>139</v>
      </c>
      <c r="C419" s="221">
        <v>-168.71799999999999</v>
      </c>
      <c r="D419" s="585" t="s">
        <v>1229</v>
      </c>
      <c r="E419" s="585" t="s">
        <v>1229</v>
      </c>
      <c r="F419" s="585" t="s">
        <v>1229</v>
      </c>
      <c r="G419" s="585" t="s">
        <v>1229</v>
      </c>
      <c r="H419" s="585" t="s">
        <v>1229</v>
      </c>
      <c r="I419" s="585" t="s">
        <v>1229</v>
      </c>
      <c r="J419" s="585" t="s">
        <v>1229</v>
      </c>
      <c r="K419" s="585" t="s">
        <v>1229</v>
      </c>
    </row>
    <row r="420" spans="1:11">
      <c r="A420" s="208">
        <v>8116</v>
      </c>
      <c r="B420" s="208" t="s">
        <v>140</v>
      </c>
      <c r="C420" s="221">
        <v>-6915.3959999999997</v>
      </c>
      <c r="D420" s="585" t="s">
        <v>1229</v>
      </c>
      <c r="E420" s="585" t="s">
        <v>1229</v>
      </c>
      <c r="F420" s="585" t="s">
        <v>1229</v>
      </c>
      <c r="G420" s="585" t="s">
        <v>1229</v>
      </c>
      <c r="H420" s="585" t="s">
        <v>1229</v>
      </c>
      <c r="I420" s="585" t="s">
        <v>1229</v>
      </c>
      <c r="J420" s="585" t="s">
        <v>1229</v>
      </c>
      <c r="K420" s="585" t="s">
        <v>1229</v>
      </c>
    </row>
    <row r="421" spans="1:11">
      <c r="A421" s="208">
        <v>8117</v>
      </c>
      <c r="B421" s="208" t="s">
        <v>141</v>
      </c>
      <c r="C421" s="585" t="s">
        <v>1229</v>
      </c>
      <c r="D421" s="585" t="s">
        <v>1229</v>
      </c>
      <c r="E421" s="585" t="s">
        <v>1229</v>
      </c>
      <c r="F421" s="585" t="s">
        <v>1229</v>
      </c>
      <c r="G421" s="585" t="s">
        <v>1229</v>
      </c>
      <c r="H421" s="585" t="s">
        <v>1229</v>
      </c>
      <c r="I421" s="585" t="s">
        <v>1229</v>
      </c>
      <c r="J421" s="585" t="s">
        <v>1229</v>
      </c>
      <c r="K421" s="585" t="s">
        <v>1229</v>
      </c>
    </row>
    <row r="422" spans="1:11">
      <c r="A422" s="208">
        <v>8118</v>
      </c>
      <c r="B422" s="208" t="s">
        <v>142</v>
      </c>
      <c r="C422" s="221">
        <v>-739.32299999999998</v>
      </c>
      <c r="D422" s="221">
        <v>-732.35799999999995</v>
      </c>
      <c r="E422" s="230">
        <v>1.4621979999999999</v>
      </c>
      <c r="F422" s="585" t="s">
        <v>1229</v>
      </c>
      <c r="G422" s="585" t="s">
        <v>1229</v>
      </c>
      <c r="H422" s="585" t="s">
        <v>1229</v>
      </c>
      <c r="I422" s="585" t="s">
        <v>1229</v>
      </c>
      <c r="J422" s="585" t="s">
        <v>1229</v>
      </c>
      <c r="K422" s="585" t="s">
        <v>1229</v>
      </c>
    </row>
    <row r="423" spans="1:11">
      <c r="A423" s="208">
        <v>8119</v>
      </c>
      <c r="B423" s="208" t="s">
        <v>143</v>
      </c>
      <c r="C423" s="221">
        <v>-299.74900000000002</v>
      </c>
      <c r="D423" s="221">
        <v>-300.56700000000001</v>
      </c>
      <c r="E423" s="230">
        <v>0</v>
      </c>
      <c r="F423" s="230">
        <v>19.334523000000001</v>
      </c>
      <c r="G423" s="230">
        <v>47.762866000000002</v>
      </c>
      <c r="H423" s="585" t="s">
        <v>1229</v>
      </c>
      <c r="I423" s="585" t="s">
        <v>1229</v>
      </c>
      <c r="J423" s="585" t="s">
        <v>1229</v>
      </c>
      <c r="K423" s="585" t="s">
        <v>1229</v>
      </c>
    </row>
    <row r="424" spans="1:11">
      <c r="A424" s="208">
        <v>8121</v>
      </c>
      <c r="B424" s="208" t="s">
        <v>144</v>
      </c>
      <c r="C424" s="221">
        <v>-27.619</v>
      </c>
      <c r="D424" s="585" t="s">
        <v>1229</v>
      </c>
      <c r="E424" s="230">
        <v>-1.7310300000000001</v>
      </c>
      <c r="F424" s="585" t="s">
        <v>1229</v>
      </c>
      <c r="G424" s="585" t="s">
        <v>1229</v>
      </c>
      <c r="H424" s="585" t="s">
        <v>1229</v>
      </c>
      <c r="I424" s="585" t="s">
        <v>1229</v>
      </c>
      <c r="J424" s="585" t="s">
        <v>1229</v>
      </c>
      <c r="K424" s="585" t="s">
        <v>1229</v>
      </c>
    </row>
    <row r="425" spans="1:11">
      <c r="A425" s="208">
        <v>8122</v>
      </c>
      <c r="B425" s="208" t="s">
        <v>145</v>
      </c>
      <c r="C425" s="221">
        <v>-161.45400000000001</v>
      </c>
      <c r="D425" s="221">
        <v>-279.91800000000001</v>
      </c>
      <c r="E425" s="585" t="s">
        <v>1229</v>
      </c>
      <c r="F425" s="585" t="s">
        <v>1229</v>
      </c>
      <c r="G425" s="585" t="s">
        <v>1229</v>
      </c>
      <c r="H425" s="585" t="s">
        <v>1229</v>
      </c>
      <c r="I425" s="585" t="s">
        <v>1229</v>
      </c>
      <c r="J425" s="585" t="s">
        <v>1229</v>
      </c>
      <c r="K425" s="585" t="s">
        <v>1229</v>
      </c>
    </row>
    <row r="426" spans="1:11">
      <c r="A426" s="208">
        <v>8123</v>
      </c>
      <c r="B426" s="208" t="s">
        <v>66</v>
      </c>
      <c r="C426" s="585" t="s">
        <v>1229</v>
      </c>
      <c r="D426" s="585" t="s">
        <v>1229</v>
      </c>
      <c r="E426" s="585" t="s">
        <v>1229</v>
      </c>
      <c r="F426" s="230">
        <v>-2.7000000000000001E-3</v>
      </c>
      <c r="G426" s="230">
        <v>-26.971599999999999</v>
      </c>
      <c r="H426" s="230">
        <v>-112.6002</v>
      </c>
      <c r="I426" s="230">
        <v>-143.90270000000001</v>
      </c>
      <c r="J426" s="230">
        <v>-2.8626999999999998</v>
      </c>
      <c r="K426" s="230">
        <v>0</v>
      </c>
    </row>
    <row r="427" spans="1:11">
      <c r="A427" s="208"/>
      <c r="B427" s="208"/>
      <c r="C427" s="221"/>
      <c r="D427" s="221"/>
      <c r="E427" s="230"/>
      <c r="F427" s="230"/>
      <c r="G427" s="230"/>
      <c r="H427" s="230"/>
      <c r="I427" s="230"/>
      <c r="J427" s="230"/>
      <c r="K427" s="230"/>
    </row>
    <row r="428" spans="1:11" ht="13.5" thickBot="1">
      <c r="A428" s="231" t="s">
        <v>367</v>
      </c>
      <c r="B428" s="231"/>
      <c r="C428" s="232">
        <v>810314.98600000003</v>
      </c>
      <c r="D428" s="232">
        <v>863716.28200000001</v>
      </c>
      <c r="E428" s="232">
        <v>901274.47743662004</v>
      </c>
      <c r="F428" s="232">
        <v>709536.22767848708</v>
      </c>
      <c r="G428" s="232">
        <v>779520.67434207001</v>
      </c>
      <c r="H428" s="232">
        <v>872416.92236579035</v>
      </c>
      <c r="I428" s="232">
        <v>787573.19252664992</v>
      </c>
      <c r="J428" s="232">
        <v>790534.93592967</v>
      </c>
      <c r="K428" s="232">
        <v>790209.53564569901</v>
      </c>
    </row>
    <row r="429" spans="1:11">
      <c r="A429" s="460" t="s">
        <v>179</v>
      </c>
    </row>
    <row r="430" spans="1:11">
      <c r="A430" s="460" t="s">
        <v>2057</v>
      </c>
      <c r="B430" s="460"/>
      <c r="C430" s="460"/>
      <c r="D430" s="460"/>
      <c r="E430" s="460"/>
    </row>
    <row r="431" spans="1:11">
      <c r="A431" s="460" t="s">
        <v>2058</v>
      </c>
      <c r="B431" s="460"/>
      <c r="C431" s="460"/>
      <c r="D431" s="460"/>
      <c r="E431" s="460"/>
    </row>
    <row r="433" spans="5:11" s="210" customFormat="1">
      <c r="E433" s="222"/>
      <c r="F433" s="225"/>
      <c r="J433" s="225"/>
      <c r="K433" s="225"/>
    </row>
    <row r="436" spans="5:11" s="210" customFormat="1">
      <c r="E436" s="222"/>
      <c r="G436" s="225"/>
      <c r="H436" s="225"/>
    </row>
    <row r="438" spans="5:11" s="210" customFormat="1">
      <c r="E438" s="225"/>
      <c r="G438" s="236"/>
      <c r="H438" s="236"/>
    </row>
  </sheetData>
  <phoneticPr fontId="15" type="noConversion"/>
  <pageMargins left="0.74803149606299213" right="0.62992125984251968" top="0.55118110236220474" bottom="0.55118110236220474" header="0.51181102362204722" footer="0.51181102362204722"/>
  <pageSetup paperSize="9" scale="63" fitToHeight="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election activeCell="F49" sqref="F49"/>
    </sheetView>
  </sheetViews>
  <sheetFormatPr defaultColWidth="41.83203125" defaultRowHeight="12.75"/>
  <cols>
    <col min="1" max="1" width="30" style="239" customWidth="1"/>
    <col min="2" max="2" width="10.33203125" style="239" hidden="1" customWidth="1"/>
    <col min="3" max="6" width="0" style="239" hidden="1" customWidth="1"/>
    <col min="7" max="7" width="6.6640625" style="239" bestFit="1" customWidth="1"/>
    <col min="8" max="11" width="5.6640625" style="239" bestFit="1" customWidth="1"/>
    <col min="12" max="17" width="6.6640625" style="239" bestFit="1" customWidth="1"/>
    <col min="21" max="247" width="9.33203125" style="239" customWidth="1"/>
    <col min="248" max="16384" width="41.83203125" style="239"/>
  </cols>
  <sheetData>
    <row r="1" spans="1:17" s="239" customFormat="1">
      <c r="A1" s="237" t="s">
        <v>1775</v>
      </c>
    </row>
    <row r="2" spans="1:17" s="239" customFormat="1">
      <c r="A2" s="237" t="s">
        <v>1776</v>
      </c>
    </row>
    <row r="3" spans="1:17" s="239" customFormat="1">
      <c r="A3" s="240" t="s">
        <v>1777</v>
      </c>
      <c r="B3" s="299"/>
      <c r="E3" s="299"/>
      <c r="F3" s="299"/>
      <c r="G3" s="299"/>
      <c r="H3" s="299"/>
    </row>
    <row r="4" spans="1:17" s="239" customFormat="1" ht="13.5" thickBot="1">
      <c r="A4" s="299"/>
      <c r="B4" s="299"/>
      <c r="C4" s="299"/>
      <c r="D4" s="299"/>
      <c r="E4" s="299"/>
      <c r="F4" s="299"/>
      <c r="G4" s="299"/>
      <c r="H4" s="299"/>
      <c r="I4" s="244"/>
      <c r="J4" s="244"/>
      <c r="K4" s="244"/>
      <c r="L4" s="244"/>
      <c r="M4" s="244"/>
      <c r="N4" s="244"/>
      <c r="O4" s="244"/>
      <c r="P4" s="244"/>
      <c r="Q4" s="244"/>
    </row>
    <row r="5" spans="1:17" s="239" customFormat="1" ht="13.5" thickBot="1">
      <c r="A5" s="245" t="s">
        <v>727</v>
      </c>
      <c r="B5" s="245">
        <v>1995</v>
      </c>
      <c r="C5" s="245">
        <v>1996</v>
      </c>
      <c r="D5" s="245">
        <v>1997</v>
      </c>
      <c r="E5" s="245">
        <v>1998</v>
      </c>
      <c r="F5" s="245">
        <v>1999</v>
      </c>
      <c r="G5" s="245">
        <v>2000</v>
      </c>
      <c r="H5" s="245">
        <v>2001</v>
      </c>
      <c r="I5" s="254">
        <v>2002</v>
      </c>
      <c r="J5" s="254">
        <v>2003</v>
      </c>
      <c r="K5" s="254">
        <v>2004</v>
      </c>
      <c r="L5" s="254">
        <v>2005</v>
      </c>
      <c r="M5" s="254">
        <v>2006</v>
      </c>
      <c r="N5" s="254">
        <v>2007</v>
      </c>
      <c r="O5" s="254">
        <v>2008</v>
      </c>
      <c r="P5" s="254">
        <v>2009</v>
      </c>
      <c r="Q5" s="254">
        <v>2010</v>
      </c>
    </row>
    <row r="6" spans="1:17" s="239" customFormat="1">
      <c r="A6" s="240"/>
      <c r="B6" s="240"/>
      <c r="C6" s="240"/>
      <c r="D6" s="240"/>
      <c r="E6" s="240"/>
      <c r="F6" s="240"/>
      <c r="G6" s="240"/>
      <c r="H6" s="240"/>
      <c r="I6" s="240"/>
    </row>
    <row r="7" spans="1:17" s="239" customFormat="1">
      <c r="A7" s="282" t="s">
        <v>672</v>
      </c>
      <c r="B7" s="283">
        <v>5658.7729999999992</v>
      </c>
      <c r="C7" s="283">
        <v>6412.7286182000007</v>
      </c>
      <c r="D7" s="283">
        <v>13054</v>
      </c>
      <c r="E7" s="283">
        <v>8922.8556435999999</v>
      </c>
      <c r="F7" s="283">
        <v>7971.544206300001</v>
      </c>
      <c r="G7" s="283">
        <v>16827.206687400001</v>
      </c>
      <c r="H7" s="283">
        <v>4991</v>
      </c>
      <c r="I7" s="283">
        <v>4200.6890833099997</v>
      </c>
      <c r="J7" s="283">
        <v>4516</v>
      </c>
      <c r="K7" s="283">
        <v>7597.2004467999996</v>
      </c>
      <c r="L7" s="283">
        <v>12143</v>
      </c>
      <c r="M7" s="283">
        <v>22963</v>
      </c>
      <c r="N7" s="283">
        <v>33249</v>
      </c>
      <c r="O7" s="283">
        <v>24681</v>
      </c>
      <c r="P7" s="283">
        <v>19140</v>
      </c>
      <c r="Q7" s="283">
        <v>16876</v>
      </c>
    </row>
    <row r="8" spans="1:17" s="239" customFormat="1" ht="13.5" thickBot="1">
      <c r="A8" s="300" t="s">
        <v>673</v>
      </c>
      <c r="B8" s="301">
        <v>5658.7729999999992</v>
      </c>
      <c r="C8" s="302">
        <v>6412.7286182000007</v>
      </c>
      <c r="D8" s="303">
        <v>13054</v>
      </c>
      <c r="E8" s="304">
        <v>8922.8556435999999</v>
      </c>
      <c r="F8" s="302">
        <v>7971.544206300001</v>
      </c>
      <c r="G8" s="302">
        <v>16827.206687400001</v>
      </c>
      <c r="H8" s="302">
        <v>4991</v>
      </c>
      <c r="I8" s="302">
        <v>4200.6890833099997</v>
      </c>
      <c r="J8" s="305">
        <v>4516</v>
      </c>
      <c r="K8" s="306">
        <v>7597.2004467999996</v>
      </c>
      <c r="L8" s="306">
        <v>12143</v>
      </c>
      <c r="M8" s="306">
        <v>22963</v>
      </c>
      <c r="N8" s="306">
        <v>33249</v>
      </c>
      <c r="O8" s="306">
        <v>24681</v>
      </c>
      <c r="P8" s="306">
        <v>19140</v>
      </c>
      <c r="Q8" s="306">
        <v>16876</v>
      </c>
    </row>
    <row r="9" spans="1:17" s="239" customFormat="1" ht="13.5" thickBot="1">
      <c r="J9" s="244"/>
      <c r="K9" s="244"/>
      <c r="L9" s="244"/>
      <c r="M9" s="244"/>
      <c r="N9" s="244"/>
      <c r="O9" s="244"/>
      <c r="P9" s="244"/>
      <c r="Q9" s="244"/>
    </row>
    <row r="10" spans="1:17" s="239" customFormat="1" ht="13.5" thickBot="1">
      <c r="A10" s="245" t="s">
        <v>728</v>
      </c>
      <c r="B10" s="245"/>
      <c r="C10" s="245"/>
      <c r="D10" s="245"/>
      <c r="E10" s="245"/>
      <c r="F10" s="245"/>
      <c r="G10" s="245"/>
      <c r="H10" s="245"/>
      <c r="I10" s="245"/>
      <c r="J10" s="307"/>
      <c r="K10" s="307"/>
      <c r="L10" s="307"/>
      <c r="M10" s="307"/>
      <c r="N10" s="307"/>
      <c r="O10" s="307"/>
      <c r="P10" s="307"/>
      <c r="Q10" s="307"/>
    </row>
    <row r="11" spans="1:17" s="239" customFormat="1">
      <c r="A11" s="261"/>
      <c r="G11" s="267"/>
      <c r="H11" s="267"/>
      <c r="I11" s="267"/>
      <c r="J11" s="240"/>
      <c r="K11" s="240"/>
      <c r="L11" s="240"/>
      <c r="M11" s="240"/>
      <c r="N11" s="240"/>
      <c r="O11" s="240"/>
      <c r="P11" s="240"/>
    </row>
    <row r="12" spans="1:17" s="239" customFormat="1">
      <c r="A12" s="261" t="s">
        <v>729</v>
      </c>
      <c r="G12" s="267">
        <v>4</v>
      </c>
      <c r="H12" s="269" t="s">
        <v>1229</v>
      </c>
      <c r="I12" s="269" t="s">
        <v>1229</v>
      </c>
      <c r="J12" s="308" t="s">
        <v>1229</v>
      </c>
      <c r="K12" s="308" t="s">
        <v>1229</v>
      </c>
      <c r="L12" s="308" t="s">
        <v>1229</v>
      </c>
      <c r="M12" s="308" t="s">
        <v>1229</v>
      </c>
      <c r="N12" s="308" t="s">
        <v>1229</v>
      </c>
      <c r="O12" s="308" t="s">
        <v>1229</v>
      </c>
      <c r="P12" s="308" t="s">
        <v>1229</v>
      </c>
      <c r="Q12" s="308" t="s">
        <v>1229</v>
      </c>
    </row>
    <row r="13" spans="1:17" s="239" customFormat="1">
      <c r="A13" s="261" t="s">
        <v>730</v>
      </c>
      <c r="G13" s="267">
        <v>600</v>
      </c>
      <c r="H13" s="267">
        <v>200</v>
      </c>
      <c r="I13" s="267">
        <v>270</v>
      </c>
      <c r="J13" s="267">
        <v>245</v>
      </c>
      <c r="K13" s="267">
        <v>250</v>
      </c>
      <c r="L13" s="267">
        <v>394</v>
      </c>
      <c r="M13" s="267">
        <v>660</v>
      </c>
      <c r="N13" s="267">
        <v>1400</v>
      </c>
      <c r="O13" s="267">
        <v>967</v>
      </c>
      <c r="P13" s="267">
        <v>978</v>
      </c>
      <c r="Q13" s="309">
        <v>1219</v>
      </c>
    </row>
    <row r="14" spans="1:17" s="239" customFormat="1">
      <c r="A14" s="261" t="s">
        <v>1257</v>
      </c>
      <c r="G14" s="267">
        <v>100</v>
      </c>
      <c r="H14" s="267">
        <v>100</v>
      </c>
      <c r="I14" s="269" t="s">
        <v>1229</v>
      </c>
      <c r="J14" s="240">
        <v>100</v>
      </c>
      <c r="K14" s="240">
        <v>117</v>
      </c>
      <c r="L14" s="240">
        <v>100</v>
      </c>
      <c r="M14" s="240">
        <v>70</v>
      </c>
      <c r="N14" s="240">
        <v>150</v>
      </c>
      <c r="O14" s="240">
        <v>145</v>
      </c>
      <c r="P14" s="267">
        <v>237</v>
      </c>
      <c r="Q14" s="309">
        <v>177</v>
      </c>
    </row>
    <row r="15" spans="1:17" s="239" customFormat="1">
      <c r="A15" s="311" t="s">
        <v>1614</v>
      </c>
      <c r="G15" s="267"/>
      <c r="H15" s="267"/>
      <c r="I15" s="269"/>
      <c r="J15" s="240"/>
      <c r="K15" s="240"/>
      <c r="L15" s="240"/>
      <c r="M15" s="240"/>
      <c r="N15" s="240"/>
      <c r="O15" s="240"/>
      <c r="P15" s="267"/>
      <c r="Q15" s="309"/>
    </row>
    <row r="16" spans="1:17" s="239" customFormat="1">
      <c r="A16" s="311" t="s">
        <v>1615</v>
      </c>
      <c r="G16" s="267"/>
      <c r="H16" s="267"/>
      <c r="I16" s="269"/>
      <c r="J16" s="240"/>
      <c r="K16" s="240"/>
      <c r="L16" s="240"/>
      <c r="M16" s="240"/>
      <c r="N16" s="240"/>
      <c r="O16" s="240"/>
      <c r="P16" s="267"/>
      <c r="Q16" s="309"/>
    </row>
    <row r="17" spans="1:17" s="239" customFormat="1">
      <c r="A17" s="311" t="s">
        <v>1616</v>
      </c>
      <c r="G17" s="267"/>
      <c r="H17" s="267"/>
      <c r="I17" s="269"/>
      <c r="J17" s="240"/>
      <c r="K17" s="240"/>
      <c r="L17" s="240"/>
      <c r="M17" s="240"/>
      <c r="N17" s="240"/>
      <c r="O17" s="240"/>
      <c r="P17" s="267"/>
      <c r="Q17" s="309"/>
    </row>
    <row r="18" spans="1:17" s="239" customFormat="1">
      <c r="A18" s="261" t="s">
        <v>731</v>
      </c>
      <c r="G18" s="267">
        <v>230</v>
      </c>
      <c r="H18" s="267">
        <v>199</v>
      </c>
      <c r="I18" s="269" t="s">
        <v>1229</v>
      </c>
      <c r="J18" s="308" t="s">
        <v>1229</v>
      </c>
      <c r="K18" s="308" t="s">
        <v>1229</v>
      </c>
      <c r="L18" s="308" t="s">
        <v>1229</v>
      </c>
      <c r="M18" s="308" t="s">
        <v>1229</v>
      </c>
      <c r="N18" s="308" t="s">
        <v>1229</v>
      </c>
      <c r="O18" s="308" t="s">
        <v>1229</v>
      </c>
      <c r="P18" s="308" t="s">
        <v>1229</v>
      </c>
      <c r="Q18" s="313" t="s">
        <v>1229</v>
      </c>
    </row>
    <row r="19" spans="1:17" s="239" customFormat="1">
      <c r="A19" s="261" t="s">
        <v>1258</v>
      </c>
      <c r="G19" s="267"/>
      <c r="H19" s="267"/>
      <c r="I19" s="269"/>
      <c r="J19" s="308"/>
      <c r="K19" s="308"/>
      <c r="L19" s="308"/>
      <c r="M19" s="308">
        <v>1</v>
      </c>
      <c r="N19" s="308">
        <v>8</v>
      </c>
      <c r="O19" s="308">
        <v>4</v>
      </c>
      <c r="P19" s="308" t="s">
        <v>1229</v>
      </c>
      <c r="Q19" s="309">
        <v>12</v>
      </c>
    </row>
    <row r="20" spans="1:17" s="239" customFormat="1">
      <c r="A20" s="261" t="s">
        <v>1150</v>
      </c>
      <c r="G20" s="267">
        <v>164</v>
      </c>
      <c r="H20" s="267">
        <v>173</v>
      </c>
      <c r="I20" s="267">
        <v>537</v>
      </c>
      <c r="J20" s="267">
        <v>216</v>
      </c>
      <c r="K20" s="267">
        <v>9</v>
      </c>
      <c r="L20" s="267">
        <v>165</v>
      </c>
      <c r="M20" s="267">
        <v>254</v>
      </c>
      <c r="N20" s="267">
        <v>698</v>
      </c>
      <c r="O20" s="267">
        <v>791</v>
      </c>
      <c r="P20" s="308" t="s">
        <v>1229</v>
      </c>
      <c r="Q20" s="313" t="s">
        <v>1229</v>
      </c>
    </row>
    <row r="21" spans="1:17" s="239" customFormat="1">
      <c r="A21" s="261" t="s">
        <v>368</v>
      </c>
      <c r="G21" s="269" t="s">
        <v>1229</v>
      </c>
      <c r="H21" s="269" t="s">
        <v>1229</v>
      </c>
      <c r="I21" s="269" t="s">
        <v>1229</v>
      </c>
      <c r="J21" s="269" t="s">
        <v>1229</v>
      </c>
      <c r="K21" s="269" t="s">
        <v>1229</v>
      </c>
      <c r="L21" s="269" t="s">
        <v>1229</v>
      </c>
      <c r="M21" s="269" t="s">
        <v>1229</v>
      </c>
      <c r="N21" s="267">
        <v>80</v>
      </c>
      <c r="O21" s="267">
        <v>85</v>
      </c>
      <c r="P21" s="308" t="s">
        <v>1229</v>
      </c>
      <c r="Q21" s="313" t="s">
        <v>1229</v>
      </c>
    </row>
    <row r="22" spans="1:17" s="239" customFormat="1">
      <c r="A22" s="208" t="s">
        <v>1321</v>
      </c>
      <c r="G22" s="269"/>
      <c r="H22" s="269"/>
      <c r="I22" s="269"/>
      <c r="J22" s="269"/>
      <c r="K22" s="269"/>
      <c r="L22" s="269"/>
      <c r="M22" s="269"/>
      <c r="N22" s="267"/>
      <c r="O22" s="267"/>
      <c r="P22" s="308"/>
      <c r="Q22" s="309">
        <v>195</v>
      </c>
    </row>
    <row r="23" spans="1:17" s="239" customFormat="1">
      <c r="A23" s="261" t="s">
        <v>1259</v>
      </c>
      <c r="G23" s="267">
        <v>2</v>
      </c>
      <c r="H23" s="267">
        <v>3</v>
      </c>
      <c r="I23" s="267">
        <v>3</v>
      </c>
      <c r="J23" s="267">
        <v>10</v>
      </c>
      <c r="K23" s="267">
        <v>4</v>
      </c>
      <c r="L23" s="267">
        <v>4</v>
      </c>
      <c r="M23" s="267">
        <v>5</v>
      </c>
      <c r="N23" s="267">
        <v>4</v>
      </c>
      <c r="O23" s="267">
        <v>4</v>
      </c>
      <c r="P23" s="267">
        <v>4</v>
      </c>
      <c r="Q23" s="313" t="s">
        <v>1229</v>
      </c>
    </row>
    <row r="24" spans="1:17" s="239" customFormat="1">
      <c r="A24" s="261" t="s">
        <v>1151</v>
      </c>
      <c r="G24" s="269" t="s">
        <v>1229</v>
      </c>
      <c r="H24" s="269" t="s">
        <v>1229</v>
      </c>
      <c r="I24" s="267">
        <v>6</v>
      </c>
      <c r="J24" s="240">
        <v>9</v>
      </c>
      <c r="K24" s="314" t="s">
        <v>1229</v>
      </c>
      <c r="L24" s="314" t="s">
        <v>1229</v>
      </c>
      <c r="M24" s="314">
        <v>25</v>
      </c>
      <c r="N24" s="314">
        <v>50</v>
      </c>
      <c r="O24" s="314">
        <v>25</v>
      </c>
      <c r="P24" s="308" t="s">
        <v>1229</v>
      </c>
      <c r="Q24" s="313" t="s">
        <v>1229</v>
      </c>
    </row>
    <row r="25" spans="1:17" s="239" customFormat="1">
      <c r="A25" s="261" t="s">
        <v>1152</v>
      </c>
      <c r="G25" s="267">
        <v>231</v>
      </c>
      <c r="H25" s="267">
        <v>231</v>
      </c>
      <c r="I25" s="267">
        <v>231</v>
      </c>
      <c r="J25" s="267">
        <v>231</v>
      </c>
      <c r="K25" s="267">
        <v>281</v>
      </c>
      <c r="L25" s="267">
        <v>520</v>
      </c>
      <c r="M25" s="267">
        <v>1500</v>
      </c>
      <c r="N25" s="267">
        <v>2000</v>
      </c>
      <c r="O25" s="267">
        <v>2000</v>
      </c>
      <c r="P25" s="267">
        <v>2800</v>
      </c>
      <c r="Q25" s="309">
        <v>500</v>
      </c>
    </row>
    <row r="26" spans="1:17" s="239" customFormat="1">
      <c r="A26" s="311" t="s">
        <v>1617</v>
      </c>
      <c r="G26" s="267"/>
      <c r="H26" s="267"/>
      <c r="I26" s="267"/>
      <c r="J26" s="267"/>
      <c r="K26" s="267"/>
      <c r="L26" s="267"/>
      <c r="M26" s="267"/>
      <c r="N26" s="267"/>
      <c r="O26" s="267"/>
      <c r="P26" s="267"/>
      <c r="Q26" s="309"/>
    </row>
    <row r="27" spans="1:17" s="239" customFormat="1">
      <c r="A27" s="261" t="s">
        <v>1138</v>
      </c>
      <c r="G27" s="267">
        <v>949</v>
      </c>
      <c r="H27" s="267">
        <v>1084</v>
      </c>
      <c r="I27" s="267">
        <v>1152</v>
      </c>
      <c r="J27" s="267">
        <v>1134.3294501</v>
      </c>
      <c r="K27" s="267">
        <v>1240.4887135399999</v>
      </c>
      <c r="L27" s="267">
        <v>1318</v>
      </c>
      <c r="M27" s="267">
        <v>1691</v>
      </c>
      <c r="N27" s="267">
        <v>2347</v>
      </c>
      <c r="O27" s="267">
        <v>2423</v>
      </c>
      <c r="P27" s="267">
        <v>1120</v>
      </c>
      <c r="Q27" s="309">
        <v>1248</v>
      </c>
    </row>
    <row r="28" spans="1:17" s="239" customFormat="1">
      <c r="A28" s="261" t="s">
        <v>1153</v>
      </c>
      <c r="G28" s="267">
        <v>116</v>
      </c>
      <c r="H28" s="267">
        <v>140</v>
      </c>
      <c r="I28" s="267">
        <v>141</v>
      </c>
      <c r="J28" s="315">
        <v>145.41123544000001</v>
      </c>
      <c r="K28" s="267">
        <v>149.03773601</v>
      </c>
      <c r="L28" s="267">
        <v>201</v>
      </c>
      <c r="M28" s="267">
        <v>193</v>
      </c>
      <c r="N28" s="267">
        <v>176</v>
      </c>
      <c r="O28" s="267">
        <v>89</v>
      </c>
      <c r="P28" s="308" t="s">
        <v>1229</v>
      </c>
      <c r="Q28" s="313" t="s">
        <v>1229</v>
      </c>
    </row>
    <row r="29" spans="1:17" s="239" customFormat="1">
      <c r="A29" s="261" t="s">
        <v>1139</v>
      </c>
      <c r="G29" s="267">
        <v>32</v>
      </c>
      <c r="H29" s="267">
        <v>48</v>
      </c>
      <c r="I29" s="267">
        <v>8</v>
      </c>
      <c r="J29" s="315">
        <v>7.9934659999999997</v>
      </c>
      <c r="K29" s="269" t="s">
        <v>1229</v>
      </c>
      <c r="L29" s="269" t="s">
        <v>1229</v>
      </c>
      <c r="M29" s="269">
        <v>76</v>
      </c>
      <c r="N29" s="269">
        <v>52</v>
      </c>
      <c r="O29" s="269" t="s">
        <v>1229</v>
      </c>
      <c r="P29" s="308" t="s">
        <v>1229</v>
      </c>
      <c r="Q29" s="313" t="s">
        <v>1229</v>
      </c>
    </row>
    <row r="30" spans="1:17" s="239" customFormat="1">
      <c r="A30" s="311" t="s">
        <v>1618</v>
      </c>
      <c r="G30" s="269" t="s">
        <v>1229</v>
      </c>
      <c r="H30" s="269" t="s">
        <v>1229</v>
      </c>
      <c r="I30" s="269" t="s">
        <v>1229</v>
      </c>
      <c r="J30" s="316" t="s">
        <v>1229</v>
      </c>
      <c r="K30" s="269" t="s">
        <v>1229</v>
      </c>
      <c r="L30" s="269">
        <v>150</v>
      </c>
      <c r="M30" s="269">
        <v>175</v>
      </c>
      <c r="N30" s="269">
        <v>400</v>
      </c>
      <c r="O30" s="269">
        <v>625</v>
      </c>
      <c r="P30" s="267">
        <v>1400</v>
      </c>
      <c r="Q30" s="309">
        <v>874</v>
      </c>
    </row>
    <row r="31" spans="1:17" s="239" customFormat="1">
      <c r="A31" s="261" t="s">
        <v>1244</v>
      </c>
      <c r="G31" s="269"/>
      <c r="H31" s="269"/>
      <c r="I31" s="269"/>
      <c r="J31" s="316"/>
      <c r="K31" s="269"/>
      <c r="L31" s="269"/>
      <c r="M31" s="269"/>
      <c r="N31" s="269"/>
      <c r="O31" s="269"/>
      <c r="P31" s="267">
        <v>2901</v>
      </c>
      <c r="Q31" s="309">
        <v>8</v>
      </c>
    </row>
    <row r="32" spans="1:17" s="239" customFormat="1">
      <c r="A32" s="261" t="s">
        <v>1140</v>
      </c>
      <c r="G32" s="269"/>
      <c r="H32" s="269"/>
      <c r="I32" s="269"/>
      <c r="J32" s="316"/>
      <c r="K32" s="269"/>
      <c r="L32" s="269"/>
      <c r="M32" s="269">
        <v>30</v>
      </c>
      <c r="N32" s="269">
        <v>3</v>
      </c>
      <c r="O32" s="269">
        <v>6</v>
      </c>
      <c r="P32" s="308" t="s">
        <v>1229</v>
      </c>
      <c r="Q32" s="309">
        <v>1</v>
      </c>
    </row>
    <row r="33" spans="1:17" s="239" customFormat="1">
      <c r="A33" s="261" t="s">
        <v>1154</v>
      </c>
      <c r="G33" s="269" t="s">
        <v>1229</v>
      </c>
      <c r="H33" s="267">
        <v>159</v>
      </c>
      <c r="I33" s="269" t="s">
        <v>1229</v>
      </c>
      <c r="J33" s="308" t="s">
        <v>1229</v>
      </c>
      <c r="K33" s="313" t="s">
        <v>1229</v>
      </c>
      <c r="L33" s="313" t="s">
        <v>1229</v>
      </c>
      <c r="M33" s="308" t="s">
        <v>1229</v>
      </c>
      <c r="N33" s="308" t="s">
        <v>1229</v>
      </c>
      <c r="O33" s="308" t="s">
        <v>1229</v>
      </c>
      <c r="P33" s="308" t="s">
        <v>1229</v>
      </c>
      <c r="Q33" s="308" t="s">
        <v>1229</v>
      </c>
    </row>
    <row r="34" spans="1:17" s="239" customFormat="1">
      <c r="A34" s="261" t="s">
        <v>1155</v>
      </c>
      <c r="G34" s="267">
        <v>89</v>
      </c>
      <c r="H34" s="267">
        <v>103</v>
      </c>
      <c r="I34" s="267">
        <v>120</v>
      </c>
      <c r="J34" s="267">
        <v>137</v>
      </c>
      <c r="K34" s="240">
        <v>143</v>
      </c>
      <c r="L34" s="240">
        <v>139</v>
      </c>
      <c r="M34" s="308" t="s">
        <v>1229</v>
      </c>
      <c r="N34" s="308" t="s">
        <v>1229</v>
      </c>
      <c r="O34" s="308" t="s">
        <v>1229</v>
      </c>
      <c r="P34" s="308" t="s">
        <v>1229</v>
      </c>
      <c r="Q34" s="308" t="s">
        <v>1229</v>
      </c>
    </row>
    <row r="35" spans="1:17" s="239" customFormat="1">
      <c r="A35" s="261" t="s">
        <v>369</v>
      </c>
      <c r="G35" s="269" t="s">
        <v>1229</v>
      </c>
      <c r="H35" s="269" t="s">
        <v>1229</v>
      </c>
      <c r="I35" s="269" t="s">
        <v>1229</v>
      </c>
      <c r="J35" s="269" t="s">
        <v>1229</v>
      </c>
      <c r="K35" s="308" t="s">
        <v>1229</v>
      </c>
      <c r="L35" s="308" t="s">
        <v>1229</v>
      </c>
      <c r="M35" s="308" t="s">
        <v>1229</v>
      </c>
      <c r="N35" s="308">
        <v>150</v>
      </c>
      <c r="O35" s="308">
        <v>169</v>
      </c>
      <c r="P35" s="267">
        <v>181</v>
      </c>
      <c r="Q35" s="309">
        <v>153</v>
      </c>
    </row>
    <row r="36" spans="1:17" s="239" customFormat="1">
      <c r="A36" s="261" t="s">
        <v>1156</v>
      </c>
      <c r="G36" s="313" t="s">
        <v>1229</v>
      </c>
      <c r="H36" s="313" t="s">
        <v>1229</v>
      </c>
      <c r="I36" s="313" t="s">
        <v>1229</v>
      </c>
      <c r="J36" s="313" t="s">
        <v>1229</v>
      </c>
      <c r="K36" s="240">
        <v>2</v>
      </c>
      <c r="L36" s="308" t="s">
        <v>1229</v>
      </c>
      <c r="M36" s="308" t="s">
        <v>1229</v>
      </c>
      <c r="N36" s="308" t="s">
        <v>1229</v>
      </c>
      <c r="O36" s="308" t="s">
        <v>1229</v>
      </c>
      <c r="P36" s="308" t="s">
        <v>1229</v>
      </c>
      <c r="Q36" s="308" t="s">
        <v>1229</v>
      </c>
    </row>
    <row r="37" spans="1:17" s="239" customFormat="1">
      <c r="A37" s="261" t="s">
        <v>1141</v>
      </c>
      <c r="G37" s="267">
        <v>3</v>
      </c>
      <c r="H37" s="267">
        <v>4</v>
      </c>
      <c r="I37" s="267">
        <v>2</v>
      </c>
      <c r="J37" s="267">
        <v>2.3384999999999998</v>
      </c>
      <c r="K37" s="267">
        <v>2</v>
      </c>
      <c r="L37" s="267">
        <v>2</v>
      </c>
      <c r="M37" s="267">
        <v>2</v>
      </c>
      <c r="N37" s="267">
        <v>4</v>
      </c>
      <c r="O37" s="267">
        <v>4</v>
      </c>
      <c r="P37" s="308">
        <v>4</v>
      </c>
      <c r="Q37" s="309">
        <v>4</v>
      </c>
    </row>
    <row r="38" spans="1:17" s="239" customFormat="1">
      <c r="A38" s="261" t="s">
        <v>1157</v>
      </c>
      <c r="G38" s="267">
        <v>60</v>
      </c>
      <c r="H38" s="267">
        <v>116</v>
      </c>
      <c r="I38" s="267">
        <v>54</v>
      </c>
      <c r="J38" s="267">
        <v>40</v>
      </c>
      <c r="K38" s="267">
        <v>56</v>
      </c>
      <c r="L38" s="267">
        <v>25</v>
      </c>
      <c r="M38" s="267">
        <v>67</v>
      </c>
      <c r="N38" s="267">
        <v>400</v>
      </c>
      <c r="O38" s="267">
        <v>350</v>
      </c>
      <c r="P38" s="308">
        <v>310</v>
      </c>
      <c r="Q38" s="309">
        <v>310</v>
      </c>
    </row>
    <row r="39" spans="1:17" s="239" customFormat="1">
      <c r="A39" s="261" t="s">
        <v>370</v>
      </c>
      <c r="G39" s="269" t="s">
        <v>1229</v>
      </c>
      <c r="H39" s="269" t="s">
        <v>1229</v>
      </c>
      <c r="I39" s="269" t="s">
        <v>1229</v>
      </c>
      <c r="J39" s="269" t="s">
        <v>1229</v>
      </c>
      <c r="K39" s="269" t="s">
        <v>1229</v>
      </c>
      <c r="L39" s="269" t="s">
        <v>1229</v>
      </c>
      <c r="M39" s="269" t="s">
        <v>1229</v>
      </c>
      <c r="N39" s="267">
        <v>3</v>
      </c>
      <c r="O39" s="269" t="s">
        <v>1229</v>
      </c>
      <c r="P39" s="267" t="s">
        <v>1229</v>
      </c>
      <c r="Q39" s="308" t="s">
        <v>1229</v>
      </c>
    </row>
    <row r="40" spans="1:17" s="239" customFormat="1">
      <c r="A40" s="261" t="s">
        <v>1158</v>
      </c>
      <c r="G40" s="267">
        <v>11400</v>
      </c>
      <c r="H40" s="267">
        <v>300</v>
      </c>
      <c r="I40" s="267">
        <v>114</v>
      </c>
      <c r="J40" s="308" t="s">
        <v>1229</v>
      </c>
      <c r="K40" s="308" t="s">
        <v>1229</v>
      </c>
      <c r="L40" s="308" t="s">
        <v>1229</v>
      </c>
      <c r="M40" s="308" t="s">
        <v>1229</v>
      </c>
      <c r="N40" s="308" t="s">
        <v>1229</v>
      </c>
      <c r="O40" s="308">
        <v>570</v>
      </c>
      <c r="P40" s="267" t="s">
        <v>1229</v>
      </c>
      <c r="Q40" s="308" t="s">
        <v>1229</v>
      </c>
    </row>
    <row r="41" spans="1:17" s="239" customFormat="1">
      <c r="A41" s="261" t="s">
        <v>1159</v>
      </c>
      <c r="G41" s="269" t="s">
        <v>1229</v>
      </c>
      <c r="H41" s="267">
        <v>112</v>
      </c>
      <c r="I41" s="267">
        <v>36</v>
      </c>
      <c r="J41" s="308" t="s">
        <v>1229</v>
      </c>
      <c r="K41" s="308" t="s">
        <v>1229</v>
      </c>
      <c r="L41" s="308" t="s">
        <v>1229</v>
      </c>
      <c r="M41" s="308" t="s">
        <v>1229</v>
      </c>
      <c r="N41" s="308" t="s">
        <v>1229</v>
      </c>
      <c r="O41" s="308" t="s">
        <v>1229</v>
      </c>
      <c r="P41" s="267" t="s">
        <v>1229</v>
      </c>
      <c r="Q41" s="308" t="s">
        <v>1229</v>
      </c>
    </row>
    <row r="42" spans="1:17" s="239" customFormat="1">
      <c r="A42" s="261" t="s">
        <v>1160</v>
      </c>
      <c r="G42" s="269" t="s">
        <v>1229</v>
      </c>
      <c r="H42" s="269" t="s">
        <v>1229</v>
      </c>
      <c r="I42" s="269" t="s">
        <v>1229</v>
      </c>
      <c r="J42" s="308" t="s">
        <v>1229</v>
      </c>
      <c r="K42" s="267">
        <v>355</v>
      </c>
      <c r="L42" s="267">
        <v>355</v>
      </c>
      <c r="M42" s="267">
        <v>1894</v>
      </c>
      <c r="N42" s="267">
        <v>2480</v>
      </c>
      <c r="O42" s="267">
        <v>810</v>
      </c>
      <c r="P42" s="267">
        <v>89</v>
      </c>
      <c r="Q42" s="309">
        <v>487</v>
      </c>
    </row>
    <row r="43" spans="1:17" s="239" customFormat="1">
      <c r="A43" s="261" t="s">
        <v>1161</v>
      </c>
      <c r="G43" s="269" t="s">
        <v>1229</v>
      </c>
      <c r="H43" s="269" t="s">
        <v>1229</v>
      </c>
      <c r="I43" s="269" t="s">
        <v>1229</v>
      </c>
      <c r="J43" s="308" t="s">
        <v>1229</v>
      </c>
      <c r="K43" s="308">
        <v>2</v>
      </c>
      <c r="L43" s="308">
        <v>2</v>
      </c>
      <c r="M43" s="308">
        <v>3</v>
      </c>
      <c r="N43" s="308">
        <v>3</v>
      </c>
      <c r="O43" s="308">
        <v>3</v>
      </c>
      <c r="P43" s="267">
        <v>3</v>
      </c>
      <c r="Q43" s="309">
        <v>3</v>
      </c>
    </row>
    <row r="44" spans="1:17" s="239" customFormat="1">
      <c r="A44" s="261" t="s">
        <v>1162</v>
      </c>
      <c r="G44" s="267">
        <v>225</v>
      </c>
      <c r="H44" s="267">
        <v>259</v>
      </c>
      <c r="I44" s="267">
        <v>233</v>
      </c>
      <c r="J44" s="308" t="s">
        <v>1229</v>
      </c>
      <c r="K44" s="308" t="s">
        <v>1229</v>
      </c>
      <c r="L44" s="308" t="s">
        <v>1229</v>
      </c>
      <c r="M44" s="308" t="s">
        <v>1229</v>
      </c>
      <c r="N44" s="308" t="s">
        <v>1229</v>
      </c>
      <c r="O44" s="308" t="s">
        <v>1229</v>
      </c>
      <c r="P44" s="308" t="s">
        <v>1229</v>
      </c>
      <c r="Q44" s="309">
        <f>518+1890</f>
        <v>2408</v>
      </c>
    </row>
    <row r="45" spans="1:17" s="239" customFormat="1">
      <c r="A45" s="261" t="s">
        <v>1163</v>
      </c>
      <c r="G45" s="269" t="s">
        <v>1229</v>
      </c>
      <c r="H45" s="269" t="s">
        <v>1229</v>
      </c>
      <c r="I45" s="267">
        <v>54</v>
      </c>
      <c r="J45" s="308" t="s">
        <v>1229</v>
      </c>
      <c r="K45" s="308" t="s">
        <v>1229</v>
      </c>
      <c r="L45" s="308" t="s">
        <v>1229</v>
      </c>
      <c r="M45" s="308" t="s">
        <v>1229</v>
      </c>
      <c r="N45" s="308" t="s">
        <v>1229</v>
      </c>
      <c r="O45" s="308" t="s">
        <v>1229</v>
      </c>
      <c r="P45" s="308" t="s">
        <v>1229</v>
      </c>
      <c r="Q45" s="308" t="s">
        <v>1229</v>
      </c>
    </row>
    <row r="46" spans="1:17" s="239" customFormat="1">
      <c r="A46" s="261" t="s">
        <v>1164</v>
      </c>
      <c r="G46" s="267">
        <v>7</v>
      </c>
      <c r="H46" s="269" t="s">
        <v>1229</v>
      </c>
      <c r="I46" s="269" t="s">
        <v>1229</v>
      </c>
      <c r="J46" s="308" t="s">
        <v>1229</v>
      </c>
      <c r="K46" s="308" t="s">
        <v>1229</v>
      </c>
      <c r="L46" s="308" t="s">
        <v>1229</v>
      </c>
      <c r="M46" s="308" t="s">
        <v>1229</v>
      </c>
      <c r="N46" s="308" t="s">
        <v>1229</v>
      </c>
      <c r="O46" s="308" t="s">
        <v>1229</v>
      </c>
      <c r="P46" s="308" t="s">
        <v>1229</v>
      </c>
      <c r="Q46" s="308" t="s">
        <v>1229</v>
      </c>
    </row>
    <row r="47" spans="1:17" s="239" customFormat="1">
      <c r="A47" s="261" t="s">
        <v>1165</v>
      </c>
      <c r="G47" s="267">
        <v>9</v>
      </c>
      <c r="H47" s="269" t="s">
        <v>1229</v>
      </c>
      <c r="I47" s="269" t="s">
        <v>1229</v>
      </c>
      <c r="J47" s="308" t="s">
        <v>1229</v>
      </c>
      <c r="K47" s="308" t="s">
        <v>1229</v>
      </c>
      <c r="L47" s="308" t="s">
        <v>1229</v>
      </c>
      <c r="M47" s="308" t="s">
        <v>1229</v>
      </c>
      <c r="N47" s="308" t="s">
        <v>1229</v>
      </c>
      <c r="O47" s="308" t="s">
        <v>1229</v>
      </c>
      <c r="P47" s="308" t="s">
        <v>1229</v>
      </c>
      <c r="Q47" s="308" t="s">
        <v>1229</v>
      </c>
    </row>
    <row r="48" spans="1:17" s="239" customFormat="1">
      <c r="A48" s="261" t="s">
        <v>1166</v>
      </c>
      <c r="G48" s="267">
        <v>3</v>
      </c>
      <c r="H48" s="267">
        <v>2</v>
      </c>
      <c r="I48" s="269" t="s">
        <v>1229</v>
      </c>
      <c r="J48" s="308" t="s">
        <v>1229</v>
      </c>
      <c r="K48" s="308" t="s">
        <v>1229</v>
      </c>
      <c r="L48" s="308" t="s">
        <v>1229</v>
      </c>
      <c r="M48" s="308" t="s">
        <v>1229</v>
      </c>
      <c r="N48" s="308" t="s">
        <v>1229</v>
      </c>
      <c r="O48" s="308" t="s">
        <v>1229</v>
      </c>
      <c r="P48" s="308" t="s">
        <v>1229</v>
      </c>
      <c r="Q48" s="308" t="s">
        <v>1229</v>
      </c>
    </row>
    <row r="49" spans="1:17" s="239" customFormat="1">
      <c r="A49" s="261" t="s">
        <v>42</v>
      </c>
      <c r="G49" s="269" t="s">
        <v>1229</v>
      </c>
      <c r="H49" s="269" t="s">
        <v>1229</v>
      </c>
      <c r="I49" s="267">
        <v>0</v>
      </c>
      <c r="J49" s="308" t="s">
        <v>1229</v>
      </c>
      <c r="K49" s="308" t="s">
        <v>1229</v>
      </c>
      <c r="L49" s="308" t="s">
        <v>1229</v>
      </c>
      <c r="M49" s="308" t="s">
        <v>1229</v>
      </c>
      <c r="N49" s="308" t="s">
        <v>1229</v>
      </c>
      <c r="O49" s="308" t="s">
        <v>1229</v>
      </c>
      <c r="P49" s="308" t="s">
        <v>1229</v>
      </c>
      <c r="Q49" s="308" t="s">
        <v>1229</v>
      </c>
    </row>
    <row r="50" spans="1:17" s="239" customFormat="1">
      <c r="A50" s="208" t="s">
        <v>1322</v>
      </c>
      <c r="G50" s="269"/>
      <c r="H50" s="269"/>
      <c r="I50" s="267"/>
      <c r="J50" s="308"/>
      <c r="K50" s="308"/>
      <c r="L50" s="308"/>
      <c r="M50" s="308"/>
      <c r="N50" s="308"/>
      <c r="O50" s="308"/>
      <c r="P50" s="308"/>
      <c r="Q50" s="309">
        <v>60</v>
      </c>
    </row>
    <row r="51" spans="1:17" s="239" customFormat="1">
      <c r="A51" s="311" t="s">
        <v>1619</v>
      </c>
      <c r="G51" s="269" t="s">
        <v>1229</v>
      </c>
      <c r="H51" s="269" t="s">
        <v>1229</v>
      </c>
      <c r="I51" s="269" t="s">
        <v>1229</v>
      </c>
      <c r="J51" s="269" t="s">
        <v>1229</v>
      </c>
      <c r="K51" s="269" t="s">
        <v>1229</v>
      </c>
      <c r="L51" s="269" t="s">
        <v>1229</v>
      </c>
      <c r="M51" s="269" t="s">
        <v>1229</v>
      </c>
      <c r="N51" s="269" t="s">
        <v>1229</v>
      </c>
      <c r="O51" s="308">
        <v>400</v>
      </c>
      <c r="P51" s="267">
        <v>100</v>
      </c>
      <c r="Q51" s="309">
        <v>100</v>
      </c>
    </row>
    <row r="52" spans="1:17" s="239" customFormat="1">
      <c r="A52" s="261" t="s">
        <v>1022</v>
      </c>
      <c r="G52" s="269" t="s">
        <v>1229</v>
      </c>
      <c r="H52" s="269" t="s">
        <v>1229</v>
      </c>
      <c r="I52" s="269" t="s">
        <v>1229</v>
      </c>
      <c r="J52" s="308" t="s">
        <v>1229</v>
      </c>
      <c r="K52" s="308" t="s">
        <v>1229</v>
      </c>
      <c r="L52" s="308">
        <v>40</v>
      </c>
      <c r="M52" s="308" t="s">
        <v>1229</v>
      </c>
      <c r="N52" s="308" t="s">
        <v>1229</v>
      </c>
      <c r="O52" s="308" t="s">
        <v>1229</v>
      </c>
      <c r="P52" s="308" t="s">
        <v>1229</v>
      </c>
      <c r="Q52" s="308" t="s">
        <v>1229</v>
      </c>
    </row>
    <row r="53" spans="1:17" s="239" customFormat="1">
      <c r="A53" s="261" t="s">
        <v>1023</v>
      </c>
      <c r="G53" s="269" t="s">
        <v>1229</v>
      </c>
      <c r="H53" s="269" t="s">
        <v>1229</v>
      </c>
      <c r="I53" s="269" t="s">
        <v>1229</v>
      </c>
      <c r="J53" s="240">
        <v>80</v>
      </c>
      <c r="K53" s="240">
        <v>80</v>
      </c>
      <c r="L53" s="240">
        <v>90</v>
      </c>
      <c r="M53" s="308" t="s">
        <v>1229</v>
      </c>
      <c r="N53" s="308" t="s">
        <v>1229</v>
      </c>
      <c r="O53" s="308" t="s">
        <v>1229</v>
      </c>
      <c r="P53" s="308" t="s">
        <v>1229</v>
      </c>
      <c r="Q53" s="308" t="s">
        <v>1229</v>
      </c>
    </row>
    <row r="54" spans="1:17" s="239" customFormat="1">
      <c r="A54" s="261" t="s">
        <v>1024</v>
      </c>
      <c r="G54" s="267">
        <v>1470</v>
      </c>
      <c r="H54" s="267">
        <v>1059</v>
      </c>
      <c r="I54" s="267">
        <v>424</v>
      </c>
      <c r="J54" s="308" t="s">
        <v>1229</v>
      </c>
      <c r="K54" s="308" t="s">
        <v>1229</v>
      </c>
      <c r="L54" s="308" t="s">
        <v>1229</v>
      </c>
      <c r="M54" s="308" t="s">
        <v>1229</v>
      </c>
      <c r="N54" s="308" t="s">
        <v>1229</v>
      </c>
      <c r="O54" s="308" t="s">
        <v>1229</v>
      </c>
      <c r="P54" s="308" t="s">
        <v>1229</v>
      </c>
      <c r="Q54" s="308" t="s">
        <v>1229</v>
      </c>
    </row>
    <row r="55" spans="1:17" s="239" customFormat="1">
      <c r="A55" s="261" t="s">
        <v>1025</v>
      </c>
      <c r="G55" s="269" t="s">
        <v>1229</v>
      </c>
      <c r="H55" s="269" t="s">
        <v>1229</v>
      </c>
      <c r="I55" s="269" t="s">
        <v>1229</v>
      </c>
      <c r="J55" s="315">
        <v>847.31130440000004</v>
      </c>
      <c r="K55" s="272">
        <v>2118</v>
      </c>
      <c r="L55" s="272">
        <v>2542</v>
      </c>
      <c r="M55" s="272">
        <v>7117</v>
      </c>
      <c r="N55" s="272">
        <v>12811</v>
      </c>
      <c r="O55" s="272">
        <v>6697</v>
      </c>
      <c r="P55" s="267">
        <v>3014</v>
      </c>
      <c r="Q55" s="309">
        <v>3767</v>
      </c>
    </row>
    <row r="56" spans="1:17" s="239" customFormat="1">
      <c r="A56" s="261" t="s">
        <v>1142</v>
      </c>
      <c r="G56" s="269" t="s">
        <v>1229</v>
      </c>
      <c r="H56" s="269" t="s">
        <v>1229</v>
      </c>
      <c r="I56" s="269" t="s">
        <v>1229</v>
      </c>
      <c r="J56" s="316" t="s">
        <v>1229</v>
      </c>
      <c r="K56" s="314" t="s">
        <v>1229</v>
      </c>
      <c r="L56" s="314" t="s">
        <v>1229</v>
      </c>
      <c r="M56" s="272">
        <v>150</v>
      </c>
      <c r="N56" s="272">
        <v>350</v>
      </c>
      <c r="O56" s="272">
        <v>400</v>
      </c>
      <c r="P56" s="267">
        <v>150</v>
      </c>
      <c r="Q56" s="309">
        <v>110</v>
      </c>
    </row>
    <row r="57" spans="1:17" s="239" customFormat="1">
      <c r="A57" s="261" t="s">
        <v>1143</v>
      </c>
      <c r="G57" s="269" t="s">
        <v>1229</v>
      </c>
      <c r="H57" s="269" t="s">
        <v>1229</v>
      </c>
      <c r="I57" s="267">
        <v>13</v>
      </c>
      <c r="J57" s="240">
        <v>17</v>
      </c>
      <c r="K57" s="240">
        <v>38</v>
      </c>
      <c r="L57" s="240">
        <v>96</v>
      </c>
      <c r="M57" s="240">
        <v>776</v>
      </c>
      <c r="N57" s="240">
        <v>471</v>
      </c>
      <c r="O57" s="240">
        <v>67</v>
      </c>
      <c r="P57" s="267" t="s">
        <v>1229</v>
      </c>
    </row>
    <row r="58" spans="1:17" s="239" customFormat="1">
      <c r="A58" s="261" t="s">
        <v>1026</v>
      </c>
      <c r="G58" s="267">
        <v>902</v>
      </c>
      <c r="H58" s="267">
        <v>245</v>
      </c>
      <c r="I58" s="267">
        <v>303</v>
      </c>
      <c r="J58" s="267">
        <v>793.48581899999999</v>
      </c>
      <c r="K58" s="267">
        <v>2400</v>
      </c>
      <c r="L58" s="267">
        <v>5600</v>
      </c>
      <c r="M58" s="267">
        <v>4674</v>
      </c>
      <c r="N58" s="267">
        <v>6399</v>
      </c>
      <c r="O58" s="267">
        <v>6922</v>
      </c>
      <c r="P58" s="267">
        <v>5849</v>
      </c>
      <c r="Q58" s="309">
        <v>5240</v>
      </c>
    </row>
    <row r="59" spans="1:17" s="239" customFormat="1">
      <c r="A59" s="261" t="s">
        <v>1144</v>
      </c>
      <c r="G59" s="269" t="s">
        <v>1229</v>
      </c>
      <c r="H59" s="269" t="s">
        <v>1229</v>
      </c>
      <c r="I59" s="269" t="s">
        <v>1229</v>
      </c>
      <c r="J59" s="269" t="s">
        <v>1229</v>
      </c>
      <c r="K59" s="269" t="s">
        <v>1229</v>
      </c>
      <c r="L59" s="269" t="s">
        <v>1229</v>
      </c>
      <c r="M59" s="267">
        <v>3000</v>
      </c>
      <c r="N59" s="267">
        <v>2100</v>
      </c>
      <c r="O59" s="267">
        <v>300</v>
      </c>
      <c r="P59" s="308" t="s">
        <v>1229</v>
      </c>
      <c r="Q59" s="308" t="s">
        <v>1229</v>
      </c>
    </row>
    <row r="60" spans="1:17" s="239" customFormat="1">
      <c r="A60" s="261" t="s">
        <v>1027</v>
      </c>
      <c r="G60" s="267">
        <v>230</v>
      </c>
      <c r="H60" s="267">
        <v>455</v>
      </c>
      <c r="I60" s="267">
        <v>500</v>
      </c>
      <c r="J60" s="267">
        <v>500</v>
      </c>
      <c r="K60" s="267">
        <v>350</v>
      </c>
      <c r="L60" s="267">
        <v>400</v>
      </c>
      <c r="M60" s="267">
        <v>600</v>
      </c>
      <c r="N60" s="267">
        <v>710</v>
      </c>
      <c r="O60" s="267">
        <v>825</v>
      </c>
      <c r="P60" s="308" t="s">
        <v>1229</v>
      </c>
      <c r="Q60" s="308" t="s">
        <v>1229</v>
      </c>
    </row>
    <row r="61" spans="1:17" s="239" customFormat="1">
      <c r="A61" s="311" t="s">
        <v>1627</v>
      </c>
      <c r="G61" s="313"/>
      <c r="H61" s="313"/>
    </row>
    <row r="62" spans="1:17" s="239" customFormat="1" ht="8.25" customHeight="1">
      <c r="A62" s="311"/>
      <c r="G62" s="313"/>
      <c r="H62" s="313"/>
    </row>
    <row r="63" spans="1:17" s="239" customFormat="1" ht="13.5" thickBot="1">
      <c r="A63" s="287" t="s">
        <v>178</v>
      </c>
      <c r="B63" s="317"/>
      <c r="C63" s="317"/>
      <c r="D63" s="317"/>
      <c r="E63" s="317"/>
      <c r="F63" s="317"/>
      <c r="G63" s="318">
        <v>16827</v>
      </c>
      <c r="H63" s="318">
        <v>4991</v>
      </c>
      <c r="I63" s="318">
        <v>4201</v>
      </c>
      <c r="J63" s="255">
        <f>SUM(J13:J61)</f>
        <v>4515.8697749399998</v>
      </c>
      <c r="K63" s="255">
        <f>SUM(K13:K61)</f>
        <v>7596.5264495499996</v>
      </c>
      <c r="L63" s="255">
        <f>SUM(L13:L61)</f>
        <v>12143</v>
      </c>
      <c r="M63" s="255">
        <f>SUM(M13:M61)</f>
        <v>22963</v>
      </c>
      <c r="N63" s="255">
        <f>SUM(N12:N61)</f>
        <v>33249</v>
      </c>
      <c r="O63" s="255">
        <f>SUM(O12:O61)</f>
        <v>24681</v>
      </c>
      <c r="P63" s="255">
        <f>SUM(P12:P61)</f>
        <v>19140</v>
      </c>
      <c r="Q63" s="255">
        <f>SUM(Q13:Q61)</f>
        <v>16876</v>
      </c>
    </row>
    <row r="64" spans="1:17" s="239" customFormat="1">
      <c r="A64" s="240" t="s">
        <v>179</v>
      </c>
    </row>
    <row r="65" spans="1:1" s="239" customFormat="1">
      <c r="A65" s="247"/>
    </row>
    <row r="66" spans="1:1" s="239" customFormat="1">
      <c r="A66" s="247"/>
    </row>
    <row r="67" spans="1:1" s="239" customFormat="1">
      <c r="A67" s="247"/>
    </row>
    <row r="68" spans="1:1" s="239" customFormat="1">
      <c r="A68" s="247"/>
    </row>
    <row r="69" spans="1:1" s="239" customFormat="1">
      <c r="A69" s="247"/>
    </row>
    <row r="70" spans="1:1" s="239" customFormat="1">
      <c r="A70" s="247"/>
    </row>
    <row r="71" spans="1:1" s="239" customFormat="1">
      <c r="A71" s="247"/>
    </row>
    <row r="72" spans="1:1" s="239" customFormat="1">
      <c r="A72" s="247"/>
    </row>
    <row r="73" spans="1:1" s="239" customFormat="1">
      <c r="A73" s="247"/>
    </row>
    <row r="74" spans="1:1" s="239" customFormat="1">
      <c r="A74" s="247"/>
    </row>
    <row r="75" spans="1:1" s="239" customFormat="1">
      <c r="A75" s="247"/>
    </row>
    <row r="76" spans="1:1" s="239" customFormat="1">
      <c r="A76" s="247"/>
    </row>
    <row r="77" spans="1:1" s="239" customFormat="1">
      <c r="A77" s="247"/>
    </row>
    <row r="78" spans="1:1" s="239" customFormat="1">
      <c r="A78" s="247"/>
    </row>
    <row r="79" spans="1:1" s="239" customFormat="1">
      <c r="A79" s="247"/>
    </row>
    <row r="80" spans="1:1" s="239" customFormat="1">
      <c r="A80" s="247"/>
    </row>
    <row r="81" spans="1:1" s="239" customFormat="1">
      <c r="A81" s="247"/>
    </row>
    <row r="82" spans="1:1" s="239" customFormat="1">
      <c r="A82" s="247"/>
    </row>
    <row r="83" spans="1:1" s="239" customFormat="1">
      <c r="A83" s="247"/>
    </row>
    <row r="84" spans="1:1" s="239" customFormat="1">
      <c r="A84" s="247"/>
    </row>
    <row r="85" spans="1:1" s="239" customFormat="1">
      <c r="A85" s="247"/>
    </row>
    <row r="86" spans="1:1" s="239" customFormat="1">
      <c r="A86" s="247"/>
    </row>
    <row r="87" spans="1:1" s="239" customFormat="1">
      <c r="A87" s="247"/>
    </row>
    <row r="88" spans="1:1" s="239" customFormat="1">
      <c r="A88" s="247"/>
    </row>
    <row r="89" spans="1:1" s="239" customFormat="1">
      <c r="A89" s="247"/>
    </row>
    <row r="90" spans="1:1" s="239" customFormat="1">
      <c r="A90" s="247"/>
    </row>
    <row r="91" spans="1:1" s="239" customFormat="1">
      <c r="A91" s="247"/>
    </row>
    <row r="92" spans="1:1" s="239" customFormat="1">
      <c r="A92" s="247"/>
    </row>
    <row r="93" spans="1:1" s="239" customFormat="1">
      <c r="A93" s="247"/>
    </row>
    <row r="94" spans="1:1" s="239" customFormat="1">
      <c r="A94" s="247"/>
    </row>
    <row r="95" spans="1:1" s="239" customFormat="1">
      <c r="A95" s="247"/>
    </row>
    <row r="96" spans="1:1" s="239" customFormat="1">
      <c r="A96" s="247"/>
    </row>
    <row r="97" spans="1:1" s="239" customFormat="1">
      <c r="A97" s="247"/>
    </row>
    <row r="98" spans="1:1" s="239" customFormat="1">
      <c r="A98" s="247"/>
    </row>
    <row r="99" spans="1:1" s="239" customFormat="1">
      <c r="A99" s="247"/>
    </row>
    <row r="100" spans="1:1" s="239" customFormat="1">
      <c r="A100" s="247"/>
    </row>
    <row r="101" spans="1:1" s="239" customFormat="1">
      <c r="A101" s="247"/>
    </row>
    <row r="102" spans="1:1" s="239" customFormat="1">
      <c r="A102" s="247"/>
    </row>
    <row r="103" spans="1:1" s="239" customFormat="1">
      <c r="A103" s="247"/>
    </row>
    <row r="104" spans="1:1" s="239" customFormat="1">
      <c r="A104" s="247"/>
    </row>
    <row r="105" spans="1:1" s="239" customFormat="1">
      <c r="A105" s="247"/>
    </row>
    <row r="106" spans="1:1" s="239" customFormat="1">
      <c r="A106" s="247"/>
    </row>
    <row r="107" spans="1:1" s="239" customFormat="1">
      <c r="A107" s="247"/>
    </row>
    <row r="108" spans="1:1" s="239" customFormat="1">
      <c r="A108" s="247"/>
    </row>
    <row r="109" spans="1:1" s="239" customFormat="1">
      <c r="A109" s="247"/>
    </row>
    <row r="110" spans="1:1" s="239" customFormat="1">
      <c r="A110" s="247"/>
    </row>
    <row r="111" spans="1:1" s="239" customFormat="1">
      <c r="A111" s="247"/>
    </row>
    <row r="112" spans="1:1" s="239" customFormat="1">
      <c r="A112" s="247"/>
    </row>
    <row r="113" spans="1:1" s="239" customFormat="1">
      <c r="A113" s="247"/>
    </row>
    <row r="114" spans="1:1" s="239" customFormat="1">
      <c r="A114" s="247"/>
    </row>
    <row r="115" spans="1:1" s="239" customFormat="1">
      <c r="A115" s="247"/>
    </row>
    <row r="116" spans="1:1" s="239" customFormat="1">
      <c r="A116" s="247"/>
    </row>
    <row r="117" spans="1:1" s="239" customFormat="1">
      <c r="A117" s="247"/>
    </row>
    <row r="118" spans="1:1" s="239" customFormat="1">
      <c r="A118" s="247"/>
    </row>
    <row r="119" spans="1:1" s="239" customFormat="1">
      <c r="A119" s="247"/>
    </row>
    <row r="120" spans="1:1" s="239" customFormat="1">
      <c r="A120" s="247"/>
    </row>
    <row r="121" spans="1:1" s="239" customFormat="1">
      <c r="A121" s="247"/>
    </row>
    <row r="122" spans="1:1" s="239" customFormat="1">
      <c r="A122" s="247"/>
    </row>
    <row r="123" spans="1:1" s="239" customFormat="1">
      <c r="A123" s="247"/>
    </row>
    <row r="124" spans="1:1" s="239" customFormat="1">
      <c r="A124" s="247"/>
    </row>
    <row r="125" spans="1:1" s="239" customFormat="1">
      <c r="A125" s="247"/>
    </row>
    <row r="126" spans="1:1" s="239" customFormat="1">
      <c r="A126" s="247"/>
    </row>
    <row r="127" spans="1:1" s="239" customFormat="1">
      <c r="A127" s="247"/>
    </row>
    <row r="128" spans="1:1" s="239" customFormat="1">
      <c r="A128" s="247"/>
    </row>
    <row r="129" spans="1:1" s="239" customFormat="1">
      <c r="A129" s="247"/>
    </row>
    <row r="130" spans="1:1" s="239" customFormat="1">
      <c r="A130" s="247"/>
    </row>
    <row r="131" spans="1:1" s="239" customFormat="1">
      <c r="A131" s="247"/>
    </row>
    <row r="132" spans="1:1" s="239" customFormat="1">
      <c r="A132" s="247"/>
    </row>
    <row r="133" spans="1:1" s="239" customFormat="1">
      <c r="A133" s="247"/>
    </row>
    <row r="134" spans="1:1" s="239" customFormat="1">
      <c r="A134" s="247"/>
    </row>
    <row r="135" spans="1:1" s="239" customFormat="1">
      <c r="A135" s="247"/>
    </row>
    <row r="136" spans="1:1" s="239" customFormat="1">
      <c r="A136" s="247"/>
    </row>
    <row r="137" spans="1:1" s="239" customFormat="1">
      <c r="A137" s="247"/>
    </row>
    <row r="138" spans="1:1" s="239" customFormat="1">
      <c r="A138" s="247"/>
    </row>
    <row r="139" spans="1:1" s="239" customFormat="1">
      <c r="A139" s="247"/>
    </row>
    <row r="140" spans="1:1" s="239" customFormat="1">
      <c r="A140" s="247"/>
    </row>
    <row r="141" spans="1:1" s="239" customFormat="1">
      <c r="A141" s="247"/>
    </row>
    <row r="142" spans="1:1" s="239" customFormat="1">
      <c r="A142" s="247"/>
    </row>
    <row r="143" spans="1:1" s="239" customFormat="1">
      <c r="A143" s="247"/>
    </row>
    <row r="144" spans="1:1" s="239" customFormat="1">
      <c r="A144" s="247"/>
    </row>
    <row r="145" spans="1:1" s="239" customFormat="1">
      <c r="A145" s="247"/>
    </row>
    <row r="146" spans="1:1" s="239" customFormat="1">
      <c r="A146" s="247"/>
    </row>
    <row r="147" spans="1:1" s="239" customFormat="1">
      <c r="A147" s="247"/>
    </row>
    <row r="148" spans="1:1" s="239" customFormat="1">
      <c r="A148" s="247"/>
    </row>
    <row r="149" spans="1:1" s="239" customFormat="1">
      <c r="A149" s="247"/>
    </row>
    <row r="150" spans="1:1" s="239" customFormat="1">
      <c r="A150" s="247"/>
    </row>
    <row r="151" spans="1:1" s="239" customFormat="1">
      <c r="A151" s="247"/>
    </row>
    <row r="152" spans="1:1" s="239" customFormat="1">
      <c r="A152" s="247"/>
    </row>
    <row r="153" spans="1:1" s="239" customFormat="1">
      <c r="A153" s="247"/>
    </row>
    <row r="154" spans="1:1" s="239" customFormat="1">
      <c r="A154" s="247"/>
    </row>
    <row r="155" spans="1:1" s="239" customFormat="1">
      <c r="A155" s="247"/>
    </row>
    <row r="156" spans="1:1" s="239" customFormat="1">
      <c r="A156" s="247"/>
    </row>
    <row r="157" spans="1:1" s="239" customFormat="1">
      <c r="A157" s="247"/>
    </row>
    <row r="158" spans="1:1" s="239" customFormat="1">
      <c r="A158" s="247"/>
    </row>
    <row r="159" spans="1:1" s="239" customFormat="1">
      <c r="A159" s="247"/>
    </row>
    <row r="160" spans="1:1" s="239" customFormat="1">
      <c r="A160" s="247"/>
    </row>
    <row r="161" spans="1:1" s="239" customFormat="1">
      <c r="A161" s="247"/>
    </row>
    <row r="162" spans="1:1" s="239" customFormat="1">
      <c r="A162" s="247"/>
    </row>
    <row r="163" spans="1:1" s="239" customFormat="1">
      <c r="A163" s="247"/>
    </row>
    <row r="164" spans="1:1" s="239" customFormat="1">
      <c r="A164" s="247"/>
    </row>
    <row r="165" spans="1:1" s="239" customFormat="1">
      <c r="A165" s="247"/>
    </row>
    <row r="166" spans="1:1" s="239" customFormat="1">
      <c r="A166" s="247"/>
    </row>
    <row r="167" spans="1:1" s="239" customFormat="1">
      <c r="A167" s="247"/>
    </row>
    <row r="168" spans="1:1" s="239" customFormat="1">
      <c r="A168" s="247"/>
    </row>
    <row r="169" spans="1:1" s="239" customFormat="1">
      <c r="A169" s="247"/>
    </row>
    <row r="170" spans="1:1" s="239" customFormat="1">
      <c r="A170" s="247"/>
    </row>
    <row r="171" spans="1:1" s="239" customFormat="1">
      <c r="A171" s="247"/>
    </row>
    <row r="172" spans="1:1" s="239" customFormat="1">
      <c r="A172" s="247"/>
    </row>
    <row r="173" spans="1:1" s="239" customFormat="1">
      <c r="A173" s="247"/>
    </row>
    <row r="174" spans="1:1" s="239" customFormat="1">
      <c r="A174" s="247"/>
    </row>
    <row r="175" spans="1:1" s="239" customFormat="1">
      <c r="A175" s="247"/>
    </row>
    <row r="176" spans="1:1" s="239" customFormat="1">
      <c r="A176" s="247"/>
    </row>
    <row r="177" spans="1:1" s="239" customFormat="1">
      <c r="A177" s="247"/>
    </row>
    <row r="178" spans="1:1" s="239" customFormat="1">
      <c r="A178" s="247"/>
    </row>
    <row r="179" spans="1:1" s="239" customFormat="1">
      <c r="A179" s="247"/>
    </row>
    <row r="180" spans="1:1" s="239" customFormat="1">
      <c r="A180" s="247"/>
    </row>
    <row r="181" spans="1:1" s="239" customFormat="1">
      <c r="A181" s="247"/>
    </row>
    <row r="182" spans="1:1" s="239" customFormat="1">
      <c r="A182" s="247"/>
    </row>
    <row r="183" spans="1:1" s="239" customFormat="1">
      <c r="A183" s="247"/>
    </row>
    <row r="184" spans="1:1" s="239" customFormat="1">
      <c r="A184" s="247"/>
    </row>
    <row r="185" spans="1:1" s="239" customFormat="1">
      <c r="A185" s="247"/>
    </row>
    <row r="186" spans="1:1" s="239" customFormat="1">
      <c r="A186" s="247"/>
    </row>
    <row r="187" spans="1:1" s="239" customFormat="1">
      <c r="A187" s="247"/>
    </row>
    <row r="188" spans="1:1" s="239" customFormat="1">
      <c r="A188" s="247"/>
    </row>
    <row r="189" spans="1:1" s="239" customFormat="1">
      <c r="A189" s="247"/>
    </row>
    <row r="190" spans="1:1" s="239" customFormat="1">
      <c r="A190" s="247"/>
    </row>
    <row r="191" spans="1:1" s="239" customFormat="1">
      <c r="A191" s="247"/>
    </row>
    <row r="192" spans="1:1" s="239" customFormat="1">
      <c r="A192" s="247"/>
    </row>
    <row r="193" spans="1:1" s="239" customFormat="1">
      <c r="A193" s="247"/>
    </row>
    <row r="194" spans="1:1" s="239" customFormat="1">
      <c r="A194" s="247"/>
    </row>
    <row r="195" spans="1:1" s="239" customFormat="1">
      <c r="A195" s="247"/>
    </row>
    <row r="196" spans="1:1" s="239" customFormat="1">
      <c r="A196" s="247"/>
    </row>
    <row r="197" spans="1:1" s="239" customFormat="1">
      <c r="A197" s="247"/>
    </row>
    <row r="198" spans="1:1" s="239" customFormat="1">
      <c r="A198" s="247"/>
    </row>
    <row r="199" spans="1:1" s="239" customFormat="1">
      <c r="A199" s="247"/>
    </row>
    <row r="200" spans="1:1" s="239" customFormat="1">
      <c r="A200" s="247"/>
    </row>
    <row r="201" spans="1:1" s="239" customFormat="1">
      <c r="A201" s="247"/>
    </row>
    <row r="202" spans="1:1" s="239" customFormat="1">
      <c r="A202" s="247"/>
    </row>
    <row r="203" spans="1:1" s="239" customFormat="1">
      <c r="A203" s="247"/>
    </row>
    <row r="204" spans="1:1" s="239" customFormat="1">
      <c r="A204" s="247"/>
    </row>
    <row r="205" spans="1:1" s="239" customFormat="1">
      <c r="A205" s="247"/>
    </row>
    <row r="206" spans="1:1" s="239" customFormat="1">
      <c r="A206" s="247"/>
    </row>
    <row r="207" spans="1:1" s="239" customFormat="1">
      <c r="A207" s="247"/>
    </row>
    <row r="208" spans="1:1" s="239" customFormat="1">
      <c r="A208" s="247"/>
    </row>
    <row r="209" spans="1:1" s="239" customFormat="1">
      <c r="A209" s="247"/>
    </row>
    <row r="210" spans="1:1" s="239" customFormat="1">
      <c r="A210" s="247"/>
    </row>
    <row r="211" spans="1:1" s="239" customFormat="1">
      <c r="A211" s="247"/>
    </row>
    <row r="212" spans="1:1" s="239" customFormat="1">
      <c r="A212" s="247"/>
    </row>
    <row r="213" spans="1:1" s="239" customFormat="1">
      <c r="A213" s="247"/>
    </row>
    <row r="214" spans="1:1" s="239" customFormat="1">
      <c r="A214" s="247"/>
    </row>
    <row r="215" spans="1:1" s="239" customFormat="1">
      <c r="A215" s="247"/>
    </row>
    <row r="216" spans="1:1" s="239" customFormat="1">
      <c r="A216" s="247"/>
    </row>
    <row r="217" spans="1:1" s="239" customFormat="1">
      <c r="A217" s="247"/>
    </row>
    <row r="218" spans="1:1" s="239" customFormat="1">
      <c r="A218" s="247"/>
    </row>
    <row r="219" spans="1:1" s="239" customFormat="1">
      <c r="A219" s="247"/>
    </row>
    <row r="220" spans="1:1" s="239" customFormat="1">
      <c r="A220" s="247"/>
    </row>
    <row r="221" spans="1:1" s="239" customFormat="1">
      <c r="A221" s="247"/>
    </row>
    <row r="222" spans="1:1" s="239" customFormat="1">
      <c r="A222" s="247"/>
    </row>
    <row r="223" spans="1:1" s="239" customFormat="1">
      <c r="A223" s="247"/>
    </row>
    <row r="224" spans="1:1" s="239" customFormat="1">
      <c r="A224" s="247"/>
    </row>
    <row r="225" spans="1:1" s="239" customFormat="1">
      <c r="A225" s="247"/>
    </row>
    <row r="226" spans="1:1" s="239" customFormat="1">
      <c r="A226" s="247"/>
    </row>
    <row r="227" spans="1:1" s="239" customFormat="1">
      <c r="A227" s="247"/>
    </row>
    <row r="228" spans="1:1" s="239" customFormat="1">
      <c r="A228" s="247"/>
    </row>
    <row r="229" spans="1:1" s="239" customFormat="1">
      <c r="A229" s="247"/>
    </row>
    <row r="230" spans="1:1" s="239" customFormat="1">
      <c r="A230" s="247"/>
    </row>
    <row r="231" spans="1:1" s="239" customFormat="1">
      <c r="A231" s="247"/>
    </row>
    <row r="232" spans="1:1" s="239" customFormat="1">
      <c r="A232" s="247"/>
    </row>
    <row r="233" spans="1:1" s="239" customFormat="1">
      <c r="A233" s="247"/>
    </row>
    <row r="234" spans="1:1" s="239" customFormat="1">
      <c r="A234" s="247"/>
    </row>
    <row r="235" spans="1:1" s="239" customFormat="1">
      <c r="A235" s="247"/>
    </row>
    <row r="236" spans="1:1" s="239" customFormat="1">
      <c r="A236" s="247"/>
    </row>
    <row r="237" spans="1:1" s="239" customFormat="1">
      <c r="A237" s="247"/>
    </row>
    <row r="238" spans="1:1" s="239" customFormat="1">
      <c r="A238" s="247"/>
    </row>
    <row r="239" spans="1:1" s="239" customFormat="1">
      <c r="A239" s="247"/>
    </row>
    <row r="240" spans="1:1" s="239" customFormat="1">
      <c r="A240" s="247"/>
    </row>
    <row r="241" spans="1:1" s="239" customFormat="1">
      <c r="A241" s="247"/>
    </row>
    <row r="242" spans="1:1" s="239" customFormat="1">
      <c r="A242" s="247"/>
    </row>
    <row r="243" spans="1:1" s="239" customFormat="1">
      <c r="A243" s="247"/>
    </row>
    <row r="244" spans="1:1" s="239" customFormat="1">
      <c r="A244" s="247"/>
    </row>
    <row r="245" spans="1:1" s="239" customFormat="1">
      <c r="A245" s="247"/>
    </row>
    <row r="246" spans="1:1" s="239" customFormat="1">
      <c r="A246" s="247"/>
    </row>
    <row r="247" spans="1:1" s="239" customFormat="1">
      <c r="A247" s="247"/>
    </row>
    <row r="248" spans="1:1" s="239" customFormat="1">
      <c r="A248" s="247"/>
    </row>
    <row r="249" spans="1:1" s="239" customFormat="1">
      <c r="A249" s="247"/>
    </row>
    <row r="250" spans="1:1" s="239" customFormat="1">
      <c r="A250" s="247"/>
    </row>
    <row r="251" spans="1:1" s="239" customFormat="1">
      <c r="A251" s="247"/>
    </row>
    <row r="252" spans="1:1" s="239" customFormat="1">
      <c r="A252" s="247"/>
    </row>
    <row r="253" spans="1:1" s="239" customFormat="1">
      <c r="A253" s="247"/>
    </row>
    <row r="254" spans="1:1" s="239" customFormat="1">
      <c r="A254" s="247"/>
    </row>
    <row r="255" spans="1:1" s="239" customFormat="1">
      <c r="A255" s="247"/>
    </row>
    <row r="256" spans="1:1" s="239" customFormat="1">
      <c r="A256" s="247"/>
    </row>
    <row r="257" spans="1:1" s="239" customFormat="1">
      <c r="A257" s="247"/>
    </row>
    <row r="258" spans="1:1" s="239" customFormat="1">
      <c r="A258" s="247"/>
    </row>
    <row r="259" spans="1:1" s="239" customFormat="1">
      <c r="A259" s="247"/>
    </row>
    <row r="260" spans="1:1" s="239" customFormat="1">
      <c r="A260" s="247"/>
    </row>
    <row r="261" spans="1:1" s="239" customFormat="1">
      <c r="A261" s="247"/>
    </row>
    <row r="262" spans="1:1" s="239" customFormat="1">
      <c r="A262" s="247"/>
    </row>
    <row r="263" spans="1:1" s="239" customFormat="1">
      <c r="A263" s="247"/>
    </row>
    <row r="264" spans="1:1" s="239" customFormat="1">
      <c r="A264" s="247"/>
    </row>
    <row r="265" spans="1:1" s="239" customFormat="1">
      <c r="A265" s="247"/>
    </row>
    <row r="266" spans="1:1" s="239" customFormat="1">
      <c r="A266" s="247"/>
    </row>
    <row r="267" spans="1:1" s="239" customFormat="1">
      <c r="A267" s="247"/>
    </row>
    <row r="268" spans="1:1" s="239" customFormat="1">
      <c r="A268" s="247"/>
    </row>
    <row r="269" spans="1:1" s="239" customFormat="1">
      <c r="A269" s="247"/>
    </row>
    <row r="270" spans="1:1" s="239" customFormat="1">
      <c r="A270" s="247"/>
    </row>
    <row r="271" spans="1:1" s="239" customFormat="1">
      <c r="A271" s="247"/>
    </row>
    <row r="272" spans="1:1" s="239" customFormat="1">
      <c r="A272" s="247"/>
    </row>
    <row r="273" spans="1:1" s="239" customFormat="1">
      <c r="A273" s="247"/>
    </row>
    <row r="274" spans="1:1" s="239" customFormat="1">
      <c r="A274" s="247"/>
    </row>
    <row r="275" spans="1:1" s="239" customFormat="1">
      <c r="A275" s="247"/>
    </row>
    <row r="276" spans="1:1" s="239" customFormat="1">
      <c r="A276" s="247"/>
    </row>
    <row r="277" spans="1:1" s="239" customFormat="1">
      <c r="A277" s="247"/>
    </row>
    <row r="278" spans="1:1" s="239" customFormat="1">
      <c r="A278" s="247"/>
    </row>
    <row r="279" spans="1:1" s="239" customFormat="1">
      <c r="A279" s="247"/>
    </row>
    <row r="280" spans="1:1" s="239" customFormat="1">
      <c r="A280" s="247"/>
    </row>
    <row r="281" spans="1:1" s="239" customFormat="1">
      <c r="A281" s="247"/>
    </row>
    <row r="282" spans="1:1" s="239" customFormat="1">
      <c r="A282" s="247"/>
    </row>
    <row r="283" spans="1:1" s="239" customFormat="1">
      <c r="A283" s="247"/>
    </row>
    <row r="284" spans="1:1" s="239" customFormat="1">
      <c r="A284" s="247"/>
    </row>
    <row r="285" spans="1:1" s="239" customFormat="1">
      <c r="A285" s="247"/>
    </row>
    <row r="286" spans="1:1" s="239" customFormat="1">
      <c r="A286" s="247"/>
    </row>
    <row r="287" spans="1:1" s="239" customFormat="1">
      <c r="A287" s="247"/>
    </row>
    <row r="288" spans="1:1" s="239" customFormat="1">
      <c r="A288" s="247"/>
    </row>
    <row r="289" spans="1:1" s="239" customFormat="1">
      <c r="A289" s="247"/>
    </row>
    <row r="290" spans="1:1" s="239" customFormat="1">
      <c r="A290" s="247"/>
    </row>
    <row r="291" spans="1:1" s="239" customFormat="1">
      <c r="A291" s="247"/>
    </row>
    <row r="292" spans="1:1" s="239" customFormat="1">
      <c r="A292" s="247"/>
    </row>
    <row r="293" spans="1:1" s="239" customFormat="1">
      <c r="A293" s="247"/>
    </row>
    <row r="294" spans="1:1" s="239" customFormat="1">
      <c r="A294" s="247"/>
    </row>
    <row r="295" spans="1:1" s="239" customFormat="1">
      <c r="A295" s="247"/>
    </row>
    <row r="296" spans="1:1" s="239" customFormat="1">
      <c r="A296" s="247"/>
    </row>
    <row r="297" spans="1:1" s="239" customFormat="1">
      <c r="A297" s="247"/>
    </row>
    <row r="298" spans="1:1" s="239" customFormat="1">
      <c r="A298" s="247"/>
    </row>
    <row r="299" spans="1:1" s="239" customFormat="1">
      <c r="A299" s="247"/>
    </row>
    <row r="300" spans="1:1" s="239" customFormat="1">
      <c r="A300" s="247"/>
    </row>
    <row r="301" spans="1:1" s="239" customFormat="1">
      <c r="A301" s="247"/>
    </row>
    <row r="302" spans="1:1" s="239" customFormat="1">
      <c r="A302" s="247"/>
    </row>
    <row r="303" spans="1:1" s="239" customFormat="1">
      <c r="A303" s="247"/>
    </row>
    <row r="304" spans="1:1" s="239" customFormat="1">
      <c r="A304" s="247"/>
    </row>
    <row r="305" spans="1:1" s="239" customFormat="1">
      <c r="A305" s="247"/>
    </row>
    <row r="306" spans="1:1" s="239" customFormat="1">
      <c r="A306" s="247"/>
    </row>
    <row r="307" spans="1:1" s="239" customFormat="1">
      <c r="A307" s="247"/>
    </row>
    <row r="308" spans="1:1" s="239" customFormat="1">
      <c r="A308" s="247"/>
    </row>
    <row r="309" spans="1:1" s="239" customFormat="1">
      <c r="A309" s="247"/>
    </row>
    <row r="310" spans="1:1" s="239" customFormat="1">
      <c r="A310" s="247"/>
    </row>
    <row r="311" spans="1:1" s="239" customFormat="1">
      <c r="A311" s="247"/>
    </row>
    <row r="312" spans="1:1" s="239" customFormat="1">
      <c r="A312" s="247"/>
    </row>
    <row r="313" spans="1:1" s="239" customFormat="1">
      <c r="A313" s="247"/>
    </row>
    <row r="314" spans="1:1" s="239" customFormat="1">
      <c r="A314" s="247"/>
    </row>
    <row r="315" spans="1:1" s="239" customFormat="1">
      <c r="A315" s="247"/>
    </row>
    <row r="316" spans="1:1" s="239" customFormat="1">
      <c r="A316" s="247"/>
    </row>
    <row r="317" spans="1:1" s="239" customFormat="1">
      <c r="A317" s="247"/>
    </row>
    <row r="318" spans="1:1" s="239" customFormat="1">
      <c r="A318" s="247"/>
    </row>
    <row r="319" spans="1:1" s="239" customFormat="1">
      <c r="A319" s="247"/>
    </row>
    <row r="320" spans="1:1" s="239" customFormat="1">
      <c r="A320" s="247"/>
    </row>
    <row r="321" spans="1:1" s="239" customFormat="1">
      <c r="A321" s="247"/>
    </row>
    <row r="322" spans="1:1" s="239" customFormat="1">
      <c r="A322" s="247"/>
    </row>
    <row r="323" spans="1:1" s="239" customFormat="1">
      <c r="A323" s="247"/>
    </row>
    <row r="324" spans="1:1" s="239" customFormat="1">
      <c r="A324" s="247"/>
    </row>
    <row r="325" spans="1:1" s="239" customFormat="1">
      <c r="A325" s="247"/>
    </row>
    <row r="326" spans="1:1" s="239" customFormat="1">
      <c r="A326" s="247"/>
    </row>
    <row r="327" spans="1:1" s="239" customFormat="1">
      <c r="A327" s="247"/>
    </row>
    <row r="328" spans="1:1" s="239" customFormat="1">
      <c r="A328" s="247"/>
    </row>
    <row r="329" spans="1:1" s="239" customFormat="1">
      <c r="A329" s="247"/>
    </row>
    <row r="330" spans="1:1" s="239" customFormat="1">
      <c r="A330" s="247"/>
    </row>
    <row r="331" spans="1:1" s="239" customFormat="1">
      <c r="A331" s="247"/>
    </row>
    <row r="332" spans="1:1" s="239" customFormat="1">
      <c r="A332" s="247"/>
    </row>
    <row r="333" spans="1:1" s="239" customFormat="1">
      <c r="A333" s="247"/>
    </row>
    <row r="334" spans="1:1" s="239" customFormat="1">
      <c r="A334" s="247"/>
    </row>
    <row r="335" spans="1:1" s="239" customFormat="1">
      <c r="A335" s="247"/>
    </row>
    <row r="336" spans="1:1" s="239" customFormat="1">
      <c r="A336" s="247"/>
    </row>
    <row r="337" spans="1:1" s="239" customFormat="1">
      <c r="A337" s="247"/>
    </row>
    <row r="338" spans="1:1" s="239" customFormat="1">
      <c r="A338" s="247"/>
    </row>
    <row r="339" spans="1:1" s="239" customFormat="1">
      <c r="A339" s="247"/>
    </row>
    <row r="340" spans="1:1" s="239" customFormat="1">
      <c r="A340" s="247"/>
    </row>
    <row r="341" spans="1:1" s="239" customFormat="1">
      <c r="A341" s="247"/>
    </row>
    <row r="342" spans="1:1" s="239" customFormat="1">
      <c r="A342" s="247"/>
    </row>
    <row r="343" spans="1:1" s="239" customFormat="1">
      <c r="A343" s="247"/>
    </row>
    <row r="344" spans="1:1" s="239" customFormat="1">
      <c r="A344" s="247"/>
    </row>
    <row r="345" spans="1:1" s="239" customFormat="1">
      <c r="A345" s="247"/>
    </row>
    <row r="346" spans="1:1" s="239" customFormat="1">
      <c r="A346" s="247"/>
    </row>
    <row r="347" spans="1:1" s="239" customFormat="1">
      <c r="A347" s="247"/>
    </row>
    <row r="348" spans="1:1" s="239" customFormat="1">
      <c r="A348" s="247"/>
    </row>
    <row r="349" spans="1:1" s="239" customFormat="1">
      <c r="A349" s="247"/>
    </row>
    <row r="350" spans="1:1" s="239" customFormat="1">
      <c r="A350" s="247"/>
    </row>
    <row r="351" spans="1:1" s="239" customFormat="1">
      <c r="A351" s="247"/>
    </row>
    <row r="352" spans="1:1" s="239" customFormat="1">
      <c r="A352" s="247"/>
    </row>
    <row r="353" spans="1:1" s="239" customFormat="1">
      <c r="A353" s="247"/>
    </row>
    <row r="354" spans="1:1" s="239" customFormat="1">
      <c r="A354" s="247"/>
    </row>
    <row r="355" spans="1:1" s="239" customFormat="1">
      <c r="A355" s="247"/>
    </row>
    <row r="356" spans="1:1" s="239" customFormat="1">
      <c r="A356" s="247"/>
    </row>
    <row r="357" spans="1:1" s="239" customFormat="1">
      <c r="A357" s="247"/>
    </row>
    <row r="358" spans="1:1" s="239" customFormat="1">
      <c r="A358" s="247"/>
    </row>
    <row r="359" spans="1:1" s="239" customFormat="1">
      <c r="A359" s="247"/>
    </row>
    <row r="360" spans="1:1" s="239" customFormat="1">
      <c r="A360" s="247"/>
    </row>
    <row r="361" spans="1:1" s="239" customFormat="1">
      <c r="A361" s="247"/>
    </row>
    <row r="362" spans="1:1" s="239" customFormat="1">
      <c r="A362" s="247"/>
    </row>
    <row r="363" spans="1:1" s="239" customFormat="1">
      <c r="A363" s="247"/>
    </row>
    <row r="364" spans="1:1" s="239" customFormat="1">
      <c r="A364" s="247"/>
    </row>
    <row r="365" spans="1:1" s="239" customFormat="1">
      <c r="A365" s="247"/>
    </row>
    <row r="366" spans="1:1" s="239" customFormat="1">
      <c r="A366" s="247"/>
    </row>
    <row r="367" spans="1:1" s="239" customFormat="1">
      <c r="A367" s="247"/>
    </row>
    <row r="368" spans="1:1" s="239" customFormat="1">
      <c r="A368" s="247"/>
    </row>
    <row r="369" spans="1:1" s="239" customFormat="1">
      <c r="A369" s="247"/>
    </row>
    <row r="370" spans="1:1" s="239" customFormat="1">
      <c r="A370" s="247"/>
    </row>
    <row r="371" spans="1:1" s="239" customFormat="1">
      <c r="A371" s="247"/>
    </row>
    <row r="372" spans="1:1" s="239" customFormat="1">
      <c r="A372" s="247"/>
    </row>
    <row r="373" spans="1:1" s="239" customFormat="1">
      <c r="A373" s="247"/>
    </row>
    <row r="374" spans="1:1" s="239" customFormat="1">
      <c r="A374" s="247"/>
    </row>
    <row r="375" spans="1:1" s="239" customFormat="1">
      <c r="A375" s="247"/>
    </row>
    <row r="376" spans="1:1" s="239" customFormat="1">
      <c r="A376" s="247"/>
    </row>
    <row r="377" spans="1:1" s="239" customFormat="1">
      <c r="A377" s="247"/>
    </row>
    <row r="378" spans="1:1" s="239" customFormat="1">
      <c r="A378" s="247"/>
    </row>
    <row r="379" spans="1:1" s="239" customFormat="1">
      <c r="A379" s="247"/>
    </row>
    <row r="380" spans="1:1" s="239" customFormat="1">
      <c r="A380" s="247"/>
    </row>
    <row r="381" spans="1:1" s="239" customFormat="1">
      <c r="A381" s="247"/>
    </row>
    <row r="382" spans="1:1" s="239" customFormat="1">
      <c r="A382" s="247"/>
    </row>
    <row r="383" spans="1:1" s="239" customFormat="1">
      <c r="A383" s="247"/>
    </row>
    <row r="384" spans="1:1" s="239" customFormat="1">
      <c r="A384" s="247"/>
    </row>
    <row r="385" spans="1:1" s="239" customFormat="1">
      <c r="A385" s="247"/>
    </row>
    <row r="386" spans="1:1" s="239" customFormat="1">
      <c r="A386" s="247"/>
    </row>
    <row r="387" spans="1:1" s="239" customFormat="1">
      <c r="A387" s="247"/>
    </row>
    <row r="388" spans="1:1" s="239" customFormat="1">
      <c r="A388" s="247"/>
    </row>
    <row r="389" spans="1:1" s="239" customFormat="1">
      <c r="A389" s="247"/>
    </row>
    <row r="390" spans="1:1" s="239" customFormat="1">
      <c r="A390" s="247"/>
    </row>
    <row r="391" spans="1:1" s="239" customFormat="1">
      <c r="A391" s="247"/>
    </row>
    <row r="392" spans="1:1" s="239" customFormat="1">
      <c r="A392" s="247"/>
    </row>
    <row r="393" spans="1:1" s="239" customFormat="1">
      <c r="A393" s="247"/>
    </row>
    <row r="394" spans="1:1" s="239" customFormat="1">
      <c r="A394" s="247"/>
    </row>
    <row r="395" spans="1:1" s="239" customFormat="1">
      <c r="A395" s="247"/>
    </row>
    <row r="396" spans="1:1" s="239" customFormat="1">
      <c r="A396" s="247"/>
    </row>
    <row r="397" spans="1:1" s="239" customFormat="1">
      <c r="A397" s="247"/>
    </row>
    <row r="398" spans="1:1" s="239" customFormat="1">
      <c r="A398" s="247"/>
    </row>
    <row r="399" spans="1:1" s="239" customFormat="1">
      <c r="A399" s="247"/>
    </row>
    <row r="400" spans="1:1" s="239" customFormat="1">
      <c r="A400" s="247"/>
    </row>
    <row r="401" spans="1:1" s="239" customFormat="1">
      <c r="A401" s="247"/>
    </row>
    <row r="402" spans="1:1" s="239" customFormat="1">
      <c r="A402" s="247"/>
    </row>
    <row r="403" spans="1:1" s="239" customFormat="1">
      <c r="A403" s="247"/>
    </row>
    <row r="404" spans="1:1" s="239" customFormat="1">
      <c r="A404" s="247"/>
    </row>
    <row r="405" spans="1:1" s="239" customFormat="1">
      <c r="A405" s="247"/>
    </row>
    <row r="406" spans="1:1" s="239" customFormat="1">
      <c r="A406" s="247"/>
    </row>
    <row r="407" spans="1:1" s="239" customFormat="1">
      <c r="A407" s="247"/>
    </row>
    <row r="408" spans="1:1" s="239" customFormat="1">
      <c r="A408" s="247"/>
    </row>
    <row r="409" spans="1:1" s="239" customFormat="1">
      <c r="A409" s="247"/>
    </row>
    <row r="410" spans="1:1" s="239" customFormat="1">
      <c r="A410" s="247"/>
    </row>
    <row r="411" spans="1:1" s="239" customFormat="1">
      <c r="A411" s="247"/>
    </row>
    <row r="412" spans="1:1" s="239" customFormat="1">
      <c r="A412" s="247"/>
    </row>
    <row r="413" spans="1:1" s="239" customFormat="1">
      <c r="A413" s="247"/>
    </row>
    <row r="414" spans="1:1" s="239" customFormat="1">
      <c r="A414" s="247"/>
    </row>
    <row r="415" spans="1:1" s="239" customFormat="1">
      <c r="A415" s="247"/>
    </row>
    <row r="416" spans="1:1" s="239" customFormat="1">
      <c r="A416" s="247"/>
    </row>
    <row r="417" spans="1:1" s="239" customFormat="1">
      <c r="A417" s="247"/>
    </row>
    <row r="418" spans="1:1" s="239" customFormat="1">
      <c r="A418" s="247"/>
    </row>
    <row r="419" spans="1:1" s="239" customFormat="1">
      <c r="A419" s="247"/>
    </row>
    <row r="420" spans="1:1" s="239" customFormat="1">
      <c r="A420" s="247"/>
    </row>
    <row r="421" spans="1:1" s="239" customFormat="1">
      <c r="A421" s="247"/>
    </row>
    <row r="422" spans="1:1" s="239" customFormat="1">
      <c r="A422" s="247"/>
    </row>
    <row r="423" spans="1:1" s="239" customFormat="1">
      <c r="A423" s="247"/>
    </row>
    <row r="424" spans="1:1" s="239" customFormat="1">
      <c r="A424" s="247"/>
    </row>
    <row r="425" spans="1:1" s="239" customFormat="1">
      <c r="A425" s="247"/>
    </row>
    <row r="426" spans="1:1" s="239" customFormat="1">
      <c r="A426" s="247"/>
    </row>
    <row r="427" spans="1:1" s="239" customFormat="1">
      <c r="A427" s="247"/>
    </row>
    <row r="428" spans="1:1" s="239" customFormat="1">
      <c r="A428" s="247"/>
    </row>
    <row r="429" spans="1:1" s="239" customFormat="1">
      <c r="A429" s="247"/>
    </row>
    <row r="430" spans="1:1" s="239" customFormat="1">
      <c r="A430" s="247"/>
    </row>
    <row r="431" spans="1:1" s="239" customFormat="1">
      <c r="A431" s="247"/>
    </row>
    <row r="432" spans="1:1" s="239" customFormat="1">
      <c r="A432" s="247"/>
    </row>
    <row r="433" spans="1:1" s="239" customFormat="1">
      <c r="A433" s="247"/>
    </row>
    <row r="434" spans="1:1" s="239" customFormat="1">
      <c r="A434" s="247"/>
    </row>
    <row r="435" spans="1:1" s="239" customFormat="1">
      <c r="A435" s="247"/>
    </row>
    <row r="436" spans="1:1" s="239" customFormat="1">
      <c r="A436" s="247"/>
    </row>
    <row r="437" spans="1:1" s="239" customFormat="1">
      <c r="A437" s="247"/>
    </row>
    <row r="438" spans="1:1" s="239" customFormat="1">
      <c r="A438" s="247"/>
    </row>
    <row r="439" spans="1:1" s="239" customFormat="1">
      <c r="A439" s="247"/>
    </row>
    <row r="440" spans="1:1" s="239" customFormat="1">
      <c r="A440" s="247"/>
    </row>
    <row r="441" spans="1:1" s="239" customFormat="1">
      <c r="A441" s="247"/>
    </row>
    <row r="442" spans="1:1" s="239" customFormat="1">
      <c r="A442" s="247"/>
    </row>
    <row r="443" spans="1:1" s="239" customFormat="1">
      <c r="A443" s="247"/>
    </row>
    <row r="444" spans="1:1" s="239" customFormat="1">
      <c r="A444" s="247"/>
    </row>
    <row r="445" spans="1:1" s="239" customFormat="1">
      <c r="A445" s="247"/>
    </row>
    <row r="446" spans="1:1" s="239" customFormat="1">
      <c r="A446" s="247"/>
    </row>
    <row r="447" spans="1:1" s="239" customFormat="1">
      <c r="A447" s="247"/>
    </row>
    <row r="448" spans="1:1" s="239" customFormat="1">
      <c r="A448" s="247"/>
    </row>
    <row r="449" spans="1:1" s="239" customFormat="1">
      <c r="A449" s="247"/>
    </row>
    <row r="450" spans="1:1" s="239" customFormat="1">
      <c r="A450" s="247"/>
    </row>
    <row r="451" spans="1:1" s="239" customFormat="1">
      <c r="A451" s="247"/>
    </row>
    <row r="452" spans="1:1" s="239" customFormat="1">
      <c r="A452" s="247"/>
    </row>
    <row r="453" spans="1:1" s="239" customFormat="1">
      <c r="A453" s="247"/>
    </row>
    <row r="454" spans="1:1" s="239" customFormat="1">
      <c r="A454" s="247"/>
    </row>
    <row r="455" spans="1:1" s="239" customFormat="1">
      <c r="A455" s="247"/>
    </row>
    <row r="456" spans="1:1" s="239" customFormat="1">
      <c r="A456" s="247"/>
    </row>
    <row r="457" spans="1:1" s="239" customFormat="1">
      <c r="A457" s="247"/>
    </row>
    <row r="458" spans="1:1" s="239" customFormat="1">
      <c r="A458" s="247"/>
    </row>
    <row r="459" spans="1:1" s="239" customFormat="1">
      <c r="A459" s="247"/>
    </row>
    <row r="460" spans="1:1" s="239" customFormat="1">
      <c r="A460" s="247"/>
    </row>
    <row r="461" spans="1:1" s="239" customFormat="1">
      <c r="A461" s="247"/>
    </row>
    <row r="462" spans="1:1" s="239" customFormat="1">
      <c r="A462" s="247"/>
    </row>
    <row r="463" spans="1:1" s="239" customFormat="1">
      <c r="A463" s="247"/>
    </row>
    <row r="464" spans="1:1" s="239" customFormat="1">
      <c r="A464" s="247"/>
    </row>
    <row r="465" spans="1:1" s="239" customFormat="1">
      <c r="A465" s="247"/>
    </row>
    <row r="466" spans="1:1" s="239" customFormat="1">
      <c r="A466" s="247"/>
    </row>
    <row r="467" spans="1:1" s="239" customFormat="1">
      <c r="A467" s="247"/>
    </row>
    <row r="468" spans="1:1" s="239" customFormat="1">
      <c r="A468" s="247"/>
    </row>
    <row r="469" spans="1:1" s="239" customFormat="1">
      <c r="A469" s="247"/>
    </row>
    <row r="470" spans="1:1" s="239" customFormat="1">
      <c r="A470" s="247"/>
    </row>
    <row r="471" spans="1:1" s="239" customFormat="1">
      <c r="A471" s="247"/>
    </row>
    <row r="472" spans="1:1" s="239" customFormat="1">
      <c r="A472" s="247"/>
    </row>
    <row r="473" spans="1:1" s="239" customFormat="1">
      <c r="A473" s="247"/>
    </row>
    <row r="474" spans="1:1" s="239" customFormat="1">
      <c r="A474" s="247"/>
    </row>
    <row r="475" spans="1:1" s="239" customFormat="1">
      <c r="A475" s="247"/>
    </row>
    <row r="476" spans="1:1" s="239" customFormat="1">
      <c r="A476" s="247"/>
    </row>
    <row r="477" spans="1:1" s="239" customFormat="1">
      <c r="A477" s="247"/>
    </row>
    <row r="478" spans="1:1" s="239" customFormat="1">
      <c r="A478" s="247"/>
    </row>
    <row r="479" spans="1:1" s="239" customFormat="1">
      <c r="A479" s="247"/>
    </row>
    <row r="480" spans="1:1" s="239" customFormat="1">
      <c r="A480" s="247"/>
    </row>
    <row r="481" spans="1:1" s="239" customFormat="1">
      <c r="A481" s="247"/>
    </row>
    <row r="482" spans="1:1" s="239" customFormat="1">
      <c r="A482" s="247"/>
    </row>
    <row r="483" spans="1:1" s="239" customFormat="1">
      <c r="A483" s="247"/>
    </row>
    <row r="484" spans="1:1" s="239" customFormat="1">
      <c r="A484" s="247"/>
    </row>
    <row r="485" spans="1:1" s="239" customFormat="1">
      <c r="A485" s="247"/>
    </row>
    <row r="486" spans="1:1" s="239" customFormat="1">
      <c r="A486" s="247"/>
    </row>
    <row r="487" spans="1:1" s="239" customFormat="1">
      <c r="A487" s="247"/>
    </row>
    <row r="488" spans="1:1" s="239" customFormat="1">
      <c r="A488" s="247"/>
    </row>
    <row r="489" spans="1:1" s="239" customFormat="1">
      <c r="A489" s="247"/>
    </row>
    <row r="490" spans="1:1" s="239" customFormat="1">
      <c r="A490" s="247"/>
    </row>
    <row r="491" spans="1:1" s="239" customFormat="1">
      <c r="A491" s="247"/>
    </row>
    <row r="492" spans="1:1" s="239" customFormat="1">
      <c r="A492" s="247"/>
    </row>
    <row r="493" spans="1:1" s="239" customFormat="1">
      <c r="A493" s="247"/>
    </row>
    <row r="494" spans="1:1" s="239" customFormat="1">
      <c r="A494" s="247"/>
    </row>
    <row r="495" spans="1:1" s="239" customFormat="1">
      <c r="A495" s="247"/>
    </row>
    <row r="496" spans="1:1" s="239" customFormat="1">
      <c r="A496" s="247"/>
    </row>
    <row r="497" spans="1:1" s="239" customFormat="1">
      <c r="A497" s="247"/>
    </row>
    <row r="498" spans="1:1" s="239" customFormat="1">
      <c r="A498" s="247"/>
    </row>
    <row r="499" spans="1:1" s="239" customFormat="1">
      <c r="A499" s="247"/>
    </row>
    <row r="500" spans="1:1" s="239" customFormat="1">
      <c r="A500" s="247"/>
    </row>
    <row r="501" spans="1:1" s="239" customFormat="1">
      <c r="A501" s="247"/>
    </row>
    <row r="502" spans="1:1" s="239" customFormat="1">
      <c r="A502" s="247"/>
    </row>
    <row r="503" spans="1:1" s="239" customFormat="1">
      <c r="A503" s="247"/>
    </row>
    <row r="504" spans="1:1" s="239" customFormat="1">
      <c r="A504" s="247"/>
    </row>
    <row r="505" spans="1:1" s="239" customFormat="1">
      <c r="A505" s="247"/>
    </row>
    <row r="506" spans="1:1" s="239" customFormat="1">
      <c r="A506" s="247"/>
    </row>
    <row r="507" spans="1:1" s="239" customFormat="1">
      <c r="A507" s="247"/>
    </row>
    <row r="508" spans="1:1" s="239" customFormat="1">
      <c r="A508" s="247"/>
    </row>
    <row r="509" spans="1:1" s="239" customFormat="1">
      <c r="A509" s="247"/>
    </row>
    <row r="510" spans="1:1" s="239" customFormat="1">
      <c r="A510" s="247"/>
    </row>
    <row r="511" spans="1:1" s="239" customFormat="1">
      <c r="A511" s="247"/>
    </row>
    <row r="512" spans="1:1" s="239" customFormat="1">
      <c r="A512" s="247"/>
    </row>
    <row r="513" spans="1:1" s="239" customFormat="1">
      <c r="A513" s="247"/>
    </row>
    <row r="514" spans="1:1" s="239" customFormat="1">
      <c r="A514" s="247"/>
    </row>
    <row r="515" spans="1:1" s="239" customFormat="1">
      <c r="A515" s="247"/>
    </row>
    <row r="516" spans="1:1" s="239" customFormat="1">
      <c r="A516" s="247"/>
    </row>
    <row r="517" spans="1:1" s="239" customFormat="1">
      <c r="A517" s="247"/>
    </row>
    <row r="518" spans="1:1" s="239" customFormat="1">
      <c r="A518" s="247"/>
    </row>
    <row r="519" spans="1:1" s="239" customFormat="1">
      <c r="A519" s="247"/>
    </row>
    <row r="520" spans="1:1" s="239" customFormat="1">
      <c r="A520" s="247"/>
    </row>
    <row r="521" spans="1:1" s="239" customFormat="1">
      <c r="A521" s="247"/>
    </row>
    <row r="522" spans="1:1" s="239" customFormat="1">
      <c r="A522" s="247"/>
    </row>
    <row r="523" spans="1:1" s="239" customFormat="1">
      <c r="A523" s="247"/>
    </row>
    <row r="524" spans="1:1" s="239" customFormat="1">
      <c r="A524" s="247"/>
    </row>
    <row r="525" spans="1:1" s="239" customFormat="1">
      <c r="A525" s="247"/>
    </row>
    <row r="526" spans="1:1" s="239" customFormat="1">
      <c r="A526" s="247"/>
    </row>
    <row r="527" spans="1:1" s="239" customFormat="1">
      <c r="A527" s="247"/>
    </row>
    <row r="528" spans="1:1" s="239" customFormat="1">
      <c r="A528" s="247"/>
    </row>
    <row r="529" spans="1:1" s="239" customFormat="1">
      <c r="A529" s="247"/>
    </row>
    <row r="530" spans="1:1" s="239" customFormat="1">
      <c r="A530" s="247"/>
    </row>
    <row r="531" spans="1:1" s="239" customFormat="1">
      <c r="A531" s="247"/>
    </row>
    <row r="532" spans="1:1" s="239" customFormat="1">
      <c r="A532" s="247"/>
    </row>
    <row r="533" spans="1:1" s="239" customFormat="1">
      <c r="A533" s="247"/>
    </row>
    <row r="534" spans="1:1" s="239" customFormat="1">
      <c r="A534" s="247"/>
    </row>
    <row r="535" spans="1:1" s="239" customFormat="1">
      <c r="A535" s="247"/>
    </row>
    <row r="536" spans="1:1" s="239" customFormat="1">
      <c r="A536" s="247"/>
    </row>
    <row r="537" spans="1:1" s="239" customFormat="1">
      <c r="A537" s="247"/>
    </row>
    <row r="538" spans="1:1" s="239" customFormat="1">
      <c r="A538" s="247"/>
    </row>
    <row r="539" spans="1:1" s="239" customFormat="1">
      <c r="A539" s="247"/>
    </row>
    <row r="540" spans="1:1" s="239" customFormat="1">
      <c r="A540" s="247"/>
    </row>
    <row r="541" spans="1:1" s="239" customFormat="1">
      <c r="A541" s="247"/>
    </row>
    <row r="542" spans="1:1" s="239" customFormat="1">
      <c r="A542" s="247"/>
    </row>
    <row r="543" spans="1:1" s="239" customFormat="1">
      <c r="A543" s="247"/>
    </row>
    <row r="544" spans="1:1" s="239" customFormat="1">
      <c r="A544" s="247"/>
    </row>
    <row r="545" spans="1:1" s="239" customFormat="1">
      <c r="A545" s="247"/>
    </row>
    <row r="546" spans="1:1" s="239" customFormat="1">
      <c r="A546" s="247"/>
    </row>
    <row r="547" spans="1:1" s="239" customFormat="1">
      <c r="A547" s="247"/>
    </row>
    <row r="548" spans="1:1" s="239" customFormat="1">
      <c r="A548" s="247"/>
    </row>
    <row r="549" spans="1:1" s="239" customFormat="1">
      <c r="A549" s="247"/>
    </row>
    <row r="550" spans="1:1" s="239" customFormat="1">
      <c r="A550" s="247"/>
    </row>
    <row r="551" spans="1:1" s="239" customFormat="1">
      <c r="A551" s="247"/>
    </row>
    <row r="552" spans="1:1" s="239" customFormat="1">
      <c r="A552" s="247"/>
    </row>
    <row r="553" spans="1:1" s="239" customFormat="1">
      <c r="A553" s="247"/>
    </row>
    <row r="554" spans="1:1" s="239" customFormat="1">
      <c r="A554" s="247"/>
    </row>
    <row r="555" spans="1:1" s="239" customFormat="1">
      <c r="A555" s="247"/>
    </row>
    <row r="556" spans="1:1" s="239" customFormat="1">
      <c r="A556" s="247"/>
    </row>
    <row r="557" spans="1:1" s="239" customFormat="1">
      <c r="A557" s="247"/>
    </row>
    <row r="558" spans="1:1" s="239" customFormat="1">
      <c r="A558" s="247"/>
    </row>
    <row r="559" spans="1:1" s="239" customFormat="1">
      <c r="A559" s="247"/>
    </row>
    <row r="560" spans="1:1" s="239" customFormat="1">
      <c r="A560" s="247"/>
    </row>
    <row r="561" spans="1:1" s="239" customFormat="1">
      <c r="A561" s="247"/>
    </row>
    <row r="562" spans="1:1" s="239" customFormat="1">
      <c r="A562" s="247"/>
    </row>
    <row r="563" spans="1:1" s="239" customFormat="1">
      <c r="A563" s="247"/>
    </row>
    <row r="564" spans="1:1" s="239" customFormat="1">
      <c r="A564" s="247"/>
    </row>
    <row r="565" spans="1:1" s="239" customFormat="1">
      <c r="A565" s="247"/>
    </row>
    <row r="566" spans="1:1" s="239" customFormat="1">
      <c r="A566" s="247"/>
    </row>
    <row r="567" spans="1:1" s="239" customFormat="1">
      <c r="A567" s="247"/>
    </row>
    <row r="568" spans="1:1" s="239" customFormat="1">
      <c r="A568" s="247"/>
    </row>
    <row r="569" spans="1:1" s="239" customFormat="1">
      <c r="A569" s="247"/>
    </row>
    <row r="570" spans="1:1" s="239" customFormat="1">
      <c r="A570" s="247"/>
    </row>
    <row r="571" spans="1:1" s="239" customFormat="1">
      <c r="A571" s="247"/>
    </row>
    <row r="572" spans="1:1" s="239" customFormat="1">
      <c r="A572" s="247"/>
    </row>
    <row r="573" spans="1:1" s="239" customFormat="1">
      <c r="A573" s="247"/>
    </row>
    <row r="574" spans="1:1" s="239" customFormat="1">
      <c r="A574" s="247"/>
    </row>
    <row r="575" spans="1:1" s="239" customFormat="1">
      <c r="A575" s="247"/>
    </row>
    <row r="576" spans="1:1" s="239" customFormat="1">
      <c r="A576" s="247"/>
    </row>
    <row r="577" spans="1:1" s="239" customFormat="1">
      <c r="A577" s="247"/>
    </row>
    <row r="578" spans="1:1" s="239" customFormat="1">
      <c r="A578" s="247"/>
    </row>
    <row r="579" spans="1:1" s="239" customFormat="1">
      <c r="A579" s="247"/>
    </row>
    <row r="580" spans="1:1" s="239" customFormat="1">
      <c r="A580" s="247"/>
    </row>
    <row r="581" spans="1:1" s="239" customFormat="1">
      <c r="A581" s="247"/>
    </row>
    <row r="582" spans="1:1" s="239" customFormat="1">
      <c r="A582" s="247"/>
    </row>
    <row r="583" spans="1:1" s="239" customFormat="1">
      <c r="A583" s="247"/>
    </row>
    <row r="584" spans="1:1" s="239" customFormat="1">
      <c r="A584" s="247"/>
    </row>
    <row r="585" spans="1:1" s="239" customFormat="1">
      <c r="A585" s="247"/>
    </row>
    <row r="586" spans="1:1" s="239" customFormat="1">
      <c r="A586" s="247"/>
    </row>
    <row r="587" spans="1:1" s="239" customFormat="1">
      <c r="A587" s="247"/>
    </row>
    <row r="588" spans="1:1" s="239" customFormat="1">
      <c r="A588" s="247"/>
    </row>
    <row r="589" spans="1:1" s="239" customFormat="1">
      <c r="A589" s="247"/>
    </row>
    <row r="590" spans="1:1" s="239" customFormat="1">
      <c r="A590" s="247"/>
    </row>
    <row r="591" spans="1:1" s="239" customFormat="1">
      <c r="A591" s="247"/>
    </row>
    <row r="592" spans="1:1" s="239" customFormat="1">
      <c r="A592" s="247"/>
    </row>
    <row r="593" spans="1:1" s="239" customFormat="1">
      <c r="A593" s="247"/>
    </row>
    <row r="594" spans="1:1" s="239" customFormat="1">
      <c r="A594" s="247"/>
    </row>
    <row r="595" spans="1:1" s="239" customFormat="1">
      <c r="A595" s="247"/>
    </row>
    <row r="596" spans="1:1" s="239" customFormat="1">
      <c r="A596" s="247"/>
    </row>
    <row r="597" spans="1:1" s="239" customFormat="1">
      <c r="A597" s="247"/>
    </row>
    <row r="598" spans="1:1" s="239" customFormat="1">
      <c r="A598" s="247"/>
    </row>
    <row r="599" spans="1:1" s="239" customFormat="1">
      <c r="A599" s="247"/>
    </row>
    <row r="600" spans="1:1" s="239" customFormat="1">
      <c r="A600" s="247"/>
    </row>
    <row r="601" spans="1:1" s="239" customFormat="1">
      <c r="A601" s="247"/>
    </row>
    <row r="602" spans="1:1" s="239" customFormat="1">
      <c r="A602" s="247"/>
    </row>
    <row r="603" spans="1:1" s="239" customFormat="1">
      <c r="A603" s="247"/>
    </row>
    <row r="604" spans="1:1" s="239" customFormat="1">
      <c r="A604" s="247"/>
    </row>
    <row r="605" spans="1:1" s="239" customFormat="1">
      <c r="A605" s="247"/>
    </row>
    <row r="606" spans="1:1" s="239" customFormat="1">
      <c r="A606" s="247"/>
    </row>
    <row r="607" spans="1:1" s="239" customFormat="1">
      <c r="A607" s="247"/>
    </row>
    <row r="608" spans="1:1" s="239" customFormat="1">
      <c r="A608" s="247"/>
    </row>
    <row r="609" spans="1:1" s="239" customFormat="1">
      <c r="A609" s="247"/>
    </row>
    <row r="610" spans="1:1" s="239" customFormat="1">
      <c r="A610" s="247"/>
    </row>
    <row r="611" spans="1:1" s="239" customFormat="1">
      <c r="A611" s="247"/>
    </row>
    <row r="612" spans="1:1" s="239" customFormat="1">
      <c r="A612" s="247"/>
    </row>
    <row r="613" spans="1:1" s="239" customFormat="1">
      <c r="A613" s="247"/>
    </row>
    <row r="614" spans="1:1" s="239" customFormat="1">
      <c r="A614" s="247"/>
    </row>
    <row r="615" spans="1:1" s="239" customFormat="1">
      <c r="A615" s="247"/>
    </row>
    <row r="616" spans="1:1" s="239" customFormat="1">
      <c r="A616" s="247"/>
    </row>
    <row r="617" spans="1:1" s="239" customFormat="1">
      <c r="A617" s="247"/>
    </row>
    <row r="618" spans="1:1" s="239" customFormat="1">
      <c r="A618" s="247"/>
    </row>
    <row r="619" spans="1:1" s="239" customFormat="1">
      <c r="A619" s="247"/>
    </row>
    <row r="620" spans="1:1" s="239" customFormat="1">
      <c r="A620" s="247"/>
    </row>
    <row r="621" spans="1:1" s="239" customFormat="1">
      <c r="A621" s="247"/>
    </row>
    <row r="622" spans="1:1" s="239" customFormat="1">
      <c r="A622" s="247"/>
    </row>
    <row r="623" spans="1:1" s="239" customFormat="1">
      <c r="A623" s="247"/>
    </row>
    <row r="624" spans="1:1" s="239" customFormat="1">
      <c r="A624" s="247"/>
    </row>
    <row r="625" spans="1:1" s="239" customFormat="1">
      <c r="A625" s="247"/>
    </row>
    <row r="626" spans="1:1" s="239" customFormat="1">
      <c r="A626" s="247"/>
    </row>
    <row r="627" spans="1:1" s="239" customFormat="1">
      <c r="A627" s="247"/>
    </row>
    <row r="628" spans="1:1" s="239" customFormat="1">
      <c r="A628" s="247"/>
    </row>
    <row r="629" spans="1:1" s="239" customFormat="1">
      <c r="A629" s="247"/>
    </row>
    <row r="630" spans="1:1" s="239" customFormat="1">
      <c r="A630" s="247"/>
    </row>
    <row r="631" spans="1:1" s="239" customFormat="1">
      <c r="A631" s="247"/>
    </row>
    <row r="632" spans="1:1" s="239" customFormat="1">
      <c r="A632" s="247"/>
    </row>
    <row r="633" spans="1:1" s="239" customFormat="1">
      <c r="A633" s="247"/>
    </row>
    <row r="634" spans="1:1" s="239" customFormat="1">
      <c r="A634" s="247"/>
    </row>
    <row r="635" spans="1:1" s="239" customFormat="1">
      <c r="A635" s="247"/>
    </row>
    <row r="636" spans="1:1" s="239" customFormat="1">
      <c r="A636" s="247"/>
    </row>
    <row r="637" spans="1:1" s="239" customFormat="1">
      <c r="A637" s="247"/>
    </row>
    <row r="638" spans="1:1" s="239" customFormat="1">
      <c r="A638" s="247"/>
    </row>
    <row r="639" spans="1:1" s="239" customFormat="1">
      <c r="A639" s="247"/>
    </row>
    <row r="640" spans="1:1" s="239" customFormat="1">
      <c r="A640" s="247"/>
    </row>
    <row r="641" spans="1:1" s="239" customFormat="1">
      <c r="A641" s="247"/>
    </row>
    <row r="642" spans="1:1" s="239" customFormat="1">
      <c r="A642" s="247"/>
    </row>
    <row r="643" spans="1:1" s="239" customFormat="1">
      <c r="A643" s="247"/>
    </row>
    <row r="644" spans="1:1" s="239" customFormat="1">
      <c r="A644" s="247"/>
    </row>
    <row r="645" spans="1:1" s="239" customFormat="1">
      <c r="A645" s="247"/>
    </row>
    <row r="646" spans="1:1" s="239" customFormat="1">
      <c r="A646" s="247"/>
    </row>
    <row r="647" spans="1:1" s="239" customFormat="1">
      <c r="A647" s="247"/>
    </row>
    <row r="648" spans="1:1" s="239" customFormat="1">
      <c r="A648" s="247"/>
    </row>
    <row r="649" spans="1:1" s="239" customFormat="1">
      <c r="A649" s="247"/>
    </row>
    <row r="650" spans="1:1" s="239" customFormat="1">
      <c r="A650" s="247"/>
    </row>
    <row r="651" spans="1:1" s="239" customFormat="1">
      <c r="A651" s="247"/>
    </row>
    <row r="652" spans="1:1" s="239" customFormat="1">
      <c r="A652" s="247"/>
    </row>
    <row r="653" spans="1:1" s="239" customFormat="1">
      <c r="A653" s="247"/>
    </row>
    <row r="654" spans="1:1" s="239" customFormat="1">
      <c r="A654" s="247"/>
    </row>
    <row r="655" spans="1:1" s="239" customFormat="1">
      <c r="A655" s="247"/>
    </row>
    <row r="656" spans="1:1" s="239" customFormat="1">
      <c r="A656" s="247"/>
    </row>
    <row r="657" spans="1:1" s="239" customFormat="1">
      <c r="A657" s="247"/>
    </row>
    <row r="658" spans="1:1" s="239" customFormat="1">
      <c r="A658" s="247"/>
    </row>
    <row r="659" spans="1:1" s="239" customFormat="1">
      <c r="A659" s="247"/>
    </row>
    <row r="660" spans="1:1" s="239" customFormat="1">
      <c r="A660" s="247"/>
    </row>
    <row r="661" spans="1:1" s="239" customFormat="1">
      <c r="A661" s="247"/>
    </row>
    <row r="662" spans="1:1" s="239" customFormat="1">
      <c r="A662" s="247"/>
    </row>
    <row r="663" spans="1:1" s="239" customFormat="1">
      <c r="A663" s="247"/>
    </row>
    <row r="664" spans="1:1" s="239" customFormat="1">
      <c r="A664" s="247"/>
    </row>
    <row r="665" spans="1:1" s="239" customFormat="1">
      <c r="A665" s="247"/>
    </row>
    <row r="666" spans="1:1" s="239" customFormat="1">
      <c r="A666" s="247"/>
    </row>
    <row r="667" spans="1:1" s="239" customFormat="1">
      <c r="A667" s="247"/>
    </row>
    <row r="668" spans="1:1" s="239" customFormat="1">
      <c r="A668" s="247"/>
    </row>
    <row r="669" spans="1:1" s="239" customFormat="1">
      <c r="A669" s="247"/>
    </row>
    <row r="670" spans="1:1" s="239" customFormat="1">
      <c r="A670" s="247"/>
    </row>
    <row r="671" spans="1:1" s="239" customFormat="1">
      <c r="A671" s="247"/>
    </row>
    <row r="672" spans="1:1" s="239" customFormat="1">
      <c r="A672" s="247"/>
    </row>
    <row r="673" spans="1:1" s="239" customFormat="1">
      <c r="A673" s="247"/>
    </row>
    <row r="674" spans="1:1" s="239" customFormat="1">
      <c r="A674" s="247"/>
    </row>
    <row r="675" spans="1:1" s="239" customFormat="1">
      <c r="A675" s="247"/>
    </row>
    <row r="676" spans="1:1" s="239" customFormat="1">
      <c r="A676" s="247"/>
    </row>
    <row r="677" spans="1:1" s="239" customFormat="1">
      <c r="A677" s="247"/>
    </row>
    <row r="678" spans="1:1" s="239" customFormat="1">
      <c r="A678" s="247"/>
    </row>
    <row r="679" spans="1:1" s="239" customFormat="1">
      <c r="A679" s="247"/>
    </row>
    <row r="680" spans="1:1" s="239" customFormat="1">
      <c r="A680" s="247"/>
    </row>
    <row r="681" spans="1:1" s="239" customFormat="1">
      <c r="A681" s="247"/>
    </row>
    <row r="682" spans="1:1" s="239" customFormat="1">
      <c r="A682" s="247"/>
    </row>
    <row r="683" spans="1:1" s="239" customFormat="1">
      <c r="A683" s="247"/>
    </row>
    <row r="684" spans="1:1" s="239" customFormat="1">
      <c r="A684" s="247"/>
    </row>
    <row r="685" spans="1:1" s="239" customFormat="1">
      <c r="A685" s="247"/>
    </row>
    <row r="686" spans="1:1" s="239" customFormat="1">
      <c r="A686" s="247"/>
    </row>
    <row r="687" spans="1:1" s="239" customFormat="1">
      <c r="A687" s="247"/>
    </row>
    <row r="688" spans="1:1" s="239" customFormat="1">
      <c r="A688" s="247"/>
    </row>
    <row r="689" spans="1:1" s="239" customFormat="1">
      <c r="A689" s="247"/>
    </row>
    <row r="690" spans="1:1" s="239" customFormat="1">
      <c r="A690" s="247"/>
    </row>
    <row r="691" spans="1:1" s="239" customFormat="1">
      <c r="A691" s="247"/>
    </row>
    <row r="692" spans="1:1" s="239" customFormat="1">
      <c r="A692" s="247"/>
    </row>
    <row r="693" spans="1:1" s="239" customFormat="1">
      <c r="A693" s="247"/>
    </row>
    <row r="694" spans="1:1" s="239" customFormat="1">
      <c r="A694" s="247"/>
    </row>
    <row r="695" spans="1:1" s="239" customFormat="1">
      <c r="A695" s="247"/>
    </row>
    <row r="696" spans="1:1" s="239" customFormat="1">
      <c r="A696" s="247"/>
    </row>
    <row r="697" spans="1:1" s="239" customFormat="1">
      <c r="A697" s="247"/>
    </row>
    <row r="698" spans="1:1" s="239" customFormat="1">
      <c r="A698" s="247"/>
    </row>
    <row r="699" spans="1:1" s="239" customFormat="1">
      <c r="A699" s="247"/>
    </row>
    <row r="700" spans="1:1" s="239" customFormat="1">
      <c r="A700" s="247"/>
    </row>
    <row r="701" spans="1:1" s="239" customFormat="1">
      <c r="A701" s="247"/>
    </row>
    <row r="702" spans="1:1" s="239" customFormat="1">
      <c r="A702" s="247"/>
    </row>
    <row r="703" spans="1:1" s="239" customFormat="1">
      <c r="A703" s="247"/>
    </row>
    <row r="704" spans="1:1" s="239" customFormat="1">
      <c r="A704" s="247"/>
    </row>
    <row r="705" spans="1:1" s="239" customFormat="1">
      <c r="A705" s="247"/>
    </row>
    <row r="706" spans="1:1" s="239" customFormat="1">
      <c r="A706" s="247"/>
    </row>
    <row r="707" spans="1:1" s="239" customFormat="1">
      <c r="A707" s="247"/>
    </row>
    <row r="708" spans="1:1" s="239" customFormat="1">
      <c r="A708" s="247"/>
    </row>
    <row r="709" spans="1:1" s="239" customFormat="1">
      <c r="A709" s="247"/>
    </row>
    <row r="710" spans="1:1" s="239" customFormat="1">
      <c r="A710" s="247"/>
    </row>
    <row r="711" spans="1:1" s="239" customFormat="1">
      <c r="A711" s="247"/>
    </row>
    <row r="712" spans="1:1" s="239" customFormat="1">
      <c r="A712" s="247"/>
    </row>
    <row r="713" spans="1:1" s="239" customFormat="1">
      <c r="A713" s="247"/>
    </row>
    <row r="714" spans="1:1" s="239" customFormat="1">
      <c r="A714" s="247"/>
    </row>
    <row r="715" spans="1:1" s="239" customFormat="1">
      <c r="A715" s="247"/>
    </row>
    <row r="716" spans="1:1" s="239" customFormat="1">
      <c r="A716" s="247"/>
    </row>
    <row r="717" spans="1:1" s="239" customFormat="1">
      <c r="A717" s="247"/>
    </row>
    <row r="718" spans="1:1" s="239" customFormat="1">
      <c r="A718" s="247"/>
    </row>
    <row r="719" spans="1:1" s="239" customFormat="1">
      <c r="A719" s="247"/>
    </row>
    <row r="720" spans="1:1" s="239" customFormat="1">
      <c r="A720" s="247"/>
    </row>
    <row r="721" spans="1:1" s="239" customFormat="1">
      <c r="A721" s="247"/>
    </row>
    <row r="722" spans="1:1" s="239" customFormat="1">
      <c r="A722" s="247"/>
    </row>
    <row r="723" spans="1:1" s="239" customFormat="1">
      <c r="A723" s="247"/>
    </row>
    <row r="724" spans="1:1" s="239" customFormat="1">
      <c r="A724" s="247"/>
    </row>
    <row r="725" spans="1:1" s="239" customFormat="1">
      <c r="A725" s="247"/>
    </row>
    <row r="726" spans="1:1" s="239" customFormat="1">
      <c r="A726" s="247"/>
    </row>
    <row r="727" spans="1:1" s="239" customFormat="1">
      <c r="A727" s="247"/>
    </row>
    <row r="728" spans="1:1" s="239" customFormat="1">
      <c r="A728" s="247"/>
    </row>
    <row r="729" spans="1:1" s="239" customFormat="1">
      <c r="A729" s="247"/>
    </row>
    <row r="730" spans="1:1" s="239" customFormat="1">
      <c r="A730" s="247"/>
    </row>
    <row r="731" spans="1:1" s="239" customFormat="1">
      <c r="A731" s="247"/>
    </row>
    <row r="732" spans="1:1" s="239" customFormat="1">
      <c r="A732" s="247"/>
    </row>
    <row r="733" spans="1:1" s="239" customFormat="1">
      <c r="A733" s="247"/>
    </row>
    <row r="734" spans="1:1" s="239" customFormat="1">
      <c r="A734" s="247"/>
    </row>
    <row r="735" spans="1:1" s="239" customFormat="1">
      <c r="A735" s="247"/>
    </row>
    <row r="736" spans="1:1" s="239" customFormat="1">
      <c r="A736" s="247"/>
    </row>
    <row r="737" spans="1:1" s="239" customFormat="1">
      <c r="A737" s="247"/>
    </row>
    <row r="738" spans="1:1" s="239" customFormat="1">
      <c r="A738" s="247"/>
    </row>
    <row r="739" spans="1:1" s="239" customFormat="1">
      <c r="A739" s="247"/>
    </row>
    <row r="740" spans="1:1" s="239" customFormat="1">
      <c r="A740" s="247"/>
    </row>
    <row r="741" spans="1:1" s="239" customFormat="1">
      <c r="A741" s="247"/>
    </row>
    <row r="742" spans="1:1" s="239" customFormat="1">
      <c r="A742" s="247"/>
    </row>
    <row r="743" spans="1:1" s="239" customFormat="1">
      <c r="A743" s="247"/>
    </row>
    <row r="744" spans="1:1" s="239" customFormat="1">
      <c r="A744" s="247"/>
    </row>
    <row r="745" spans="1:1" s="239" customFormat="1">
      <c r="A745" s="247"/>
    </row>
    <row r="746" spans="1:1" s="239" customFormat="1">
      <c r="A746" s="247"/>
    </row>
    <row r="747" spans="1:1" s="239" customFormat="1">
      <c r="A747" s="247"/>
    </row>
    <row r="748" spans="1:1" s="239" customFormat="1">
      <c r="A748" s="247"/>
    </row>
    <row r="749" spans="1:1" s="239" customFormat="1">
      <c r="A749" s="247"/>
    </row>
    <row r="750" spans="1:1" s="239" customFormat="1">
      <c r="A750" s="247"/>
    </row>
    <row r="751" spans="1:1" s="239" customFormat="1">
      <c r="A751" s="247"/>
    </row>
    <row r="752" spans="1:1" s="239" customFormat="1">
      <c r="A752" s="247"/>
    </row>
    <row r="753" spans="1:1" s="239" customFormat="1">
      <c r="A753" s="247"/>
    </row>
    <row r="754" spans="1:1" s="239" customFormat="1">
      <c r="A754" s="247"/>
    </row>
    <row r="755" spans="1:1" s="239" customFormat="1">
      <c r="A755" s="247"/>
    </row>
    <row r="756" spans="1:1" s="239" customFormat="1">
      <c r="A756" s="247"/>
    </row>
    <row r="757" spans="1:1" s="239" customFormat="1">
      <c r="A757" s="247"/>
    </row>
    <row r="758" spans="1:1" s="239" customFormat="1">
      <c r="A758" s="247"/>
    </row>
    <row r="759" spans="1:1" s="239" customFormat="1">
      <c r="A759" s="247"/>
    </row>
    <row r="760" spans="1:1" s="239" customFormat="1">
      <c r="A760" s="247"/>
    </row>
    <row r="761" spans="1:1" s="239" customFormat="1">
      <c r="A761" s="247"/>
    </row>
    <row r="762" spans="1:1" s="239" customFormat="1">
      <c r="A762" s="247"/>
    </row>
    <row r="763" spans="1:1" s="239" customFormat="1">
      <c r="A763" s="247"/>
    </row>
    <row r="764" spans="1:1" s="239" customFormat="1">
      <c r="A764" s="247"/>
    </row>
    <row r="765" spans="1:1" s="239" customFormat="1">
      <c r="A765" s="247"/>
    </row>
    <row r="766" spans="1:1" s="239" customFormat="1">
      <c r="A766" s="247"/>
    </row>
    <row r="767" spans="1:1" s="239" customFormat="1">
      <c r="A767" s="247"/>
    </row>
    <row r="768" spans="1:1" s="239" customFormat="1">
      <c r="A768" s="247"/>
    </row>
    <row r="769" spans="1:1" s="239" customFormat="1">
      <c r="A769" s="247"/>
    </row>
    <row r="770" spans="1:1" s="239" customFormat="1">
      <c r="A770" s="247"/>
    </row>
    <row r="771" spans="1:1" s="239" customFormat="1">
      <c r="A771" s="247"/>
    </row>
    <row r="772" spans="1:1" s="239" customFormat="1">
      <c r="A772" s="247"/>
    </row>
    <row r="773" spans="1:1" s="239" customFormat="1">
      <c r="A773" s="247"/>
    </row>
    <row r="774" spans="1:1" s="239" customFormat="1">
      <c r="A774" s="247"/>
    </row>
    <row r="775" spans="1:1" s="239" customFormat="1">
      <c r="A775" s="247"/>
    </row>
    <row r="776" spans="1:1" s="239" customFormat="1">
      <c r="A776" s="247"/>
    </row>
    <row r="777" spans="1:1" s="239" customFormat="1">
      <c r="A777" s="247"/>
    </row>
    <row r="778" spans="1:1" s="239" customFormat="1">
      <c r="A778" s="247"/>
    </row>
    <row r="779" spans="1:1" s="239" customFormat="1">
      <c r="A779" s="247"/>
    </row>
    <row r="780" spans="1:1" s="239" customFormat="1">
      <c r="A780" s="247"/>
    </row>
    <row r="781" spans="1:1" s="239" customFormat="1">
      <c r="A781" s="247"/>
    </row>
    <row r="782" spans="1:1" s="239" customFormat="1">
      <c r="A782" s="247"/>
    </row>
  </sheetData>
  <phoneticPr fontId="18"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82"/>
  <sheetViews>
    <sheetView workbookViewId="0">
      <selection activeCell="F49" sqref="F49"/>
    </sheetView>
  </sheetViews>
  <sheetFormatPr defaultRowHeight="12.75"/>
  <cols>
    <col min="1" max="1" width="30" style="239" customWidth="1"/>
    <col min="2" max="4" width="9.33203125" style="239" customWidth="1"/>
    <col min="5" max="6" width="9.33203125" style="239"/>
    <col min="7" max="16384" width="9.33203125" style="210"/>
  </cols>
  <sheetData>
    <row r="1" spans="1:6">
      <c r="A1" s="237" t="s">
        <v>1778</v>
      </c>
      <c r="E1" s="210"/>
      <c r="F1" s="210"/>
    </row>
    <row r="2" spans="1:6">
      <c r="A2" s="237" t="s">
        <v>1966</v>
      </c>
      <c r="E2" s="210"/>
      <c r="F2" s="210"/>
    </row>
    <row r="3" spans="1:6">
      <c r="A3" s="240" t="s">
        <v>1967</v>
      </c>
      <c r="E3" s="210"/>
      <c r="F3" s="210"/>
    </row>
    <row r="4" spans="1:6" ht="13.5" thickBot="1">
      <c r="A4" s="299"/>
      <c r="B4" s="244"/>
      <c r="C4" s="244"/>
      <c r="D4" s="244"/>
      <c r="E4" s="244"/>
      <c r="F4" s="210"/>
    </row>
    <row r="5" spans="1:6" ht="13.5" thickBot="1">
      <c r="A5" s="245" t="s">
        <v>727</v>
      </c>
      <c r="B5" s="254">
        <v>2011</v>
      </c>
      <c r="C5" s="254">
        <v>2012</v>
      </c>
      <c r="D5" s="254">
        <v>2013</v>
      </c>
      <c r="E5" s="254">
        <v>2014</v>
      </c>
      <c r="F5" s="210"/>
    </row>
    <row r="6" spans="1:6">
      <c r="A6" s="240"/>
      <c r="E6" s="210"/>
      <c r="F6" s="210"/>
    </row>
    <row r="7" spans="1:6">
      <c r="A7" s="282" t="s">
        <v>672</v>
      </c>
      <c r="B7" s="283">
        <v>26926</v>
      </c>
      <c r="C7" s="283">
        <f>SUM(C12:C39)</f>
        <v>21657</v>
      </c>
      <c r="D7" s="283">
        <v>20654.851563209999</v>
      </c>
      <c r="E7" s="283">
        <v>12435.927</v>
      </c>
      <c r="F7" s="210"/>
    </row>
    <row r="8" spans="1:6" ht="13.5" thickBot="1">
      <c r="A8" s="300" t="s">
        <v>673</v>
      </c>
      <c r="B8" s="306">
        <v>26926</v>
      </c>
      <c r="C8" s="306">
        <v>21657</v>
      </c>
      <c r="D8" s="306">
        <v>20654.851563209999</v>
      </c>
      <c r="E8" s="306">
        <v>12435.927</v>
      </c>
      <c r="F8" s="210"/>
    </row>
    <row r="9" spans="1:6" ht="13.5" thickBot="1">
      <c r="B9" s="244"/>
      <c r="C9" s="244"/>
      <c r="D9" s="244"/>
      <c r="E9" s="244"/>
      <c r="F9" s="210"/>
    </row>
    <row r="10" spans="1:6" ht="13.5" thickBot="1">
      <c r="A10" s="245" t="s">
        <v>728</v>
      </c>
      <c r="B10" s="307"/>
      <c r="C10" s="307"/>
      <c r="D10" s="307"/>
      <c r="E10" s="307"/>
      <c r="F10" s="210"/>
    </row>
    <row r="11" spans="1:6">
      <c r="A11" s="261"/>
      <c r="F11" s="210"/>
    </row>
    <row r="12" spans="1:6">
      <c r="A12" s="261" t="s">
        <v>730</v>
      </c>
      <c r="B12" s="310">
        <v>1207</v>
      </c>
      <c r="C12" s="310">
        <v>1245</v>
      </c>
      <c r="D12" s="310">
        <v>1355</v>
      </c>
      <c r="E12" s="310">
        <v>1374</v>
      </c>
      <c r="F12" s="210"/>
    </row>
    <row r="13" spans="1:6">
      <c r="A13" s="261" t="s">
        <v>1257</v>
      </c>
      <c r="B13" s="310">
        <v>5400</v>
      </c>
      <c r="C13" s="310">
        <v>200</v>
      </c>
      <c r="D13" s="310">
        <v>31</v>
      </c>
      <c r="E13" s="310">
        <v>150</v>
      </c>
      <c r="F13" s="210"/>
    </row>
    <row r="14" spans="1:6">
      <c r="A14" s="311" t="s">
        <v>1614</v>
      </c>
      <c r="B14" s="312">
        <v>2</v>
      </c>
      <c r="C14" s="312">
        <v>2</v>
      </c>
      <c r="D14" s="461" t="s">
        <v>1229</v>
      </c>
      <c r="E14" s="310">
        <v>2.9350000000000001</v>
      </c>
      <c r="F14" s="210"/>
    </row>
    <row r="15" spans="1:6">
      <c r="A15" s="311" t="s">
        <v>1615</v>
      </c>
      <c r="B15" s="312">
        <v>203</v>
      </c>
      <c r="C15" s="312">
        <v>160</v>
      </c>
      <c r="D15" s="310" t="s">
        <v>1229</v>
      </c>
      <c r="E15" s="310">
        <v>3.5</v>
      </c>
      <c r="F15" s="210"/>
    </row>
    <row r="16" spans="1:6">
      <c r="A16" s="311" t="s">
        <v>1616</v>
      </c>
      <c r="B16" s="312">
        <v>56</v>
      </c>
      <c r="C16" s="312" t="s">
        <v>1229</v>
      </c>
      <c r="D16" s="310" t="s">
        <v>1229</v>
      </c>
      <c r="E16" s="310" t="s">
        <v>1229</v>
      </c>
      <c r="F16" s="210"/>
    </row>
    <row r="17" spans="1:6">
      <c r="A17" s="261" t="s">
        <v>1258</v>
      </c>
      <c r="B17" s="312">
        <v>6</v>
      </c>
      <c r="C17" s="312">
        <v>5</v>
      </c>
      <c r="D17" s="310">
        <v>9</v>
      </c>
      <c r="E17" s="310">
        <v>8.5</v>
      </c>
      <c r="F17" s="210"/>
    </row>
    <row r="18" spans="1:6">
      <c r="A18" s="588" t="s">
        <v>1968</v>
      </c>
      <c r="B18" s="312" t="s">
        <v>1229</v>
      </c>
      <c r="C18" s="312" t="s">
        <v>1229</v>
      </c>
      <c r="D18" s="312" t="s">
        <v>1229</v>
      </c>
      <c r="E18" s="310">
        <v>113</v>
      </c>
      <c r="F18" s="210"/>
    </row>
    <row r="19" spans="1:6">
      <c r="A19" s="311" t="s">
        <v>1969</v>
      </c>
      <c r="B19" s="312">
        <v>100</v>
      </c>
      <c r="C19" s="312">
        <v>100</v>
      </c>
      <c r="D19" s="310">
        <v>100</v>
      </c>
      <c r="E19" s="310">
        <v>100</v>
      </c>
      <c r="F19" s="210"/>
    </row>
    <row r="20" spans="1:6">
      <c r="A20" s="261" t="s">
        <v>1151</v>
      </c>
      <c r="B20" s="312">
        <v>25</v>
      </c>
      <c r="C20" s="461" t="s">
        <v>1229</v>
      </c>
      <c r="D20" s="461" t="s">
        <v>1229</v>
      </c>
      <c r="E20" s="310">
        <v>58</v>
      </c>
      <c r="F20" s="210"/>
    </row>
    <row r="21" spans="1:6">
      <c r="A21" s="261" t="s">
        <v>1152</v>
      </c>
      <c r="B21" s="310">
        <v>5000</v>
      </c>
      <c r="C21" s="310">
        <v>5000</v>
      </c>
      <c r="D21" s="310">
        <v>5500</v>
      </c>
      <c r="E21" s="310">
        <v>3500</v>
      </c>
      <c r="F21" s="210"/>
    </row>
    <row r="22" spans="1:6">
      <c r="A22" s="311" t="s">
        <v>1617</v>
      </c>
      <c r="B22" s="312">
        <v>12</v>
      </c>
      <c r="C22" s="461" t="s">
        <v>1229</v>
      </c>
      <c r="D22" s="461" t="s">
        <v>1229</v>
      </c>
      <c r="E22" s="461" t="s">
        <v>1229</v>
      </c>
      <c r="F22" s="210"/>
    </row>
    <row r="23" spans="1:6">
      <c r="A23" s="261" t="s">
        <v>1970</v>
      </c>
      <c r="B23" s="312">
        <v>678</v>
      </c>
      <c r="C23" s="312">
        <v>599</v>
      </c>
      <c r="D23" s="310">
        <v>745</v>
      </c>
      <c r="E23" s="461" t="s">
        <v>1229</v>
      </c>
      <c r="F23" s="210"/>
    </row>
    <row r="24" spans="1:6">
      <c r="A24" s="261" t="s">
        <v>1153</v>
      </c>
      <c r="B24" s="461" t="s">
        <v>1229</v>
      </c>
      <c r="C24" s="461" t="s">
        <v>1229</v>
      </c>
      <c r="D24" s="310">
        <v>170</v>
      </c>
      <c r="E24" s="310">
        <v>190.01300000000001</v>
      </c>
      <c r="F24" s="210"/>
    </row>
    <row r="25" spans="1:6">
      <c r="A25" s="588" t="s">
        <v>1971</v>
      </c>
      <c r="B25" s="312">
        <v>607</v>
      </c>
      <c r="C25" s="312">
        <v>223</v>
      </c>
      <c r="D25" s="310">
        <v>63</v>
      </c>
      <c r="E25" s="310">
        <v>78.168000000000006</v>
      </c>
      <c r="F25" s="210"/>
    </row>
    <row r="26" spans="1:6">
      <c r="A26" s="261" t="s">
        <v>1140</v>
      </c>
      <c r="B26" s="312">
        <v>10</v>
      </c>
      <c r="C26" s="461" t="s">
        <v>1229</v>
      </c>
      <c r="D26" s="461" t="s">
        <v>1229</v>
      </c>
      <c r="E26" s="461" t="s">
        <v>1229</v>
      </c>
      <c r="F26" s="210"/>
    </row>
    <row r="27" spans="1:6">
      <c r="A27" s="261" t="s">
        <v>369</v>
      </c>
      <c r="B27" s="312">
        <v>90</v>
      </c>
      <c r="C27" s="312">
        <v>12</v>
      </c>
      <c r="D27" s="310">
        <v>157</v>
      </c>
      <c r="E27" s="310">
        <v>73</v>
      </c>
      <c r="F27" s="210"/>
    </row>
    <row r="28" spans="1:6">
      <c r="A28" s="261" t="s">
        <v>1141</v>
      </c>
      <c r="B28" s="312">
        <v>4</v>
      </c>
      <c r="C28" s="461" t="s">
        <v>1229</v>
      </c>
      <c r="D28" s="461" t="s">
        <v>1229</v>
      </c>
      <c r="E28" s="461" t="s">
        <v>1229</v>
      </c>
      <c r="F28" s="210"/>
    </row>
    <row r="29" spans="1:6">
      <c r="A29" s="261" t="s">
        <v>1157</v>
      </c>
      <c r="B29" s="312">
        <v>263</v>
      </c>
      <c r="C29" s="312">
        <v>17</v>
      </c>
      <c r="D29" s="310">
        <v>260</v>
      </c>
      <c r="E29" s="310">
        <v>481</v>
      </c>
      <c r="F29" s="210"/>
    </row>
    <row r="30" spans="1:6">
      <c r="A30" s="261" t="s">
        <v>1972</v>
      </c>
      <c r="B30" s="312">
        <v>756</v>
      </c>
      <c r="C30" s="312">
        <v>4473</v>
      </c>
      <c r="D30" s="310">
        <v>435</v>
      </c>
      <c r="E30" s="310">
        <v>450</v>
      </c>
      <c r="F30" s="210"/>
    </row>
    <row r="31" spans="1:6">
      <c r="A31" s="261" t="s">
        <v>1161</v>
      </c>
      <c r="B31" s="312">
        <v>134</v>
      </c>
      <c r="C31" s="312">
        <v>34</v>
      </c>
      <c r="D31" s="310">
        <v>70</v>
      </c>
      <c r="E31" s="310">
        <v>290</v>
      </c>
      <c r="F31" s="210"/>
    </row>
    <row r="32" spans="1:6">
      <c r="A32" s="261" t="s">
        <v>1973</v>
      </c>
      <c r="B32" s="312">
        <v>301</v>
      </c>
      <c r="C32" s="312">
        <v>420</v>
      </c>
      <c r="D32" s="310">
        <v>213</v>
      </c>
      <c r="E32" s="310">
        <v>327.02</v>
      </c>
      <c r="F32" s="210"/>
    </row>
    <row r="33" spans="1:6">
      <c r="A33" s="588" t="s">
        <v>1974</v>
      </c>
      <c r="B33" s="461" t="s">
        <v>1229</v>
      </c>
      <c r="C33" s="461" t="s">
        <v>1229</v>
      </c>
      <c r="D33" s="461" t="s">
        <v>1229</v>
      </c>
      <c r="E33" s="310">
        <v>3.25</v>
      </c>
      <c r="F33" s="210"/>
    </row>
    <row r="34" spans="1:6">
      <c r="A34" s="208" t="s">
        <v>1322</v>
      </c>
      <c r="B34" s="312">
        <v>108</v>
      </c>
      <c r="C34" s="461" t="s">
        <v>1229</v>
      </c>
      <c r="D34" s="461" t="s">
        <v>1229</v>
      </c>
      <c r="E34" s="461" t="s">
        <v>1229</v>
      </c>
      <c r="F34" s="210"/>
    </row>
    <row r="35" spans="1:6">
      <c r="A35" s="261" t="s">
        <v>1025</v>
      </c>
      <c r="B35" s="310">
        <v>4604</v>
      </c>
      <c r="C35" s="310">
        <v>4601</v>
      </c>
      <c r="D35" s="310">
        <v>4601</v>
      </c>
      <c r="E35" s="310">
        <v>4843.5410000000002</v>
      </c>
      <c r="F35" s="210"/>
    </row>
    <row r="36" spans="1:6">
      <c r="A36" s="588" t="s">
        <v>1975</v>
      </c>
      <c r="B36" s="312">
        <v>110</v>
      </c>
      <c r="C36" s="312">
        <v>110</v>
      </c>
      <c r="D36" s="310">
        <v>125</v>
      </c>
      <c r="E36" s="310">
        <v>290</v>
      </c>
      <c r="F36" s="210"/>
    </row>
    <row r="37" spans="1:6">
      <c r="A37" s="261" t="s">
        <v>1143</v>
      </c>
      <c r="B37" s="312">
        <v>750</v>
      </c>
      <c r="C37" s="461" t="s">
        <v>1229</v>
      </c>
      <c r="D37" s="310">
        <v>30</v>
      </c>
      <c r="E37" s="310">
        <v>100</v>
      </c>
      <c r="F37" s="210"/>
    </row>
    <row r="38" spans="1:6">
      <c r="A38" s="261" t="s">
        <v>1026</v>
      </c>
      <c r="B38" s="310">
        <v>6500</v>
      </c>
      <c r="C38" s="310">
        <v>4433</v>
      </c>
      <c r="D38" s="310">
        <v>6774</v>
      </c>
      <c r="E38" s="461" t="s">
        <v>1229</v>
      </c>
      <c r="F38" s="210"/>
    </row>
    <row r="39" spans="1:6">
      <c r="A39" s="311" t="s">
        <v>1627</v>
      </c>
      <c r="B39" s="461" t="s">
        <v>1229</v>
      </c>
      <c r="C39" s="310">
        <v>23</v>
      </c>
      <c r="D39" s="310">
        <v>17</v>
      </c>
      <c r="E39" s="461" t="s">
        <v>1229</v>
      </c>
      <c r="F39" s="210"/>
    </row>
    <row r="40" spans="1:6" ht="10.5" customHeight="1">
      <c r="A40" s="311"/>
      <c r="B40" s="461"/>
      <c r="C40" s="461"/>
      <c r="D40" s="461"/>
      <c r="E40" s="310"/>
      <c r="F40" s="210"/>
    </row>
    <row r="41" spans="1:6" ht="13.5" thickBot="1">
      <c r="A41" s="287" t="s">
        <v>178</v>
      </c>
      <c r="B41" s="255">
        <f>SUM(B12:B39)</f>
        <v>26926</v>
      </c>
      <c r="C41" s="255">
        <f>SUM(C12:C39)</f>
        <v>21657</v>
      </c>
      <c r="D41" s="255">
        <f>SUM(D12:D39)</f>
        <v>20655</v>
      </c>
      <c r="E41" s="255">
        <f>SUM(E12:E40)</f>
        <v>12435.927</v>
      </c>
      <c r="F41" s="210"/>
    </row>
    <row r="42" spans="1:6">
      <c r="A42" s="240" t="s">
        <v>179</v>
      </c>
      <c r="E42" s="210"/>
      <c r="F42" s="210"/>
    </row>
    <row r="43" spans="1:6">
      <c r="A43" s="247"/>
      <c r="B43" s="210"/>
      <c r="C43" s="210"/>
      <c r="D43" s="210"/>
      <c r="E43" s="210"/>
      <c r="F43" s="210"/>
    </row>
    <row r="44" spans="1:6">
      <c r="A44" s="247"/>
      <c r="B44" s="210"/>
      <c r="C44" s="210"/>
      <c r="D44" s="210"/>
      <c r="E44" s="210"/>
      <c r="F44" s="210"/>
    </row>
    <row r="45" spans="1:6">
      <c r="A45" s="247"/>
      <c r="B45" s="210"/>
      <c r="C45" s="210"/>
      <c r="D45" s="210"/>
      <c r="E45" s="210"/>
      <c r="F45" s="210"/>
    </row>
    <row r="46" spans="1:6">
      <c r="A46" s="247"/>
      <c r="B46" s="210"/>
      <c r="C46" s="210"/>
      <c r="D46" s="210"/>
      <c r="E46" s="210"/>
      <c r="F46" s="210"/>
    </row>
    <row r="47" spans="1:6">
      <c r="A47" s="247"/>
      <c r="B47" s="210"/>
      <c r="C47" s="210"/>
      <c r="D47" s="210"/>
      <c r="E47" s="210"/>
      <c r="F47" s="210"/>
    </row>
    <row r="48" spans="1:6">
      <c r="A48" s="247"/>
      <c r="B48" s="210"/>
      <c r="C48" s="210"/>
      <c r="D48" s="210"/>
      <c r="E48" s="210"/>
      <c r="F48" s="210"/>
    </row>
    <row r="49" spans="1:6">
      <c r="A49" s="247"/>
      <c r="B49" s="210"/>
      <c r="C49" s="210"/>
      <c r="D49" s="210"/>
      <c r="E49" s="210"/>
      <c r="F49" s="210"/>
    </row>
    <row r="50" spans="1:6">
      <c r="A50" s="247"/>
      <c r="B50" s="210"/>
      <c r="C50" s="210"/>
      <c r="D50" s="210"/>
      <c r="E50" s="210"/>
      <c r="F50" s="210"/>
    </row>
    <row r="51" spans="1:6">
      <c r="A51" s="247"/>
      <c r="B51" s="210"/>
      <c r="C51" s="210"/>
      <c r="D51" s="210"/>
      <c r="E51" s="210"/>
      <c r="F51" s="210"/>
    </row>
    <row r="52" spans="1:6">
      <c r="A52" s="247"/>
      <c r="B52" s="210"/>
      <c r="C52" s="210"/>
      <c r="D52" s="210"/>
      <c r="E52" s="210"/>
      <c r="F52" s="210"/>
    </row>
    <row r="53" spans="1:6">
      <c r="A53" s="247"/>
      <c r="B53" s="210"/>
      <c r="C53" s="210"/>
      <c r="D53" s="210"/>
      <c r="E53" s="210"/>
      <c r="F53" s="210"/>
    </row>
    <row r="54" spans="1:6">
      <c r="A54" s="247"/>
      <c r="B54" s="210"/>
      <c r="C54" s="210"/>
      <c r="D54" s="210"/>
      <c r="E54" s="210"/>
      <c r="F54" s="210"/>
    </row>
    <row r="55" spans="1:6">
      <c r="A55" s="247"/>
      <c r="B55" s="210"/>
      <c r="C55" s="210"/>
      <c r="D55" s="210"/>
      <c r="E55" s="210"/>
      <c r="F55" s="210"/>
    </row>
    <row r="56" spans="1:6">
      <c r="A56" s="247"/>
      <c r="B56" s="210"/>
      <c r="C56" s="210"/>
      <c r="D56" s="210"/>
      <c r="E56" s="210"/>
      <c r="F56" s="210"/>
    </row>
    <row r="57" spans="1:6">
      <c r="A57" s="247"/>
      <c r="B57" s="210"/>
      <c r="C57" s="210"/>
      <c r="D57" s="210"/>
      <c r="E57" s="210"/>
      <c r="F57" s="210"/>
    </row>
    <row r="58" spans="1:6">
      <c r="A58" s="247"/>
      <c r="B58" s="210"/>
      <c r="C58" s="210"/>
      <c r="D58" s="210"/>
      <c r="E58" s="210"/>
      <c r="F58" s="210"/>
    </row>
    <row r="59" spans="1:6">
      <c r="A59" s="247"/>
      <c r="B59" s="210"/>
      <c r="C59" s="210"/>
      <c r="D59" s="210"/>
      <c r="E59" s="210"/>
      <c r="F59" s="210"/>
    </row>
    <row r="60" spans="1:6">
      <c r="A60" s="247"/>
      <c r="B60" s="210"/>
      <c r="C60" s="210"/>
      <c r="D60" s="210"/>
      <c r="E60" s="210"/>
      <c r="F60" s="210"/>
    </row>
    <row r="61" spans="1:6">
      <c r="A61" s="247"/>
      <c r="B61" s="210"/>
      <c r="C61" s="210"/>
      <c r="D61" s="210"/>
      <c r="E61" s="210"/>
      <c r="F61" s="210"/>
    </row>
    <row r="62" spans="1:6">
      <c r="A62" s="247"/>
      <c r="B62" s="210"/>
      <c r="C62" s="210"/>
      <c r="D62" s="210"/>
      <c r="E62" s="210"/>
      <c r="F62" s="210"/>
    </row>
    <row r="63" spans="1:6">
      <c r="A63" s="247"/>
      <c r="B63" s="210"/>
      <c r="C63" s="210"/>
      <c r="D63" s="210"/>
      <c r="E63" s="210"/>
      <c r="F63" s="210"/>
    </row>
    <row r="64" spans="1:6">
      <c r="A64" s="247"/>
      <c r="B64" s="210"/>
      <c r="C64" s="210"/>
      <c r="D64" s="210"/>
      <c r="E64" s="210"/>
      <c r="F64" s="210"/>
    </row>
    <row r="65" spans="1:6">
      <c r="A65" s="247"/>
      <c r="B65" s="210"/>
      <c r="C65" s="210"/>
      <c r="D65" s="210"/>
      <c r="E65" s="210"/>
      <c r="F65" s="210"/>
    </row>
    <row r="66" spans="1:6">
      <c r="A66" s="247"/>
      <c r="B66" s="210"/>
      <c r="C66" s="210"/>
      <c r="D66" s="210"/>
      <c r="E66" s="210"/>
      <c r="F66" s="210"/>
    </row>
    <row r="67" spans="1:6">
      <c r="A67" s="247"/>
      <c r="B67" s="210"/>
      <c r="C67" s="210"/>
      <c r="D67" s="210"/>
      <c r="E67" s="210"/>
      <c r="F67" s="210"/>
    </row>
    <row r="68" spans="1:6">
      <c r="A68" s="247"/>
      <c r="B68" s="210"/>
      <c r="C68" s="210"/>
      <c r="D68" s="210"/>
      <c r="E68" s="210"/>
      <c r="F68" s="210"/>
    </row>
    <row r="69" spans="1:6">
      <c r="A69" s="247"/>
      <c r="B69" s="210"/>
      <c r="C69" s="210"/>
      <c r="D69" s="210"/>
      <c r="E69" s="210"/>
      <c r="F69" s="210"/>
    </row>
    <row r="70" spans="1:6">
      <c r="A70" s="247"/>
      <c r="B70" s="210"/>
      <c r="C70" s="210"/>
      <c r="D70" s="210"/>
      <c r="E70" s="210"/>
      <c r="F70" s="210"/>
    </row>
    <row r="71" spans="1:6">
      <c r="A71" s="247"/>
      <c r="B71" s="210"/>
      <c r="C71" s="210"/>
      <c r="D71" s="210"/>
      <c r="E71" s="210"/>
      <c r="F71" s="210"/>
    </row>
    <row r="72" spans="1:6">
      <c r="A72" s="247"/>
      <c r="B72" s="210"/>
      <c r="C72" s="210"/>
      <c r="D72" s="210"/>
      <c r="E72" s="210"/>
      <c r="F72" s="210"/>
    </row>
    <row r="73" spans="1:6">
      <c r="A73" s="247"/>
      <c r="B73" s="210"/>
      <c r="C73" s="210"/>
      <c r="D73" s="210"/>
      <c r="E73" s="210"/>
      <c r="F73" s="210"/>
    </row>
    <row r="74" spans="1:6">
      <c r="A74" s="247"/>
      <c r="B74" s="210"/>
      <c r="C74" s="210"/>
      <c r="D74" s="210"/>
      <c r="E74" s="210"/>
      <c r="F74" s="210"/>
    </row>
    <row r="75" spans="1:6">
      <c r="A75" s="247"/>
      <c r="B75" s="210"/>
      <c r="C75" s="210"/>
      <c r="D75" s="210"/>
      <c r="E75" s="210"/>
      <c r="F75" s="210"/>
    </row>
    <row r="76" spans="1:6">
      <c r="A76" s="247"/>
      <c r="B76" s="210"/>
      <c r="C76" s="210"/>
      <c r="D76" s="210"/>
      <c r="E76" s="210"/>
      <c r="F76" s="210"/>
    </row>
    <row r="77" spans="1:6">
      <c r="A77" s="247"/>
      <c r="B77" s="210"/>
      <c r="C77" s="210"/>
      <c r="D77" s="210"/>
      <c r="E77" s="210"/>
      <c r="F77" s="210"/>
    </row>
    <row r="78" spans="1:6">
      <c r="A78" s="247"/>
      <c r="B78" s="210"/>
      <c r="C78" s="210"/>
      <c r="D78" s="210"/>
      <c r="E78" s="210"/>
      <c r="F78" s="210"/>
    </row>
    <row r="79" spans="1:6">
      <c r="A79" s="247"/>
      <c r="B79" s="210"/>
      <c r="C79" s="210"/>
      <c r="D79" s="210"/>
      <c r="E79" s="210"/>
      <c r="F79" s="210"/>
    </row>
    <row r="80" spans="1:6">
      <c r="A80" s="247"/>
      <c r="B80" s="210"/>
      <c r="C80" s="210"/>
      <c r="D80" s="210"/>
      <c r="E80" s="210"/>
      <c r="F80" s="210"/>
    </row>
    <row r="81" spans="1:6">
      <c r="A81" s="247"/>
      <c r="B81" s="210"/>
      <c r="C81" s="210"/>
      <c r="D81" s="210"/>
      <c r="E81" s="210"/>
      <c r="F81" s="210"/>
    </row>
    <row r="82" spans="1:6">
      <c r="A82" s="247"/>
      <c r="B82" s="210"/>
      <c r="C82" s="210"/>
      <c r="D82" s="210"/>
      <c r="E82" s="210"/>
      <c r="F82" s="210"/>
    </row>
    <row r="83" spans="1:6">
      <c r="A83" s="247"/>
      <c r="B83" s="210"/>
      <c r="C83" s="210"/>
      <c r="D83" s="210"/>
      <c r="E83" s="210"/>
      <c r="F83" s="210"/>
    </row>
    <row r="84" spans="1:6">
      <c r="A84" s="247"/>
      <c r="B84" s="210"/>
      <c r="C84" s="210"/>
      <c r="D84" s="210"/>
      <c r="E84" s="210"/>
      <c r="F84" s="210"/>
    </row>
    <row r="85" spans="1:6">
      <c r="A85" s="247"/>
      <c r="B85" s="210"/>
      <c r="C85" s="210"/>
      <c r="D85" s="210"/>
      <c r="E85" s="210"/>
      <c r="F85" s="210"/>
    </row>
    <row r="86" spans="1:6">
      <c r="A86" s="247"/>
      <c r="B86" s="210"/>
      <c r="C86" s="210"/>
      <c r="D86" s="210"/>
      <c r="E86" s="210"/>
      <c r="F86" s="210"/>
    </row>
    <row r="87" spans="1:6">
      <c r="A87" s="247"/>
      <c r="B87" s="210"/>
      <c r="C87" s="210"/>
      <c r="D87" s="210"/>
      <c r="E87" s="210"/>
      <c r="F87" s="210"/>
    </row>
    <row r="88" spans="1:6">
      <c r="A88" s="247"/>
      <c r="B88" s="210"/>
      <c r="C88" s="210"/>
      <c r="D88" s="210"/>
      <c r="E88" s="210"/>
      <c r="F88" s="210"/>
    </row>
    <row r="89" spans="1:6">
      <c r="A89" s="247"/>
      <c r="B89" s="210"/>
      <c r="C89" s="210"/>
      <c r="D89" s="210"/>
      <c r="E89" s="210"/>
      <c r="F89" s="210"/>
    </row>
    <row r="90" spans="1:6">
      <c r="A90" s="247"/>
      <c r="B90" s="210"/>
      <c r="C90" s="210"/>
      <c r="D90" s="210"/>
      <c r="E90" s="210"/>
      <c r="F90" s="210"/>
    </row>
    <row r="91" spans="1:6">
      <c r="A91" s="247"/>
      <c r="B91" s="210"/>
      <c r="C91" s="210"/>
      <c r="D91" s="210"/>
      <c r="E91" s="210"/>
      <c r="F91" s="210"/>
    </row>
    <row r="92" spans="1:6">
      <c r="A92" s="247"/>
      <c r="B92" s="210"/>
      <c r="C92" s="210"/>
      <c r="D92" s="210"/>
      <c r="E92" s="210"/>
      <c r="F92" s="210"/>
    </row>
    <row r="93" spans="1:6">
      <c r="A93" s="247"/>
      <c r="B93" s="210"/>
      <c r="C93" s="210"/>
      <c r="D93" s="210"/>
      <c r="E93" s="210"/>
      <c r="F93" s="210"/>
    </row>
    <row r="94" spans="1:6">
      <c r="A94" s="247"/>
      <c r="B94" s="210"/>
      <c r="C94" s="210"/>
      <c r="D94" s="210"/>
      <c r="E94" s="210"/>
      <c r="F94" s="210"/>
    </row>
    <row r="95" spans="1:6">
      <c r="A95" s="247"/>
      <c r="B95" s="210"/>
      <c r="C95" s="210"/>
      <c r="D95" s="210"/>
      <c r="E95" s="210"/>
      <c r="F95" s="210"/>
    </row>
    <row r="96" spans="1:6">
      <c r="A96" s="247"/>
      <c r="B96" s="210"/>
      <c r="C96" s="210"/>
      <c r="D96" s="210"/>
      <c r="E96" s="210"/>
      <c r="F96" s="210"/>
    </row>
    <row r="97" spans="1:6">
      <c r="A97" s="247"/>
      <c r="B97" s="210"/>
      <c r="C97" s="210"/>
      <c r="D97" s="210"/>
      <c r="E97" s="210"/>
      <c r="F97" s="210"/>
    </row>
    <row r="98" spans="1:6">
      <c r="A98" s="247"/>
      <c r="B98" s="210"/>
      <c r="C98" s="210"/>
      <c r="D98" s="210"/>
      <c r="E98" s="210"/>
      <c r="F98" s="210"/>
    </row>
    <row r="99" spans="1:6">
      <c r="A99" s="247"/>
      <c r="B99" s="210"/>
      <c r="C99" s="210"/>
      <c r="D99" s="210"/>
      <c r="E99" s="210"/>
      <c r="F99" s="210"/>
    </row>
    <row r="100" spans="1:6">
      <c r="A100" s="247"/>
      <c r="B100" s="210"/>
      <c r="C100" s="210"/>
      <c r="D100" s="210"/>
      <c r="E100" s="210"/>
      <c r="F100" s="210"/>
    </row>
    <row r="101" spans="1:6">
      <c r="A101" s="247"/>
      <c r="B101" s="210"/>
      <c r="C101" s="210"/>
      <c r="D101" s="210"/>
      <c r="E101" s="210"/>
      <c r="F101" s="210"/>
    </row>
    <row r="102" spans="1:6">
      <c r="A102" s="247"/>
      <c r="B102" s="210"/>
      <c r="C102" s="210"/>
      <c r="D102" s="210"/>
      <c r="E102" s="210"/>
      <c r="F102" s="210"/>
    </row>
    <row r="103" spans="1:6">
      <c r="A103" s="247"/>
      <c r="B103" s="210"/>
      <c r="C103" s="210"/>
      <c r="D103" s="210"/>
      <c r="E103" s="210"/>
      <c r="F103" s="210"/>
    </row>
    <row r="104" spans="1:6">
      <c r="A104" s="247"/>
      <c r="B104" s="210"/>
      <c r="C104" s="210"/>
      <c r="D104" s="210"/>
      <c r="E104" s="210"/>
      <c r="F104" s="210"/>
    </row>
    <row r="105" spans="1:6">
      <c r="A105" s="247"/>
      <c r="B105" s="210"/>
      <c r="C105" s="210"/>
      <c r="D105" s="210"/>
      <c r="E105" s="210"/>
      <c r="F105" s="210"/>
    </row>
    <row r="106" spans="1:6">
      <c r="A106" s="247"/>
      <c r="B106" s="210"/>
      <c r="C106" s="210"/>
      <c r="D106" s="210"/>
      <c r="E106" s="210"/>
      <c r="F106" s="210"/>
    </row>
    <row r="107" spans="1:6">
      <c r="A107" s="247"/>
      <c r="B107" s="210"/>
      <c r="C107" s="210"/>
      <c r="D107" s="210"/>
      <c r="E107" s="210"/>
      <c r="F107" s="210"/>
    </row>
    <row r="108" spans="1:6">
      <c r="A108" s="247"/>
      <c r="B108" s="210"/>
      <c r="C108" s="210"/>
      <c r="D108" s="210"/>
      <c r="E108" s="210"/>
      <c r="F108" s="210"/>
    </row>
    <row r="109" spans="1:6">
      <c r="A109" s="247"/>
      <c r="B109" s="210"/>
      <c r="C109" s="210"/>
      <c r="D109" s="210"/>
      <c r="E109" s="210"/>
      <c r="F109" s="210"/>
    </row>
    <row r="110" spans="1:6">
      <c r="A110" s="247"/>
      <c r="B110" s="210"/>
      <c r="C110" s="210"/>
      <c r="D110" s="210"/>
      <c r="E110" s="210"/>
      <c r="F110" s="210"/>
    </row>
    <row r="111" spans="1:6">
      <c r="A111" s="247"/>
      <c r="B111" s="210"/>
      <c r="C111" s="210"/>
      <c r="D111" s="210"/>
      <c r="E111" s="210"/>
      <c r="F111" s="210"/>
    </row>
    <row r="112" spans="1:6">
      <c r="A112" s="247"/>
      <c r="B112" s="210"/>
      <c r="C112" s="210"/>
      <c r="D112" s="210"/>
      <c r="E112" s="210"/>
      <c r="F112" s="210"/>
    </row>
    <row r="113" spans="1:6">
      <c r="A113" s="247"/>
      <c r="B113" s="210"/>
      <c r="C113" s="210"/>
      <c r="D113" s="210"/>
      <c r="E113" s="210"/>
      <c r="F113" s="210"/>
    </row>
    <row r="114" spans="1:6">
      <c r="A114" s="247"/>
      <c r="B114" s="210"/>
      <c r="C114" s="210"/>
      <c r="D114" s="210"/>
      <c r="E114" s="210"/>
      <c r="F114" s="210"/>
    </row>
    <row r="115" spans="1:6">
      <c r="A115" s="247"/>
      <c r="B115" s="210"/>
      <c r="C115" s="210"/>
      <c r="D115" s="210"/>
      <c r="E115" s="210"/>
      <c r="F115" s="210"/>
    </row>
    <row r="116" spans="1:6">
      <c r="A116" s="247"/>
      <c r="B116" s="210"/>
      <c r="C116" s="210"/>
      <c r="D116" s="210"/>
      <c r="E116" s="210"/>
      <c r="F116" s="210"/>
    </row>
    <row r="117" spans="1:6">
      <c r="A117" s="247"/>
      <c r="B117" s="210"/>
      <c r="C117" s="210"/>
      <c r="D117" s="210"/>
      <c r="E117" s="210"/>
      <c r="F117" s="210"/>
    </row>
    <row r="118" spans="1:6">
      <c r="A118" s="247"/>
      <c r="B118" s="210"/>
      <c r="C118" s="210"/>
      <c r="D118" s="210"/>
      <c r="E118" s="210"/>
      <c r="F118" s="210"/>
    </row>
    <row r="119" spans="1:6">
      <c r="A119" s="247"/>
      <c r="B119" s="210"/>
      <c r="C119" s="210"/>
      <c r="D119" s="210"/>
      <c r="E119" s="210"/>
      <c r="F119" s="210"/>
    </row>
    <row r="120" spans="1:6">
      <c r="A120" s="247"/>
      <c r="B120" s="210"/>
      <c r="C120" s="210"/>
      <c r="D120" s="210"/>
      <c r="E120" s="210"/>
      <c r="F120" s="210"/>
    </row>
    <row r="121" spans="1:6">
      <c r="A121" s="247"/>
      <c r="B121" s="210"/>
      <c r="C121" s="210"/>
      <c r="D121" s="210"/>
      <c r="E121" s="210"/>
      <c r="F121" s="210"/>
    </row>
    <row r="122" spans="1:6">
      <c r="A122" s="247"/>
      <c r="B122" s="210"/>
      <c r="C122" s="210"/>
      <c r="D122" s="210"/>
      <c r="E122" s="210"/>
      <c r="F122" s="210"/>
    </row>
    <row r="123" spans="1:6">
      <c r="A123" s="247"/>
      <c r="B123" s="210"/>
      <c r="C123" s="210"/>
      <c r="D123" s="210"/>
      <c r="E123" s="210"/>
      <c r="F123" s="210"/>
    </row>
    <row r="124" spans="1:6">
      <c r="A124" s="247"/>
      <c r="B124" s="210"/>
      <c r="C124" s="210"/>
      <c r="D124" s="210"/>
      <c r="E124" s="210"/>
      <c r="F124" s="210"/>
    </row>
    <row r="125" spans="1:6">
      <c r="A125" s="247"/>
      <c r="B125" s="210"/>
      <c r="C125" s="210"/>
      <c r="D125" s="210"/>
      <c r="E125" s="210"/>
      <c r="F125" s="210"/>
    </row>
    <row r="126" spans="1:6">
      <c r="A126" s="247"/>
      <c r="B126" s="210"/>
      <c r="C126" s="210"/>
      <c r="D126" s="210"/>
      <c r="E126" s="210"/>
      <c r="F126" s="210"/>
    </row>
    <row r="127" spans="1:6">
      <c r="A127" s="247"/>
      <c r="B127" s="210"/>
      <c r="C127" s="210"/>
      <c r="D127" s="210"/>
      <c r="E127" s="210"/>
      <c r="F127" s="210"/>
    </row>
    <row r="128" spans="1:6">
      <c r="A128" s="247"/>
      <c r="B128" s="210"/>
      <c r="C128" s="210"/>
      <c r="D128" s="210"/>
      <c r="E128" s="210"/>
      <c r="F128" s="210"/>
    </row>
    <row r="129" spans="1:6">
      <c r="A129" s="247"/>
      <c r="B129" s="210"/>
      <c r="C129" s="210"/>
      <c r="D129" s="210"/>
      <c r="E129" s="210"/>
      <c r="F129" s="210"/>
    </row>
    <row r="130" spans="1:6">
      <c r="A130" s="247"/>
      <c r="B130" s="210"/>
      <c r="C130" s="210"/>
      <c r="D130" s="210"/>
      <c r="E130" s="210"/>
      <c r="F130" s="210"/>
    </row>
    <row r="131" spans="1:6">
      <c r="A131" s="247"/>
      <c r="B131" s="210"/>
      <c r="C131" s="210"/>
      <c r="D131" s="210"/>
      <c r="E131" s="210"/>
      <c r="F131" s="210"/>
    </row>
    <row r="132" spans="1:6">
      <c r="A132" s="247"/>
      <c r="B132" s="210"/>
      <c r="C132" s="210"/>
      <c r="D132" s="210"/>
      <c r="E132" s="210"/>
      <c r="F132" s="210"/>
    </row>
    <row r="133" spans="1:6">
      <c r="A133" s="247"/>
      <c r="B133" s="210"/>
      <c r="C133" s="210"/>
      <c r="D133" s="210"/>
      <c r="E133" s="210"/>
      <c r="F133" s="210"/>
    </row>
    <row r="134" spans="1:6">
      <c r="A134" s="247"/>
      <c r="B134" s="210"/>
      <c r="C134" s="210"/>
      <c r="D134" s="210"/>
      <c r="E134" s="210"/>
      <c r="F134" s="210"/>
    </row>
    <row r="135" spans="1:6">
      <c r="A135" s="247"/>
      <c r="B135" s="210"/>
      <c r="C135" s="210"/>
      <c r="D135" s="210"/>
      <c r="E135" s="210"/>
      <c r="F135" s="210"/>
    </row>
    <row r="136" spans="1:6">
      <c r="A136" s="247"/>
      <c r="B136" s="210"/>
      <c r="C136" s="210"/>
      <c r="D136" s="210"/>
      <c r="E136" s="210"/>
      <c r="F136" s="210"/>
    </row>
    <row r="137" spans="1:6">
      <c r="A137" s="247"/>
      <c r="B137" s="210"/>
      <c r="C137" s="210"/>
      <c r="D137" s="210"/>
      <c r="E137" s="210"/>
      <c r="F137" s="210"/>
    </row>
    <row r="138" spans="1:6">
      <c r="A138" s="247"/>
      <c r="B138" s="210"/>
      <c r="C138" s="210"/>
      <c r="D138" s="210"/>
      <c r="E138" s="210"/>
      <c r="F138" s="210"/>
    </row>
    <row r="139" spans="1:6">
      <c r="A139" s="247"/>
      <c r="B139" s="210"/>
      <c r="C139" s="210"/>
      <c r="D139" s="210"/>
      <c r="E139" s="210"/>
      <c r="F139" s="210"/>
    </row>
    <row r="140" spans="1:6">
      <c r="A140" s="247"/>
      <c r="B140" s="210"/>
      <c r="C140" s="210"/>
      <c r="D140" s="210"/>
      <c r="E140" s="210"/>
      <c r="F140" s="210"/>
    </row>
    <row r="141" spans="1:6">
      <c r="A141" s="247"/>
      <c r="B141" s="210"/>
      <c r="C141" s="210"/>
      <c r="D141" s="210"/>
      <c r="E141" s="210"/>
      <c r="F141" s="210"/>
    </row>
    <row r="142" spans="1:6">
      <c r="A142" s="247"/>
      <c r="B142" s="210"/>
      <c r="C142" s="210"/>
      <c r="D142" s="210"/>
      <c r="E142" s="210"/>
      <c r="F142" s="210"/>
    </row>
    <row r="143" spans="1:6">
      <c r="A143" s="247"/>
      <c r="B143" s="210"/>
      <c r="C143" s="210"/>
      <c r="D143" s="210"/>
      <c r="E143" s="210"/>
      <c r="F143" s="210"/>
    </row>
    <row r="144" spans="1:6">
      <c r="A144" s="247"/>
      <c r="B144" s="210"/>
      <c r="C144" s="210"/>
      <c r="D144" s="210"/>
      <c r="E144" s="210"/>
      <c r="F144" s="210"/>
    </row>
    <row r="145" spans="1:6">
      <c r="A145" s="247"/>
      <c r="B145" s="210"/>
      <c r="C145" s="210"/>
      <c r="D145" s="210"/>
      <c r="E145" s="210"/>
      <c r="F145" s="210"/>
    </row>
    <row r="146" spans="1:6">
      <c r="A146" s="247"/>
      <c r="B146" s="210"/>
      <c r="C146" s="210"/>
      <c r="D146" s="210"/>
      <c r="E146" s="210"/>
      <c r="F146" s="210"/>
    </row>
    <row r="147" spans="1:6">
      <c r="A147" s="247"/>
      <c r="B147" s="210"/>
      <c r="C147" s="210"/>
      <c r="D147" s="210"/>
      <c r="E147" s="210"/>
      <c r="F147" s="210"/>
    </row>
    <row r="148" spans="1:6">
      <c r="A148" s="247"/>
      <c r="B148" s="210"/>
      <c r="C148" s="210"/>
      <c r="D148" s="210"/>
      <c r="E148" s="210"/>
      <c r="F148" s="210"/>
    </row>
    <row r="149" spans="1:6">
      <c r="A149" s="247"/>
      <c r="B149" s="210"/>
      <c r="C149" s="210"/>
      <c r="D149" s="210"/>
      <c r="E149" s="210"/>
      <c r="F149" s="210"/>
    </row>
    <row r="150" spans="1:6">
      <c r="A150" s="247"/>
      <c r="B150" s="210"/>
      <c r="C150" s="210"/>
      <c r="D150" s="210"/>
      <c r="E150" s="210"/>
      <c r="F150" s="210"/>
    </row>
    <row r="151" spans="1:6">
      <c r="A151" s="247"/>
      <c r="B151" s="210"/>
      <c r="C151" s="210"/>
      <c r="D151" s="210"/>
      <c r="E151" s="210"/>
      <c r="F151" s="210"/>
    </row>
    <row r="152" spans="1:6">
      <c r="A152" s="247"/>
      <c r="B152" s="210"/>
      <c r="C152" s="210"/>
      <c r="D152" s="210"/>
      <c r="E152" s="210"/>
      <c r="F152" s="210"/>
    </row>
    <row r="153" spans="1:6">
      <c r="A153" s="247"/>
      <c r="B153" s="210"/>
      <c r="C153" s="210"/>
      <c r="D153" s="210"/>
      <c r="E153" s="210"/>
      <c r="F153" s="210"/>
    </row>
    <row r="154" spans="1:6">
      <c r="A154" s="247"/>
      <c r="B154" s="210"/>
      <c r="C154" s="210"/>
      <c r="D154" s="210"/>
      <c r="E154" s="210"/>
      <c r="F154" s="210"/>
    </row>
    <row r="155" spans="1:6">
      <c r="A155" s="247"/>
      <c r="B155" s="210"/>
      <c r="C155" s="210"/>
      <c r="D155" s="210"/>
      <c r="E155" s="210"/>
      <c r="F155" s="210"/>
    </row>
    <row r="156" spans="1:6">
      <c r="A156" s="247"/>
      <c r="B156" s="210"/>
      <c r="C156" s="210"/>
      <c r="D156" s="210"/>
      <c r="E156" s="210"/>
      <c r="F156" s="210"/>
    </row>
    <row r="157" spans="1:6">
      <c r="A157" s="247"/>
      <c r="B157" s="210"/>
      <c r="C157" s="210"/>
      <c r="D157" s="210"/>
      <c r="E157" s="210"/>
      <c r="F157" s="210"/>
    </row>
    <row r="158" spans="1:6">
      <c r="A158" s="247"/>
      <c r="B158" s="210"/>
      <c r="C158" s="210"/>
      <c r="D158" s="210"/>
      <c r="E158" s="210"/>
      <c r="F158" s="210"/>
    </row>
    <row r="159" spans="1:6">
      <c r="A159" s="247"/>
      <c r="B159" s="210"/>
      <c r="C159" s="210"/>
      <c r="D159" s="210"/>
      <c r="E159" s="210"/>
      <c r="F159" s="210"/>
    </row>
    <row r="160" spans="1:6">
      <c r="A160" s="247"/>
      <c r="B160" s="210"/>
      <c r="C160" s="210"/>
      <c r="D160" s="210"/>
      <c r="E160" s="210"/>
      <c r="F160" s="210"/>
    </row>
    <row r="161" spans="1:6">
      <c r="A161" s="247"/>
      <c r="B161" s="210"/>
      <c r="C161" s="210"/>
      <c r="D161" s="210"/>
      <c r="E161" s="210"/>
      <c r="F161" s="210"/>
    </row>
    <row r="162" spans="1:6">
      <c r="A162" s="247"/>
      <c r="B162" s="210"/>
      <c r="C162" s="210"/>
      <c r="D162" s="210"/>
      <c r="E162" s="210"/>
      <c r="F162" s="210"/>
    </row>
    <row r="163" spans="1:6">
      <c r="A163" s="247"/>
      <c r="B163" s="210"/>
      <c r="C163" s="210"/>
      <c r="D163" s="210"/>
      <c r="E163" s="210"/>
      <c r="F163" s="210"/>
    </row>
    <row r="164" spans="1:6">
      <c r="A164" s="247"/>
      <c r="B164" s="210"/>
      <c r="C164" s="210"/>
      <c r="D164" s="210"/>
      <c r="E164" s="210"/>
      <c r="F164" s="210"/>
    </row>
    <row r="165" spans="1:6">
      <c r="A165" s="247"/>
      <c r="B165" s="210"/>
      <c r="C165" s="210"/>
      <c r="D165" s="210"/>
      <c r="E165" s="210"/>
      <c r="F165" s="210"/>
    </row>
    <row r="166" spans="1:6">
      <c r="A166" s="247"/>
      <c r="B166" s="210"/>
      <c r="C166" s="210"/>
      <c r="D166" s="210"/>
      <c r="E166" s="210"/>
      <c r="F166" s="210"/>
    </row>
    <row r="167" spans="1:6">
      <c r="A167" s="247"/>
      <c r="B167" s="210"/>
      <c r="C167" s="210"/>
      <c r="D167" s="210"/>
      <c r="E167" s="210"/>
      <c r="F167" s="210"/>
    </row>
    <row r="168" spans="1:6">
      <c r="A168" s="247"/>
      <c r="B168" s="210"/>
      <c r="C168" s="210"/>
      <c r="D168" s="210"/>
      <c r="E168" s="210"/>
      <c r="F168" s="210"/>
    </row>
    <row r="169" spans="1:6">
      <c r="A169" s="247"/>
      <c r="B169" s="210"/>
      <c r="C169" s="210"/>
      <c r="D169" s="210"/>
      <c r="E169" s="210"/>
      <c r="F169" s="210"/>
    </row>
    <row r="170" spans="1:6">
      <c r="A170" s="247"/>
      <c r="B170" s="210"/>
      <c r="C170" s="210"/>
      <c r="D170" s="210"/>
      <c r="E170" s="210"/>
      <c r="F170" s="210"/>
    </row>
    <row r="171" spans="1:6">
      <c r="A171" s="247"/>
      <c r="B171" s="210"/>
      <c r="C171" s="210"/>
      <c r="D171" s="210"/>
      <c r="E171" s="210"/>
      <c r="F171" s="210"/>
    </row>
    <row r="172" spans="1:6">
      <c r="A172" s="247"/>
      <c r="B172" s="210"/>
      <c r="C172" s="210"/>
      <c r="D172" s="210"/>
      <c r="E172" s="210"/>
      <c r="F172" s="210"/>
    </row>
    <row r="173" spans="1:6">
      <c r="A173" s="247"/>
      <c r="B173" s="210"/>
      <c r="C173" s="210"/>
      <c r="D173" s="210"/>
      <c r="E173" s="210"/>
      <c r="F173" s="210"/>
    </row>
    <row r="174" spans="1:6">
      <c r="A174" s="247"/>
      <c r="B174" s="210"/>
      <c r="C174" s="210"/>
      <c r="D174" s="210"/>
      <c r="E174" s="210"/>
      <c r="F174" s="210"/>
    </row>
    <row r="175" spans="1:6">
      <c r="A175" s="247"/>
      <c r="B175" s="210"/>
      <c r="C175" s="210"/>
      <c r="D175" s="210"/>
      <c r="E175" s="210"/>
      <c r="F175" s="210"/>
    </row>
    <row r="176" spans="1:6">
      <c r="A176" s="247"/>
      <c r="B176" s="210"/>
      <c r="C176" s="210"/>
      <c r="D176" s="210"/>
      <c r="E176" s="210"/>
      <c r="F176" s="210"/>
    </row>
    <row r="177" spans="1:6">
      <c r="A177" s="247"/>
      <c r="B177" s="210"/>
      <c r="C177" s="210"/>
      <c r="D177" s="210"/>
      <c r="E177" s="210"/>
      <c r="F177" s="210"/>
    </row>
    <row r="178" spans="1:6">
      <c r="A178" s="247"/>
      <c r="B178" s="210"/>
      <c r="C178" s="210"/>
      <c r="D178" s="210"/>
      <c r="E178" s="210"/>
      <c r="F178" s="210"/>
    </row>
    <row r="179" spans="1:6">
      <c r="A179" s="247"/>
      <c r="B179" s="210"/>
      <c r="C179" s="210"/>
      <c r="D179" s="210"/>
      <c r="E179" s="210"/>
      <c r="F179" s="210"/>
    </row>
    <row r="180" spans="1:6">
      <c r="A180" s="247"/>
      <c r="B180" s="210"/>
      <c r="C180" s="210"/>
      <c r="D180" s="210"/>
      <c r="E180" s="210"/>
      <c r="F180" s="210"/>
    </row>
    <row r="181" spans="1:6">
      <c r="A181" s="247"/>
      <c r="B181" s="210"/>
      <c r="C181" s="210"/>
      <c r="D181" s="210"/>
      <c r="E181" s="210"/>
      <c r="F181" s="210"/>
    </row>
    <row r="182" spans="1:6">
      <c r="A182" s="247"/>
      <c r="B182" s="210"/>
      <c r="C182" s="210"/>
      <c r="D182" s="210"/>
      <c r="E182" s="210"/>
      <c r="F182" s="210"/>
    </row>
    <row r="183" spans="1:6">
      <c r="A183" s="247"/>
      <c r="B183" s="210"/>
      <c r="C183" s="210"/>
      <c r="D183" s="210"/>
      <c r="E183" s="210"/>
      <c r="F183" s="210"/>
    </row>
    <row r="184" spans="1:6">
      <c r="A184" s="247"/>
      <c r="B184" s="210"/>
      <c r="C184" s="210"/>
      <c r="D184" s="210"/>
      <c r="E184" s="210"/>
      <c r="F184" s="210"/>
    </row>
    <row r="185" spans="1:6">
      <c r="A185" s="247"/>
      <c r="B185" s="210"/>
      <c r="C185" s="210"/>
      <c r="D185" s="210"/>
      <c r="E185" s="210"/>
      <c r="F185" s="210"/>
    </row>
    <row r="186" spans="1:6">
      <c r="A186" s="247"/>
      <c r="B186" s="210"/>
      <c r="C186" s="210"/>
      <c r="D186" s="210"/>
      <c r="E186" s="210"/>
      <c r="F186" s="210"/>
    </row>
    <row r="187" spans="1:6">
      <c r="A187" s="247"/>
      <c r="B187" s="210"/>
      <c r="C187" s="210"/>
      <c r="D187" s="210"/>
      <c r="E187" s="210"/>
      <c r="F187" s="210"/>
    </row>
    <row r="188" spans="1:6">
      <c r="A188" s="247"/>
      <c r="B188" s="210"/>
      <c r="C188" s="210"/>
      <c r="D188" s="210"/>
      <c r="E188" s="210"/>
      <c r="F188" s="210"/>
    </row>
    <row r="189" spans="1:6">
      <c r="A189" s="247"/>
      <c r="B189" s="210"/>
      <c r="C189" s="210"/>
      <c r="D189" s="210"/>
      <c r="E189" s="210"/>
      <c r="F189" s="210"/>
    </row>
    <row r="190" spans="1:6">
      <c r="A190" s="247"/>
      <c r="B190" s="210"/>
      <c r="C190" s="210"/>
      <c r="D190" s="210"/>
      <c r="E190" s="210"/>
      <c r="F190" s="210"/>
    </row>
    <row r="191" spans="1:6">
      <c r="A191" s="247"/>
      <c r="B191" s="210"/>
      <c r="C191" s="210"/>
      <c r="D191" s="210"/>
      <c r="E191" s="210"/>
      <c r="F191" s="210"/>
    </row>
    <row r="192" spans="1:6">
      <c r="A192" s="247"/>
      <c r="B192" s="210"/>
      <c r="C192" s="210"/>
      <c r="D192" s="210"/>
      <c r="E192" s="210"/>
      <c r="F192" s="210"/>
    </row>
    <row r="193" spans="1:6">
      <c r="A193" s="247"/>
      <c r="B193" s="210"/>
      <c r="C193" s="210"/>
      <c r="D193" s="210"/>
      <c r="E193" s="210"/>
      <c r="F193" s="210"/>
    </row>
    <row r="194" spans="1:6">
      <c r="A194" s="247"/>
      <c r="B194" s="210"/>
      <c r="C194" s="210"/>
      <c r="D194" s="210"/>
      <c r="E194" s="210"/>
      <c r="F194" s="210"/>
    </row>
    <row r="195" spans="1:6">
      <c r="A195" s="247"/>
      <c r="B195" s="210"/>
      <c r="C195" s="210"/>
      <c r="D195" s="210"/>
      <c r="E195" s="210"/>
      <c r="F195" s="210"/>
    </row>
    <row r="196" spans="1:6">
      <c r="A196" s="247"/>
      <c r="B196" s="210"/>
      <c r="C196" s="210"/>
      <c r="D196" s="210"/>
      <c r="E196" s="210"/>
      <c r="F196" s="210"/>
    </row>
    <row r="197" spans="1:6">
      <c r="A197" s="247"/>
      <c r="B197" s="210"/>
      <c r="C197" s="210"/>
      <c r="D197" s="210"/>
      <c r="E197" s="210"/>
      <c r="F197" s="210"/>
    </row>
    <row r="198" spans="1:6">
      <c r="A198" s="247"/>
      <c r="B198" s="210"/>
      <c r="C198" s="210"/>
      <c r="D198" s="210"/>
      <c r="E198" s="210"/>
      <c r="F198" s="210"/>
    </row>
    <row r="199" spans="1:6">
      <c r="A199" s="247"/>
      <c r="B199" s="210"/>
      <c r="C199" s="210"/>
      <c r="D199" s="210"/>
      <c r="E199" s="210"/>
      <c r="F199" s="210"/>
    </row>
    <row r="200" spans="1:6">
      <c r="A200" s="247"/>
      <c r="B200" s="210"/>
      <c r="C200" s="210"/>
      <c r="D200" s="210"/>
      <c r="E200" s="210"/>
      <c r="F200" s="210"/>
    </row>
    <row r="201" spans="1:6">
      <c r="A201" s="247"/>
      <c r="B201" s="210"/>
      <c r="C201" s="210"/>
      <c r="D201" s="210"/>
      <c r="E201" s="210"/>
      <c r="F201" s="210"/>
    </row>
    <row r="202" spans="1:6">
      <c r="A202" s="247"/>
      <c r="B202" s="210"/>
      <c r="C202" s="210"/>
      <c r="D202" s="210"/>
      <c r="E202" s="210"/>
      <c r="F202" s="210"/>
    </row>
    <row r="203" spans="1:6">
      <c r="A203" s="247"/>
      <c r="B203" s="210"/>
      <c r="C203" s="210"/>
      <c r="D203" s="210"/>
      <c r="E203" s="210"/>
      <c r="F203" s="210"/>
    </row>
    <row r="204" spans="1:6">
      <c r="A204" s="247"/>
      <c r="B204" s="210"/>
      <c r="C204" s="210"/>
      <c r="D204" s="210"/>
      <c r="E204" s="210"/>
      <c r="F204" s="210"/>
    </row>
    <row r="205" spans="1:6">
      <c r="A205" s="247"/>
      <c r="B205" s="210"/>
      <c r="C205" s="210"/>
      <c r="D205" s="210"/>
      <c r="E205" s="210"/>
      <c r="F205" s="210"/>
    </row>
    <row r="206" spans="1:6">
      <c r="A206" s="247"/>
      <c r="B206" s="210"/>
      <c r="C206" s="210"/>
      <c r="D206" s="210"/>
      <c r="E206" s="210"/>
      <c r="F206" s="210"/>
    </row>
    <row r="207" spans="1:6">
      <c r="A207" s="247"/>
      <c r="B207" s="210"/>
      <c r="C207" s="210"/>
      <c r="D207" s="210"/>
      <c r="E207" s="210"/>
      <c r="F207" s="210"/>
    </row>
    <row r="208" spans="1:6">
      <c r="A208" s="247"/>
      <c r="B208" s="210"/>
      <c r="C208" s="210"/>
      <c r="D208" s="210"/>
      <c r="E208" s="210"/>
      <c r="F208" s="210"/>
    </row>
    <row r="209" spans="1:6">
      <c r="A209" s="247"/>
      <c r="B209" s="210"/>
      <c r="C209" s="210"/>
      <c r="D209" s="210"/>
      <c r="E209" s="210"/>
      <c r="F209" s="210"/>
    </row>
    <row r="210" spans="1:6">
      <c r="A210" s="247"/>
      <c r="B210" s="210"/>
      <c r="C210" s="210"/>
      <c r="D210" s="210"/>
      <c r="E210" s="210"/>
      <c r="F210" s="210"/>
    </row>
    <row r="211" spans="1:6">
      <c r="A211" s="247"/>
      <c r="B211" s="210"/>
      <c r="C211" s="210"/>
      <c r="D211" s="210"/>
      <c r="E211" s="210"/>
      <c r="F211" s="210"/>
    </row>
    <row r="212" spans="1:6">
      <c r="A212" s="247"/>
      <c r="B212" s="210"/>
      <c r="C212" s="210"/>
      <c r="D212" s="210"/>
      <c r="E212" s="210"/>
      <c r="F212" s="210"/>
    </row>
    <row r="213" spans="1:6">
      <c r="A213" s="247"/>
      <c r="B213" s="210"/>
      <c r="C213" s="210"/>
      <c r="D213" s="210"/>
      <c r="E213" s="210"/>
      <c r="F213" s="210"/>
    </row>
    <row r="214" spans="1:6">
      <c r="A214" s="247"/>
      <c r="B214" s="210"/>
      <c r="C214" s="210"/>
      <c r="D214" s="210"/>
      <c r="E214" s="210"/>
      <c r="F214" s="210"/>
    </row>
    <row r="215" spans="1:6">
      <c r="A215" s="247"/>
      <c r="B215" s="210"/>
      <c r="C215" s="210"/>
      <c r="D215" s="210"/>
      <c r="E215" s="210"/>
      <c r="F215" s="210"/>
    </row>
    <row r="216" spans="1:6">
      <c r="A216" s="247"/>
      <c r="B216" s="210"/>
      <c r="C216" s="210"/>
      <c r="D216" s="210"/>
      <c r="E216" s="210"/>
      <c r="F216" s="210"/>
    </row>
    <row r="217" spans="1:6">
      <c r="A217" s="247"/>
      <c r="B217" s="210"/>
      <c r="C217" s="210"/>
      <c r="D217" s="210"/>
      <c r="E217" s="210"/>
      <c r="F217" s="210"/>
    </row>
    <row r="218" spans="1:6">
      <c r="A218" s="247"/>
      <c r="B218" s="210"/>
      <c r="C218" s="210"/>
      <c r="D218" s="210"/>
      <c r="E218" s="210"/>
      <c r="F218" s="210"/>
    </row>
    <row r="219" spans="1:6">
      <c r="A219" s="247"/>
      <c r="B219" s="210"/>
      <c r="C219" s="210"/>
      <c r="D219" s="210"/>
      <c r="E219" s="210"/>
      <c r="F219" s="210"/>
    </row>
    <row r="220" spans="1:6">
      <c r="A220" s="247"/>
      <c r="B220" s="210"/>
      <c r="C220" s="210"/>
      <c r="D220" s="210"/>
      <c r="E220" s="210"/>
      <c r="F220" s="210"/>
    </row>
    <row r="221" spans="1:6">
      <c r="A221" s="247"/>
      <c r="B221" s="210"/>
      <c r="C221" s="210"/>
      <c r="D221" s="210"/>
      <c r="E221" s="210"/>
      <c r="F221" s="210"/>
    </row>
    <row r="222" spans="1:6">
      <c r="A222" s="247"/>
      <c r="B222" s="210"/>
      <c r="C222" s="210"/>
      <c r="D222" s="210"/>
      <c r="E222" s="210"/>
      <c r="F222" s="210"/>
    </row>
    <row r="223" spans="1:6">
      <c r="A223" s="247"/>
      <c r="B223" s="210"/>
      <c r="C223" s="210"/>
      <c r="D223" s="210"/>
      <c r="E223" s="210"/>
      <c r="F223" s="210"/>
    </row>
    <row r="224" spans="1:6">
      <c r="A224" s="247"/>
      <c r="B224" s="210"/>
      <c r="C224" s="210"/>
      <c r="D224" s="210"/>
      <c r="E224" s="210"/>
      <c r="F224" s="210"/>
    </row>
    <row r="225" spans="1:6">
      <c r="A225" s="247"/>
      <c r="B225" s="210"/>
      <c r="C225" s="210"/>
      <c r="D225" s="210"/>
      <c r="E225" s="210"/>
      <c r="F225" s="210"/>
    </row>
    <row r="226" spans="1:6">
      <c r="A226" s="247"/>
      <c r="B226" s="210"/>
      <c r="C226" s="210"/>
      <c r="D226" s="210"/>
      <c r="E226" s="210"/>
      <c r="F226" s="210"/>
    </row>
    <row r="227" spans="1:6">
      <c r="A227" s="247"/>
      <c r="B227" s="210"/>
      <c r="C227" s="210"/>
      <c r="D227" s="210"/>
      <c r="E227" s="210"/>
      <c r="F227" s="210"/>
    </row>
    <row r="228" spans="1:6">
      <c r="A228" s="247"/>
      <c r="B228" s="210"/>
      <c r="C228" s="210"/>
      <c r="D228" s="210"/>
      <c r="E228" s="210"/>
      <c r="F228" s="210"/>
    </row>
    <row r="229" spans="1:6">
      <c r="A229" s="247"/>
      <c r="B229" s="210"/>
      <c r="C229" s="210"/>
      <c r="D229" s="210"/>
      <c r="E229" s="210"/>
      <c r="F229" s="210"/>
    </row>
    <row r="230" spans="1:6">
      <c r="A230" s="247"/>
      <c r="B230" s="210"/>
      <c r="C230" s="210"/>
      <c r="D230" s="210"/>
      <c r="E230" s="210"/>
      <c r="F230" s="210"/>
    </row>
    <row r="231" spans="1:6">
      <c r="A231" s="247"/>
      <c r="B231" s="210"/>
      <c r="C231" s="210"/>
      <c r="D231" s="210"/>
      <c r="E231" s="210"/>
      <c r="F231" s="210"/>
    </row>
    <row r="232" spans="1:6">
      <c r="A232" s="247"/>
      <c r="B232" s="210"/>
      <c r="C232" s="210"/>
      <c r="D232" s="210"/>
      <c r="E232" s="210"/>
      <c r="F232" s="210"/>
    </row>
    <row r="233" spans="1:6">
      <c r="A233" s="247"/>
      <c r="B233" s="210"/>
      <c r="C233" s="210"/>
      <c r="D233" s="210"/>
      <c r="E233" s="210"/>
      <c r="F233" s="210"/>
    </row>
    <row r="234" spans="1:6">
      <c r="A234" s="247"/>
      <c r="B234" s="210"/>
      <c r="C234" s="210"/>
      <c r="D234" s="210"/>
      <c r="E234" s="210"/>
      <c r="F234" s="210"/>
    </row>
    <row r="235" spans="1:6">
      <c r="A235" s="247"/>
      <c r="B235" s="210"/>
      <c r="C235" s="210"/>
      <c r="D235" s="210"/>
      <c r="E235" s="210"/>
      <c r="F235" s="210"/>
    </row>
    <row r="236" spans="1:6">
      <c r="A236" s="247"/>
      <c r="B236" s="210"/>
      <c r="C236" s="210"/>
      <c r="D236" s="210"/>
      <c r="E236" s="210"/>
      <c r="F236" s="210"/>
    </row>
    <row r="237" spans="1:6">
      <c r="A237" s="247"/>
      <c r="B237" s="210"/>
      <c r="C237" s="210"/>
      <c r="D237" s="210"/>
      <c r="E237" s="210"/>
      <c r="F237" s="210"/>
    </row>
    <row r="238" spans="1:6">
      <c r="A238" s="247"/>
      <c r="B238" s="210"/>
      <c r="C238" s="210"/>
      <c r="D238" s="210"/>
      <c r="E238" s="210"/>
      <c r="F238" s="210"/>
    </row>
    <row r="239" spans="1:6">
      <c r="A239" s="247"/>
      <c r="B239" s="210"/>
      <c r="C239" s="210"/>
      <c r="D239" s="210"/>
      <c r="E239" s="210"/>
      <c r="F239" s="210"/>
    </row>
    <row r="240" spans="1:6">
      <c r="A240" s="247"/>
      <c r="B240" s="210"/>
      <c r="C240" s="210"/>
      <c r="D240" s="210"/>
      <c r="E240" s="210"/>
      <c r="F240" s="210"/>
    </row>
    <row r="241" spans="1:6">
      <c r="A241" s="247"/>
      <c r="B241" s="210"/>
      <c r="C241" s="210"/>
      <c r="D241" s="210"/>
      <c r="E241" s="210"/>
      <c r="F241" s="210"/>
    </row>
    <row r="242" spans="1:6">
      <c r="A242" s="247"/>
      <c r="B242" s="210"/>
      <c r="C242" s="210"/>
      <c r="D242" s="210"/>
      <c r="E242" s="210"/>
      <c r="F242" s="210"/>
    </row>
    <row r="243" spans="1:6">
      <c r="A243" s="247"/>
      <c r="B243" s="210"/>
      <c r="C243" s="210"/>
      <c r="D243" s="210"/>
      <c r="E243" s="210"/>
      <c r="F243" s="210"/>
    </row>
    <row r="244" spans="1:6">
      <c r="A244" s="247"/>
      <c r="B244" s="210"/>
      <c r="C244" s="210"/>
      <c r="D244" s="210"/>
      <c r="E244" s="210"/>
      <c r="F244" s="210"/>
    </row>
    <row r="245" spans="1:6">
      <c r="A245" s="247"/>
      <c r="B245" s="210"/>
      <c r="C245" s="210"/>
      <c r="D245" s="210"/>
      <c r="E245" s="210"/>
      <c r="F245" s="210"/>
    </row>
    <row r="246" spans="1:6">
      <c r="A246" s="247"/>
      <c r="B246" s="210"/>
      <c r="C246" s="210"/>
      <c r="D246" s="210"/>
      <c r="E246" s="210"/>
      <c r="F246" s="210"/>
    </row>
    <row r="247" spans="1:6">
      <c r="A247" s="247"/>
      <c r="B247" s="210"/>
      <c r="C247" s="210"/>
      <c r="D247" s="210"/>
      <c r="E247" s="210"/>
      <c r="F247" s="210"/>
    </row>
    <row r="248" spans="1:6">
      <c r="A248" s="247"/>
      <c r="B248" s="210"/>
      <c r="C248" s="210"/>
      <c r="D248" s="210"/>
      <c r="E248" s="210"/>
      <c r="F248" s="210"/>
    </row>
    <row r="249" spans="1:6">
      <c r="A249" s="247"/>
      <c r="B249" s="210"/>
      <c r="C249" s="210"/>
      <c r="D249" s="210"/>
      <c r="E249" s="210"/>
      <c r="F249" s="210"/>
    </row>
    <row r="250" spans="1:6">
      <c r="A250" s="247"/>
      <c r="B250" s="210"/>
      <c r="C250" s="210"/>
      <c r="D250" s="210"/>
      <c r="E250" s="210"/>
      <c r="F250" s="210"/>
    </row>
    <row r="251" spans="1:6">
      <c r="A251" s="247"/>
      <c r="B251" s="210"/>
      <c r="C251" s="210"/>
      <c r="D251" s="210"/>
      <c r="E251" s="210"/>
      <c r="F251" s="210"/>
    </row>
    <row r="252" spans="1:6">
      <c r="A252" s="247"/>
      <c r="B252" s="210"/>
      <c r="C252" s="210"/>
      <c r="D252" s="210"/>
      <c r="E252" s="210"/>
      <c r="F252" s="210"/>
    </row>
    <row r="253" spans="1:6">
      <c r="A253" s="247"/>
      <c r="B253" s="210"/>
      <c r="C253" s="210"/>
      <c r="D253" s="210"/>
      <c r="E253" s="210"/>
      <c r="F253" s="210"/>
    </row>
    <row r="254" spans="1:6">
      <c r="A254" s="247"/>
      <c r="B254" s="210"/>
      <c r="C254" s="210"/>
      <c r="D254" s="210"/>
      <c r="E254" s="210"/>
      <c r="F254" s="210"/>
    </row>
    <row r="255" spans="1:6">
      <c r="A255" s="247"/>
      <c r="B255" s="210"/>
      <c r="C255" s="210"/>
      <c r="D255" s="210"/>
      <c r="E255" s="210"/>
      <c r="F255" s="210"/>
    </row>
    <row r="256" spans="1:6">
      <c r="A256" s="247"/>
      <c r="B256" s="210"/>
      <c r="C256" s="210"/>
      <c r="D256" s="210"/>
      <c r="E256" s="210"/>
      <c r="F256" s="210"/>
    </row>
    <row r="257" spans="1:6">
      <c r="A257" s="247"/>
      <c r="B257" s="210"/>
      <c r="C257" s="210"/>
      <c r="D257" s="210"/>
      <c r="E257" s="210"/>
      <c r="F257" s="210"/>
    </row>
    <row r="258" spans="1:6">
      <c r="A258" s="247"/>
      <c r="B258" s="210"/>
      <c r="C258" s="210"/>
      <c r="D258" s="210"/>
      <c r="E258" s="210"/>
      <c r="F258" s="210"/>
    </row>
    <row r="259" spans="1:6">
      <c r="A259" s="247"/>
      <c r="B259" s="210"/>
      <c r="C259" s="210"/>
      <c r="D259" s="210"/>
      <c r="E259" s="210"/>
      <c r="F259" s="210"/>
    </row>
    <row r="260" spans="1:6">
      <c r="A260" s="247"/>
      <c r="B260" s="210"/>
      <c r="C260" s="210"/>
      <c r="D260" s="210"/>
      <c r="E260" s="210"/>
      <c r="F260" s="210"/>
    </row>
    <row r="261" spans="1:6">
      <c r="A261" s="247"/>
      <c r="B261" s="210"/>
      <c r="C261" s="210"/>
      <c r="D261" s="210"/>
      <c r="E261" s="210"/>
      <c r="F261" s="210"/>
    </row>
    <row r="262" spans="1:6">
      <c r="A262" s="247"/>
      <c r="B262" s="210"/>
      <c r="C262" s="210"/>
      <c r="D262" s="210"/>
      <c r="E262" s="210"/>
      <c r="F262" s="210"/>
    </row>
    <row r="263" spans="1:6">
      <c r="A263" s="247"/>
      <c r="B263" s="210"/>
      <c r="C263" s="210"/>
      <c r="D263" s="210"/>
      <c r="E263" s="210"/>
      <c r="F263" s="210"/>
    </row>
    <row r="264" spans="1:6">
      <c r="A264" s="247"/>
      <c r="B264" s="210"/>
      <c r="C264" s="210"/>
      <c r="D264" s="210"/>
      <c r="E264" s="210"/>
      <c r="F264" s="210"/>
    </row>
    <row r="265" spans="1:6">
      <c r="A265" s="247"/>
      <c r="B265" s="210"/>
      <c r="C265" s="210"/>
      <c r="D265" s="210"/>
      <c r="E265" s="210"/>
      <c r="F265" s="210"/>
    </row>
    <row r="266" spans="1:6">
      <c r="A266" s="247"/>
      <c r="B266" s="210"/>
      <c r="C266" s="210"/>
      <c r="D266" s="210"/>
      <c r="E266" s="210"/>
      <c r="F266" s="210"/>
    </row>
    <row r="267" spans="1:6">
      <c r="A267" s="247"/>
      <c r="B267" s="210"/>
      <c r="C267" s="210"/>
      <c r="D267" s="210"/>
      <c r="E267" s="210"/>
      <c r="F267" s="210"/>
    </row>
    <row r="268" spans="1:6">
      <c r="A268" s="247"/>
      <c r="B268" s="210"/>
      <c r="C268" s="210"/>
      <c r="D268" s="210"/>
      <c r="E268" s="210"/>
      <c r="F268" s="210"/>
    </row>
    <row r="269" spans="1:6">
      <c r="A269" s="247"/>
      <c r="B269" s="210"/>
      <c r="C269" s="210"/>
      <c r="D269" s="210"/>
      <c r="E269" s="210"/>
      <c r="F269" s="210"/>
    </row>
    <row r="270" spans="1:6">
      <c r="A270" s="247"/>
      <c r="B270" s="210"/>
      <c r="C270" s="210"/>
      <c r="D270" s="210"/>
      <c r="E270" s="210"/>
      <c r="F270" s="210"/>
    </row>
    <row r="271" spans="1:6">
      <c r="A271" s="247"/>
      <c r="B271" s="210"/>
      <c r="C271" s="210"/>
      <c r="D271" s="210"/>
      <c r="E271" s="210"/>
      <c r="F271" s="210"/>
    </row>
    <row r="272" spans="1:6">
      <c r="A272" s="247"/>
      <c r="B272" s="210"/>
      <c r="C272" s="210"/>
      <c r="D272" s="210"/>
      <c r="E272" s="210"/>
      <c r="F272" s="210"/>
    </row>
    <row r="273" spans="1:6">
      <c r="A273" s="247"/>
      <c r="B273" s="210"/>
      <c r="C273" s="210"/>
      <c r="D273" s="210"/>
      <c r="E273" s="210"/>
      <c r="F273" s="210"/>
    </row>
    <row r="274" spans="1:6">
      <c r="A274" s="247"/>
      <c r="B274" s="210"/>
      <c r="C274" s="210"/>
      <c r="D274" s="210"/>
      <c r="E274" s="210"/>
      <c r="F274" s="210"/>
    </row>
    <row r="275" spans="1:6">
      <c r="A275" s="247"/>
      <c r="B275" s="210"/>
      <c r="C275" s="210"/>
      <c r="D275" s="210"/>
      <c r="E275" s="210"/>
      <c r="F275" s="210"/>
    </row>
    <row r="276" spans="1:6">
      <c r="A276" s="247"/>
      <c r="B276" s="210"/>
      <c r="C276" s="210"/>
      <c r="D276" s="210"/>
      <c r="E276" s="210"/>
      <c r="F276" s="210"/>
    </row>
    <row r="277" spans="1:6">
      <c r="A277" s="247"/>
      <c r="B277" s="210"/>
      <c r="C277" s="210"/>
      <c r="D277" s="210"/>
      <c r="E277" s="210"/>
      <c r="F277" s="210"/>
    </row>
    <row r="278" spans="1:6">
      <c r="A278" s="247"/>
      <c r="B278" s="210"/>
      <c r="C278" s="210"/>
      <c r="D278" s="210"/>
      <c r="E278" s="210"/>
      <c r="F278" s="210"/>
    </row>
    <row r="279" spans="1:6">
      <c r="A279" s="247"/>
      <c r="B279" s="210"/>
      <c r="C279" s="210"/>
      <c r="D279" s="210"/>
      <c r="E279" s="210"/>
      <c r="F279" s="210"/>
    </row>
    <row r="280" spans="1:6">
      <c r="A280" s="247"/>
      <c r="B280" s="210"/>
      <c r="C280" s="210"/>
      <c r="D280" s="210"/>
      <c r="E280" s="210"/>
      <c r="F280" s="210"/>
    </row>
    <row r="281" spans="1:6">
      <c r="A281" s="247"/>
      <c r="B281" s="210"/>
      <c r="C281" s="210"/>
      <c r="D281" s="210"/>
      <c r="E281" s="210"/>
      <c r="F281" s="210"/>
    </row>
    <row r="282" spans="1:6">
      <c r="A282" s="247"/>
      <c r="B282" s="210"/>
      <c r="C282" s="210"/>
      <c r="D282" s="210"/>
      <c r="E282" s="210"/>
      <c r="F282" s="210"/>
    </row>
    <row r="283" spans="1:6">
      <c r="A283" s="247"/>
      <c r="B283" s="210"/>
      <c r="C283" s="210"/>
      <c r="D283" s="210"/>
      <c r="E283" s="210"/>
      <c r="F283" s="210"/>
    </row>
    <row r="284" spans="1:6">
      <c r="A284" s="247"/>
      <c r="B284" s="210"/>
      <c r="C284" s="210"/>
      <c r="D284" s="210"/>
      <c r="E284" s="210"/>
      <c r="F284" s="210"/>
    </row>
    <row r="285" spans="1:6">
      <c r="A285" s="247"/>
      <c r="B285" s="210"/>
      <c r="C285" s="210"/>
      <c r="D285" s="210"/>
      <c r="E285" s="210"/>
      <c r="F285" s="210"/>
    </row>
    <row r="286" spans="1:6">
      <c r="A286" s="247"/>
      <c r="B286" s="210"/>
      <c r="C286" s="210"/>
      <c r="D286" s="210"/>
      <c r="E286" s="210"/>
      <c r="F286" s="210"/>
    </row>
    <row r="287" spans="1:6">
      <c r="A287" s="247"/>
      <c r="B287" s="210"/>
      <c r="C287" s="210"/>
      <c r="D287" s="210"/>
      <c r="E287" s="210"/>
      <c r="F287" s="210"/>
    </row>
    <row r="288" spans="1:6">
      <c r="A288" s="247"/>
      <c r="B288" s="210"/>
      <c r="C288" s="210"/>
      <c r="D288" s="210"/>
      <c r="E288" s="210"/>
      <c r="F288" s="210"/>
    </row>
    <row r="289" spans="1:6">
      <c r="A289" s="247"/>
      <c r="B289" s="210"/>
      <c r="C289" s="210"/>
      <c r="D289" s="210"/>
      <c r="E289" s="210"/>
      <c r="F289" s="210"/>
    </row>
    <row r="290" spans="1:6">
      <c r="A290" s="247"/>
      <c r="B290" s="210"/>
      <c r="C290" s="210"/>
      <c r="D290" s="210"/>
      <c r="E290" s="210"/>
      <c r="F290" s="210"/>
    </row>
    <row r="291" spans="1:6">
      <c r="A291" s="247"/>
      <c r="B291" s="210"/>
      <c r="C291" s="210"/>
      <c r="D291" s="210"/>
      <c r="E291" s="210"/>
      <c r="F291" s="210"/>
    </row>
    <row r="292" spans="1:6">
      <c r="A292" s="247"/>
      <c r="B292" s="210"/>
      <c r="C292" s="210"/>
      <c r="D292" s="210"/>
      <c r="E292" s="210"/>
      <c r="F292" s="210"/>
    </row>
    <row r="293" spans="1:6">
      <c r="A293" s="247"/>
      <c r="B293" s="210"/>
      <c r="C293" s="210"/>
      <c r="D293" s="210"/>
      <c r="E293" s="210"/>
      <c r="F293" s="210"/>
    </row>
    <row r="294" spans="1:6">
      <c r="A294" s="247"/>
      <c r="B294" s="210"/>
      <c r="C294" s="210"/>
      <c r="D294" s="210"/>
      <c r="E294" s="210"/>
      <c r="F294" s="210"/>
    </row>
    <row r="295" spans="1:6">
      <c r="A295" s="247"/>
      <c r="B295" s="210"/>
      <c r="C295" s="210"/>
      <c r="D295" s="210"/>
      <c r="E295" s="210"/>
      <c r="F295" s="210"/>
    </row>
    <row r="296" spans="1:6">
      <c r="A296" s="247"/>
      <c r="B296" s="210"/>
      <c r="C296" s="210"/>
      <c r="D296" s="210"/>
      <c r="E296" s="210"/>
      <c r="F296" s="210"/>
    </row>
    <row r="297" spans="1:6">
      <c r="A297" s="247"/>
      <c r="B297" s="210"/>
      <c r="C297" s="210"/>
      <c r="D297" s="210"/>
      <c r="E297" s="210"/>
      <c r="F297" s="210"/>
    </row>
    <row r="298" spans="1:6">
      <c r="A298" s="247"/>
      <c r="B298" s="210"/>
      <c r="C298" s="210"/>
      <c r="D298" s="210"/>
      <c r="E298" s="210"/>
      <c r="F298" s="210"/>
    </row>
    <row r="299" spans="1:6">
      <c r="A299" s="247"/>
      <c r="B299" s="210"/>
      <c r="C299" s="210"/>
      <c r="D299" s="210"/>
      <c r="E299" s="210"/>
      <c r="F299" s="210"/>
    </row>
    <row r="300" spans="1:6">
      <c r="A300" s="247"/>
      <c r="B300" s="210"/>
      <c r="C300" s="210"/>
      <c r="D300" s="210"/>
      <c r="E300" s="210"/>
      <c r="F300" s="210"/>
    </row>
    <row r="301" spans="1:6">
      <c r="A301" s="247"/>
      <c r="B301" s="210"/>
      <c r="C301" s="210"/>
      <c r="D301" s="210"/>
      <c r="E301" s="210"/>
      <c r="F301" s="210"/>
    </row>
    <row r="302" spans="1:6">
      <c r="A302" s="247"/>
      <c r="B302" s="210"/>
      <c r="C302" s="210"/>
      <c r="D302" s="210"/>
      <c r="E302" s="210"/>
      <c r="F302" s="210"/>
    </row>
    <row r="303" spans="1:6">
      <c r="A303" s="247"/>
      <c r="B303" s="210"/>
      <c r="C303" s="210"/>
      <c r="D303" s="210"/>
      <c r="E303" s="210"/>
      <c r="F303" s="210"/>
    </row>
    <row r="304" spans="1:6">
      <c r="A304" s="247"/>
      <c r="B304" s="210"/>
      <c r="C304" s="210"/>
      <c r="D304" s="210"/>
      <c r="E304" s="210"/>
      <c r="F304" s="210"/>
    </row>
    <row r="305" spans="1:6">
      <c r="A305" s="247"/>
      <c r="B305" s="210"/>
      <c r="C305" s="210"/>
      <c r="D305" s="210"/>
      <c r="E305" s="210"/>
      <c r="F305" s="210"/>
    </row>
    <row r="306" spans="1:6">
      <c r="A306" s="247"/>
      <c r="B306" s="210"/>
      <c r="C306" s="210"/>
      <c r="D306" s="210"/>
      <c r="E306" s="210"/>
      <c r="F306" s="210"/>
    </row>
    <row r="307" spans="1:6">
      <c r="A307" s="247"/>
      <c r="B307" s="210"/>
      <c r="C307" s="210"/>
      <c r="D307" s="210"/>
      <c r="E307" s="210"/>
      <c r="F307" s="210"/>
    </row>
    <row r="308" spans="1:6">
      <c r="A308" s="247"/>
      <c r="B308" s="210"/>
      <c r="C308" s="210"/>
      <c r="D308" s="210"/>
      <c r="E308" s="210"/>
      <c r="F308" s="210"/>
    </row>
    <row r="309" spans="1:6">
      <c r="A309" s="247"/>
      <c r="B309" s="210"/>
      <c r="C309" s="210"/>
      <c r="D309" s="210"/>
      <c r="E309" s="210"/>
      <c r="F309" s="210"/>
    </row>
    <row r="310" spans="1:6">
      <c r="A310" s="247"/>
      <c r="B310" s="210"/>
      <c r="C310" s="210"/>
      <c r="D310" s="210"/>
      <c r="E310" s="210"/>
      <c r="F310" s="210"/>
    </row>
    <row r="311" spans="1:6">
      <c r="A311" s="247"/>
      <c r="B311" s="210"/>
      <c r="C311" s="210"/>
      <c r="D311" s="210"/>
      <c r="E311" s="210"/>
      <c r="F311" s="210"/>
    </row>
    <row r="312" spans="1:6">
      <c r="A312" s="247"/>
      <c r="B312" s="210"/>
      <c r="C312" s="210"/>
      <c r="D312" s="210"/>
      <c r="E312" s="210"/>
      <c r="F312" s="210"/>
    </row>
    <row r="313" spans="1:6">
      <c r="A313" s="247"/>
      <c r="B313" s="210"/>
      <c r="C313" s="210"/>
      <c r="D313" s="210"/>
      <c r="E313" s="210"/>
      <c r="F313" s="210"/>
    </row>
    <row r="314" spans="1:6">
      <c r="A314" s="247"/>
      <c r="B314" s="210"/>
      <c r="C314" s="210"/>
      <c r="D314" s="210"/>
      <c r="E314" s="210"/>
      <c r="F314" s="210"/>
    </row>
    <row r="315" spans="1:6">
      <c r="A315" s="247"/>
      <c r="B315" s="210"/>
      <c r="C315" s="210"/>
      <c r="D315" s="210"/>
      <c r="E315" s="210"/>
      <c r="F315" s="210"/>
    </row>
    <row r="316" spans="1:6">
      <c r="A316" s="247"/>
      <c r="B316" s="210"/>
      <c r="C316" s="210"/>
      <c r="D316" s="210"/>
      <c r="E316" s="210"/>
      <c r="F316" s="210"/>
    </row>
    <row r="317" spans="1:6">
      <c r="A317" s="247"/>
      <c r="B317" s="210"/>
      <c r="C317" s="210"/>
      <c r="D317" s="210"/>
      <c r="E317" s="210"/>
      <c r="F317" s="210"/>
    </row>
    <row r="318" spans="1:6">
      <c r="A318" s="247"/>
      <c r="B318" s="210"/>
      <c r="C318" s="210"/>
      <c r="D318" s="210"/>
      <c r="E318" s="210"/>
      <c r="F318" s="210"/>
    </row>
    <row r="319" spans="1:6">
      <c r="A319" s="247"/>
      <c r="B319" s="210"/>
      <c r="C319" s="210"/>
      <c r="D319" s="210"/>
      <c r="E319" s="210"/>
      <c r="F319" s="210"/>
    </row>
    <row r="320" spans="1:6">
      <c r="A320" s="247"/>
      <c r="B320" s="210"/>
      <c r="C320" s="210"/>
      <c r="D320" s="210"/>
      <c r="E320" s="210"/>
      <c r="F320" s="210"/>
    </row>
    <row r="321" spans="1:6">
      <c r="A321" s="247"/>
      <c r="B321" s="210"/>
      <c r="C321" s="210"/>
      <c r="D321" s="210"/>
      <c r="E321" s="210"/>
      <c r="F321" s="210"/>
    </row>
    <row r="322" spans="1:6">
      <c r="A322" s="247"/>
      <c r="B322" s="210"/>
      <c r="C322" s="210"/>
      <c r="D322" s="210"/>
      <c r="E322" s="210"/>
      <c r="F322" s="210"/>
    </row>
    <row r="323" spans="1:6">
      <c r="A323" s="247"/>
      <c r="B323" s="210"/>
      <c r="C323" s="210"/>
      <c r="D323" s="210"/>
      <c r="E323" s="210"/>
      <c r="F323" s="210"/>
    </row>
    <row r="324" spans="1:6">
      <c r="A324" s="247"/>
      <c r="B324" s="210"/>
      <c r="C324" s="210"/>
      <c r="D324" s="210"/>
      <c r="E324" s="210"/>
      <c r="F324" s="210"/>
    </row>
    <row r="325" spans="1:6">
      <c r="A325" s="247"/>
      <c r="B325" s="210"/>
      <c r="C325" s="210"/>
      <c r="D325" s="210"/>
      <c r="E325" s="210"/>
      <c r="F325" s="210"/>
    </row>
    <row r="326" spans="1:6">
      <c r="A326" s="247"/>
      <c r="B326" s="210"/>
      <c r="C326" s="210"/>
      <c r="D326" s="210"/>
      <c r="E326" s="210"/>
      <c r="F326" s="210"/>
    </row>
    <row r="327" spans="1:6">
      <c r="A327" s="247"/>
      <c r="B327" s="210"/>
      <c r="C327" s="210"/>
      <c r="D327" s="210"/>
      <c r="E327" s="210"/>
      <c r="F327" s="210"/>
    </row>
    <row r="328" spans="1:6">
      <c r="A328" s="247"/>
      <c r="B328" s="210"/>
      <c r="C328" s="210"/>
      <c r="D328" s="210"/>
      <c r="E328" s="210"/>
      <c r="F328" s="210"/>
    </row>
    <row r="329" spans="1:6">
      <c r="A329" s="247"/>
      <c r="B329" s="210"/>
      <c r="C329" s="210"/>
      <c r="D329" s="210"/>
      <c r="E329" s="210"/>
      <c r="F329" s="210"/>
    </row>
    <row r="330" spans="1:6">
      <c r="A330" s="247"/>
      <c r="B330" s="210"/>
      <c r="C330" s="210"/>
      <c r="D330" s="210"/>
      <c r="E330" s="210"/>
      <c r="F330" s="210"/>
    </row>
    <row r="331" spans="1:6">
      <c r="A331" s="247"/>
      <c r="B331" s="210"/>
      <c r="C331" s="210"/>
      <c r="D331" s="210"/>
      <c r="E331" s="210"/>
      <c r="F331" s="210"/>
    </row>
    <row r="332" spans="1:6">
      <c r="A332" s="247"/>
      <c r="B332" s="210"/>
      <c r="C332" s="210"/>
      <c r="D332" s="210"/>
      <c r="E332" s="210"/>
      <c r="F332" s="210"/>
    </row>
    <row r="333" spans="1:6">
      <c r="A333" s="247"/>
      <c r="B333" s="210"/>
      <c r="C333" s="210"/>
      <c r="D333" s="210"/>
      <c r="E333" s="210"/>
      <c r="F333" s="210"/>
    </row>
    <row r="334" spans="1:6">
      <c r="A334" s="247"/>
      <c r="B334" s="210"/>
      <c r="C334" s="210"/>
      <c r="D334" s="210"/>
      <c r="E334" s="210"/>
      <c r="F334" s="210"/>
    </row>
    <row r="335" spans="1:6">
      <c r="A335" s="247"/>
      <c r="B335" s="210"/>
      <c r="C335" s="210"/>
      <c r="D335" s="210"/>
      <c r="E335" s="210"/>
      <c r="F335" s="210"/>
    </row>
    <row r="336" spans="1:6">
      <c r="A336" s="247"/>
      <c r="B336" s="210"/>
      <c r="C336" s="210"/>
      <c r="D336" s="210"/>
      <c r="E336" s="210"/>
      <c r="F336" s="210"/>
    </row>
    <row r="337" spans="1:6">
      <c r="A337" s="247"/>
      <c r="B337" s="210"/>
      <c r="C337" s="210"/>
      <c r="D337" s="210"/>
      <c r="E337" s="210"/>
      <c r="F337" s="210"/>
    </row>
    <row r="338" spans="1:6">
      <c r="A338" s="247"/>
      <c r="B338" s="210"/>
      <c r="C338" s="210"/>
      <c r="D338" s="210"/>
      <c r="E338" s="210"/>
      <c r="F338" s="210"/>
    </row>
    <row r="339" spans="1:6">
      <c r="A339" s="247"/>
      <c r="B339" s="210"/>
      <c r="C339" s="210"/>
      <c r="D339" s="210"/>
      <c r="E339" s="210"/>
      <c r="F339" s="210"/>
    </row>
    <row r="340" spans="1:6">
      <c r="A340" s="247"/>
      <c r="B340" s="210"/>
      <c r="C340" s="210"/>
      <c r="D340" s="210"/>
      <c r="E340" s="210"/>
      <c r="F340" s="210"/>
    </row>
    <row r="341" spans="1:6">
      <c r="A341" s="247"/>
      <c r="B341" s="210"/>
      <c r="C341" s="210"/>
      <c r="D341" s="210"/>
      <c r="E341" s="210"/>
      <c r="F341" s="210"/>
    </row>
    <row r="342" spans="1:6">
      <c r="A342" s="247"/>
      <c r="B342" s="210"/>
      <c r="C342" s="210"/>
      <c r="D342" s="210"/>
      <c r="E342" s="210"/>
      <c r="F342" s="210"/>
    </row>
    <row r="343" spans="1:6">
      <c r="A343" s="247"/>
      <c r="B343" s="210"/>
      <c r="C343" s="210"/>
      <c r="D343" s="210"/>
      <c r="E343" s="210"/>
      <c r="F343" s="210"/>
    </row>
    <row r="344" spans="1:6">
      <c r="A344" s="247"/>
      <c r="B344" s="210"/>
      <c r="C344" s="210"/>
      <c r="D344" s="210"/>
      <c r="E344" s="210"/>
      <c r="F344" s="210"/>
    </row>
    <row r="345" spans="1:6">
      <c r="A345" s="247"/>
      <c r="B345" s="210"/>
      <c r="C345" s="210"/>
      <c r="D345" s="210"/>
      <c r="E345" s="210"/>
      <c r="F345" s="210"/>
    </row>
    <row r="346" spans="1:6">
      <c r="A346" s="247"/>
      <c r="B346" s="210"/>
      <c r="C346" s="210"/>
      <c r="D346" s="210"/>
      <c r="E346" s="210"/>
      <c r="F346" s="210"/>
    </row>
    <row r="347" spans="1:6">
      <c r="A347" s="247"/>
      <c r="B347" s="210"/>
      <c r="C347" s="210"/>
      <c r="D347" s="210"/>
      <c r="E347" s="210"/>
      <c r="F347" s="210"/>
    </row>
    <row r="348" spans="1:6">
      <c r="A348" s="247"/>
      <c r="B348" s="210"/>
      <c r="C348" s="210"/>
      <c r="D348" s="210"/>
      <c r="E348" s="210"/>
      <c r="F348" s="210"/>
    </row>
    <row r="349" spans="1:6">
      <c r="A349" s="247"/>
      <c r="B349" s="210"/>
      <c r="C349" s="210"/>
      <c r="D349" s="210"/>
      <c r="E349" s="210"/>
      <c r="F349" s="210"/>
    </row>
    <row r="350" spans="1:6">
      <c r="A350" s="247"/>
      <c r="B350" s="210"/>
      <c r="C350" s="210"/>
      <c r="D350" s="210"/>
      <c r="E350" s="210"/>
      <c r="F350" s="210"/>
    </row>
    <row r="351" spans="1:6">
      <c r="A351" s="247"/>
      <c r="B351" s="210"/>
      <c r="C351" s="210"/>
      <c r="D351" s="210"/>
      <c r="E351" s="210"/>
      <c r="F351" s="210"/>
    </row>
    <row r="352" spans="1:6">
      <c r="A352" s="247"/>
      <c r="B352" s="210"/>
      <c r="C352" s="210"/>
      <c r="D352" s="210"/>
      <c r="E352" s="210"/>
      <c r="F352" s="210"/>
    </row>
    <row r="353" spans="1:6">
      <c r="A353" s="247"/>
      <c r="B353" s="210"/>
      <c r="C353" s="210"/>
      <c r="D353" s="210"/>
      <c r="E353" s="210"/>
      <c r="F353" s="210"/>
    </row>
    <row r="354" spans="1:6">
      <c r="A354" s="247"/>
      <c r="B354" s="210"/>
      <c r="C354" s="210"/>
      <c r="D354" s="210"/>
      <c r="E354" s="210"/>
      <c r="F354" s="210"/>
    </row>
    <row r="355" spans="1:6">
      <c r="A355" s="247"/>
      <c r="B355" s="210"/>
      <c r="C355" s="210"/>
      <c r="D355" s="210"/>
      <c r="E355" s="210"/>
      <c r="F355" s="210"/>
    </row>
    <row r="356" spans="1:6">
      <c r="A356" s="247"/>
      <c r="B356" s="210"/>
      <c r="C356" s="210"/>
      <c r="D356" s="210"/>
      <c r="E356" s="210"/>
      <c r="F356" s="210"/>
    </row>
    <row r="357" spans="1:6">
      <c r="A357" s="247"/>
      <c r="B357" s="210"/>
      <c r="C357" s="210"/>
      <c r="D357" s="210"/>
      <c r="E357" s="210"/>
      <c r="F357" s="210"/>
    </row>
    <row r="358" spans="1:6">
      <c r="A358" s="247"/>
      <c r="B358" s="210"/>
      <c r="C358" s="210"/>
      <c r="D358" s="210"/>
      <c r="E358" s="210"/>
      <c r="F358" s="210"/>
    </row>
    <row r="359" spans="1:6">
      <c r="A359" s="247"/>
      <c r="B359" s="210"/>
      <c r="C359" s="210"/>
      <c r="D359" s="210"/>
      <c r="E359" s="210"/>
      <c r="F359" s="210"/>
    </row>
    <row r="360" spans="1:6">
      <c r="A360" s="247"/>
      <c r="B360" s="210"/>
      <c r="C360" s="210"/>
      <c r="D360" s="210"/>
      <c r="E360" s="210"/>
      <c r="F360" s="210"/>
    </row>
    <row r="361" spans="1:6">
      <c r="A361" s="247"/>
      <c r="B361" s="210"/>
      <c r="C361" s="210"/>
      <c r="D361" s="210"/>
      <c r="E361" s="210"/>
      <c r="F361" s="210"/>
    </row>
    <row r="362" spans="1:6">
      <c r="A362" s="247"/>
      <c r="B362" s="210"/>
      <c r="C362" s="210"/>
      <c r="D362" s="210"/>
      <c r="E362" s="210"/>
      <c r="F362" s="210"/>
    </row>
    <row r="363" spans="1:6">
      <c r="A363" s="247"/>
      <c r="B363" s="210"/>
      <c r="C363" s="210"/>
      <c r="D363" s="210"/>
      <c r="E363" s="210"/>
      <c r="F363" s="210"/>
    </row>
    <row r="364" spans="1:6">
      <c r="A364" s="247"/>
      <c r="B364" s="210"/>
      <c r="C364" s="210"/>
      <c r="D364" s="210"/>
      <c r="E364" s="210"/>
      <c r="F364" s="210"/>
    </row>
    <row r="365" spans="1:6">
      <c r="A365" s="247"/>
      <c r="B365" s="210"/>
      <c r="C365" s="210"/>
      <c r="D365" s="210"/>
      <c r="E365" s="210"/>
      <c r="F365" s="210"/>
    </row>
    <row r="366" spans="1:6">
      <c r="A366" s="247"/>
      <c r="B366" s="210"/>
      <c r="C366" s="210"/>
      <c r="D366" s="210"/>
      <c r="E366" s="210"/>
      <c r="F366" s="210"/>
    </row>
    <row r="367" spans="1:6">
      <c r="A367" s="247"/>
      <c r="B367" s="210"/>
      <c r="C367" s="210"/>
      <c r="D367" s="210"/>
      <c r="E367" s="210"/>
      <c r="F367" s="210"/>
    </row>
    <row r="368" spans="1:6">
      <c r="A368" s="247"/>
      <c r="B368" s="210"/>
      <c r="C368" s="210"/>
      <c r="D368" s="210"/>
      <c r="E368" s="210"/>
      <c r="F368" s="210"/>
    </row>
    <row r="369" spans="1:6">
      <c r="A369" s="247"/>
      <c r="B369" s="210"/>
      <c r="C369" s="210"/>
      <c r="D369" s="210"/>
      <c r="E369" s="210"/>
      <c r="F369" s="210"/>
    </row>
    <row r="370" spans="1:6">
      <c r="A370" s="247"/>
      <c r="B370" s="210"/>
      <c r="C370" s="210"/>
      <c r="D370" s="210"/>
      <c r="E370" s="210"/>
      <c r="F370" s="210"/>
    </row>
    <row r="371" spans="1:6">
      <c r="A371" s="247"/>
      <c r="B371" s="210"/>
      <c r="C371" s="210"/>
      <c r="D371" s="210"/>
      <c r="E371" s="210"/>
      <c r="F371" s="210"/>
    </row>
    <row r="372" spans="1:6">
      <c r="A372" s="247"/>
      <c r="B372" s="210"/>
      <c r="C372" s="210"/>
      <c r="D372" s="210"/>
      <c r="E372" s="210"/>
      <c r="F372" s="210"/>
    </row>
    <row r="373" spans="1:6">
      <c r="A373" s="247"/>
      <c r="B373" s="210"/>
      <c r="C373" s="210"/>
      <c r="D373" s="210"/>
      <c r="E373" s="210"/>
      <c r="F373" s="210"/>
    </row>
    <row r="374" spans="1:6">
      <c r="A374" s="247"/>
      <c r="B374" s="210"/>
      <c r="C374" s="210"/>
      <c r="D374" s="210"/>
      <c r="E374" s="210"/>
      <c r="F374" s="210"/>
    </row>
    <row r="375" spans="1:6">
      <c r="A375" s="247"/>
      <c r="B375" s="210"/>
      <c r="C375" s="210"/>
      <c r="D375" s="210"/>
      <c r="E375" s="210"/>
      <c r="F375" s="210"/>
    </row>
    <row r="376" spans="1:6">
      <c r="A376" s="247"/>
      <c r="B376" s="210"/>
      <c r="C376" s="210"/>
      <c r="D376" s="210"/>
      <c r="E376" s="210"/>
      <c r="F376" s="210"/>
    </row>
    <row r="377" spans="1:6">
      <c r="A377" s="247"/>
      <c r="B377" s="210"/>
      <c r="C377" s="210"/>
      <c r="D377" s="210"/>
      <c r="E377" s="210"/>
      <c r="F377" s="210"/>
    </row>
    <row r="378" spans="1:6">
      <c r="A378" s="247"/>
      <c r="B378" s="210"/>
      <c r="C378" s="210"/>
      <c r="D378" s="210"/>
      <c r="E378" s="210"/>
      <c r="F378" s="210"/>
    </row>
    <row r="379" spans="1:6">
      <c r="A379" s="247"/>
      <c r="B379" s="210"/>
      <c r="C379" s="210"/>
      <c r="D379" s="210"/>
      <c r="E379" s="210"/>
      <c r="F379" s="210"/>
    </row>
    <row r="380" spans="1:6">
      <c r="A380" s="247"/>
      <c r="B380" s="210"/>
      <c r="C380" s="210"/>
      <c r="D380" s="210"/>
      <c r="E380" s="210"/>
      <c r="F380" s="210"/>
    </row>
    <row r="381" spans="1:6">
      <c r="A381" s="247"/>
      <c r="B381" s="210"/>
      <c r="C381" s="210"/>
      <c r="D381" s="210"/>
      <c r="E381" s="210"/>
      <c r="F381" s="210"/>
    </row>
    <row r="382" spans="1:6">
      <c r="A382" s="247"/>
      <c r="B382" s="210"/>
      <c r="C382" s="210"/>
      <c r="D382" s="210"/>
      <c r="E382" s="210"/>
      <c r="F382" s="210"/>
    </row>
    <row r="383" spans="1:6">
      <c r="A383" s="247"/>
      <c r="B383" s="210"/>
      <c r="C383" s="210"/>
      <c r="D383" s="210"/>
      <c r="E383" s="210"/>
      <c r="F383" s="210"/>
    </row>
    <row r="384" spans="1:6">
      <c r="A384" s="247"/>
      <c r="B384" s="210"/>
      <c r="C384" s="210"/>
      <c r="D384" s="210"/>
      <c r="E384" s="210"/>
      <c r="F384" s="210"/>
    </row>
    <row r="385" spans="1:6">
      <c r="A385" s="247"/>
      <c r="B385" s="210"/>
      <c r="C385" s="210"/>
      <c r="D385" s="210"/>
      <c r="E385" s="210"/>
      <c r="F385" s="210"/>
    </row>
    <row r="386" spans="1:6">
      <c r="A386" s="247"/>
      <c r="B386" s="210"/>
      <c r="C386" s="210"/>
      <c r="D386" s="210"/>
      <c r="E386" s="210"/>
      <c r="F386" s="210"/>
    </row>
    <row r="387" spans="1:6">
      <c r="A387" s="247"/>
      <c r="B387" s="210"/>
      <c r="C387" s="210"/>
      <c r="D387" s="210"/>
      <c r="E387" s="210"/>
      <c r="F387" s="210"/>
    </row>
    <row r="388" spans="1:6">
      <c r="A388" s="247"/>
      <c r="B388" s="210"/>
      <c r="C388" s="210"/>
      <c r="D388" s="210"/>
      <c r="E388" s="210"/>
      <c r="F388" s="210"/>
    </row>
    <row r="389" spans="1:6">
      <c r="A389" s="247"/>
      <c r="B389" s="210"/>
      <c r="C389" s="210"/>
      <c r="D389" s="210"/>
      <c r="E389" s="210"/>
      <c r="F389" s="210"/>
    </row>
    <row r="390" spans="1:6">
      <c r="A390" s="247"/>
      <c r="B390" s="210"/>
      <c r="C390" s="210"/>
      <c r="D390" s="210"/>
      <c r="E390" s="210"/>
      <c r="F390" s="210"/>
    </row>
    <row r="391" spans="1:6">
      <c r="A391" s="247"/>
      <c r="B391" s="210"/>
      <c r="C391" s="210"/>
      <c r="D391" s="210"/>
      <c r="E391" s="210"/>
      <c r="F391" s="210"/>
    </row>
    <row r="392" spans="1:6">
      <c r="A392" s="247"/>
      <c r="B392" s="210"/>
      <c r="C392" s="210"/>
      <c r="D392" s="210"/>
      <c r="E392" s="210"/>
      <c r="F392" s="210"/>
    </row>
    <row r="393" spans="1:6">
      <c r="A393" s="247"/>
      <c r="B393" s="210"/>
      <c r="C393" s="210"/>
      <c r="D393" s="210"/>
      <c r="E393" s="210"/>
      <c r="F393" s="210"/>
    </row>
    <row r="394" spans="1:6">
      <c r="A394" s="247"/>
      <c r="B394" s="210"/>
      <c r="C394" s="210"/>
      <c r="D394" s="210"/>
      <c r="E394" s="210"/>
      <c r="F394" s="210"/>
    </row>
    <row r="395" spans="1:6">
      <c r="A395" s="247"/>
      <c r="B395" s="210"/>
      <c r="C395" s="210"/>
      <c r="D395" s="210"/>
      <c r="E395" s="210"/>
      <c r="F395" s="210"/>
    </row>
    <row r="396" spans="1:6">
      <c r="A396" s="247"/>
      <c r="B396" s="210"/>
      <c r="C396" s="210"/>
      <c r="D396" s="210"/>
      <c r="E396" s="210"/>
      <c r="F396" s="210"/>
    </row>
    <row r="397" spans="1:6">
      <c r="A397" s="247"/>
      <c r="B397" s="210"/>
      <c r="C397" s="210"/>
      <c r="D397" s="210"/>
      <c r="E397" s="210"/>
      <c r="F397" s="210"/>
    </row>
    <row r="398" spans="1:6">
      <c r="A398" s="247"/>
      <c r="B398" s="210"/>
      <c r="C398" s="210"/>
      <c r="D398" s="210"/>
      <c r="E398" s="210"/>
      <c r="F398" s="210"/>
    </row>
    <row r="399" spans="1:6">
      <c r="A399" s="247"/>
      <c r="B399" s="210"/>
      <c r="C399" s="210"/>
      <c r="D399" s="210"/>
      <c r="E399" s="210"/>
      <c r="F399" s="210"/>
    </row>
    <row r="400" spans="1:6">
      <c r="A400" s="247"/>
      <c r="B400" s="210"/>
      <c r="C400" s="210"/>
      <c r="D400" s="210"/>
      <c r="E400" s="210"/>
      <c r="F400" s="210"/>
    </row>
    <row r="401" spans="1:6">
      <c r="A401" s="247"/>
      <c r="B401" s="210"/>
      <c r="C401" s="210"/>
      <c r="D401" s="210"/>
      <c r="E401" s="210"/>
      <c r="F401" s="210"/>
    </row>
    <row r="402" spans="1:6">
      <c r="A402" s="247"/>
      <c r="B402" s="210"/>
      <c r="C402" s="210"/>
      <c r="D402" s="210"/>
      <c r="E402" s="210"/>
      <c r="F402" s="210"/>
    </row>
    <row r="403" spans="1:6">
      <c r="A403" s="247"/>
      <c r="B403" s="210"/>
      <c r="C403" s="210"/>
      <c r="D403" s="210"/>
      <c r="E403" s="210"/>
      <c r="F403" s="210"/>
    </row>
    <row r="404" spans="1:6">
      <c r="A404" s="247"/>
      <c r="B404" s="210"/>
      <c r="C404" s="210"/>
      <c r="D404" s="210"/>
      <c r="E404" s="210"/>
      <c r="F404" s="210"/>
    </row>
    <row r="405" spans="1:6">
      <c r="A405" s="247"/>
      <c r="B405" s="210"/>
      <c r="C405" s="210"/>
      <c r="D405" s="210"/>
      <c r="E405" s="210"/>
      <c r="F405" s="210"/>
    </row>
    <row r="406" spans="1:6">
      <c r="A406" s="247"/>
      <c r="B406" s="210"/>
      <c r="C406" s="210"/>
      <c r="D406" s="210"/>
      <c r="E406" s="210"/>
      <c r="F406" s="210"/>
    </row>
    <row r="407" spans="1:6">
      <c r="A407" s="247"/>
      <c r="B407" s="210"/>
      <c r="C407" s="210"/>
      <c r="D407" s="210"/>
      <c r="E407" s="210"/>
      <c r="F407" s="210"/>
    </row>
    <row r="408" spans="1:6">
      <c r="A408" s="247"/>
      <c r="B408" s="210"/>
      <c r="C408" s="210"/>
      <c r="D408" s="210"/>
      <c r="E408" s="210"/>
      <c r="F408" s="210"/>
    </row>
    <row r="409" spans="1:6">
      <c r="A409" s="247"/>
      <c r="B409" s="210"/>
      <c r="C409" s="210"/>
      <c r="D409" s="210"/>
      <c r="E409" s="210"/>
      <c r="F409" s="210"/>
    </row>
    <row r="410" spans="1:6">
      <c r="A410" s="247"/>
      <c r="B410" s="210"/>
      <c r="C410" s="210"/>
      <c r="D410" s="210"/>
      <c r="E410" s="210"/>
      <c r="F410" s="210"/>
    </row>
    <row r="411" spans="1:6">
      <c r="A411" s="247"/>
      <c r="B411" s="210"/>
      <c r="C411" s="210"/>
      <c r="D411" s="210"/>
      <c r="E411" s="210"/>
      <c r="F411" s="210"/>
    </row>
    <row r="412" spans="1:6">
      <c r="A412" s="247"/>
      <c r="B412" s="210"/>
      <c r="C412" s="210"/>
      <c r="D412" s="210"/>
      <c r="E412" s="210"/>
      <c r="F412" s="210"/>
    </row>
    <row r="413" spans="1:6">
      <c r="A413" s="247"/>
      <c r="B413" s="210"/>
      <c r="C413" s="210"/>
      <c r="D413" s="210"/>
      <c r="E413" s="210"/>
      <c r="F413" s="210"/>
    </row>
    <row r="414" spans="1:6">
      <c r="A414" s="247"/>
      <c r="B414" s="210"/>
      <c r="C414" s="210"/>
      <c r="D414" s="210"/>
      <c r="E414" s="210"/>
      <c r="F414" s="210"/>
    </row>
    <row r="415" spans="1:6">
      <c r="A415" s="247"/>
      <c r="B415" s="210"/>
      <c r="C415" s="210"/>
      <c r="D415" s="210"/>
      <c r="E415" s="210"/>
      <c r="F415" s="210"/>
    </row>
    <row r="416" spans="1:6">
      <c r="A416" s="247"/>
      <c r="B416" s="210"/>
      <c r="C416" s="210"/>
      <c r="D416" s="210"/>
      <c r="E416" s="210"/>
      <c r="F416" s="210"/>
    </row>
    <row r="417" spans="1:6">
      <c r="A417" s="247"/>
      <c r="B417" s="210"/>
      <c r="C417" s="210"/>
      <c r="D417" s="210"/>
      <c r="E417" s="210"/>
      <c r="F417" s="210"/>
    </row>
    <row r="418" spans="1:6">
      <c r="A418" s="247"/>
      <c r="B418" s="210"/>
      <c r="C418" s="210"/>
      <c r="D418" s="210"/>
      <c r="E418" s="210"/>
      <c r="F418" s="210"/>
    </row>
    <row r="419" spans="1:6">
      <c r="A419" s="247"/>
      <c r="B419" s="210"/>
      <c r="C419" s="210"/>
      <c r="D419" s="210"/>
      <c r="E419" s="210"/>
      <c r="F419" s="210"/>
    </row>
    <row r="420" spans="1:6">
      <c r="A420" s="247"/>
      <c r="B420" s="210"/>
      <c r="C420" s="210"/>
      <c r="D420" s="210"/>
      <c r="E420" s="210"/>
      <c r="F420" s="210"/>
    </row>
    <row r="421" spans="1:6">
      <c r="A421" s="247"/>
      <c r="B421" s="210"/>
      <c r="C421" s="210"/>
      <c r="D421" s="210"/>
      <c r="E421" s="210"/>
      <c r="F421" s="210"/>
    </row>
    <row r="422" spans="1:6">
      <c r="A422" s="247"/>
      <c r="B422" s="210"/>
      <c r="C422" s="210"/>
      <c r="D422" s="210"/>
      <c r="E422" s="210"/>
      <c r="F422" s="210"/>
    </row>
    <row r="423" spans="1:6">
      <c r="A423" s="247"/>
      <c r="B423" s="210"/>
      <c r="C423" s="210"/>
      <c r="D423" s="210"/>
      <c r="E423" s="210"/>
      <c r="F423" s="210"/>
    </row>
    <row r="424" spans="1:6">
      <c r="A424" s="247"/>
      <c r="B424" s="210"/>
      <c r="C424" s="210"/>
      <c r="D424" s="210"/>
      <c r="E424" s="210"/>
      <c r="F424" s="210"/>
    </row>
    <row r="425" spans="1:6">
      <c r="A425" s="247"/>
      <c r="B425" s="210"/>
      <c r="C425" s="210"/>
      <c r="D425" s="210"/>
      <c r="E425" s="210"/>
      <c r="F425" s="210"/>
    </row>
    <row r="426" spans="1:6">
      <c r="A426" s="247"/>
      <c r="B426" s="210"/>
      <c r="C426" s="210"/>
      <c r="D426" s="210"/>
      <c r="E426" s="210"/>
      <c r="F426" s="210"/>
    </row>
    <row r="427" spans="1:6">
      <c r="A427" s="247"/>
      <c r="B427" s="210"/>
      <c r="C427" s="210"/>
      <c r="D427" s="210"/>
      <c r="E427" s="210"/>
      <c r="F427" s="210"/>
    </row>
    <row r="428" spans="1:6">
      <c r="A428" s="247"/>
      <c r="B428" s="210"/>
      <c r="C428" s="210"/>
      <c r="D428" s="210"/>
      <c r="E428" s="210"/>
      <c r="F428" s="210"/>
    </row>
    <row r="429" spans="1:6">
      <c r="A429" s="247"/>
      <c r="B429" s="210"/>
      <c r="C429" s="210"/>
      <c r="D429" s="210"/>
      <c r="E429" s="210"/>
      <c r="F429" s="210"/>
    </row>
    <row r="430" spans="1:6">
      <c r="A430" s="247"/>
      <c r="B430" s="210"/>
      <c r="C430" s="210"/>
      <c r="D430" s="210"/>
      <c r="E430" s="210"/>
      <c r="F430" s="210"/>
    </row>
    <row r="431" spans="1:6">
      <c r="A431" s="247"/>
      <c r="B431" s="210"/>
      <c r="C431" s="210"/>
      <c r="D431" s="210"/>
      <c r="E431" s="210"/>
      <c r="F431" s="210"/>
    </row>
    <row r="432" spans="1:6">
      <c r="A432" s="247"/>
      <c r="B432" s="210"/>
      <c r="C432" s="210"/>
      <c r="D432" s="210"/>
      <c r="E432" s="210"/>
      <c r="F432" s="210"/>
    </row>
    <row r="433" spans="1:6">
      <c r="A433" s="247"/>
      <c r="B433" s="210"/>
      <c r="C433" s="210"/>
      <c r="D433" s="210"/>
      <c r="E433" s="210"/>
      <c r="F433" s="210"/>
    </row>
    <row r="434" spans="1:6">
      <c r="A434" s="247"/>
      <c r="B434" s="210"/>
      <c r="C434" s="210"/>
      <c r="D434" s="210"/>
      <c r="E434" s="210"/>
      <c r="F434" s="210"/>
    </row>
    <row r="435" spans="1:6">
      <c r="A435" s="247"/>
      <c r="B435" s="210"/>
      <c r="C435" s="210"/>
      <c r="D435" s="210"/>
      <c r="E435" s="210"/>
      <c r="F435" s="210"/>
    </row>
    <row r="436" spans="1:6">
      <c r="A436" s="247"/>
      <c r="B436" s="210"/>
      <c r="C436" s="210"/>
      <c r="D436" s="210"/>
      <c r="E436" s="210"/>
      <c r="F436" s="210"/>
    </row>
    <row r="437" spans="1:6">
      <c r="A437" s="247"/>
      <c r="B437" s="210"/>
      <c r="C437" s="210"/>
      <c r="D437" s="210"/>
      <c r="E437" s="210"/>
      <c r="F437" s="210"/>
    </row>
    <row r="438" spans="1:6">
      <c r="A438" s="247"/>
      <c r="B438" s="210"/>
      <c r="C438" s="210"/>
      <c r="D438" s="210"/>
      <c r="E438" s="210"/>
      <c r="F438" s="210"/>
    </row>
    <row r="439" spans="1:6">
      <c r="A439" s="247"/>
      <c r="B439" s="210"/>
      <c r="C439" s="210"/>
      <c r="D439" s="210"/>
      <c r="E439" s="210"/>
      <c r="F439" s="210"/>
    </row>
    <row r="440" spans="1:6">
      <c r="A440" s="247"/>
      <c r="B440" s="210"/>
      <c r="C440" s="210"/>
      <c r="D440" s="210"/>
      <c r="E440" s="210"/>
      <c r="F440" s="210"/>
    </row>
    <row r="441" spans="1:6">
      <c r="A441" s="247"/>
      <c r="B441" s="210"/>
      <c r="C441" s="210"/>
      <c r="D441" s="210"/>
      <c r="E441" s="210"/>
      <c r="F441" s="210"/>
    </row>
    <row r="442" spans="1:6">
      <c r="A442" s="247"/>
      <c r="B442" s="210"/>
      <c r="C442" s="210"/>
      <c r="D442" s="210"/>
      <c r="E442" s="210"/>
      <c r="F442" s="210"/>
    </row>
    <row r="443" spans="1:6">
      <c r="A443" s="247"/>
      <c r="B443" s="210"/>
      <c r="C443" s="210"/>
      <c r="D443" s="210"/>
      <c r="E443" s="210"/>
      <c r="F443" s="210"/>
    </row>
    <row r="444" spans="1:6">
      <c r="A444" s="247"/>
      <c r="B444" s="210"/>
      <c r="C444" s="210"/>
      <c r="D444" s="210"/>
      <c r="E444" s="210"/>
      <c r="F444" s="210"/>
    </row>
    <row r="445" spans="1:6">
      <c r="A445" s="247"/>
      <c r="B445" s="210"/>
      <c r="C445" s="210"/>
      <c r="D445" s="210"/>
      <c r="E445" s="210"/>
      <c r="F445" s="210"/>
    </row>
    <row r="446" spans="1:6">
      <c r="A446" s="247"/>
      <c r="B446" s="210"/>
      <c r="C446" s="210"/>
      <c r="D446" s="210"/>
      <c r="E446" s="210"/>
      <c r="F446" s="210"/>
    </row>
    <row r="447" spans="1:6">
      <c r="A447" s="247"/>
      <c r="B447" s="210"/>
      <c r="C447" s="210"/>
      <c r="D447" s="210"/>
      <c r="E447" s="210"/>
      <c r="F447" s="210"/>
    </row>
    <row r="448" spans="1:6">
      <c r="A448" s="247"/>
      <c r="B448" s="210"/>
      <c r="C448" s="210"/>
      <c r="D448" s="210"/>
      <c r="E448" s="210"/>
      <c r="F448" s="210"/>
    </row>
    <row r="449" spans="1:6">
      <c r="A449" s="247"/>
      <c r="B449" s="210"/>
      <c r="C449" s="210"/>
      <c r="D449" s="210"/>
      <c r="E449" s="210"/>
      <c r="F449" s="210"/>
    </row>
    <row r="450" spans="1:6">
      <c r="A450" s="247"/>
      <c r="B450" s="210"/>
      <c r="C450" s="210"/>
      <c r="D450" s="210"/>
      <c r="E450" s="210"/>
      <c r="F450" s="210"/>
    </row>
    <row r="451" spans="1:6">
      <c r="A451" s="247"/>
      <c r="B451" s="210"/>
      <c r="C451" s="210"/>
      <c r="D451" s="210"/>
      <c r="E451" s="210"/>
      <c r="F451" s="210"/>
    </row>
    <row r="452" spans="1:6">
      <c r="A452" s="247"/>
      <c r="B452" s="210"/>
      <c r="C452" s="210"/>
      <c r="D452" s="210"/>
      <c r="E452" s="210"/>
      <c r="F452" s="210"/>
    </row>
    <row r="453" spans="1:6">
      <c r="A453" s="247"/>
      <c r="B453" s="210"/>
      <c r="C453" s="210"/>
      <c r="D453" s="210"/>
      <c r="E453" s="210"/>
      <c r="F453" s="210"/>
    </row>
    <row r="454" spans="1:6">
      <c r="A454" s="247"/>
      <c r="B454" s="210"/>
      <c r="C454" s="210"/>
      <c r="D454" s="210"/>
      <c r="E454" s="210"/>
      <c r="F454" s="210"/>
    </row>
    <row r="455" spans="1:6">
      <c r="A455" s="247"/>
      <c r="B455" s="210"/>
      <c r="C455" s="210"/>
      <c r="D455" s="210"/>
      <c r="E455" s="210"/>
      <c r="F455" s="210"/>
    </row>
    <row r="456" spans="1:6">
      <c r="A456" s="247"/>
      <c r="B456" s="210"/>
      <c r="C456" s="210"/>
      <c r="D456" s="210"/>
      <c r="E456" s="210"/>
      <c r="F456" s="210"/>
    </row>
    <row r="457" spans="1:6">
      <c r="A457" s="247"/>
      <c r="B457" s="210"/>
      <c r="C457" s="210"/>
      <c r="D457" s="210"/>
      <c r="E457" s="210"/>
      <c r="F457" s="210"/>
    </row>
    <row r="458" spans="1:6">
      <c r="A458" s="247"/>
      <c r="B458" s="210"/>
      <c r="C458" s="210"/>
      <c r="D458" s="210"/>
      <c r="E458" s="210"/>
      <c r="F458" s="210"/>
    </row>
    <row r="459" spans="1:6">
      <c r="A459" s="247"/>
      <c r="B459" s="210"/>
      <c r="C459" s="210"/>
      <c r="D459" s="210"/>
      <c r="E459" s="210"/>
      <c r="F459" s="210"/>
    </row>
    <row r="460" spans="1:6">
      <c r="A460" s="247"/>
      <c r="B460" s="210"/>
      <c r="C460" s="210"/>
      <c r="D460" s="210"/>
      <c r="E460" s="210"/>
      <c r="F460" s="210"/>
    </row>
    <row r="461" spans="1:6">
      <c r="A461" s="247"/>
      <c r="B461" s="210"/>
      <c r="C461" s="210"/>
      <c r="D461" s="210"/>
      <c r="E461" s="210"/>
      <c r="F461" s="210"/>
    </row>
    <row r="462" spans="1:6">
      <c r="A462" s="247"/>
      <c r="B462" s="210"/>
      <c r="C462" s="210"/>
      <c r="D462" s="210"/>
      <c r="E462" s="210"/>
      <c r="F462" s="210"/>
    </row>
    <row r="463" spans="1:6">
      <c r="A463" s="247"/>
      <c r="B463" s="210"/>
      <c r="C463" s="210"/>
      <c r="D463" s="210"/>
      <c r="E463" s="210"/>
      <c r="F463" s="210"/>
    </row>
    <row r="464" spans="1:6">
      <c r="A464" s="247"/>
      <c r="B464" s="210"/>
      <c r="C464" s="210"/>
      <c r="D464" s="210"/>
      <c r="E464" s="210"/>
      <c r="F464" s="210"/>
    </row>
    <row r="465" spans="1:6">
      <c r="A465" s="247"/>
      <c r="B465" s="210"/>
      <c r="C465" s="210"/>
      <c r="D465" s="210"/>
      <c r="E465" s="210"/>
      <c r="F465" s="210"/>
    </row>
    <row r="466" spans="1:6">
      <c r="A466" s="247"/>
      <c r="B466" s="210"/>
      <c r="C466" s="210"/>
      <c r="D466" s="210"/>
      <c r="E466" s="210"/>
      <c r="F466" s="210"/>
    </row>
    <row r="467" spans="1:6">
      <c r="A467" s="247"/>
      <c r="B467" s="210"/>
      <c r="C467" s="210"/>
      <c r="D467" s="210"/>
      <c r="E467" s="210"/>
      <c r="F467" s="210"/>
    </row>
    <row r="468" spans="1:6">
      <c r="A468" s="247"/>
      <c r="B468" s="210"/>
      <c r="C468" s="210"/>
      <c r="D468" s="210"/>
      <c r="E468" s="210"/>
      <c r="F468" s="210"/>
    </row>
    <row r="469" spans="1:6">
      <c r="A469" s="247"/>
      <c r="B469" s="210"/>
      <c r="C469" s="210"/>
      <c r="D469" s="210"/>
      <c r="E469" s="210"/>
      <c r="F469" s="210"/>
    </row>
    <row r="470" spans="1:6">
      <c r="A470" s="247"/>
      <c r="B470" s="210"/>
      <c r="C470" s="210"/>
      <c r="D470" s="210"/>
      <c r="E470" s="210"/>
      <c r="F470" s="210"/>
    </row>
    <row r="471" spans="1:6">
      <c r="A471" s="247"/>
      <c r="B471" s="210"/>
      <c r="C471" s="210"/>
      <c r="D471" s="210"/>
      <c r="E471" s="210"/>
      <c r="F471" s="210"/>
    </row>
    <row r="472" spans="1:6">
      <c r="A472" s="247"/>
      <c r="B472" s="210"/>
      <c r="C472" s="210"/>
      <c r="D472" s="210"/>
      <c r="E472" s="210"/>
      <c r="F472" s="210"/>
    </row>
    <row r="473" spans="1:6">
      <c r="A473" s="247"/>
      <c r="B473" s="210"/>
      <c r="C473" s="210"/>
      <c r="D473" s="210"/>
      <c r="E473" s="210"/>
      <c r="F473" s="210"/>
    </row>
    <row r="474" spans="1:6">
      <c r="A474" s="247"/>
      <c r="B474" s="210"/>
      <c r="C474" s="210"/>
      <c r="D474" s="210"/>
      <c r="E474" s="210"/>
      <c r="F474" s="210"/>
    </row>
    <row r="475" spans="1:6">
      <c r="A475" s="247"/>
      <c r="B475" s="210"/>
      <c r="C475" s="210"/>
      <c r="D475" s="210"/>
      <c r="E475" s="210"/>
      <c r="F475" s="210"/>
    </row>
    <row r="476" spans="1:6">
      <c r="A476" s="247"/>
      <c r="B476" s="210"/>
      <c r="C476" s="210"/>
      <c r="D476" s="210"/>
      <c r="E476" s="210"/>
      <c r="F476" s="210"/>
    </row>
    <row r="477" spans="1:6">
      <c r="A477" s="247"/>
      <c r="B477" s="210"/>
      <c r="C477" s="210"/>
      <c r="D477" s="210"/>
      <c r="E477" s="210"/>
      <c r="F477" s="210"/>
    </row>
    <row r="478" spans="1:6">
      <c r="A478" s="247"/>
      <c r="B478" s="210"/>
      <c r="C478" s="210"/>
      <c r="D478" s="210"/>
      <c r="E478" s="210"/>
      <c r="F478" s="210"/>
    </row>
    <row r="479" spans="1:6">
      <c r="A479" s="247"/>
      <c r="B479" s="210"/>
      <c r="C479" s="210"/>
      <c r="D479" s="210"/>
      <c r="E479" s="210"/>
      <c r="F479" s="210"/>
    </row>
    <row r="480" spans="1:6">
      <c r="A480" s="247"/>
      <c r="B480" s="210"/>
      <c r="C480" s="210"/>
      <c r="D480" s="210"/>
      <c r="E480" s="210"/>
      <c r="F480" s="210"/>
    </row>
    <row r="481" spans="1:6">
      <c r="A481" s="247"/>
      <c r="B481" s="210"/>
      <c r="C481" s="210"/>
      <c r="D481" s="210"/>
      <c r="E481" s="210"/>
      <c r="F481" s="210"/>
    </row>
    <row r="482" spans="1:6">
      <c r="A482" s="247"/>
      <c r="B482" s="210"/>
      <c r="C482" s="210"/>
      <c r="D482" s="210"/>
      <c r="E482" s="210"/>
      <c r="F482" s="210"/>
    </row>
    <row r="483" spans="1:6">
      <c r="A483" s="247"/>
      <c r="B483" s="210"/>
      <c r="C483" s="210"/>
      <c r="D483" s="210"/>
      <c r="E483" s="210"/>
      <c r="F483" s="210"/>
    </row>
    <row r="484" spans="1:6">
      <c r="A484" s="247"/>
      <c r="B484" s="210"/>
      <c r="C484" s="210"/>
      <c r="D484" s="210"/>
      <c r="E484" s="210"/>
      <c r="F484" s="210"/>
    </row>
    <row r="485" spans="1:6">
      <c r="A485" s="247"/>
      <c r="B485" s="210"/>
      <c r="C485" s="210"/>
      <c r="D485" s="210"/>
      <c r="E485" s="210"/>
      <c r="F485" s="210"/>
    </row>
    <row r="486" spans="1:6">
      <c r="A486" s="247"/>
      <c r="B486" s="210"/>
      <c r="C486" s="210"/>
      <c r="D486" s="210"/>
      <c r="E486" s="210"/>
      <c r="F486" s="210"/>
    </row>
    <row r="487" spans="1:6">
      <c r="A487" s="247"/>
      <c r="B487" s="210"/>
      <c r="C487" s="210"/>
      <c r="D487" s="210"/>
      <c r="E487" s="210"/>
      <c r="F487" s="210"/>
    </row>
    <row r="488" spans="1:6">
      <c r="A488" s="247"/>
      <c r="B488" s="210"/>
      <c r="C488" s="210"/>
      <c r="D488" s="210"/>
      <c r="E488" s="210"/>
      <c r="F488" s="210"/>
    </row>
    <row r="489" spans="1:6">
      <c r="A489" s="247"/>
      <c r="B489" s="210"/>
      <c r="C489" s="210"/>
      <c r="D489" s="210"/>
      <c r="E489" s="210"/>
      <c r="F489" s="210"/>
    </row>
    <row r="490" spans="1:6">
      <c r="A490" s="247"/>
      <c r="B490" s="210"/>
      <c r="C490" s="210"/>
      <c r="D490" s="210"/>
      <c r="E490" s="210"/>
      <c r="F490" s="210"/>
    </row>
    <row r="491" spans="1:6">
      <c r="A491" s="247"/>
      <c r="B491" s="210"/>
      <c r="C491" s="210"/>
      <c r="D491" s="210"/>
      <c r="E491" s="210"/>
      <c r="F491" s="210"/>
    </row>
    <row r="492" spans="1:6">
      <c r="A492" s="247"/>
      <c r="B492" s="210"/>
      <c r="C492" s="210"/>
      <c r="D492" s="210"/>
      <c r="E492" s="210"/>
      <c r="F492" s="210"/>
    </row>
    <row r="493" spans="1:6">
      <c r="A493" s="247"/>
      <c r="B493" s="210"/>
      <c r="C493" s="210"/>
      <c r="D493" s="210"/>
      <c r="E493" s="210"/>
      <c r="F493" s="210"/>
    </row>
    <row r="494" spans="1:6">
      <c r="A494" s="247"/>
      <c r="B494" s="210"/>
      <c r="C494" s="210"/>
      <c r="D494" s="210"/>
      <c r="E494" s="210"/>
      <c r="F494" s="210"/>
    </row>
    <row r="495" spans="1:6">
      <c r="A495" s="247"/>
      <c r="B495" s="210"/>
      <c r="C495" s="210"/>
      <c r="D495" s="210"/>
      <c r="E495" s="210"/>
      <c r="F495" s="210"/>
    </row>
    <row r="496" spans="1:6">
      <c r="A496" s="247"/>
      <c r="B496" s="210"/>
      <c r="C496" s="210"/>
      <c r="D496" s="210"/>
      <c r="E496" s="210"/>
      <c r="F496" s="210"/>
    </row>
    <row r="497" spans="1:6">
      <c r="A497" s="247"/>
      <c r="B497" s="210"/>
      <c r="C497" s="210"/>
      <c r="D497" s="210"/>
      <c r="E497" s="210"/>
      <c r="F497" s="210"/>
    </row>
    <row r="498" spans="1:6">
      <c r="A498" s="247"/>
      <c r="B498" s="210"/>
      <c r="C498" s="210"/>
      <c r="D498" s="210"/>
      <c r="E498" s="210"/>
      <c r="F498" s="210"/>
    </row>
    <row r="499" spans="1:6">
      <c r="A499" s="247"/>
      <c r="B499" s="210"/>
      <c r="C499" s="210"/>
      <c r="D499" s="210"/>
      <c r="E499" s="210"/>
      <c r="F499" s="210"/>
    </row>
    <row r="500" spans="1:6">
      <c r="A500" s="247"/>
      <c r="B500" s="210"/>
      <c r="C500" s="210"/>
      <c r="D500" s="210"/>
      <c r="E500" s="210"/>
      <c r="F500" s="210"/>
    </row>
    <row r="501" spans="1:6">
      <c r="A501" s="247"/>
      <c r="B501" s="210"/>
      <c r="C501" s="210"/>
      <c r="D501" s="210"/>
      <c r="E501" s="210"/>
      <c r="F501" s="210"/>
    </row>
    <row r="502" spans="1:6">
      <c r="A502" s="247"/>
      <c r="B502" s="210"/>
      <c r="C502" s="210"/>
      <c r="D502" s="210"/>
      <c r="E502" s="210"/>
      <c r="F502" s="210"/>
    </row>
    <row r="503" spans="1:6">
      <c r="A503" s="247"/>
      <c r="B503" s="210"/>
      <c r="C503" s="210"/>
      <c r="D503" s="210"/>
      <c r="E503" s="210"/>
      <c r="F503" s="210"/>
    </row>
    <row r="504" spans="1:6">
      <c r="A504" s="247"/>
      <c r="B504" s="210"/>
      <c r="C504" s="210"/>
      <c r="D504" s="210"/>
      <c r="E504" s="210"/>
      <c r="F504" s="210"/>
    </row>
    <row r="505" spans="1:6">
      <c r="A505" s="247"/>
      <c r="B505" s="210"/>
      <c r="C505" s="210"/>
      <c r="D505" s="210"/>
      <c r="E505" s="210"/>
      <c r="F505" s="210"/>
    </row>
    <row r="506" spans="1:6">
      <c r="A506" s="247"/>
      <c r="B506" s="210"/>
      <c r="C506" s="210"/>
      <c r="D506" s="210"/>
      <c r="E506" s="210"/>
      <c r="F506" s="210"/>
    </row>
    <row r="507" spans="1:6">
      <c r="A507" s="247"/>
      <c r="B507" s="210"/>
      <c r="C507" s="210"/>
      <c r="D507" s="210"/>
      <c r="E507" s="210"/>
      <c r="F507" s="210"/>
    </row>
    <row r="508" spans="1:6">
      <c r="A508" s="247"/>
      <c r="B508" s="210"/>
      <c r="C508" s="210"/>
      <c r="D508" s="210"/>
      <c r="E508" s="210"/>
      <c r="F508" s="210"/>
    </row>
    <row r="509" spans="1:6">
      <c r="A509" s="247"/>
      <c r="B509" s="210"/>
      <c r="C509" s="210"/>
      <c r="D509" s="210"/>
      <c r="E509" s="210"/>
      <c r="F509" s="210"/>
    </row>
    <row r="510" spans="1:6">
      <c r="A510" s="247"/>
      <c r="B510" s="210"/>
      <c r="C510" s="210"/>
      <c r="D510" s="210"/>
      <c r="E510" s="210"/>
      <c r="F510" s="210"/>
    </row>
    <row r="511" spans="1:6">
      <c r="A511" s="247"/>
      <c r="B511" s="210"/>
      <c r="C511" s="210"/>
      <c r="D511" s="210"/>
      <c r="E511" s="210"/>
      <c r="F511" s="210"/>
    </row>
    <row r="512" spans="1:6">
      <c r="A512" s="247"/>
      <c r="B512" s="210"/>
      <c r="C512" s="210"/>
      <c r="D512" s="210"/>
      <c r="E512" s="210"/>
      <c r="F512" s="210"/>
    </row>
    <row r="513" spans="1:6">
      <c r="A513" s="247"/>
      <c r="B513" s="210"/>
      <c r="C513" s="210"/>
      <c r="D513" s="210"/>
      <c r="E513" s="210"/>
      <c r="F513" s="210"/>
    </row>
    <row r="514" spans="1:6">
      <c r="A514" s="247"/>
      <c r="B514" s="210"/>
      <c r="C514" s="210"/>
      <c r="D514" s="210"/>
      <c r="E514" s="210"/>
      <c r="F514" s="210"/>
    </row>
    <row r="515" spans="1:6">
      <c r="A515" s="247"/>
      <c r="B515" s="210"/>
      <c r="C515" s="210"/>
      <c r="D515" s="210"/>
      <c r="E515" s="210"/>
      <c r="F515" s="210"/>
    </row>
    <row r="516" spans="1:6">
      <c r="A516" s="247"/>
      <c r="B516" s="210"/>
      <c r="C516" s="210"/>
      <c r="D516" s="210"/>
      <c r="E516" s="210"/>
      <c r="F516" s="210"/>
    </row>
    <row r="517" spans="1:6">
      <c r="A517" s="247"/>
      <c r="B517" s="210"/>
      <c r="C517" s="210"/>
      <c r="D517" s="210"/>
      <c r="E517" s="210"/>
      <c r="F517" s="210"/>
    </row>
    <row r="518" spans="1:6">
      <c r="A518" s="247"/>
      <c r="B518" s="210"/>
      <c r="C518" s="210"/>
      <c r="D518" s="210"/>
      <c r="E518" s="210"/>
      <c r="F518" s="210"/>
    </row>
    <row r="519" spans="1:6">
      <c r="A519" s="247"/>
      <c r="B519" s="210"/>
      <c r="C519" s="210"/>
      <c r="D519" s="210"/>
      <c r="E519" s="210"/>
      <c r="F519" s="210"/>
    </row>
    <row r="520" spans="1:6">
      <c r="A520" s="247"/>
      <c r="B520" s="210"/>
      <c r="C520" s="210"/>
      <c r="D520" s="210"/>
      <c r="E520" s="210"/>
      <c r="F520" s="210"/>
    </row>
    <row r="521" spans="1:6">
      <c r="A521" s="247"/>
      <c r="B521" s="210"/>
      <c r="C521" s="210"/>
      <c r="D521" s="210"/>
      <c r="E521" s="210"/>
      <c r="F521" s="210"/>
    </row>
    <row r="522" spans="1:6">
      <c r="A522" s="247"/>
      <c r="B522" s="210"/>
      <c r="C522" s="210"/>
      <c r="D522" s="210"/>
      <c r="E522" s="210"/>
      <c r="F522" s="210"/>
    </row>
    <row r="523" spans="1:6">
      <c r="A523" s="247"/>
      <c r="B523" s="210"/>
      <c r="C523" s="210"/>
      <c r="D523" s="210"/>
      <c r="E523" s="210"/>
      <c r="F523" s="210"/>
    </row>
    <row r="524" spans="1:6">
      <c r="A524" s="247"/>
      <c r="B524" s="210"/>
      <c r="C524" s="210"/>
      <c r="D524" s="210"/>
      <c r="E524" s="210"/>
      <c r="F524" s="210"/>
    </row>
    <row r="525" spans="1:6">
      <c r="A525" s="247"/>
      <c r="B525" s="210"/>
      <c r="C525" s="210"/>
      <c r="D525" s="210"/>
      <c r="E525" s="210"/>
      <c r="F525" s="210"/>
    </row>
    <row r="526" spans="1:6">
      <c r="A526" s="247"/>
      <c r="B526" s="210"/>
      <c r="C526" s="210"/>
      <c r="D526" s="210"/>
      <c r="E526" s="210"/>
      <c r="F526" s="210"/>
    </row>
    <row r="527" spans="1:6">
      <c r="A527" s="247"/>
      <c r="B527" s="210"/>
      <c r="C527" s="210"/>
      <c r="D527" s="210"/>
      <c r="E527" s="210"/>
      <c r="F527" s="210"/>
    </row>
    <row r="528" spans="1:6">
      <c r="A528" s="247"/>
      <c r="B528" s="210"/>
      <c r="C528" s="210"/>
      <c r="D528" s="210"/>
      <c r="E528" s="210"/>
      <c r="F528" s="210"/>
    </row>
    <row r="529" spans="1:6">
      <c r="A529" s="247"/>
      <c r="B529" s="210"/>
      <c r="C529" s="210"/>
      <c r="D529" s="210"/>
      <c r="E529" s="210"/>
      <c r="F529" s="210"/>
    </row>
    <row r="530" spans="1:6">
      <c r="A530" s="247"/>
      <c r="B530" s="210"/>
      <c r="C530" s="210"/>
      <c r="D530" s="210"/>
      <c r="E530" s="210"/>
      <c r="F530" s="210"/>
    </row>
    <row r="531" spans="1:6">
      <c r="A531" s="247"/>
      <c r="B531" s="210"/>
      <c r="C531" s="210"/>
      <c r="D531" s="210"/>
      <c r="E531" s="210"/>
      <c r="F531" s="210"/>
    </row>
    <row r="532" spans="1:6">
      <c r="A532" s="247"/>
      <c r="B532" s="210"/>
      <c r="C532" s="210"/>
      <c r="D532" s="210"/>
      <c r="E532" s="210"/>
      <c r="F532" s="210"/>
    </row>
    <row r="533" spans="1:6">
      <c r="A533" s="247"/>
      <c r="B533" s="210"/>
      <c r="C533" s="210"/>
      <c r="D533" s="210"/>
      <c r="E533" s="210"/>
      <c r="F533" s="210"/>
    </row>
    <row r="534" spans="1:6">
      <c r="A534" s="247"/>
      <c r="B534" s="210"/>
      <c r="C534" s="210"/>
      <c r="D534" s="210"/>
      <c r="E534" s="210"/>
      <c r="F534" s="210"/>
    </row>
    <row r="535" spans="1:6">
      <c r="A535" s="247"/>
      <c r="B535" s="210"/>
      <c r="C535" s="210"/>
      <c r="D535" s="210"/>
      <c r="E535" s="210"/>
      <c r="F535" s="210"/>
    </row>
    <row r="536" spans="1:6">
      <c r="A536" s="247"/>
      <c r="B536" s="210"/>
      <c r="C536" s="210"/>
      <c r="D536" s="210"/>
      <c r="E536" s="210"/>
      <c r="F536" s="210"/>
    </row>
    <row r="537" spans="1:6">
      <c r="A537" s="247"/>
      <c r="B537" s="210"/>
      <c r="C537" s="210"/>
      <c r="D537" s="210"/>
      <c r="E537" s="210"/>
      <c r="F537" s="210"/>
    </row>
    <row r="538" spans="1:6">
      <c r="A538" s="247"/>
      <c r="B538" s="210"/>
      <c r="C538" s="210"/>
      <c r="D538" s="210"/>
      <c r="E538" s="210"/>
      <c r="F538" s="210"/>
    </row>
    <row r="539" spans="1:6">
      <c r="A539" s="247"/>
      <c r="B539" s="210"/>
      <c r="C539" s="210"/>
      <c r="D539" s="210"/>
      <c r="E539" s="210"/>
      <c r="F539" s="210"/>
    </row>
    <row r="540" spans="1:6">
      <c r="A540" s="247"/>
      <c r="B540" s="210"/>
      <c r="C540" s="210"/>
      <c r="D540" s="210"/>
      <c r="E540" s="210"/>
      <c r="F540" s="210"/>
    </row>
    <row r="541" spans="1:6">
      <c r="A541" s="247"/>
      <c r="B541" s="210"/>
      <c r="C541" s="210"/>
      <c r="D541" s="210"/>
      <c r="E541" s="210"/>
      <c r="F541" s="210"/>
    </row>
    <row r="542" spans="1:6">
      <c r="A542" s="247"/>
      <c r="B542" s="210"/>
      <c r="C542" s="210"/>
      <c r="D542" s="210"/>
      <c r="E542" s="210"/>
      <c r="F542" s="210"/>
    </row>
    <row r="543" spans="1:6">
      <c r="A543" s="247"/>
      <c r="B543" s="210"/>
      <c r="C543" s="210"/>
      <c r="D543" s="210"/>
      <c r="E543" s="210"/>
      <c r="F543" s="210"/>
    </row>
    <row r="544" spans="1:6">
      <c r="A544" s="247"/>
      <c r="B544" s="210"/>
      <c r="C544" s="210"/>
      <c r="D544" s="210"/>
      <c r="E544" s="210"/>
      <c r="F544" s="210"/>
    </row>
    <row r="545" spans="1:6">
      <c r="A545" s="247"/>
      <c r="B545" s="210"/>
      <c r="C545" s="210"/>
      <c r="D545" s="210"/>
      <c r="E545" s="210"/>
      <c r="F545" s="210"/>
    </row>
    <row r="546" spans="1:6">
      <c r="A546" s="247"/>
      <c r="B546" s="210"/>
      <c r="C546" s="210"/>
      <c r="D546" s="210"/>
      <c r="E546" s="210"/>
      <c r="F546" s="210"/>
    </row>
    <row r="547" spans="1:6">
      <c r="A547" s="247"/>
      <c r="B547" s="210"/>
      <c r="C547" s="210"/>
      <c r="D547" s="210"/>
      <c r="E547" s="210"/>
      <c r="F547" s="210"/>
    </row>
    <row r="548" spans="1:6">
      <c r="A548" s="247"/>
      <c r="B548" s="210"/>
      <c r="C548" s="210"/>
      <c r="D548" s="210"/>
      <c r="E548" s="210"/>
      <c r="F548" s="210"/>
    </row>
    <row r="549" spans="1:6">
      <c r="A549" s="247"/>
      <c r="B549" s="210"/>
      <c r="C549" s="210"/>
      <c r="D549" s="210"/>
      <c r="E549" s="210"/>
      <c r="F549" s="210"/>
    </row>
    <row r="550" spans="1:6">
      <c r="A550" s="247"/>
      <c r="B550" s="210"/>
      <c r="C550" s="210"/>
      <c r="D550" s="210"/>
      <c r="E550" s="210"/>
      <c r="F550" s="210"/>
    </row>
    <row r="551" spans="1:6">
      <c r="A551" s="247"/>
      <c r="B551" s="210"/>
      <c r="C551" s="210"/>
      <c r="D551" s="210"/>
      <c r="E551" s="210"/>
      <c r="F551" s="210"/>
    </row>
    <row r="552" spans="1:6">
      <c r="A552" s="247"/>
      <c r="B552" s="210"/>
      <c r="C552" s="210"/>
      <c r="D552" s="210"/>
      <c r="E552" s="210"/>
      <c r="F552" s="210"/>
    </row>
    <row r="553" spans="1:6">
      <c r="A553" s="247"/>
      <c r="B553" s="210"/>
      <c r="C553" s="210"/>
      <c r="D553" s="210"/>
      <c r="E553" s="210"/>
      <c r="F553" s="210"/>
    </row>
    <row r="554" spans="1:6">
      <c r="A554" s="247"/>
      <c r="B554" s="210"/>
      <c r="C554" s="210"/>
      <c r="D554" s="210"/>
      <c r="E554" s="210"/>
      <c r="F554" s="210"/>
    </row>
    <row r="555" spans="1:6">
      <c r="A555" s="247"/>
      <c r="B555" s="210"/>
      <c r="C555" s="210"/>
      <c r="D555" s="210"/>
      <c r="E555" s="210"/>
      <c r="F555" s="210"/>
    </row>
    <row r="556" spans="1:6">
      <c r="A556" s="247"/>
      <c r="B556" s="210"/>
      <c r="C556" s="210"/>
      <c r="D556" s="210"/>
      <c r="E556" s="210"/>
      <c r="F556" s="210"/>
    </row>
    <row r="557" spans="1:6">
      <c r="A557" s="247"/>
      <c r="B557" s="210"/>
      <c r="C557" s="210"/>
      <c r="D557" s="210"/>
      <c r="E557" s="210"/>
      <c r="F557" s="210"/>
    </row>
    <row r="558" spans="1:6">
      <c r="A558" s="247"/>
      <c r="B558" s="210"/>
      <c r="C558" s="210"/>
      <c r="D558" s="210"/>
      <c r="E558" s="210"/>
      <c r="F558" s="210"/>
    </row>
    <row r="559" spans="1:6">
      <c r="A559" s="247"/>
      <c r="B559" s="210"/>
      <c r="C559" s="210"/>
      <c r="D559" s="210"/>
      <c r="E559" s="210"/>
      <c r="F559" s="210"/>
    </row>
    <row r="560" spans="1:6">
      <c r="A560" s="247"/>
      <c r="B560" s="210"/>
      <c r="C560" s="210"/>
      <c r="D560" s="210"/>
      <c r="E560" s="210"/>
      <c r="F560" s="210"/>
    </row>
    <row r="561" spans="1:6">
      <c r="A561" s="247"/>
      <c r="B561" s="210"/>
      <c r="C561" s="210"/>
      <c r="D561" s="210"/>
      <c r="E561" s="210"/>
      <c r="F561" s="210"/>
    </row>
    <row r="562" spans="1:6">
      <c r="A562" s="247"/>
      <c r="B562" s="210"/>
      <c r="C562" s="210"/>
      <c r="D562" s="210"/>
      <c r="E562" s="210"/>
      <c r="F562" s="210"/>
    </row>
    <row r="563" spans="1:6">
      <c r="A563" s="247"/>
      <c r="B563" s="210"/>
      <c r="C563" s="210"/>
      <c r="D563" s="210"/>
      <c r="E563" s="210"/>
      <c r="F563" s="210"/>
    </row>
    <row r="564" spans="1:6">
      <c r="A564" s="247"/>
      <c r="B564" s="210"/>
      <c r="C564" s="210"/>
      <c r="D564" s="210"/>
      <c r="E564" s="210"/>
      <c r="F564" s="210"/>
    </row>
    <row r="565" spans="1:6">
      <c r="A565" s="247"/>
      <c r="B565" s="210"/>
      <c r="C565" s="210"/>
      <c r="D565" s="210"/>
      <c r="E565" s="210"/>
      <c r="F565" s="210"/>
    </row>
    <row r="566" spans="1:6">
      <c r="A566" s="247"/>
      <c r="B566" s="210"/>
      <c r="C566" s="210"/>
      <c r="D566" s="210"/>
      <c r="E566" s="210"/>
      <c r="F566" s="210"/>
    </row>
    <row r="567" spans="1:6">
      <c r="A567" s="247"/>
      <c r="B567" s="210"/>
      <c r="C567" s="210"/>
      <c r="D567" s="210"/>
      <c r="E567" s="210"/>
      <c r="F567" s="210"/>
    </row>
    <row r="568" spans="1:6">
      <c r="A568" s="247"/>
      <c r="B568" s="210"/>
      <c r="C568" s="210"/>
      <c r="D568" s="210"/>
      <c r="E568" s="210"/>
      <c r="F568" s="210"/>
    </row>
    <row r="569" spans="1:6">
      <c r="A569" s="247"/>
      <c r="B569" s="210"/>
      <c r="C569" s="210"/>
      <c r="D569" s="210"/>
      <c r="E569" s="210"/>
      <c r="F569" s="210"/>
    </row>
    <row r="570" spans="1:6">
      <c r="A570" s="247"/>
      <c r="B570" s="210"/>
      <c r="C570" s="210"/>
      <c r="D570" s="210"/>
      <c r="E570" s="210"/>
      <c r="F570" s="210"/>
    </row>
    <row r="571" spans="1:6">
      <c r="A571" s="247"/>
      <c r="B571" s="210"/>
      <c r="C571" s="210"/>
      <c r="D571" s="210"/>
      <c r="E571" s="210"/>
      <c r="F571" s="210"/>
    </row>
    <row r="572" spans="1:6">
      <c r="A572" s="247"/>
      <c r="B572" s="210"/>
      <c r="C572" s="210"/>
      <c r="D572" s="210"/>
      <c r="E572" s="210"/>
      <c r="F572" s="210"/>
    </row>
    <row r="573" spans="1:6">
      <c r="A573" s="247"/>
      <c r="B573" s="210"/>
      <c r="C573" s="210"/>
      <c r="D573" s="210"/>
      <c r="E573" s="210"/>
      <c r="F573" s="210"/>
    </row>
    <row r="574" spans="1:6">
      <c r="A574" s="247"/>
      <c r="B574" s="210"/>
      <c r="C574" s="210"/>
      <c r="D574" s="210"/>
      <c r="E574" s="210"/>
      <c r="F574" s="210"/>
    </row>
    <row r="575" spans="1:6">
      <c r="A575" s="247"/>
      <c r="B575" s="210"/>
      <c r="C575" s="210"/>
      <c r="D575" s="210"/>
      <c r="E575" s="210"/>
      <c r="F575" s="210"/>
    </row>
    <row r="576" spans="1:6">
      <c r="A576" s="247"/>
      <c r="B576" s="210"/>
      <c r="C576" s="210"/>
      <c r="D576" s="210"/>
      <c r="E576" s="210"/>
      <c r="F576" s="210"/>
    </row>
    <row r="577" spans="1:6">
      <c r="A577" s="247"/>
      <c r="B577" s="210"/>
      <c r="C577" s="210"/>
      <c r="D577" s="210"/>
      <c r="E577" s="210"/>
      <c r="F577" s="210"/>
    </row>
    <row r="578" spans="1:6">
      <c r="A578" s="247"/>
      <c r="B578" s="210"/>
      <c r="C578" s="210"/>
      <c r="D578" s="210"/>
      <c r="E578" s="210"/>
      <c r="F578" s="210"/>
    </row>
    <row r="579" spans="1:6">
      <c r="A579" s="247"/>
      <c r="B579" s="210"/>
      <c r="C579" s="210"/>
      <c r="D579" s="210"/>
      <c r="E579" s="210"/>
      <c r="F579" s="210"/>
    </row>
    <row r="580" spans="1:6">
      <c r="A580" s="247"/>
      <c r="B580" s="210"/>
      <c r="C580" s="210"/>
      <c r="D580" s="210"/>
      <c r="E580" s="210"/>
      <c r="F580" s="210"/>
    </row>
    <row r="581" spans="1:6">
      <c r="A581" s="247"/>
      <c r="B581" s="210"/>
      <c r="C581" s="210"/>
      <c r="D581" s="210"/>
      <c r="E581" s="210"/>
      <c r="F581" s="210"/>
    </row>
    <row r="582" spans="1:6">
      <c r="A582" s="247"/>
      <c r="B582" s="210"/>
      <c r="C582" s="210"/>
      <c r="D582" s="210"/>
      <c r="E582" s="210"/>
      <c r="F582" s="210"/>
    </row>
    <row r="583" spans="1:6">
      <c r="A583" s="247"/>
      <c r="B583" s="210"/>
      <c r="C583" s="210"/>
      <c r="D583" s="210"/>
      <c r="E583" s="210"/>
      <c r="F583" s="210"/>
    </row>
    <row r="584" spans="1:6">
      <c r="A584" s="247"/>
      <c r="B584" s="210"/>
      <c r="C584" s="210"/>
      <c r="D584" s="210"/>
      <c r="E584" s="210"/>
      <c r="F584" s="210"/>
    </row>
    <row r="585" spans="1:6">
      <c r="A585" s="247"/>
      <c r="B585" s="210"/>
      <c r="C585" s="210"/>
      <c r="D585" s="210"/>
      <c r="E585" s="210"/>
      <c r="F585" s="210"/>
    </row>
    <row r="586" spans="1:6">
      <c r="A586" s="247"/>
      <c r="B586" s="210"/>
      <c r="C586" s="210"/>
      <c r="D586" s="210"/>
      <c r="E586" s="210"/>
      <c r="F586" s="210"/>
    </row>
    <row r="587" spans="1:6">
      <c r="A587" s="247"/>
      <c r="B587" s="210"/>
      <c r="C587" s="210"/>
      <c r="D587" s="210"/>
      <c r="E587" s="210"/>
      <c r="F587" s="210"/>
    </row>
    <row r="588" spans="1:6">
      <c r="A588" s="247"/>
      <c r="B588" s="210"/>
      <c r="C588" s="210"/>
      <c r="D588" s="210"/>
      <c r="E588" s="210"/>
      <c r="F588" s="210"/>
    </row>
    <row r="589" spans="1:6">
      <c r="A589" s="247"/>
      <c r="B589" s="210"/>
      <c r="C589" s="210"/>
      <c r="D589" s="210"/>
      <c r="E589" s="210"/>
      <c r="F589" s="210"/>
    </row>
    <row r="590" spans="1:6">
      <c r="A590" s="247"/>
      <c r="B590" s="210"/>
      <c r="C590" s="210"/>
      <c r="D590" s="210"/>
      <c r="E590" s="210"/>
      <c r="F590" s="210"/>
    </row>
    <row r="591" spans="1:6">
      <c r="A591" s="247"/>
      <c r="B591" s="210"/>
      <c r="C591" s="210"/>
      <c r="D591" s="210"/>
      <c r="E591" s="210"/>
      <c r="F591" s="210"/>
    </row>
    <row r="592" spans="1:6">
      <c r="A592" s="247"/>
      <c r="B592" s="210"/>
      <c r="C592" s="210"/>
      <c r="D592" s="210"/>
      <c r="E592" s="210"/>
      <c r="F592" s="210"/>
    </row>
    <row r="593" spans="1:6">
      <c r="A593" s="247"/>
      <c r="B593" s="210"/>
      <c r="C593" s="210"/>
      <c r="D593" s="210"/>
      <c r="E593" s="210"/>
      <c r="F593" s="210"/>
    </row>
    <row r="594" spans="1:6">
      <c r="A594" s="247"/>
      <c r="B594" s="210"/>
      <c r="C594" s="210"/>
      <c r="D594" s="210"/>
      <c r="E594" s="210"/>
      <c r="F594" s="210"/>
    </row>
    <row r="595" spans="1:6">
      <c r="A595" s="247"/>
      <c r="B595" s="210"/>
      <c r="C595" s="210"/>
      <c r="D595" s="210"/>
      <c r="E595" s="210"/>
      <c r="F595" s="210"/>
    </row>
    <row r="596" spans="1:6">
      <c r="A596" s="247"/>
      <c r="B596" s="210"/>
      <c r="C596" s="210"/>
      <c r="D596" s="210"/>
      <c r="E596" s="210"/>
      <c r="F596" s="210"/>
    </row>
    <row r="597" spans="1:6">
      <c r="A597" s="247"/>
      <c r="B597" s="210"/>
      <c r="C597" s="210"/>
      <c r="D597" s="210"/>
      <c r="E597" s="210"/>
      <c r="F597" s="210"/>
    </row>
    <row r="598" spans="1:6">
      <c r="A598" s="247"/>
      <c r="B598" s="210"/>
      <c r="C598" s="210"/>
      <c r="D598" s="210"/>
      <c r="E598" s="210"/>
      <c r="F598" s="210"/>
    </row>
    <row r="599" spans="1:6">
      <c r="A599" s="247"/>
      <c r="B599" s="210"/>
      <c r="C599" s="210"/>
      <c r="D599" s="210"/>
      <c r="E599" s="210"/>
      <c r="F599" s="210"/>
    </row>
    <row r="600" spans="1:6">
      <c r="A600" s="247"/>
      <c r="B600" s="210"/>
      <c r="C600" s="210"/>
      <c r="D600" s="210"/>
      <c r="E600" s="210"/>
      <c r="F600" s="210"/>
    </row>
    <row r="601" spans="1:6">
      <c r="A601" s="247"/>
      <c r="B601" s="210"/>
      <c r="C601" s="210"/>
      <c r="D601" s="210"/>
      <c r="E601" s="210"/>
      <c r="F601" s="210"/>
    </row>
    <row r="602" spans="1:6">
      <c r="A602" s="247"/>
      <c r="B602" s="210"/>
      <c r="C602" s="210"/>
      <c r="D602" s="210"/>
      <c r="E602" s="210"/>
      <c r="F602" s="210"/>
    </row>
    <row r="603" spans="1:6">
      <c r="A603" s="247"/>
      <c r="B603" s="210"/>
      <c r="C603" s="210"/>
      <c r="D603" s="210"/>
      <c r="E603" s="210"/>
      <c r="F603" s="210"/>
    </row>
    <row r="604" spans="1:6">
      <c r="A604" s="247"/>
      <c r="B604" s="210"/>
      <c r="C604" s="210"/>
      <c r="D604" s="210"/>
      <c r="E604" s="210"/>
      <c r="F604" s="210"/>
    </row>
    <row r="605" spans="1:6">
      <c r="A605" s="247"/>
      <c r="B605" s="210"/>
      <c r="C605" s="210"/>
      <c r="D605" s="210"/>
      <c r="E605" s="210"/>
      <c r="F605" s="210"/>
    </row>
    <row r="606" spans="1:6">
      <c r="A606" s="247"/>
      <c r="B606" s="210"/>
      <c r="C606" s="210"/>
      <c r="D606" s="210"/>
      <c r="E606" s="210"/>
      <c r="F606" s="210"/>
    </row>
    <row r="607" spans="1:6">
      <c r="A607" s="247"/>
      <c r="B607" s="210"/>
      <c r="C607" s="210"/>
      <c r="D607" s="210"/>
      <c r="E607" s="210"/>
      <c r="F607" s="210"/>
    </row>
    <row r="608" spans="1:6">
      <c r="A608" s="247"/>
      <c r="B608" s="210"/>
      <c r="C608" s="210"/>
      <c r="D608" s="210"/>
      <c r="E608" s="210"/>
      <c r="F608" s="210"/>
    </row>
    <row r="609" spans="1:6">
      <c r="A609" s="247"/>
      <c r="B609" s="210"/>
      <c r="C609" s="210"/>
      <c r="D609" s="210"/>
      <c r="E609" s="210"/>
      <c r="F609" s="210"/>
    </row>
    <row r="610" spans="1:6">
      <c r="A610" s="247"/>
      <c r="B610" s="210"/>
      <c r="C610" s="210"/>
      <c r="D610" s="210"/>
      <c r="E610" s="210"/>
      <c r="F610" s="210"/>
    </row>
    <row r="611" spans="1:6">
      <c r="A611" s="247"/>
      <c r="B611" s="210"/>
      <c r="C611" s="210"/>
      <c r="D611" s="210"/>
      <c r="E611" s="210"/>
      <c r="F611" s="210"/>
    </row>
    <row r="612" spans="1:6">
      <c r="A612" s="247"/>
      <c r="B612" s="210"/>
      <c r="C612" s="210"/>
      <c r="D612" s="210"/>
      <c r="E612" s="210"/>
      <c r="F612" s="210"/>
    </row>
    <row r="613" spans="1:6">
      <c r="A613" s="247"/>
      <c r="B613" s="210"/>
      <c r="C613" s="210"/>
      <c r="D613" s="210"/>
      <c r="E613" s="210"/>
      <c r="F613" s="210"/>
    </row>
    <row r="614" spans="1:6">
      <c r="A614" s="247"/>
      <c r="B614" s="210"/>
      <c r="C614" s="210"/>
      <c r="D614" s="210"/>
      <c r="E614" s="210"/>
      <c r="F614" s="210"/>
    </row>
    <row r="615" spans="1:6">
      <c r="A615" s="247"/>
      <c r="B615" s="210"/>
      <c r="C615" s="210"/>
      <c r="D615" s="210"/>
      <c r="E615" s="210"/>
      <c r="F615" s="210"/>
    </row>
    <row r="616" spans="1:6">
      <c r="A616" s="247"/>
      <c r="B616" s="210"/>
      <c r="C616" s="210"/>
      <c r="D616" s="210"/>
      <c r="E616" s="210"/>
      <c r="F616" s="210"/>
    </row>
    <row r="617" spans="1:6">
      <c r="A617" s="247"/>
      <c r="B617" s="210"/>
      <c r="C617" s="210"/>
      <c r="D617" s="210"/>
      <c r="E617" s="210"/>
      <c r="F617" s="210"/>
    </row>
    <row r="618" spans="1:6">
      <c r="A618" s="247"/>
      <c r="B618" s="210"/>
      <c r="C618" s="210"/>
      <c r="D618" s="210"/>
      <c r="E618" s="210"/>
      <c r="F618" s="210"/>
    </row>
    <row r="619" spans="1:6">
      <c r="A619" s="247"/>
      <c r="B619" s="210"/>
      <c r="C619" s="210"/>
      <c r="D619" s="210"/>
      <c r="E619" s="210"/>
      <c r="F619" s="210"/>
    </row>
    <row r="620" spans="1:6">
      <c r="A620" s="247"/>
      <c r="B620" s="210"/>
      <c r="C620" s="210"/>
      <c r="D620" s="210"/>
      <c r="E620" s="210"/>
      <c r="F620" s="210"/>
    </row>
    <row r="621" spans="1:6">
      <c r="A621" s="247"/>
      <c r="B621" s="210"/>
      <c r="C621" s="210"/>
      <c r="D621" s="210"/>
      <c r="E621" s="210"/>
      <c r="F621" s="210"/>
    </row>
    <row r="622" spans="1:6">
      <c r="A622" s="247"/>
      <c r="B622" s="210"/>
      <c r="C622" s="210"/>
      <c r="D622" s="210"/>
      <c r="E622" s="210"/>
      <c r="F622" s="210"/>
    </row>
    <row r="623" spans="1:6">
      <c r="A623" s="247"/>
      <c r="B623" s="210"/>
      <c r="C623" s="210"/>
      <c r="D623" s="210"/>
      <c r="E623" s="210"/>
      <c r="F623" s="210"/>
    </row>
    <row r="624" spans="1:6">
      <c r="A624" s="247"/>
      <c r="B624" s="210"/>
      <c r="C624" s="210"/>
      <c r="D624" s="210"/>
      <c r="E624" s="210"/>
      <c r="F624" s="210"/>
    </row>
    <row r="625" spans="1:6">
      <c r="A625" s="247"/>
      <c r="B625" s="210"/>
      <c r="C625" s="210"/>
      <c r="D625" s="210"/>
      <c r="E625" s="210"/>
      <c r="F625" s="210"/>
    </row>
    <row r="626" spans="1:6">
      <c r="A626" s="247"/>
      <c r="B626" s="210"/>
      <c r="C626" s="210"/>
      <c r="D626" s="210"/>
      <c r="E626" s="210"/>
      <c r="F626" s="210"/>
    </row>
    <row r="627" spans="1:6">
      <c r="A627" s="247"/>
      <c r="B627" s="210"/>
      <c r="C627" s="210"/>
      <c r="D627" s="210"/>
      <c r="E627" s="210"/>
      <c r="F627" s="210"/>
    </row>
    <row r="628" spans="1:6">
      <c r="A628" s="247"/>
      <c r="B628" s="210"/>
      <c r="C628" s="210"/>
      <c r="D628" s="210"/>
      <c r="E628" s="210"/>
      <c r="F628" s="210"/>
    </row>
    <row r="629" spans="1:6">
      <c r="A629" s="247"/>
      <c r="B629" s="210"/>
      <c r="C629" s="210"/>
      <c r="D629" s="210"/>
      <c r="E629" s="210"/>
      <c r="F629" s="210"/>
    </row>
    <row r="630" spans="1:6">
      <c r="A630" s="247"/>
      <c r="B630" s="210"/>
      <c r="C630" s="210"/>
      <c r="D630" s="210"/>
      <c r="E630" s="210"/>
      <c r="F630" s="210"/>
    </row>
    <row r="631" spans="1:6">
      <c r="A631" s="247"/>
      <c r="B631" s="210"/>
      <c r="C631" s="210"/>
      <c r="D631" s="210"/>
      <c r="E631" s="210"/>
      <c r="F631" s="210"/>
    </row>
    <row r="632" spans="1:6">
      <c r="A632" s="247"/>
      <c r="B632" s="210"/>
      <c r="C632" s="210"/>
      <c r="D632" s="210"/>
      <c r="E632" s="210"/>
      <c r="F632" s="210"/>
    </row>
    <row r="633" spans="1:6">
      <c r="A633" s="247"/>
      <c r="B633" s="210"/>
      <c r="C633" s="210"/>
      <c r="D633" s="210"/>
      <c r="E633" s="210"/>
      <c r="F633" s="210"/>
    </row>
    <row r="634" spans="1:6">
      <c r="A634" s="247"/>
      <c r="B634" s="210"/>
      <c r="C634" s="210"/>
      <c r="D634" s="210"/>
      <c r="E634" s="210"/>
      <c r="F634" s="210"/>
    </row>
    <row r="635" spans="1:6">
      <c r="A635" s="247"/>
      <c r="B635" s="210"/>
      <c r="C635" s="210"/>
      <c r="D635" s="210"/>
      <c r="E635" s="210"/>
      <c r="F635" s="210"/>
    </row>
    <row r="636" spans="1:6">
      <c r="A636" s="247"/>
      <c r="B636" s="210"/>
      <c r="C636" s="210"/>
      <c r="D636" s="210"/>
      <c r="E636" s="210"/>
      <c r="F636" s="210"/>
    </row>
    <row r="637" spans="1:6">
      <c r="A637" s="247"/>
      <c r="B637" s="210"/>
      <c r="C637" s="210"/>
      <c r="D637" s="210"/>
      <c r="E637" s="210"/>
      <c r="F637" s="210"/>
    </row>
    <row r="638" spans="1:6">
      <c r="A638" s="247"/>
      <c r="B638" s="210"/>
      <c r="C638" s="210"/>
      <c r="D638" s="210"/>
      <c r="E638" s="210"/>
      <c r="F638" s="210"/>
    </row>
    <row r="639" spans="1:6">
      <c r="A639" s="247"/>
      <c r="B639" s="210"/>
      <c r="C639" s="210"/>
      <c r="D639" s="210"/>
      <c r="E639" s="210"/>
      <c r="F639" s="210"/>
    </row>
    <row r="640" spans="1:6">
      <c r="A640" s="247"/>
      <c r="B640" s="210"/>
      <c r="C640" s="210"/>
      <c r="D640" s="210"/>
      <c r="E640" s="210"/>
      <c r="F640" s="210"/>
    </row>
    <row r="641" spans="1:6">
      <c r="A641" s="247"/>
      <c r="B641" s="210"/>
      <c r="C641" s="210"/>
      <c r="D641" s="210"/>
      <c r="E641" s="210"/>
      <c r="F641" s="210"/>
    </row>
    <row r="642" spans="1:6">
      <c r="A642" s="247"/>
      <c r="B642" s="210"/>
      <c r="C642" s="210"/>
      <c r="D642" s="210"/>
      <c r="E642" s="210"/>
      <c r="F642" s="210"/>
    </row>
    <row r="643" spans="1:6">
      <c r="A643" s="247"/>
      <c r="B643" s="210"/>
      <c r="C643" s="210"/>
      <c r="D643" s="210"/>
      <c r="E643" s="210"/>
      <c r="F643" s="210"/>
    </row>
    <row r="644" spans="1:6">
      <c r="A644" s="247"/>
      <c r="B644" s="210"/>
      <c r="C644" s="210"/>
      <c r="D644" s="210"/>
      <c r="E644" s="210"/>
      <c r="F644" s="210"/>
    </row>
    <row r="645" spans="1:6">
      <c r="A645" s="247"/>
      <c r="B645" s="210"/>
      <c r="C645" s="210"/>
      <c r="D645" s="210"/>
      <c r="E645" s="210"/>
      <c r="F645" s="210"/>
    </row>
    <row r="646" spans="1:6">
      <c r="A646" s="247"/>
      <c r="B646" s="210"/>
      <c r="C646" s="210"/>
      <c r="D646" s="210"/>
      <c r="E646" s="210"/>
      <c r="F646" s="210"/>
    </row>
    <row r="647" spans="1:6">
      <c r="A647" s="247"/>
      <c r="B647" s="210"/>
      <c r="C647" s="210"/>
      <c r="D647" s="210"/>
      <c r="E647" s="210"/>
      <c r="F647" s="210"/>
    </row>
    <row r="648" spans="1:6">
      <c r="A648" s="247"/>
      <c r="B648" s="210"/>
      <c r="C648" s="210"/>
      <c r="D648" s="210"/>
      <c r="E648" s="210"/>
      <c r="F648" s="210"/>
    </row>
    <row r="649" spans="1:6">
      <c r="A649" s="247"/>
      <c r="B649" s="210"/>
      <c r="C649" s="210"/>
      <c r="D649" s="210"/>
      <c r="E649" s="210"/>
      <c r="F649" s="210"/>
    </row>
    <row r="650" spans="1:6">
      <c r="A650" s="247"/>
      <c r="B650" s="210"/>
      <c r="C650" s="210"/>
      <c r="D650" s="210"/>
      <c r="E650" s="210"/>
      <c r="F650" s="210"/>
    </row>
    <row r="651" spans="1:6">
      <c r="A651" s="247"/>
      <c r="B651" s="210"/>
      <c r="C651" s="210"/>
      <c r="D651" s="210"/>
      <c r="E651" s="210"/>
      <c r="F651" s="210"/>
    </row>
    <row r="652" spans="1:6">
      <c r="A652" s="247"/>
      <c r="B652" s="210"/>
      <c r="C652" s="210"/>
      <c r="D652" s="210"/>
      <c r="E652" s="210"/>
      <c r="F652" s="210"/>
    </row>
    <row r="653" spans="1:6">
      <c r="A653" s="247"/>
      <c r="B653" s="210"/>
      <c r="C653" s="210"/>
      <c r="D653" s="210"/>
      <c r="E653" s="210"/>
      <c r="F653" s="210"/>
    </row>
    <row r="654" spans="1:6">
      <c r="A654" s="247"/>
      <c r="B654" s="210"/>
      <c r="C654" s="210"/>
      <c r="D654" s="210"/>
      <c r="E654" s="210"/>
      <c r="F654" s="210"/>
    </row>
    <row r="655" spans="1:6">
      <c r="A655" s="247"/>
      <c r="B655" s="210"/>
      <c r="C655" s="210"/>
      <c r="D655" s="210"/>
      <c r="E655" s="210"/>
      <c r="F655" s="210"/>
    </row>
    <row r="656" spans="1:6">
      <c r="A656" s="247"/>
      <c r="B656" s="210"/>
      <c r="C656" s="210"/>
      <c r="D656" s="210"/>
      <c r="E656" s="210"/>
      <c r="F656" s="210"/>
    </row>
    <row r="657" spans="1:6">
      <c r="A657" s="247"/>
      <c r="B657" s="210"/>
      <c r="C657" s="210"/>
      <c r="D657" s="210"/>
      <c r="E657" s="210"/>
      <c r="F657" s="210"/>
    </row>
    <row r="658" spans="1:6">
      <c r="A658" s="247"/>
      <c r="B658" s="210"/>
      <c r="C658" s="210"/>
      <c r="D658" s="210"/>
      <c r="E658" s="210"/>
      <c r="F658" s="210"/>
    </row>
    <row r="659" spans="1:6">
      <c r="A659" s="247"/>
      <c r="B659" s="210"/>
      <c r="C659" s="210"/>
      <c r="D659" s="210"/>
      <c r="E659" s="210"/>
      <c r="F659" s="210"/>
    </row>
    <row r="660" spans="1:6">
      <c r="A660" s="247"/>
      <c r="B660" s="210"/>
      <c r="C660" s="210"/>
      <c r="D660" s="210"/>
      <c r="E660" s="210"/>
      <c r="F660" s="210"/>
    </row>
    <row r="661" spans="1:6">
      <c r="A661" s="247"/>
      <c r="B661" s="210"/>
      <c r="C661" s="210"/>
      <c r="D661" s="210"/>
      <c r="E661" s="210"/>
      <c r="F661" s="210"/>
    </row>
    <row r="662" spans="1:6">
      <c r="A662" s="247"/>
      <c r="B662" s="210"/>
      <c r="C662" s="210"/>
      <c r="D662" s="210"/>
      <c r="E662" s="210"/>
      <c r="F662" s="210"/>
    </row>
    <row r="663" spans="1:6">
      <c r="A663" s="247"/>
      <c r="B663" s="210"/>
      <c r="C663" s="210"/>
      <c r="D663" s="210"/>
      <c r="E663" s="210"/>
      <c r="F663" s="210"/>
    </row>
    <row r="664" spans="1:6">
      <c r="A664" s="247"/>
      <c r="B664" s="210"/>
      <c r="C664" s="210"/>
      <c r="D664" s="210"/>
      <c r="E664" s="210"/>
      <c r="F664" s="210"/>
    </row>
    <row r="665" spans="1:6">
      <c r="A665" s="247"/>
      <c r="B665" s="210"/>
      <c r="C665" s="210"/>
      <c r="D665" s="210"/>
      <c r="E665" s="210"/>
      <c r="F665" s="210"/>
    </row>
    <row r="666" spans="1:6">
      <c r="A666" s="247"/>
      <c r="B666" s="210"/>
      <c r="C666" s="210"/>
      <c r="D666" s="210"/>
      <c r="E666" s="210"/>
      <c r="F666" s="210"/>
    </row>
    <row r="667" spans="1:6">
      <c r="A667" s="247"/>
      <c r="B667" s="210"/>
      <c r="C667" s="210"/>
      <c r="D667" s="210"/>
      <c r="E667" s="210"/>
      <c r="F667" s="210"/>
    </row>
    <row r="668" spans="1:6">
      <c r="A668" s="247"/>
      <c r="B668" s="210"/>
      <c r="C668" s="210"/>
      <c r="D668" s="210"/>
      <c r="E668" s="210"/>
      <c r="F668" s="210"/>
    </row>
    <row r="669" spans="1:6">
      <c r="A669" s="247"/>
      <c r="B669" s="210"/>
      <c r="C669" s="210"/>
      <c r="D669" s="210"/>
      <c r="E669" s="210"/>
      <c r="F669" s="210"/>
    </row>
    <row r="670" spans="1:6">
      <c r="A670" s="247"/>
      <c r="B670" s="210"/>
      <c r="C670" s="210"/>
      <c r="D670" s="210"/>
      <c r="E670" s="210"/>
      <c r="F670" s="210"/>
    </row>
    <row r="671" spans="1:6">
      <c r="A671" s="247"/>
      <c r="B671" s="210"/>
      <c r="C671" s="210"/>
      <c r="D671" s="210"/>
      <c r="E671" s="210"/>
      <c r="F671" s="210"/>
    </row>
    <row r="672" spans="1:6">
      <c r="A672" s="247"/>
      <c r="B672" s="210"/>
      <c r="C672" s="210"/>
      <c r="D672" s="210"/>
      <c r="E672" s="210"/>
      <c r="F672" s="210"/>
    </row>
    <row r="673" spans="1:6">
      <c r="A673" s="247"/>
      <c r="B673" s="210"/>
      <c r="C673" s="210"/>
      <c r="D673" s="210"/>
      <c r="E673" s="210"/>
      <c r="F673" s="210"/>
    </row>
    <row r="674" spans="1:6">
      <c r="A674" s="247"/>
      <c r="B674" s="210"/>
      <c r="C674" s="210"/>
      <c r="D674" s="210"/>
      <c r="E674" s="210"/>
      <c r="F674" s="210"/>
    </row>
    <row r="675" spans="1:6">
      <c r="A675" s="247"/>
      <c r="B675" s="210"/>
      <c r="C675" s="210"/>
      <c r="D675" s="210"/>
      <c r="E675" s="210"/>
      <c r="F675" s="210"/>
    </row>
    <row r="676" spans="1:6">
      <c r="A676" s="247"/>
      <c r="B676" s="210"/>
      <c r="C676" s="210"/>
      <c r="D676" s="210"/>
      <c r="E676" s="210"/>
      <c r="F676" s="210"/>
    </row>
    <row r="677" spans="1:6">
      <c r="A677" s="247"/>
      <c r="B677" s="210"/>
      <c r="C677" s="210"/>
      <c r="D677" s="210"/>
      <c r="E677" s="210"/>
      <c r="F677" s="210"/>
    </row>
    <row r="678" spans="1:6">
      <c r="A678" s="247"/>
      <c r="B678" s="210"/>
      <c r="C678" s="210"/>
      <c r="D678" s="210"/>
      <c r="E678" s="210"/>
      <c r="F678" s="210"/>
    </row>
    <row r="679" spans="1:6">
      <c r="A679" s="247"/>
      <c r="B679" s="210"/>
      <c r="C679" s="210"/>
      <c r="D679" s="210"/>
      <c r="E679" s="210"/>
      <c r="F679" s="210"/>
    </row>
    <row r="680" spans="1:6">
      <c r="A680" s="247"/>
      <c r="B680" s="210"/>
      <c r="C680" s="210"/>
      <c r="D680" s="210"/>
      <c r="E680" s="210"/>
      <c r="F680" s="210"/>
    </row>
    <row r="681" spans="1:6">
      <c r="A681" s="247"/>
      <c r="B681" s="210"/>
      <c r="C681" s="210"/>
      <c r="D681" s="210"/>
      <c r="E681" s="210"/>
      <c r="F681" s="210"/>
    </row>
    <row r="682" spans="1:6">
      <c r="A682" s="247"/>
      <c r="B682" s="210"/>
      <c r="C682" s="210"/>
      <c r="D682" s="210"/>
      <c r="E682" s="210"/>
      <c r="F682" s="210"/>
    </row>
    <row r="683" spans="1:6">
      <c r="A683" s="247"/>
      <c r="B683" s="210"/>
      <c r="C683" s="210"/>
      <c r="D683" s="210"/>
      <c r="E683" s="210"/>
      <c r="F683" s="210"/>
    </row>
    <row r="684" spans="1:6">
      <c r="A684" s="247"/>
      <c r="B684" s="210"/>
      <c r="C684" s="210"/>
      <c r="D684" s="210"/>
      <c r="E684" s="210"/>
      <c r="F684" s="210"/>
    </row>
    <row r="685" spans="1:6">
      <c r="A685" s="247"/>
      <c r="B685" s="210"/>
      <c r="C685" s="210"/>
      <c r="D685" s="210"/>
      <c r="E685" s="210"/>
      <c r="F685" s="210"/>
    </row>
    <row r="686" spans="1:6">
      <c r="A686" s="247"/>
      <c r="B686" s="210"/>
      <c r="C686" s="210"/>
      <c r="D686" s="210"/>
      <c r="E686" s="210"/>
      <c r="F686" s="210"/>
    </row>
    <row r="687" spans="1:6">
      <c r="A687" s="247"/>
      <c r="B687" s="210"/>
      <c r="C687" s="210"/>
      <c r="D687" s="210"/>
      <c r="E687" s="210"/>
      <c r="F687" s="210"/>
    </row>
    <row r="688" spans="1:6">
      <c r="A688" s="247"/>
      <c r="B688" s="210"/>
      <c r="C688" s="210"/>
      <c r="D688" s="210"/>
      <c r="E688" s="210"/>
      <c r="F688" s="210"/>
    </row>
    <row r="689" spans="1:6">
      <c r="A689" s="247"/>
      <c r="B689" s="210"/>
      <c r="C689" s="210"/>
      <c r="D689" s="210"/>
      <c r="E689" s="210"/>
      <c r="F689" s="210"/>
    </row>
    <row r="690" spans="1:6">
      <c r="A690" s="247"/>
      <c r="B690" s="210"/>
      <c r="C690" s="210"/>
      <c r="D690" s="210"/>
      <c r="E690" s="210"/>
      <c r="F690" s="210"/>
    </row>
    <row r="691" spans="1:6">
      <c r="A691" s="247"/>
      <c r="B691" s="210"/>
      <c r="C691" s="210"/>
      <c r="D691" s="210"/>
      <c r="E691" s="210"/>
      <c r="F691" s="210"/>
    </row>
    <row r="692" spans="1:6">
      <c r="A692" s="247"/>
      <c r="B692" s="210"/>
      <c r="C692" s="210"/>
      <c r="D692" s="210"/>
      <c r="E692" s="210"/>
      <c r="F692" s="210"/>
    </row>
    <row r="693" spans="1:6">
      <c r="A693" s="247"/>
      <c r="B693" s="210"/>
      <c r="C693" s="210"/>
      <c r="D693" s="210"/>
      <c r="E693" s="210"/>
      <c r="F693" s="210"/>
    </row>
    <row r="694" spans="1:6">
      <c r="A694" s="247"/>
      <c r="B694" s="210"/>
      <c r="C694" s="210"/>
      <c r="D694" s="210"/>
      <c r="E694" s="210"/>
      <c r="F694" s="210"/>
    </row>
    <row r="695" spans="1:6">
      <c r="A695" s="247"/>
      <c r="B695" s="210"/>
      <c r="C695" s="210"/>
      <c r="D695" s="210"/>
      <c r="E695" s="210"/>
      <c r="F695" s="210"/>
    </row>
    <row r="696" spans="1:6">
      <c r="A696" s="247"/>
      <c r="B696" s="210"/>
      <c r="C696" s="210"/>
      <c r="D696" s="210"/>
      <c r="E696" s="210"/>
      <c r="F696" s="210"/>
    </row>
    <row r="697" spans="1:6">
      <c r="A697" s="247"/>
      <c r="B697" s="210"/>
      <c r="C697" s="210"/>
      <c r="D697" s="210"/>
      <c r="E697" s="210"/>
      <c r="F697" s="210"/>
    </row>
    <row r="698" spans="1:6">
      <c r="A698" s="247"/>
      <c r="B698" s="210"/>
      <c r="C698" s="210"/>
      <c r="D698" s="210"/>
      <c r="E698" s="210"/>
      <c r="F698" s="210"/>
    </row>
    <row r="699" spans="1:6">
      <c r="A699" s="247"/>
      <c r="B699" s="210"/>
      <c r="C699" s="210"/>
      <c r="D699" s="210"/>
      <c r="E699" s="210"/>
      <c r="F699" s="210"/>
    </row>
    <row r="700" spans="1:6">
      <c r="A700" s="247"/>
      <c r="B700" s="210"/>
      <c r="C700" s="210"/>
      <c r="D700" s="210"/>
      <c r="E700" s="210"/>
      <c r="F700" s="210"/>
    </row>
    <row r="701" spans="1:6">
      <c r="A701" s="247"/>
      <c r="B701" s="210"/>
      <c r="C701" s="210"/>
      <c r="D701" s="210"/>
      <c r="E701" s="210"/>
      <c r="F701" s="210"/>
    </row>
    <row r="702" spans="1:6">
      <c r="A702" s="247"/>
      <c r="B702" s="210"/>
      <c r="C702" s="210"/>
      <c r="D702" s="210"/>
      <c r="E702" s="210"/>
      <c r="F702" s="210"/>
    </row>
    <row r="703" spans="1:6">
      <c r="A703" s="247"/>
      <c r="B703" s="210"/>
      <c r="C703" s="210"/>
      <c r="D703" s="210"/>
      <c r="E703" s="210"/>
      <c r="F703" s="210"/>
    </row>
    <row r="704" spans="1:6">
      <c r="A704" s="247"/>
      <c r="B704" s="210"/>
      <c r="C704" s="210"/>
      <c r="D704" s="210"/>
      <c r="E704" s="210"/>
      <c r="F704" s="210"/>
    </row>
    <row r="705" spans="1:6">
      <c r="A705" s="247"/>
      <c r="B705" s="210"/>
      <c r="C705" s="210"/>
      <c r="D705" s="210"/>
      <c r="E705" s="210"/>
      <c r="F705" s="210"/>
    </row>
    <row r="706" spans="1:6">
      <c r="A706" s="247"/>
      <c r="B706" s="210"/>
      <c r="C706" s="210"/>
      <c r="D706" s="210"/>
      <c r="E706" s="210"/>
      <c r="F706" s="210"/>
    </row>
    <row r="707" spans="1:6">
      <c r="A707" s="247"/>
      <c r="B707" s="210"/>
      <c r="C707" s="210"/>
      <c r="D707" s="210"/>
      <c r="E707" s="210"/>
      <c r="F707" s="210"/>
    </row>
    <row r="708" spans="1:6">
      <c r="A708" s="247"/>
      <c r="B708" s="210"/>
      <c r="C708" s="210"/>
      <c r="D708" s="210"/>
      <c r="E708" s="210"/>
      <c r="F708" s="210"/>
    </row>
    <row r="709" spans="1:6">
      <c r="A709" s="247"/>
      <c r="B709" s="210"/>
      <c r="C709" s="210"/>
      <c r="D709" s="210"/>
      <c r="E709" s="210"/>
      <c r="F709" s="210"/>
    </row>
    <row r="710" spans="1:6">
      <c r="A710" s="247"/>
      <c r="B710" s="210"/>
      <c r="C710" s="210"/>
      <c r="D710" s="210"/>
      <c r="E710" s="210"/>
      <c r="F710" s="210"/>
    </row>
    <row r="711" spans="1:6">
      <c r="A711" s="247"/>
      <c r="B711" s="210"/>
      <c r="C711" s="210"/>
      <c r="D711" s="210"/>
      <c r="E711" s="210"/>
      <c r="F711" s="210"/>
    </row>
    <row r="712" spans="1:6">
      <c r="A712" s="247"/>
      <c r="B712" s="210"/>
      <c r="C712" s="210"/>
      <c r="D712" s="210"/>
      <c r="E712" s="210"/>
      <c r="F712" s="210"/>
    </row>
    <row r="713" spans="1:6">
      <c r="A713" s="247"/>
      <c r="B713" s="210"/>
      <c r="C713" s="210"/>
      <c r="D713" s="210"/>
      <c r="E713" s="210"/>
      <c r="F713" s="210"/>
    </row>
    <row r="714" spans="1:6">
      <c r="A714" s="247"/>
      <c r="B714" s="210"/>
      <c r="C714" s="210"/>
      <c r="D714" s="210"/>
      <c r="E714" s="210"/>
      <c r="F714" s="210"/>
    </row>
    <row r="715" spans="1:6">
      <c r="A715" s="247"/>
      <c r="B715" s="210"/>
      <c r="C715" s="210"/>
      <c r="D715" s="210"/>
      <c r="E715" s="210"/>
      <c r="F715" s="210"/>
    </row>
    <row r="716" spans="1:6">
      <c r="A716" s="247"/>
      <c r="B716" s="210"/>
      <c r="C716" s="210"/>
      <c r="D716" s="210"/>
      <c r="E716" s="210"/>
      <c r="F716" s="210"/>
    </row>
    <row r="717" spans="1:6">
      <c r="A717" s="247"/>
      <c r="B717" s="210"/>
      <c r="C717" s="210"/>
      <c r="D717" s="210"/>
      <c r="E717" s="210"/>
      <c r="F717" s="210"/>
    </row>
    <row r="718" spans="1:6">
      <c r="A718" s="247"/>
      <c r="B718" s="210"/>
      <c r="C718" s="210"/>
      <c r="D718" s="210"/>
      <c r="E718" s="210"/>
      <c r="F718" s="210"/>
    </row>
    <row r="719" spans="1:6">
      <c r="A719" s="247"/>
      <c r="B719" s="210"/>
      <c r="C719" s="210"/>
      <c r="D719" s="210"/>
      <c r="E719" s="210"/>
      <c r="F719" s="210"/>
    </row>
    <row r="720" spans="1:6">
      <c r="A720" s="247"/>
      <c r="B720" s="210"/>
      <c r="C720" s="210"/>
      <c r="D720" s="210"/>
      <c r="E720" s="210"/>
      <c r="F720" s="210"/>
    </row>
    <row r="721" spans="1:6">
      <c r="A721" s="247"/>
      <c r="B721" s="210"/>
      <c r="C721" s="210"/>
      <c r="D721" s="210"/>
      <c r="E721" s="210"/>
      <c r="F721" s="210"/>
    </row>
    <row r="722" spans="1:6">
      <c r="A722" s="247"/>
      <c r="B722" s="210"/>
      <c r="C722" s="210"/>
      <c r="D722" s="210"/>
      <c r="E722" s="210"/>
      <c r="F722" s="210"/>
    </row>
    <row r="723" spans="1:6">
      <c r="A723" s="247"/>
      <c r="B723" s="210"/>
      <c r="C723" s="210"/>
      <c r="D723" s="210"/>
      <c r="E723" s="210"/>
      <c r="F723" s="210"/>
    </row>
    <row r="724" spans="1:6">
      <c r="A724" s="247"/>
      <c r="B724" s="210"/>
      <c r="C724" s="210"/>
      <c r="D724" s="210"/>
      <c r="E724" s="210"/>
      <c r="F724" s="210"/>
    </row>
    <row r="725" spans="1:6">
      <c r="A725" s="247"/>
      <c r="B725" s="210"/>
      <c r="C725" s="210"/>
      <c r="D725" s="210"/>
      <c r="E725" s="210"/>
      <c r="F725" s="210"/>
    </row>
    <row r="726" spans="1:6">
      <c r="A726" s="247"/>
      <c r="B726" s="210"/>
      <c r="C726" s="210"/>
      <c r="D726" s="210"/>
      <c r="E726" s="210"/>
      <c r="F726" s="210"/>
    </row>
    <row r="727" spans="1:6">
      <c r="A727" s="247"/>
      <c r="B727" s="210"/>
      <c r="C727" s="210"/>
      <c r="D727" s="210"/>
      <c r="E727" s="210"/>
      <c r="F727" s="210"/>
    </row>
    <row r="728" spans="1:6">
      <c r="A728" s="247"/>
      <c r="B728" s="210"/>
      <c r="C728" s="210"/>
      <c r="D728" s="210"/>
      <c r="E728" s="210"/>
      <c r="F728" s="210"/>
    </row>
    <row r="729" spans="1:6">
      <c r="A729" s="247"/>
      <c r="B729" s="210"/>
      <c r="C729" s="210"/>
      <c r="D729" s="210"/>
      <c r="E729" s="210"/>
      <c r="F729" s="210"/>
    </row>
    <row r="730" spans="1:6">
      <c r="A730" s="247"/>
      <c r="B730" s="210"/>
      <c r="C730" s="210"/>
      <c r="D730" s="210"/>
      <c r="E730" s="210"/>
      <c r="F730" s="210"/>
    </row>
    <row r="731" spans="1:6">
      <c r="A731" s="247"/>
      <c r="B731" s="210"/>
      <c r="C731" s="210"/>
      <c r="D731" s="210"/>
      <c r="E731" s="210"/>
      <c r="F731" s="210"/>
    </row>
    <row r="732" spans="1:6">
      <c r="A732" s="247"/>
      <c r="B732" s="210"/>
      <c r="C732" s="210"/>
      <c r="D732" s="210"/>
      <c r="E732" s="210"/>
      <c r="F732" s="210"/>
    </row>
    <row r="733" spans="1:6">
      <c r="A733" s="247"/>
      <c r="B733" s="210"/>
      <c r="C733" s="210"/>
      <c r="D733" s="210"/>
      <c r="E733" s="210"/>
      <c r="F733" s="210"/>
    </row>
    <row r="734" spans="1:6">
      <c r="A734" s="247"/>
      <c r="B734" s="210"/>
      <c r="C734" s="210"/>
      <c r="D734" s="210"/>
      <c r="E734" s="210"/>
      <c r="F734" s="210"/>
    </row>
    <row r="735" spans="1:6">
      <c r="A735" s="247"/>
      <c r="B735" s="210"/>
      <c r="C735" s="210"/>
      <c r="D735" s="210"/>
      <c r="E735" s="210"/>
      <c r="F735" s="210"/>
    </row>
    <row r="736" spans="1:6">
      <c r="A736" s="247"/>
      <c r="B736" s="210"/>
      <c r="C736" s="210"/>
      <c r="D736" s="210"/>
      <c r="E736" s="210"/>
      <c r="F736" s="210"/>
    </row>
    <row r="737" spans="1:6">
      <c r="A737" s="247"/>
      <c r="B737" s="210"/>
      <c r="C737" s="210"/>
      <c r="D737" s="210"/>
      <c r="E737" s="210"/>
      <c r="F737" s="210"/>
    </row>
    <row r="738" spans="1:6">
      <c r="A738" s="247"/>
      <c r="B738" s="210"/>
      <c r="C738" s="210"/>
      <c r="D738" s="210"/>
      <c r="E738" s="210"/>
      <c r="F738" s="210"/>
    </row>
    <row r="739" spans="1:6">
      <c r="A739" s="247"/>
      <c r="B739" s="210"/>
      <c r="C739" s="210"/>
      <c r="D739" s="210"/>
      <c r="E739" s="210"/>
      <c r="F739" s="210"/>
    </row>
    <row r="740" spans="1:6">
      <c r="A740" s="247"/>
      <c r="B740" s="210"/>
      <c r="C740" s="210"/>
      <c r="D740" s="210"/>
      <c r="E740" s="210"/>
      <c r="F740" s="210"/>
    </row>
    <row r="741" spans="1:6">
      <c r="A741" s="247"/>
      <c r="B741" s="210"/>
      <c r="C741" s="210"/>
      <c r="D741" s="210"/>
      <c r="E741" s="210"/>
      <c r="F741" s="210"/>
    </row>
    <row r="742" spans="1:6">
      <c r="A742" s="247"/>
      <c r="B742" s="210"/>
      <c r="C742" s="210"/>
      <c r="D742" s="210"/>
      <c r="E742" s="210"/>
      <c r="F742" s="210"/>
    </row>
    <row r="743" spans="1:6">
      <c r="A743" s="247"/>
      <c r="B743" s="210"/>
      <c r="C743" s="210"/>
      <c r="D743" s="210"/>
      <c r="E743" s="210"/>
      <c r="F743" s="210"/>
    </row>
    <row r="744" spans="1:6">
      <c r="A744" s="247"/>
      <c r="B744" s="210"/>
      <c r="C744" s="210"/>
      <c r="D744" s="210"/>
      <c r="E744" s="210"/>
      <c r="F744" s="210"/>
    </row>
    <row r="745" spans="1:6">
      <c r="A745" s="247"/>
      <c r="B745" s="210"/>
      <c r="C745" s="210"/>
      <c r="D745" s="210"/>
      <c r="E745" s="210"/>
      <c r="F745" s="210"/>
    </row>
    <row r="746" spans="1:6">
      <c r="A746" s="247"/>
      <c r="B746" s="210"/>
      <c r="C746" s="210"/>
      <c r="D746" s="210"/>
      <c r="E746" s="210"/>
      <c r="F746" s="210"/>
    </row>
    <row r="747" spans="1:6">
      <c r="A747" s="247"/>
      <c r="B747" s="210"/>
      <c r="C747" s="210"/>
      <c r="D747" s="210"/>
      <c r="E747" s="210"/>
      <c r="F747" s="210"/>
    </row>
    <row r="748" spans="1:6">
      <c r="A748" s="247"/>
      <c r="B748" s="210"/>
      <c r="C748" s="210"/>
      <c r="D748" s="210"/>
      <c r="E748" s="210"/>
      <c r="F748" s="210"/>
    </row>
    <row r="749" spans="1:6">
      <c r="A749" s="247"/>
      <c r="B749" s="210"/>
      <c r="C749" s="210"/>
      <c r="D749" s="210"/>
      <c r="E749" s="210"/>
      <c r="F749" s="210"/>
    </row>
    <row r="750" spans="1:6">
      <c r="A750" s="247"/>
      <c r="B750" s="210"/>
      <c r="C750" s="210"/>
      <c r="D750" s="210"/>
      <c r="E750" s="210"/>
      <c r="F750" s="210"/>
    </row>
    <row r="751" spans="1:6">
      <c r="A751" s="247"/>
      <c r="B751" s="210"/>
      <c r="C751" s="210"/>
      <c r="D751" s="210"/>
      <c r="E751" s="210"/>
      <c r="F751" s="210"/>
    </row>
    <row r="752" spans="1:6">
      <c r="A752" s="247"/>
      <c r="B752" s="210"/>
      <c r="C752" s="210"/>
      <c r="D752" s="210"/>
      <c r="E752" s="210"/>
      <c r="F752" s="210"/>
    </row>
    <row r="753" spans="1:6">
      <c r="A753" s="247"/>
      <c r="B753" s="210"/>
      <c r="C753" s="210"/>
      <c r="D753" s="210"/>
      <c r="E753" s="210"/>
      <c r="F753" s="210"/>
    </row>
    <row r="754" spans="1:6">
      <c r="A754" s="247"/>
      <c r="B754" s="210"/>
      <c r="C754" s="210"/>
      <c r="D754" s="210"/>
      <c r="E754" s="210"/>
      <c r="F754" s="210"/>
    </row>
    <row r="755" spans="1:6">
      <c r="A755" s="247"/>
      <c r="B755" s="210"/>
      <c r="C755" s="210"/>
      <c r="D755" s="210"/>
      <c r="E755" s="210"/>
      <c r="F755" s="210"/>
    </row>
    <row r="756" spans="1:6">
      <c r="A756" s="247"/>
      <c r="B756" s="210"/>
      <c r="C756" s="210"/>
      <c r="D756" s="210"/>
      <c r="E756" s="210"/>
      <c r="F756" s="210"/>
    </row>
    <row r="757" spans="1:6">
      <c r="A757" s="247"/>
      <c r="B757" s="210"/>
      <c r="C757" s="210"/>
      <c r="D757" s="210"/>
      <c r="E757" s="210"/>
      <c r="F757" s="210"/>
    </row>
    <row r="758" spans="1:6">
      <c r="A758" s="247"/>
      <c r="B758" s="210"/>
      <c r="C758" s="210"/>
      <c r="D758" s="210"/>
      <c r="E758" s="210"/>
      <c r="F758" s="210"/>
    </row>
    <row r="759" spans="1:6">
      <c r="A759" s="247"/>
      <c r="B759" s="210"/>
      <c r="C759" s="210"/>
      <c r="D759" s="210"/>
      <c r="E759" s="210"/>
      <c r="F759" s="210"/>
    </row>
    <row r="760" spans="1:6">
      <c r="A760" s="247"/>
      <c r="B760" s="210"/>
      <c r="C760" s="210"/>
      <c r="D760" s="210"/>
      <c r="E760" s="210"/>
      <c r="F760" s="210"/>
    </row>
    <row r="769" s="210" customFormat="1"/>
    <row r="770" s="210" customFormat="1"/>
    <row r="771" s="210" customFormat="1"/>
    <row r="772" s="210" customFormat="1"/>
    <row r="773" s="210" customFormat="1"/>
    <row r="774" s="210" customFormat="1"/>
    <row r="775" s="210" customFormat="1"/>
    <row r="776" s="210" customFormat="1"/>
    <row r="777" s="210" customFormat="1"/>
    <row r="778" s="210" customFormat="1"/>
    <row r="779" s="210" customFormat="1"/>
    <row r="780" s="210" customFormat="1"/>
    <row r="781" s="210" customFormat="1"/>
    <row r="782" s="210" customFormat="1"/>
  </sheetData>
  <pageMargins left="0.7" right="0.7" top="0.75" bottom="0.7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election activeCell="F49" sqref="F49"/>
    </sheetView>
  </sheetViews>
  <sheetFormatPr defaultRowHeight="15.75"/>
  <cols>
    <col min="1" max="1" width="5.6640625" style="240" customWidth="1"/>
    <col min="2" max="2" width="53.33203125" style="240" customWidth="1"/>
    <col min="3" max="3" width="5.6640625" style="240" bestFit="1" customWidth="1"/>
    <col min="4" max="10" width="6.33203125" style="240" bestFit="1" customWidth="1"/>
    <col min="11" max="13" width="6.6640625" style="334" bestFit="1" customWidth="1"/>
    <col min="14" max="17" width="9.33203125" style="322"/>
    <col min="22" max="16384" width="9.33203125" style="240"/>
  </cols>
  <sheetData>
    <row r="1" spans="1:17" s="240" customFormat="1">
      <c r="A1" s="237" t="s">
        <v>1779</v>
      </c>
      <c r="C1" s="319"/>
      <c r="D1" s="320"/>
      <c r="E1" s="320"/>
      <c r="F1" s="320"/>
      <c r="G1" s="320"/>
      <c r="H1" s="320"/>
      <c r="I1" s="321"/>
      <c r="J1" s="321"/>
      <c r="K1" s="322"/>
      <c r="L1" s="322"/>
      <c r="M1" s="322"/>
      <c r="N1" s="322"/>
      <c r="O1" s="322"/>
      <c r="P1" s="322"/>
      <c r="Q1" s="322"/>
    </row>
    <row r="2" spans="1:17" s="240" customFormat="1">
      <c r="A2" s="237" t="s">
        <v>1780</v>
      </c>
      <c r="C2" s="323"/>
      <c r="D2" s="323"/>
      <c r="E2" s="323"/>
      <c r="F2" s="324"/>
      <c r="G2" s="323"/>
      <c r="H2" s="323"/>
      <c r="I2" s="325"/>
      <c r="J2" s="325"/>
      <c r="K2" s="322"/>
      <c r="L2" s="322"/>
      <c r="M2" s="322"/>
      <c r="N2" s="322"/>
      <c r="O2" s="322"/>
      <c r="P2" s="322"/>
      <c r="Q2" s="322"/>
    </row>
    <row r="3" spans="1:17" s="240" customFormat="1">
      <c r="A3" s="248" t="s">
        <v>1781</v>
      </c>
      <c r="C3" s="323"/>
      <c r="D3" s="323"/>
      <c r="E3" s="323"/>
      <c r="F3" s="323"/>
      <c r="G3" s="323"/>
      <c r="H3" s="323"/>
      <c r="I3" s="325"/>
      <c r="J3" s="325"/>
      <c r="K3" s="322"/>
      <c r="L3" s="322"/>
      <c r="M3" s="322"/>
      <c r="N3" s="322"/>
      <c r="O3" s="322"/>
      <c r="P3" s="322"/>
      <c r="Q3" s="322"/>
    </row>
    <row r="4" spans="1:17" s="240" customFormat="1" ht="16.5" thickBot="1">
      <c r="B4" s="242"/>
      <c r="C4" s="242"/>
      <c r="D4" s="242"/>
      <c r="E4" s="242"/>
      <c r="F4" s="242"/>
      <c r="G4" s="242"/>
      <c r="H4" s="242"/>
      <c r="I4" s="326"/>
      <c r="J4" s="242"/>
      <c r="K4" s="327"/>
      <c r="L4" s="327"/>
      <c r="M4" s="327"/>
      <c r="N4" s="322"/>
      <c r="O4" s="322"/>
      <c r="P4" s="322"/>
      <c r="Q4" s="322"/>
    </row>
    <row r="5" spans="1:17" s="328" customFormat="1" ht="16.5" thickBot="1">
      <c r="A5" s="245"/>
      <c r="B5" s="245"/>
      <c r="C5" s="245">
        <v>1995</v>
      </c>
      <c r="D5" s="245">
        <v>1996</v>
      </c>
      <c r="E5" s="245">
        <v>1997</v>
      </c>
      <c r="F5" s="258">
        <v>1998</v>
      </c>
      <c r="G5" s="258">
        <v>1999</v>
      </c>
      <c r="H5" s="258">
        <v>2000</v>
      </c>
      <c r="I5" s="245">
        <v>2001</v>
      </c>
      <c r="J5" s="245">
        <v>2002</v>
      </c>
      <c r="K5" s="245">
        <v>2003</v>
      </c>
      <c r="L5" s="245">
        <v>2004</v>
      </c>
      <c r="M5" s="245">
        <v>2005</v>
      </c>
      <c r="N5" s="322"/>
      <c r="O5" s="322"/>
      <c r="P5" s="322"/>
      <c r="Q5" s="322"/>
    </row>
    <row r="6" spans="1:17" s="240" customFormat="1">
      <c r="B6" s="248"/>
      <c r="C6" s="248"/>
      <c r="D6" s="248"/>
      <c r="E6" s="248"/>
      <c r="F6" s="250"/>
      <c r="G6" s="250"/>
      <c r="H6" s="250"/>
      <c r="J6" s="250"/>
      <c r="K6" s="250"/>
      <c r="L6" s="250"/>
      <c r="M6" s="250"/>
      <c r="N6" s="322"/>
      <c r="O6" s="322"/>
      <c r="P6" s="322"/>
      <c r="Q6" s="322"/>
    </row>
    <row r="7" spans="1:17" s="240" customFormat="1">
      <c r="A7" s="218">
        <v>6100</v>
      </c>
      <c r="B7" s="218" t="s">
        <v>1591</v>
      </c>
      <c r="C7" s="283">
        <v>804.495</v>
      </c>
      <c r="D7" s="283">
        <v>5635.9085309000002</v>
      </c>
      <c r="E7" s="283">
        <v>6634</v>
      </c>
      <c r="F7" s="264">
        <v>7245.9189639999995</v>
      </c>
      <c r="G7" s="283">
        <v>7137.7815563000013</v>
      </c>
      <c r="H7" s="283">
        <v>7226.6031084000006</v>
      </c>
      <c r="I7" s="283">
        <v>7084</v>
      </c>
      <c r="J7" s="283">
        <v>7640.9375454000001</v>
      </c>
      <c r="K7" s="283">
        <f>SUM(K9:K22)</f>
        <v>8361.1113382000003</v>
      </c>
      <c r="L7" s="283">
        <f>SUM(L9:L22)</f>
        <v>8257.488245999999</v>
      </c>
      <c r="M7" s="283">
        <f>SUM(M9:M22)</f>
        <v>9110.6095797800026</v>
      </c>
      <c r="N7" s="322"/>
      <c r="O7" s="322"/>
      <c r="P7" s="322"/>
      <c r="Q7" s="322"/>
    </row>
    <row r="8" spans="1:17" s="240" customFormat="1">
      <c r="A8" s="293">
        <v>6110</v>
      </c>
      <c r="B8" s="293" t="s">
        <v>1594</v>
      </c>
      <c r="C8" s="329">
        <f t="shared" ref="C8:M8" si="0">SUM(C9:C17)</f>
        <v>700.15499999999997</v>
      </c>
      <c r="D8" s="329">
        <f t="shared" si="0"/>
        <v>5355.7355741299998</v>
      </c>
      <c r="E8" s="329">
        <f t="shared" si="0"/>
        <v>6404</v>
      </c>
      <c r="F8" s="329">
        <f t="shared" si="0"/>
        <v>6702.1259011799993</v>
      </c>
      <c r="G8" s="329">
        <f t="shared" si="0"/>
        <v>6772.9214958000011</v>
      </c>
      <c r="H8" s="329">
        <f t="shared" si="0"/>
        <v>6801.1819051000002</v>
      </c>
      <c r="I8" s="329">
        <f t="shared" si="0"/>
        <v>7002</v>
      </c>
      <c r="J8" s="329">
        <f t="shared" si="0"/>
        <v>7534.4164644800003</v>
      </c>
      <c r="K8" s="329">
        <f t="shared" si="0"/>
        <v>7964.0901981999996</v>
      </c>
      <c r="L8" s="329">
        <f t="shared" si="0"/>
        <v>7811.7709219999997</v>
      </c>
      <c r="M8" s="329">
        <f t="shared" si="0"/>
        <v>8782.0200558400011</v>
      </c>
      <c r="N8" s="322"/>
      <c r="O8" s="322"/>
      <c r="P8" s="322"/>
      <c r="Q8" s="322"/>
    </row>
    <row r="9" spans="1:17" s="240" customFormat="1">
      <c r="A9" s="208">
        <v>6111</v>
      </c>
      <c r="B9" s="208" t="s">
        <v>813</v>
      </c>
      <c r="C9" s="271">
        <v>187.411</v>
      </c>
      <c r="D9" s="265">
        <v>3598.81708647</v>
      </c>
      <c r="E9" s="265">
        <v>3728</v>
      </c>
      <c r="F9" s="269">
        <v>3636.1493475000002</v>
      </c>
      <c r="G9" s="265">
        <v>3673.7618345000005</v>
      </c>
      <c r="H9" s="265">
        <v>3244.7783484000001</v>
      </c>
      <c r="I9" s="265">
        <v>3484</v>
      </c>
      <c r="J9" s="267">
        <v>4086.8321891000001</v>
      </c>
      <c r="K9" s="267">
        <v>4028.7901717</v>
      </c>
      <c r="L9" s="267">
        <v>4024.7479720000001</v>
      </c>
      <c r="M9" s="267">
        <v>4058.3486186</v>
      </c>
      <c r="N9" s="322"/>
      <c r="O9" s="322"/>
      <c r="P9" s="322"/>
      <c r="Q9" s="322"/>
    </row>
    <row r="10" spans="1:17" s="240" customFormat="1">
      <c r="A10" s="208">
        <v>6112</v>
      </c>
      <c r="B10" s="208" t="s">
        <v>814</v>
      </c>
      <c r="C10" s="271">
        <v>0</v>
      </c>
      <c r="D10" s="265">
        <v>372.89058288999996</v>
      </c>
      <c r="E10" s="265">
        <v>715</v>
      </c>
      <c r="F10" s="269">
        <v>880.52117090000002</v>
      </c>
      <c r="G10" s="265">
        <v>1049.9371025</v>
      </c>
      <c r="H10" s="265">
        <v>1499.0839058000001</v>
      </c>
      <c r="I10" s="265">
        <v>959</v>
      </c>
      <c r="J10" s="267">
        <v>315.13558205999999</v>
      </c>
      <c r="K10" s="267">
        <v>88.812700100000001</v>
      </c>
      <c r="L10" s="267">
        <v>20.848213999999999</v>
      </c>
      <c r="M10" s="267">
        <v>3.1721062299999998</v>
      </c>
      <c r="N10" s="322"/>
      <c r="O10" s="322"/>
      <c r="P10" s="322"/>
      <c r="Q10" s="322"/>
    </row>
    <row r="11" spans="1:17" s="240" customFormat="1">
      <c r="A11" s="208">
        <v>6113</v>
      </c>
      <c r="B11" s="208" t="s">
        <v>815</v>
      </c>
      <c r="C11" s="271">
        <v>249.56800000000001</v>
      </c>
      <c r="D11" s="265">
        <v>321.3306455</v>
      </c>
      <c r="E11" s="265">
        <v>356</v>
      </c>
      <c r="F11" s="269">
        <v>332.45599446999995</v>
      </c>
      <c r="G11" s="265">
        <v>373.35436019999997</v>
      </c>
      <c r="H11" s="265">
        <v>349.63104019999997</v>
      </c>
      <c r="I11" s="265">
        <v>328</v>
      </c>
      <c r="J11" s="267">
        <v>259.92817043000002</v>
      </c>
      <c r="K11" s="267">
        <v>311.99291729999999</v>
      </c>
      <c r="L11" s="267">
        <v>248.279516</v>
      </c>
      <c r="M11" s="267">
        <v>263.31519111</v>
      </c>
      <c r="N11" s="322"/>
      <c r="O11" s="322"/>
      <c r="P11" s="322"/>
      <c r="Q11" s="322"/>
    </row>
    <row r="12" spans="1:17" s="240" customFormat="1">
      <c r="A12" s="208">
        <v>6114</v>
      </c>
      <c r="B12" s="208" t="s">
        <v>816</v>
      </c>
      <c r="C12" s="271">
        <v>263.17599999999999</v>
      </c>
      <c r="D12" s="265">
        <v>301.93149854000001</v>
      </c>
      <c r="E12" s="265">
        <v>766</v>
      </c>
      <c r="F12" s="269">
        <v>553.60738600000002</v>
      </c>
      <c r="G12" s="265">
        <v>775.86755320000009</v>
      </c>
      <c r="H12" s="265">
        <v>710.69946279999999</v>
      </c>
      <c r="I12" s="265">
        <v>628</v>
      </c>
      <c r="J12" s="267">
        <v>400.82739559999999</v>
      </c>
      <c r="K12" s="267">
        <v>399.81026439999999</v>
      </c>
      <c r="L12" s="267">
        <v>465.75791299999997</v>
      </c>
      <c r="M12" s="267">
        <v>675.44427832999997</v>
      </c>
      <c r="N12" s="322"/>
      <c r="O12" s="322"/>
      <c r="P12" s="322"/>
      <c r="Q12" s="322"/>
    </row>
    <row r="13" spans="1:17" s="240" customFormat="1">
      <c r="A13" s="208">
        <v>6115</v>
      </c>
      <c r="B13" s="208" t="s">
        <v>817</v>
      </c>
      <c r="C13" s="277" t="s">
        <v>1229</v>
      </c>
      <c r="D13" s="265">
        <v>760.76576073000001</v>
      </c>
      <c r="E13" s="265">
        <v>731</v>
      </c>
      <c r="F13" s="269">
        <v>666.29626086000007</v>
      </c>
      <c r="G13" s="265">
        <v>662.848973</v>
      </c>
      <c r="H13" s="265">
        <v>657.53142009999999</v>
      </c>
      <c r="I13" s="265">
        <v>945</v>
      </c>
      <c r="J13" s="267">
        <v>1163.42666876</v>
      </c>
      <c r="K13" s="267">
        <v>1568.5767387000001</v>
      </c>
      <c r="L13" s="267">
        <v>1514.095654</v>
      </c>
      <c r="M13" s="267">
        <v>1939.8141307999999</v>
      </c>
      <c r="N13" s="322"/>
      <c r="O13" s="322"/>
      <c r="P13" s="322"/>
      <c r="Q13" s="322"/>
    </row>
    <row r="14" spans="1:17" s="240" customFormat="1">
      <c r="A14" s="208">
        <v>6116</v>
      </c>
      <c r="B14" s="208" t="s">
        <v>818</v>
      </c>
      <c r="C14" s="277" t="s">
        <v>1499</v>
      </c>
      <c r="D14" s="275" t="s">
        <v>1499</v>
      </c>
      <c r="E14" s="275">
        <v>20</v>
      </c>
      <c r="F14" s="269">
        <v>412.85862121000002</v>
      </c>
      <c r="G14" s="265">
        <v>207.86078040000001</v>
      </c>
      <c r="H14" s="265">
        <v>-58.231670000000001</v>
      </c>
      <c r="I14" s="265">
        <v>-12</v>
      </c>
      <c r="J14" s="267">
        <v>55.17815315</v>
      </c>
      <c r="K14" s="267">
        <v>86.217693600000004</v>
      </c>
      <c r="L14" s="267">
        <v>1.9557150000000001</v>
      </c>
      <c r="M14" s="267">
        <v>254.42411787</v>
      </c>
      <c r="N14" s="322"/>
      <c r="O14" s="322"/>
      <c r="P14" s="322"/>
      <c r="Q14" s="322"/>
    </row>
    <row r="15" spans="1:17" s="240" customFormat="1">
      <c r="A15" s="208">
        <v>6117</v>
      </c>
      <c r="B15" s="208" t="s">
        <v>1620</v>
      </c>
      <c r="C15" s="275" t="s">
        <v>1499</v>
      </c>
      <c r="D15" s="275" t="s">
        <v>1499</v>
      </c>
      <c r="E15" s="275" t="s">
        <v>1499</v>
      </c>
      <c r="F15" s="275" t="s">
        <v>1499</v>
      </c>
      <c r="G15" s="275" t="s">
        <v>1499</v>
      </c>
      <c r="H15" s="275" t="s">
        <v>1499</v>
      </c>
      <c r="I15" s="265">
        <v>404</v>
      </c>
      <c r="J15" s="267">
        <v>1179.7385975</v>
      </c>
      <c r="K15" s="267">
        <v>1425.3746646</v>
      </c>
      <c r="L15" s="267">
        <v>1465.892668</v>
      </c>
      <c r="M15" s="267">
        <v>1580.4035533000001</v>
      </c>
      <c r="N15" s="322"/>
      <c r="O15" s="322"/>
      <c r="P15" s="322"/>
      <c r="Q15" s="322"/>
    </row>
    <row r="16" spans="1:17" s="240" customFormat="1">
      <c r="A16" s="208">
        <v>6118</v>
      </c>
      <c r="B16" s="208" t="s">
        <v>1132</v>
      </c>
      <c r="C16" s="275" t="s">
        <v>1229</v>
      </c>
      <c r="D16" s="275" t="s">
        <v>1229</v>
      </c>
      <c r="E16" s="275" t="s">
        <v>1229</v>
      </c>
      <c r="F16" s="275" t="s">
        <v>1229</v>
      </c>
      <c r="G16" s="275" t="s">
        <v>1229</v>
      </c>
      <c r="H16" s="275" t="s">
        <v>1229</v>
      </c>
      <c r="I16" s="265" t="s">
        <v>1229</v>
      </c>
      <c r="J16" s="267" t="s">
        <v>1229</v>
      </c>
      <c r="K16" s="267" t="s">
        <v>1229</v>
      </c>
      <c r="L16" s="267" t="s">
        <v>1229</v>
      </c>
      <c r="M16" s="267" t="s">
        <v>1229</v>
      </c>
      <c r="N16" s="322"/>
      <c r="O16" s="322"/>
      <c r="P16" s="322"/>
      <c r="Q16" s="322"/>
    </row>
    <row r="17" spans="1:17" s="240" customFormat="1">
      <c r="A17" s="208">
        <v>6119</v>
      </c>
      <c r="B17" s="208" t="s">
        <v>1595</v>
      </c>
      <c r="C17" s="277" t="s">
        <v>1229</v>
      </c>
      <c r="D17" s="275" t="s">
        <v>1229</v>
      </c>
      <c r="E17" s="265">
        <v>88</v>
      </c>
      <c r="F17" s="269">
        <v>220.23712024</v>
      </c>
      <c r="G17" s="265">
        <v>29.290891999999999</v>
      </c>
      <c r="H17" s="265">
        <v>397.68939780000005</v>
      </c>
      <c r="I17" s="265">
        <v>266</v>
      </c>
      <c r="J17" s="275">
        <v>73.349707879999997</v>
      </c>
      <c r="K17" s="275">
        <v>54.515047799999998</v>
      </c>
      <c r="L17" s="275">
        <v>70.193269999999998</v>
      </c>
      <c r="M17" s="275">
        <v>7.0980596</v>
      </c>
      <c r="N17" s="322"/>
      <c r="O17" s="322"/>
      <c r="P17" s="322"/>
      <c r="Q17" s="322"/>
    </row>
    <row r="18" spans="1:17" s="240" customFormat="1">
      <c r="A18" s="293">
        <v>6120</v>
      </c>
      <c r="B18" s="293" t="s">
        <v>1628</v>
      </c>
      <c r="C18" s="331">
        <f t="shared" ref="C18:M18" si="1">SUM(C19:C26)</f>
        <v>104.34</v>
      </c>
      <c r="D18" s="331">
        <f t="shared" si="1"/>
        <v>280.17295676999998</v>
      </c>
      <c r="E18" s="331">
        <f t="shared" si="1"/>
        <v>229</v>
      </c>
      <c r="F18" s="331">
        <f t="shared" si="1"/>
        <v>543.79306279000002</v>
      </c>
      <c r="G18" s="331">
        <f t="shared" si="1"/>
        <v>364.86006050000003</v>
      </c>
      <c r="H18" s="331">
        <f t="shared" si="1"/>
        <v>425.4212033</v>
      </c>
      <c r="I18" s="331">
        <f t="shared" si="1"/>
        <v>82</v>
      </c>
      <c r="J18" s="331">
        <f t="shared" si="1"/>
        <v>106.52108092</v>
      </c>
      <c r="K18" s="331">
        <f t="shared" si="1"/>
        <v>198.51057</v>
      </c>
      <c r="L18" s="331">
        <f t="shared" si="1"/>
        <v>222.85866199999998</v>
      </c>
      <c r="M18" s="331">
        <f t="shared" si="1"/>
        <v>164.29476197</v>
      </c>
      <c r="N18" s="322"/>
      <c r="O18" s="322"/>
      <c r="P18" s="322"/>
      <c r="Q18" s="322"/>
    </row>
    <row r="19" spans="1:17" s="240" customFormat="1" ht="23.25">
      <c r="A19" s="235">
        <v>6121</v>
      </c>
      <c r="B19" s="297" t="s">
        <v>1597</v>
      </c>
      <c r="C19" s="271"/>
      <c r="D19" s="265"/>
      <c r="E19" s="265"/>
      <c r="F19" s="266"/>
      <c r="G19" s="266"/>
      <c r="H19" s="266"/>
      <c r="I19" s="265"/>
      <c r="J19" s="266"/>
      <c r="K19" s="266"/>
      <c r="L19" s="266"/>
      <c r="M19" s="266"/>
      <c r="N19" s="322"/>
      <c r="O19" s="322"/>
      <c r="P19" s="322"/>
      <c r="Q19" s="322"/>
    </row>
    <row r="20" spans="1:17" s="240" customFormat="1">
      <c r="A20" s="235"/>
      <c r="B20" s="208" t="s">
        <v>1598</v>
      </c>
      <c r="C20" s="271">
        <v>104.34</v>
      </c>
      <c r="D20" s="265">
        <v>280.17295676999998</v>
      </c>
      <c r="E20" s="265">
        <v>229</v>
      </c>
      <c r="F20" s="269">
        <v>543.79306279000002</v>
      </c>
      <c r="G20" s="265">
        <v>364.86006050000003</v>
      </c>
      <c r="H20" s="265">
        <v>425.4212033</v>
      </c>
      <c r="I20" s="265">
        <v>0</v>
      </c>
      <c r="J20" s="275" t="s">
        <v>1229</v>
      </c>
      <c r="K20" s="275">
        <v>28.313670699999999</v>
      </c>
      <c r="L20" s="275">
        <v>38.167624000000004</v>
      </c>
      <c r="M20" s="275">
        <v>0.84009741000000004</v>
      </c>
      <c r="N20" s="322"/>
      <c r="O20" s="322"/>
      <c r="P20" s="322"/>
      <c r="Q20" s="322"/>
    </row>
    <row r="21" spans="1:17" s="240" customFormat="1" ht="23.25">
      <c r="A21" s="235">
        <v>6122</v>
      </c>
      <c r="B21" s="297" t="s">
        <v>1597</v>
      </c>
      <c r="C21" s="271"/>
      <c r="D21" s="265"/>
      <c r="E21" s="265"/>
      <c r="F21" s="269"/>
      <c r="G21" s="265"/>
      <c r="H21" s="265"/>
      <c r="I21" s="265"/>
      <c r="J21" s="266"/>
      <c r="K21" s="266"/>
      <c r="L21" s="266"/>
      <c r="M21" s="266"/>
      <c r="N21" s="322"/>
      <c r="O21" s="322"/>
      <c r="P21" s="322"/>
      <c r="Q21" s="322"/>
    </row>
    <row r="22" spans="1:17" s="240" customFormat="1">
      <c r="A22" s="235"/>
      <c r="B22" s="208" t="s">
        <v>1599</v>
      </c>
      <c r="C22" s="277" t="s">
        <v>1229</v>
      </c>
      <c r="D22" s="277" t="s">
        <v>1229</v>
      </c>
      <c r="E22" s="277" t="s">
        <v>1229</v>
      </c>
      <c r="F22" s="277" t="s">
        <v>1229</v>
      </c>
      <c r="G22" s="277" t="s">
        <v>1229</v>
      </c>
      <c r="H22" s="277" t="s">
        <v>1229</v>
      </c>
      <c r="I22" s="265">
        <v>82</v>
      </c>
      <c r="J22" s="267">
        <v>106.52108092</v>
      </c>
      <c r="K22" s="267">
        <v>170.19689930000001</v>
      </c>
      <c r="L22" s="267">
        <v>184.69103799999999</v>
      </c>
      <c r="M22" s="267">
        <v>163.45466456</v>
      </c>
      <c r="N22" s="322"/>
      <c r="O22" s="322"/>
      <c r="P22" s="322"/>
      <c r="Q22" s="322"/>
    </row>
    <row r="23" spans="1:17" s="240" customFormat="1">
      <c r="A23" s="235">
        <v>6123</v>
      </c>
      <c r="B23" s="297" t="s">
        <v>1600</v>
      </c>
      <c r="C23" s="275"/>
      <c r="D23" s="275"/>
      <c r="E23" s="275"/>
      <c r="F23" s="275"/>
      <c r="G23" s="275"/>
      <c r="H23" s="275"/>
      <c r="I23" s="265"/>
      <c r="J23" s="267"/>
      <c r="K23" s="267"/>
      <c r="L23" s="267"/>
      <c r="M23" s="267"/>
      <c r="N23" s="322"/>
      <c r="O23" s="322"/>
      <c r="P23" s="322"/>
      <c r="Q23" s="322"/>
    </row>
    <row r="24" spans="1:17" s="240" customFormat="1">
      <c r="A24" s="235"/>
      <c r="B24" s="297" t="s">
        <v>1599</v>
      </c>
      <c r="C24" s="277" t="s">
        <v>1229</v>
      </c>
      <c r="D24" s="277" t="s">
        <v>1229</v>
      </c>
      <c r="E24" s="277" t="s">
        <v>1229</v>
      </c>
      <c r="F24" s="277" t="s">
        <v>1229</v>
      </c>
      <c r="G24" s="277" t="s">
        <v>1229</v>
      </c>
      <c r="H24" s="277" t="s">
        <v>1229</v>
      </c>
      <c r="I24" s="277" t="s">
        <v>1229</v>
      </c>
      <c r="J24" s="277" t="s">
        <v>1229</v>
      </c>
      <c r="K24" s="277" t="s">
        <v>1229</v>
      </c>
      <c r="L24" s="277" t="s">
        <v>1229</v>
      </c>
      <c r="M24" s="277" t="s">
        <v>1229</v>
      </c>
      <c r="N24" s="322"/>
      <c r="O24" s="322"/>
      <c r="P24" s="322"/>
      <c r="Q24" s="322"/>
    </row>
    <row r="25" spans="1:17" s="240" customFormat="1" ht="23.25">
      <c r="A25" s="235">
        <v>6124</v>
      </c>
      <c r="B25" s="297" t="s">
        <v>1601</v>
      </c>
      <c r="C25" s="275"/>
      <c r="D25" s="275"/>
      <c r="E25" s="275"/>
      <c r="F25" s="275"/>
      <c r="G25" s="275"/>
      <c r="H25" s="275"/>
      <c r="I25" s="265"/>
      <c r="J25" s="267"/>
      <c r="K25" s="267"/>
      <c r="L25" s="267"/>
      <c r="M25" s="267"/>
      <c r="N25" s="322"/>
      <c r="O25" s="322"/>
      <c r="P25" s="322"/>
      <c r="Q25" s="322"/>
    </row>
    <row r="26" spans="1:17" s="240" customFormat="1">
      <c r="A26" s="235"/>
      <c r="B26" s="297" t="s">
        <v>1602</v>
      </c>
      <c r="C26" s="277" t="s">
        <v>1229</v>
      </c>
      <c r="D26" s="277" t="s">
        <v>1229</v>
      </c>
      <c r="E26" s="277" t="s">
        <v>1229</v>
      </c>
      <c r="F26" s="277" t="s">
        <v>1229</v>
      </c>
      <c r="G26" s="277" t="s">
        <v>1229</v>
      </c>
      <c r="H26" s="277" t="s">
        <v>1229</v>
      </c>
      <c r="I26" s="277" t="s">
        <v>1229</v>
      </c>
      <c r="J26" s="277" t="s">
        <v>1229</v>
      </c>
      <c r="K26" s="277" t="s">
        <v>1229</v>
      </c>
      <c r="L26" s="277" t="s">
        <v>1229</v>
      </c>
      <c r="M26" s="277" t="s">
        <v>1229</v>
      </c>
      <c r="N26" s="322"/>
      <c r="O26" s="322"/>
      <c r="P26" s="322"/>
      <c r="Q26" s="322"/>
    </row>
    <row r="27" spans="1:17" s="240" customFormat="1">
      <c r="B27" s="276"/>
      <c r="C27" s="267"/>
      <c r="D27" s="267"/>
      <c r="E27" s="265"/>
      <c r="F27" s="266"/>
      <c r="G27" s="267"/>
      <c r="H27" s="267"/>
      <c r="I27" s="265"/>
      <c r="J27" s="266"/>
      <c r="K27" s="266"/>
      <c r="L27" s="266"/>
      <c r="M27" s="266"/>
      <c r="N27" s="322"/>
      <c r="O27" s="322"/>
      <c r="P27" s="322"/>
      <c r="Q27" s="322"/>
    </row>
    <row r="28" spans="1:17" s="240" customFormat="1">
      <c r="A28" s="218">
        <v>6200</v>
      </c>
      <c r="B28" s="218" t="s">
        <v>1592</v>
      </c>
      <c r="C28" s="283">
        <v>3.11</v>
      </c>
      <c r="D28" s="283">
        <v>107.50740275999999</v>
      </c>
      <c r="E28" s="283">
        <v>176</v>
      </c>
      <c r="F28" s="283">
        <v>5.3940656000000002</v>
      </c>
      <c r="G28" s="283">
        <v>1.6580875000000002</v>
      </c>
      <c r="H28" s="283">
        <v>90.690286099999994</v>
      </c>
      <c r="I28" s="283">
        <v>40</v>
      </c>
      <c r="J28" s="283">
        <v>32.49470041</v>
      </c>
      <c r="K28" s="283">
        <f>SUM(K29:K30)</f>
        <v>33.678012500000001</v>
      </c>
      <c r="L28" s="283">
        <f>SUM(L29:L30)</f>
        <v>25.435486999999998</v>
      </c>
      <c r="M28" s="283">
        <f>SUM(M29:M30)</f>
        <v>109.23982727000001</v>
      </c>
      <c r="N28" s="322"/>
      <c r="O28" s="322"/>
      <c r="P28" s="322"/>
      <c r="Q28" s="322"/>
    </row>
    <row r="29" spans="1:17" s="240" customFormat="1">
      <c r="A29" s="208">
        <v>6211</v>
      </c>
      <c r="B29" s="208" t="s">
        <v>1603</v>
      </c>
      <c r="C29" s="271">
        <v>3.11</v>
      </c>
      <c r="D29" s="265">
        <v>107.50740275999999</v>
      </c>
      <c r="E29" s="265">
        <v>176</v>
      </c>
      <c r="F29" s="269">
        <v>5.3940656000000002</v>
      </c>
      <c r="G29" s="265">
        <v>1.6580875000000002</v>
      </c>
      <c r="H29" s="265">
        <v>90.690286099999994</v>
      </c>
      <c r="I29" s="275" t="s">
        <v>1229</v>
      </c>
      <c r="J29" s="275" t="s">
        <v>1229</v>
      </c>
      <c r="K29" s="275" t="s">
        <v>1229</v>
      </c>
      <c r="L29" s="275" t="s">
        <v>1229</v>
      </c>
      <c r="M29" s="275" t="s">
        <v>1229</v>
      </c>
      <c r="N29" s="322"/>
      <c r="O29" s="322"/>
      <c r="P29" s="322"/>
      <c r="Q29" s="322"/>
    </row>
    <row r="30" spans="1:17" s="328" customFormat="1">
      <c r="A30" s="208">
        <v>6212</v>
      </c>
      <c r="B30" s="208" t="s">
        <v>1604</v>
      </c>
      <c r="C30" s="275" t="s">
        <v>1499</v>
      </c>
      <c r="D30" s="275" t="s">
        <v>1499</v>
      </c>
      <c r="E30" s="275" t="s">
        <v>1499</v>
      </c>
      <c r="F30" s="275" t="s">
        <v>1499</v>
      </c>
      <c r="G30" s="275" t="s">
        <v>1499</v>
      </c>
      <c r="H30" s="275" t="s">
        <v>1499</v>
      </c>
      <c r="I30" s="265">
        <v>40</v>
      </c>
      <c r="J30" s="267">
        <v>32.49470041</v>
      </c>
      <c r="K30" s="267">
        <v>33.678012500000001</v>
      </c>
      <c r="L30" s="267">
        <v>25.435486999999998</v>
      </c>
      <c r="M30" s="267">
        <v>109.23982727000001</v>
      </c>
      <c r="N30" s="322"/>
      <c r="O30" s="322"/>
      <c r="P30" s="322"/>
      <c r="Q30" s="322"/>
    </row>
    <row r="31" spans="1:17" s="328" customFormat="1">
      <c r="A31" s="208">
        <v>6213</v>
      </c>
      <c r="B31" s="208" t="s">
        <v>1605</v>
      </c>
      <c r="C31" s="275" t="s">
        <v>1229</v>
      </c>
      <c r="D31" s="275" t="s">
        <v>1229</v>
      </c>
      <c r="E31" s="275" t="s">
        <v>1229</v>
      </c>
      <c r="F31" s="275" t="s">
        <v>1229</v>
      </c>
      <c r="G31" s="275" t="s">
        <v>1229</v>
      </c>
      <c r="H31" s="275" t="s">
        <v>1229</v>
      </c>
      <c r="I31" s="275" t="s">
        <v>1229</v>
      </c>
      <c r="J31" s="269" t="s">
        <v>1229</v>
      </c>
      <c r="K31" s="269" t="s">
        <v>1229</v>
      </c>
      <c r="L31" s="269" t="s">
        <v>1229</v>
      </c>
      <c r="M31" s="269" t="s">
        <v>1229</v>
      </c>
      <c r="N31" s="322"/>
      <c r="O31" s="322"/>
      <c r="P31" s="322"/>
      <c r="Q31" s="322"/>
    </row>
    <row r="32" spans="1:17" s="240" customFormat="1">
      <c r="B32" s="276"/>
      <c r="C32" s="267"/>
      <c r="D32" s="267"/>
      <c r="E32" s="265"/>
      <c r="F32" s="269"/>
      <c r="G32" s="267"/>
      <c r="H32" s="267"/>
      <c r="I32" s="265"/>
      <c r="J32" s="266"/>
      <c r="K32" s="266"/>
      <c r="L32" s="266"/>
      <c r="M32" s="266"/>
      <c r="N32" s="322"/>
      <c r="O32" s="322"/>
      <c r="P32" s="322"/>
      <c r="Q32" s="322"/>
    </row>
    <row r="33" spans="1:13" s="240" customFormat="1" ht="11.25">
      <c r="A33" s="218">
        <v>6300</v>
      </c>
      <c r="B33" s="218" t="s">
        <v>1606</v>
      </c>
      <c r="C33" s="283">
        <v>320.75</v>
      </c>
      <c r="D33" s="283">
        <v>199.00266031000001</v>
      </c>
      <c r="E33" s="283">
        <v>612</v>
      </c>
      <c r="F33" s="283">
        <v>451.26481804999997</v>
      </c>
      <c r="G33" s="283">
        <v>922.55919100000006</v>
      </c>
      <c r="H33" s="283">
        <v>796.56442970000001</v>
      </c>
      <c r="I33" s="283">
        <v>252</v>
      </c>
      <c r="J33" s="283">
        <v>1302.96119905</v>
      </c>
      <c r="K33" s="283">
        <f>SUM(K34:K35)</f>
        <v>1639.8602452</v>
      </c>
      <c r="L33" s="283">
        <f>SUM(L34:L35)</f>
        <v>1458.397481</v>
      </c>
      <c r="M33" s="283">
        <f>SUM(M34:M35)</f>
        <v>1380.6381789</v>
      </c>
    </row>
    <row r="34" spans="1:13" s="240" customFormat="1" ht="11.25">
      <c r="A34" s="208">
        <v>6311</v>
      </c>
      <c r="B34" s="208" t="s">
        <v>1607</v>
      </c>
      <c r="C34" s="271">
        <v>320.75</v>
      </c>
      <c r="D34" s="265">
        <v>199.00266031000001</v>
      </c>
      <c r="E34" s="265">
        <v>612</v>
      </c>
      <c r="F34" s="269">
        <v>451.26481804999997</v>
      </c>
      <c r="G34" s="265">
        <v>922.55919100000006</v>
      </c>
      <c r="H34" s="265">
        <v>796.56442970000001</v>
      </c>
      <c r="I34" s="265">
        <v>252</v>
      </c>
      <c r="J34" s="267">
        <v>1302.96119905</v>
      </c>
      <c r="K34" s="267">
        <v>210.06419460000001</v>
      </c>
      <c r="L34" s="267">
        <v>112.20444500000001</v>
      </c>
      <c r="M34" s="267">
        <v>25.0582815</v>
      </c>
    </row>
    <row r="35" spans="1:13" s="240" customFormat="1" ht="11.25">
      <c r="A35" s="208">
        <v>6312</v>
      </c>
      <c r="B35" s="208" t="s">
        <v>1608</v>
      </c>
      <c r="C35" s="271"/>
      <c r="D35" s="265"/>
      <c r="E35" s="265"/>
      <c r="F35" s="269"/>
      <c r="G35" s="265"/>
      <c r="H35" s="265"/>
      <c r="I35" s="265"/>
      <c r="J35" s="266"/>
      <c r="K35" s="267">
        <v>1429.7960505999999</v>
      </c>
      <c r="L35" s="267">
        <v>1346.1930359999999</v>
      </c>
      <c r="M35" s="267">
        <v>1355.5798973999999</v>
      </c>
    </row>
    <row r="36" spans="1:13" s="240" customFormat="1" ht="11.25">
      <c r="A36" s="208">
        <v>6313</v>
      </c>
      <c r="B36" s="208" t="s">
        <v>1609</v>
      </c>
      <c r="C36" s="277" t="s">
        <v>1229</v>
      </c>
      <c r="D36" s="275" t="s">
        <v>1229</v>
      </c>
      <c r="E36" s="275" t="s">
        <v>1229</v>
      </c>
      <c r="F36" s="269" t="s">
        <v>1229</v>
      </c>
      <c r="G36" s="275" t="s">
        <v>1229</v>
      </c>
      <c r="H36" s="275" t="s">
        <v>1229</v>
      </c>
      <c r="I36" s="275" t="s">
        <v>1229</v>
      </c>
      <c r="J36" s="270" t="s">
        <v>1229</v>
      </c>
      <c r="K36" s="269" t="s">
        <v>1229</v>
      </c>
      <c r="L36" s="269" t="s">
        <v>1229</v>
      </c>
      <c r="M36" s="269" t="s">
        <v>1229</v>
      </c>
    </row>
    <row r="37" spans="1:13" s="240" customFormat="1" ht="11.25">
      <c r="B37" s="276"/>
      <c r="C37" s="267"/>
      <c r="D37" s="267"/>
      <c r="E37" s="265"/>
      <c r="F37" s="269"/>
      <c r="G37" s="267"/>
      <c r="H37" s="267"/>
      <c r="I37" s="265"/>
      <c r="J37" s="266"/>
      <c r="K37" s="266"/>
      <c r="L37" s="266"/>
      <c r="M37" s="266"/>
    </row>
    <row r="38" spans="1:13" s="240" customFormat="1" ht="11.25">
      <c r="A38" s="218">
        <v>6400</v>
      </c>
      <c r="B38" s="218" t="s">
        <v>1610</v>
      </c>
      <c r="C38" s="264" t="s">
        <v>1229</v>
      </c>
      <c r="D38" s="264">
        <v>791.97463387000005</v>
      </c>
      <c r="E38" s="264">
        <v>668</v>
      </c>
      <c r="F38" s="264">
        <v>1670.6775057999998</v>
      </c>
      <c r="G38" s="264">
        <v>1111.9583525999999</v>
      </c>
      <c r="H38" s="264">
        <v>695.91698860000008</v>
      </c>
      <c r="I38" s="264">
        <v>1039</v>
      </c>
      <c r="J38" s="264">
        <v>210.76003889</v>
      </c>
      <c r="K38" s="264">
        <v>2072</v>
      </c>
      <c r="L38" s="264">
        <f>SUM(L39:L40)</f>
        <v>1914.5661500000001</v>
      </c>
      <c r="M38" s="264">
        <f>SUM(M39:M40)</f>
        <v>1848.4246934999999</v>
      </c>
    </row>
    <row r="39" spans="1:13" s="240" customFormat="1" ht="11.25">
      <c r="A39" s="208">
        <v>6411</v>
      </c>
      <c r="B39" s="208" t="s">
        <v>1611</v>
      </c>
      <c r="C39" s="277" t="s">
        <v>1229</v>
      </c>
      <c r="D39" s="265">
        <v>791.97463387000005</v>
      </c>
      <c r="E39" s="265">
        <v>668</v>
      </c>
      <c r="F39" s="269">
        <v>1670.6775057999998</v>
      </c>
      <c r="G39" s="265">
        <v>1111.9583525999999</v>
      </c>
      <c r="H39" s="265">
        <v>695.91698860000008</v>
      </c>
      <c r="I39" s="265">
        <v>410</v>
      </c>
      <c r="J39" s="267">
        <v>1.9638440399999999</v>
      </c>
      <c r="K39" s="267">
        <v>229.5315641</v>
      </c>
      <c r="L39" s="267">
        <v>621.14961000000005</v>
      </c>
      <c r="M39" s="267">
        <v>-25.0582815</v>
      </c>
    </row>
    <row r="40" spans="1:13" s="240" customFormat="1" ht="11.25">
      <c r="A40" s="208">
        <v>6412</v>
      </c>
      <c r="B40" s="208" t="s">
        <v>1612</v>
      </c>
      <c r="C40" s="275" t="s">
        <v>1499</v>
      </c>
      <c r="D40" s="275" t="s">
        <v>1499</v>
      </c>
      <c r="E40" s="275" t="s">
        <v>1499</v>
      </c>
      <c r="F40" s="269" t="s">
        <v>1499</v>
      </c>
      <c r="G40" s="275" t="s">
        <v>1499</v>
      </c>
      <c r="H40" s="275" t="s">
        <v>1499</v>
      </c>
      <c r="I40" s="265">
        <v>629</v>
      </c>
      <c r="J40" s="267">
        <v>208.79619485000001</v>
      </c>
      <c r="K40" s="267">
        <v>1842.6687763</v>
      </c>
      <c r="L40" s="267">
        <v>1293.4165399999999</v>
      </c>
      <c r="M40" s="267">
        <v>1873.4829749999999</v>
      </c>
    </row>
    <row r="41" spans="1:13" s="240" customFormat="1" ht="11.25">
      <c r="A41" s="208">
        <v>6413</v>
      </c>
      <c r="B41" s="208" t="s">
        <v>1613</v>
      </c>
      <c r="C41" s="275" t="s">
        <v>1229</v>
      </c>
      <c r="D41" s="275" t="s">
        <v>1229</v>
      </c>
      <c r="E41" s="275" t="s">
        <v>1229</v>
      </c>
      <c r="F41" s="269" t="s">
        <v>1229</v>
      </c>
      <c r="G41" s="275" t="s">
        <v>1229</v>
      </c>
      <c r="H41" s="275" t="s">
        <v>1229</v>
      </c>
      <c r="I41" s="265" t="s">
        <v>1229</v>
      </c>
      <c r="J41" s="267" t="s">
        <v>1229</v>
      </c>
      <c r="K41" s="267" t="s">
        <v>1229</v>
      </c>
      <c r="L41" s="267" t="s">
        <v>1229</v>
      </c>
      <c r="M41" s="267" t="s">
        <v>1229</v>
      </c>
    </row>
    <row r="42" spans="1:13" s="240" customFormat="1" ht="11.25">
      <c r="B42" s="261"/>
      <c r="C42" s="269"/>
      <c r="D42" s="269"/>
      <c r="E42" s="265"/>
      <c r="F42" s="266"/>
      <c r="G42" s="267"/>
      <c r="H42" s="267"/>
      <c r="I42" s="265"/>
      <c r="J42" s="266"/>
      <c r="K42" s="266"/>
      <c r="L42" s="266"/>
      <c r="M42" s="266"/>
    </row>
    <row r="43" spans="1:13" s="240" customFormat="1" ht="11.25">
      <c r="A43" s="218">
        <v>6500</v>
      </c>
      <c r="B43" s="218" t="s">
        <v>38</v>
      </c>
      <c r="C43" s="264" t="s">
        <v>1499</v>
      </c>
      <c r="D43" s="264">
        <v>36.294765949999999</v>
      </c>
      <c r="E43" s="264">
        <v>94</v>
      </c>
      <c r="F43" s="264">
        <v>144.60370574999999</v>
      </c>
      <c r="G43" s="264">
        <v>91.228794000000008</v>
      </c>
      <c r="H43" s="264">
        <v>196.14972560000001</v>
      </c>
      <c r="I43" s="264">
        <v>29</v>
      </c>
      <c r="J43" s="264">
        <v>91.071804650000004</v>
      </c>
      <c r="K43" s="264">
        <v>69</v>
      </c>
      <c r="L43" s="264">
        <f>SUM(L44)</f>
        <v>90.951559000000003</v>
      </c>
      <c r="M43" s="264">
        <f>SUM(M44)</f>
        <v>300.36572983999997</v>
      </c>
    </row>
    <row r="44" spans="1:13" s="240" customFormat="1" ht="11.25">
      <c r="A44" s="208">
        <v>6511</v>
      </c>
      <c r="B44" s="208" t="s">
        <v>38</v>
      </c>
      <c r="C44" s="269" t="s">
        <v>1499</v>
      </c>
      <c r="D44" s="265">
        <v>36.294765949999999</v>
      </c>
      <c r="E44" s="265">
        <v>94</v>
      </c>
      <c r="F44" s="265">
        <v>144.60370574999999</v>
      </c>
      <c r="G44" s="265">
        <v>91.228794000000008</v>
      </c>
      <c r="H44" s="265">
        <v>196.14972560000001</v>
      </c>
      <c r="I44" s="265">
        <v>29</v>
      </c>
      <c r="J44" s="267">
        <v>91.071804650000004</v>
      </c>
      <c r="K44" s="267">
        <v>68.803727199999997</v>
      </c>
      <c r="L44" s="267">
        <v>90.951559000000003</v>
      </c>
      <c r="M44" s="267">
        <v>300.36572983999997</v>
      </c>
    </row>
    <row r="45" spans="1:13" s="240" customFormat="1" ht="11.25">
      <c r="A45" s="208"/>
      <c r="B45" s="208"/>
      <c r="C45" s="269"/>
      <c r="D45" s="269"/>
      <c r="E45" s="265"/>
      <c r="F45" s="266"/>
      <c r="G45" s="267"/>
      <c r="H45" s="267"/>
      <c r="I45" s="265"/>
      <c r="J45" s="266"/>
      <c r="K45" s="266"/>
      <c r="L45" s="266"/>
      <c r="M45" s="266"/>
    </row>
    <row r="46" spans="1:13" s="240" customFormat="1" ht="11.25">
      <c r="A46" s="218">
        <v>6900</v>
      </c>
      <c r="B46" s="218" t="s">
        <v>1593</v>
      </c>
      <c r="C46" s="264">
        <v>1.649</v>
      </c>
      <c r="D46" s="264">
        <v>0.66717795000000002</v>
      </c>
      <c r="E46" s="264">
        <v>44</v>
      </c>
      <c r="F46" s="264">
        <v>94.936300529999997</v>
      </c>
      <c r="G46" s="264">
        <v>30.692106600000002</v>
      </c>
      <c r="H46" s="264">
        <v>24.725014399999999</v>
      </c>
      <c r="I46" s="264">
        <v>41</v>
      </c>
      <c r="J46" s="264">
        <v>28.683155110000001</v>
      </c>
      <c r="K46" s="264">
        <v>39</v>
      </c>
      <c r="L46" s="264">
        <f>SUM(L47)</f>
        <v>30.698267000000001</v>
      </c>
      <c r="M46" s="264">
        <f>SUM(M47)</f>
        <v>7.3809046499999997</v>
      </c>
    </row>
    <row r="47" spans="1:13" s="240" customFormat="1" ht="11.25">
      <c r="A47" s="208">
        <v>6911</v>
      </c>
      <c r="B47" s="208" t="s">
        <v>1593</v>
      </c>
      <c r="C47" s="271">
        <v>1.649</v>
      </c>
      <c r="D47" s="265">
        <v>0.66717795000000002</v>
      </c>
      <c r="E47" s="265">
        <v>44</v>
      </c>
      <c r="F47" s="269">
        <v>94.936300529999997</v>
      </c>
      <c r="G47" s="265">
        <v>30.692106600000002</v>
      </c>
      <c r="H47" s="265">
        <v>24.725014399999999</v>
      </c>
      <c r="I47" s="265">
        <v>41</v>
      </c>
      <c r="J47" s="267">
        <v>28.683155110000001</v>
      </c>
      <c r="K47" s="267">
        <v>39.0298892</v>
      </c>
      <c r="L47" s="267">
        <v>30.698267000000001</v>
      </c>
      <c r="M47" s="267">
        <v>7.3809046499999997</v>
      </c>
    </row>
    <row r="48" spans="1:13" s="240" customFormat="1" ht="11.25">
      <c r="A48" s="208">
        <v>6912</v>
      </c>
      <c r="B48" s="208" t="s">
        <v>1261</v>
      </c>
      <c r="C48" s="277" t="s">
        <v>1229</v>
      </c>
      <c r="D48" s="275" t="s">
        <v>1229</v>
      </c>
      <c r="E48" s="275" t="s">
        <v>1229</v>
      </c>
      <c r="F48" s="269" t="s">
        <v>1229</v>
      </c>
      <c r="G48" s="275" t="s">
        <v>1229</v>
      </c>
      <c r="H48" s="275" t="s">
        <v>1229</v>
      </c>
      <c r="I48" s="275" t="s">
        <v>1229</v>
      </c>
      <c r="J48" s="269" t="s">
        <v>1229</v>
      </c>
      <c r="K48" s="269" t="s">
        <v>1229</v>
      </c>
      <c r="L48" s="269" t="s">
        <v>1229</v>
      </c>
      <c r="M48" s="269" t="s">
        <v>1229</v>
      </c>
    </row>
    <row r="49" spans="1:13" s="240" customFormat="1" ht="11.25">
      <c r="B49" s="286"/>
      <c r="C49" s="269"/>
      <c r="D49" s="269"/>
      <c r="E49" s="265"/>
      <c r="F49" s="269"/>
      <c r="G49" s="267"/>
      <c r="H49" s="267"/>
      <c r="I49" s="265"/>
      <c r="J49" s="266"/>
      <c r="K49" s="266"/>
      <c r="L49" s="266"/>
      <c r="M49" s="266"/>
    </row>
    <row r="50" spans="1:13" s="240" customFormat="1" ht="12" thickBot="1">
      <c r="A50" s="333" t="s">
        <v>1028</v>
      </c>
      <c r="B50" s="333"/>
      <c r="C50" s="318">
        <v>1130.0039999999999</v>
      </c>
      <c r="D50" s="318">
        <v>6771.3551717399996</v>
      </c>
      <c r="E50" s="318">
        <v>8228</v>
      </c>
      <c r="F50" s="318">
        <v>9612.7953597300002</v>
      </c>
      <c r="G50" s="318">
        <v>9295.8780880000013</v>
      </c>
      <c r="H50" s="318">
        <v>9030.6495528000014</v>
      </c>
      <c r="I50" s="318">
        <v>8485</v>
      </c>
      <c r="J50" s="318">
        <v>9306.9084435100012</v>
      </c>
      <c r="K50" s="318">
        <v>12016</v>
      </c>
      <c r="L50" s="318">
        <f>L46+L43+L38+L33+L28+L7</f>
        <v>11777.537189999999</v>
      </c>
      <c r="M50" s="318">
        <f>M46+M43+M38+M33+M28+M7</f>
        <v>12756.658913940002</v>
      </c>
    </row>
    <row r="51" spans="1:13" s="240" customFormat="1" ht="11.25">
      <c r="A51" s="240" t="s">
        <v>179</v>
      </c>
      <c r="K51" s="334"/>
      <c r="L51" s="334"/>
      <c r="M51" s="334"/>
    </row>
  </sheetData>
  <pageMargins left="0.7" right="0.7" top="0.75" bottom="0.75" header="0.3" footer="0.3"/>
  <pageSetup paperSize="9"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topLeftCell="A34" workbookViewId="0">
      <selection activeCell="F49" sqref="F49"/>
    </sheetView>
  </sheetViews>
  <sheetFormatPr defaultRowHeight="12.75"/>
  <cols>
    <col min="1" max="1" width="5.6640625" style="240" customWidth="1"/>
    <col min="2" max="2" width="53.33203125" style="240" customWidth="1"/>
    <col min="3" max="4" width="6.6640625" style="240" bestFit="1" customWidth="1"/>
    <col min="5" max="6" width="6.6640625" style="240" customWidth="1"/>
    <col min="7" max="7" width="7.33203125" style="240" bestFit="1" customWidth="1"/>
    <col min="8" max="8" width="6.6640625" style="240" customWidth="1"/>
    <col min="9" max="9" width="6.33203125" style="240" bestFit="1" customWidth="1"/>
    <col min="10" max="11" width="6.6640625" style="240" customWidth="1"/>
    <col min="12" max="14" width="9.33203125" style="240"/>
    <col min="15" max="16384" width="9.33203125" style="210"/>
  </cols>
  <sheetData>
    <row r="1" spans="1:14" ht="15.75">
      <c r="A1" s="237" t="s">
        <v>1782</v>
      </c>
      <c r="C1" s="237"/>
      <c r="D1" s="322"/>
      <c r="K1" s="210"/>
      <c r="L1" s="210"/>
      <c r="M1" s="210"/>
      <c r="N1" s="210"/>
    </row>
    <row r="2" spans="1:14" ht="15.75">
      <c r="A2" s="237" t="s">
        <v>1976</v>
      </c>
      <c r="C2" s="237"/>
      <c r="D2" s="322"/>
      <c r="K2" s="210"/>
      <c r="L2" s="210"/>
      <c r="M2" s="210"/>
      <c r="N2" s="210"/>
    </row>
    <row r="3" spans="1:14" ht="12.75" customHeight="1">
      <c r="A3" s="248" t="s">
        <v>1977</v>
      </c>
      <c r="C3" s="248"/>
      <c r="D3" s="322"/>
      <c r="K3" s="210"/>
      <c r="L3" s="210"/>
      <c r="M3" s="210"/>
      <c r="N3" s="210"/>
    </row>
    <row r="4" spans="1:14" ht="13.5" thickBot="1">
      <c r="B4" s="242"/>
      <c r="C4" s="327"/>
      <c r="D4" s="327"/>
      <c r="K4" s="210"/>
      <c r="L4" s="210"/>
      <c r="M4" s="210"/>
      <c r="N4" s="210"/>
    </row>
    <row r="5" spans="1:14" ht="13.5" thickBot="1">
      <c r="A5" s="245"/>
      <c r="B5" s="245"/>
      <c r="C5" s="245">
        <v>2006</v>
      </c>
      <c r="D5" s="245">
        <v>2007</v>
      </c>
      <c r="E5" s="245">
        <v>2008</v>
      </c>
      <c r="F5" s="245">
        <v>2009</v>
      </c>
      <c r="G5" s="245">
        <v>2010</v>
      </c>
      <c r="H5" s="245">
        <v>2011</v>
      </c>
      <c r="I5" s="245">
        <v>2012</v>
      </c>
      <c r="J5" s="245">
        <v>2013</v>
      </c>
      <c r="K5" s="245">
        <v>2014</v>
      </c>
      <c r="L5" s="210"/>
      <c r="M5" s="210"/>
      <c r="N5" s="210"/>
    </row>
    <row r="6" spans="1:14">
      <c r="B6" s="248"/>
      <c r="C6" s="250"/>
      <c r="D6" s="250"/>
      <c r="E6" s="250"/>
      <c r="F6" s="250"/>
      <c r="K6" s="210"/>
      <c r="L6" s="210"/>
      <c r="M6" s="210"/>
      <c r="N6" s="210"/>
    </row>
    <row r="7" spans="1:14">
      <c r="A7" s="218">
        <v>6100</v>
      </c>
      <c r="B7" s="218" t="s">
        <v>1591</v>
      </c>
      <c r="C7" s="283">
        <f>SUM(C9:C22)</f>
        <v>9088</v>
      </c>
      <c r="D7" s="283">
        <f>SUM(D9:D22)</f>
        <v>10111</v>
      </c>
      <c r="E7" s="283">
        <f>SUM(E9:E22)</f>
        <v>9117</v>
      </c>
      <c r="F7" s="283">
        <f>SUM(F9:F22)</f>
        <v>9199.7551106900009</v>
      </c>
      <c r="G7" s="283">
        <v>10229.53126125</v>
      </c>
      <c r="H7" s="283">
        <v>8671.2212936699998</v>
      </c>
      <c r="I7" s="283">
        <v>8459.23115263</v>
      </c>
      <c r="J7" s="283">
        <v>7452.6973214</v>
      </c>
      <c r="K7" s="589">
        <v>8110.2087213200002</v>
      </c>
      <c r="L7" s="210"/>
      <c r="M7" s="210"/>
      <c r="N7" s="210"/>
    </row>
    <row r="8" spans="1:14">
      <c r="A8" s="293">
        <v>6110</v>
      </c>
      <c r="B8" s="293" t="s">
        <v>1594</v>
      </c>
      <c r="C8" s="329">
        <f t="shared" ref="C8:H8" si="0">SUM(C9:C17)</f>
        <v>8692</v>
      </c>
      <c r="D8" s="329">
        <f t="shared" si="0"/>
        <v>9573</v>
      </c>
      <c r="E8" s="329">
        <f t="shared" si="0"/>
        <v>8871</v>
      </c>
      <c r="F8" s="329">
        <f t="shared" si="0"/>
        <v>9181.7551106900009</v>
      </c>
      <c r="G8" s="329">
        <f t="shared" si="0"/>
        <v>10229.531261250002</v>
      </c>
      <c r="H8" s="329">
        <f t="shared" si="0"/>
        <v>6170.0994695199988</v>
      </c>
      <c r="I8" s="329">
        <v>5895.3403184999997</v>
      </c>
      <c r="J8" s="329">
        <v>5850.4905915599993</v>
      </c>
      <c r="K8" s="590">
        <v>6164.8796999900005</v>
      </c>
      <c r="L8" s="210"/>
      <c r="M8" s="210"/>
      <c r="N8" s="210"/>
    </row>
    <row r="9" spans="1:14">
      <c r="A9" s="208">
        <v>6111</v>
      </c>
      <c r="B9" s="208" t="s">
        <v>813</v>
      </c>
      <c r="C9" s="267">
        <v>5469</v>
      </c>
      <c r="D9" s="267">
        <v>5689</v>
      </c>
      <c r="E9" s="267">
        <v>6276</v>
      </c>
      <c r="F9" s="221">
        <v>6663.3066878899999</v>
      </c>
      <c r="G9" s="330">
        <v>6826.5360324200001</v>
      </c>
      <c r="H9" s="330">
        <v>6028.5244928699994</v>
      </c>
      <c r="I9" s="330">
        <v>5608.4207723600002</v>
      </c>
      <c r="J9" s="330">
        <v>5670.6366238399996</v>
      </c>
      <c r="K9" s="591">
        <v>5859.4301620200004</v>
      </c>
      <c r="L9" s="210"/>
      <c r="M9" s="210"/>
      <c r="N9" s="210"/>
    </row>
    <row r="10" spans="1:14">
      <c r="A10" s="208">
        <v>6112</v>
      </c>
      <c r="B10" s="208" t="s">
        <v>814</v>
      </c>
      <c r="C10" s="267">
        <v>2</v>
      </c>
      <c r="D10" s="592" t="s">
        <v>1229</v>
      </c>
      <c r="E10" s="592" t="s">
        <v>1229</v>
      </c>
      <c r="F10" s="592" t="s">
        <v>1229</v>
      </c>
      <c r="G10" s="592" t="s">
        <v>1229</v>
      </c>
      <c r="H10" s="592" t="s">
        <v>1229</v>
      </c>
      <c r="I10" s="592" t="s">
        <v>1229</v>
      </c>
      <c r="J10" s="592" t="s">
        <v>1229</v>
      </c>
      <c r="K10" s="592" t="s">
        <v>1229</v>
      </c>
      <c r="L10" s="210"/>
      <c r="M10" s="210"/>
      <c r="N10" s="210"/>
    </row>
    <row r="11" spans="1:14">
      <c r="A11" s="208">
        <v>6113</v>
      </c>
      <c r="B11" s="208" t="s">
        <v>815</v>
      </c>
      <c r="C11" s="267">
        <v>162</v>
      </c>
      <c r="D11" s="267">
        <v>132</v>
      </c>
      <c r="E11" s="267">
        <v>126</v>
      </c>
      <c r="F11" s="221">
        <v>166.60782977</v>
      </c>
      <c r="G11" s="330">
        <v>217.15968315000001</v>
      </c>
      <c r="H11" s="330">
        <v>134.79685325999998</v>
      </c>
      <c r="I11" s="330">
        <v>150.56565255000001</v>
      </c>
      <c r="J11" s="330">
        <v>98.01899177</v>
      </c>
      <c r="K11" s="591">
        <v>124.13801932000001</v>
      </c>
      <c r="L11" s="210"/>
      <c r="M11" s="210"/>
      <c r="N11" s="210"/>
    </row>
    <row r="12" spans="1:14">
      <c r="A12" s="208">
        <v>6114</v>
      </c>
      <c r="B12" s="208" t="s">
        <v>816</v>
      </c>
      <c r="C12" s="267">
        <v>600</v>
      </c>
      <c r="D12" s="267">
        <v>249</v>
      </c>
      <c r="E12" s="267">
        <v>106</v>
      </c>
      <c r="F12" s="221">
        <v>210.08966674999999</v>
      </c>
      <c r="G12" s="330">
        <v>55.866145090000003</v>
      </c>
      <c r="H12" s="330">
        <v>0.91914594999999999</v>
      </c>
      <c r="I12" s="330">
        <v>0.57007744999999999</v>
      </c>
      <c r="J12" s="330">
        <v>5.0104999999999995E-4</v>
      </c>
      <c r="K12" s="592" t="s">
        <v>1229</v>
      </c>
      <c r="L12" s="210"/>
      <c r="M12" s="210"/>
      <c r="N12" s="210"/>
    </row>
    <row r="13" spans="1:14">
      <c r="A13" s="208">
        <v>6115</v>
      </c>
      <c r="B13" s="208" t="s">
        <v>817</v>
      </c>
      <c r="C13" s="267">
        <v>737</v>
      </c>
      <c r="D13" s="267">
        <v>1035</v>
      </c>
      <c r="E13" s="267">
        <v>325</v>
      </c>
      <c r="F13" s="221">
        <v>308.99158084999999</v>
      </c>
      <c r="G13" s="330">
        <v>346.99962829000003</v>
      </c>
      <c r="H13" s="330">
        <v>306.59993889999998</v>
      </c>
      <c r="I13" s="330">
        <v>312.07148629</v>
      </c>
      <c r="J13" s="330">
        <v>-8.5467009999999996E-2</v>
      </c>
      <c r="K13" s="591">
        <v>-7.4000899999999998E-3</v>
      </c>
      <c r="L13" s="210"/>
      <c r="M13" s="210"/>
      <c r="N13" s="210"/>
    </row>
    <row r="14" spans="1:14">
      <c r="A14" s="208">
        <v>6116</v>
      </c>
      <c r="B14" s="208" t="s">
        <v>818</v>
      </c>
      <c r="C14" s="267">
        <v>72</v>
      </c>
      <c r="D14" s="267">
        <v>-82</v>
      </c>
      <c r="E14" s="267">
        <v>20</v>
      </c>
      <c r="F14" s="221">
        <v>6.74412637</v>
      </c>
      <c r="G14" s="330">
        <v>107.24365197</v>
      </c>
      <c r="H14" s="330">
        <v>-75.204898220000018</v>
      </c>
      <c r="I14" s="330">
        <v>62.691011070000002</v>
      </c>
      <c r="J14" s="330">
        <v>8.3663475099999989</v>
      </c>
      <c r="K14" s="592" t="s">
        <v>1229</v>
      </c>
      <c r="L14" s="210"/>
      <c r="M14" s="210"/>
      <c r="N14" s="210"/>
    </row>
    <row r="15" spans="1:14">
      <c r="A15" s="208">
        <v>6117</v>
      </c>
      <c r="B15" s="208" t="s">
        <v>1620</v>
      </c>
      <c r="C15" s="267">
        <v>1531</v>
      </c>
      <c r="D15" s="267">
        <v>-17</v>
      </c>
      <c r="E15" s="267">
        <v>-5</v>
      </c>
      <c r="F15" s="221">
        <v>-2.9745955099999999</v>
      </c>
      <c r="G15" s="330">
        <v>-1.67277528</v>
      </c>
      <c r="H15" s="592" t="s">
        <v>1229</v>
      </c>
      <c r="I15" s="592" t="s">
        <v>1229</v>
      </c>
      <c r="J15" s="592" t="s">
        <v>1229</v>
      </c>
      <c r="K15" s="592" t="s">
        <v>1229</v>
      </c>
      <c r="L15" s="210"/>
      <c r="M15" s="210"/>
      <c r="N15" s="210"/>
    </row>
    <row r="16" spans="1:14">
      <c r="A16" s="208">
        <v>6118</v>
      </c>
      <c r="B16" s="208" t="s">
        <v>1132</v>
      </c>
      <c r="C16" s="269" t="s">
        <v>1229</v>
      </c>
      <c r="D16" s="267">
        <v>2686</v>
      </c>
      <c r="E16" s="267">
        <v>1807</v>
      </c>
      <c r="F16" s="221">
        <v>1106.3892191100001</v>
      </c>
      <c r="G16" s="330">
        <v>2884.19138045</v>
      </c>
      <c r="H16" s="592" t="s">
        <v>1229</v>
      </c>
      <c r="I16" s="592" t="s">
        <v>1229</v>
      </c>
      <c r="J16" s="592" t="s">
        <v>1229</v>
      </c>
      <c r="K16" s="592" t="s">
        <v>1229</v>
      </c>
      <c r="L16" s="210"/>
      <c r="M16" s="210"/>
      <c r="N16" s="210"/>
    </row>
    <row r="17" spans="1:14">
      <c r="A17" s="208">
        <v>6119</v>
      </c>
      <c r="B17" s="208" t="s">
        <v>1595</v>
      </c>
      <c r="C17" s="275">
        <v>119</v>
      </c>
      <c r="D17" s="275">
        <v>-119</v>
      </c>
      <c r="E17" s="275">
        <v>216</v>
      </c>
      <c r="F17" s="221">
        <v>722.60059546000002</v>
      </c>
      <c r="G17" s="330">
        <v>-206.79248484000001</v>
      </c>
      <c r="H17" s="330">
        <v>-225.53606323999998</v>
      </c>
      <c r="I17" s="330">
        <v>-238.97868122</v>
      </c>
      <c r="J17" s="330">
        <v>73.553594400000009</v>
      </c>
      <c r="K17" s="591">
        <v>181.31891873999999</v>
      </c>
      <c r="L17" s="210"/>
      <c r="M17" s="210"/>
      <c r="N17" s="210"/>
    </row>
    <row r="18" spans="1:14">
      <c r="A18" s="293">
        <v>6120</v>
      </c>
      <c r="B18" s="293" t="s">
        <v>1628</v>
      </c>
      <c r="C18" s="331">
        <f t="shared" ref="C18:H18" si="1">SUM(C19:C26)</f>
        <v>198</v>
      </c>
      <c r="D18" s="331">
        <f t="shared" si="1"/>
        <v>269</v>
      </c>
      <c r="E18" s="331">
        <f t="shared" si="1"/>
        <v>123</v>
      </c>
      <c r="F18" s="331">
        <f t="shared" si="1"/>
        <v>9</v>
      </c>
      <c r="G18" s="331">
        <f t="shared" si="1"/>
        <v>0</v>
      </c>
      <c r="H18" s="331">
        <f t="shared" si="1"/>
        <v>2501.1218241500001</v>
      </c>
      <c r="I18" s="331">
        <v>2563.8908341300003</v>
      </c>
      <c r="J18" s="331">
        <v>1602.20672984</v>
      </c>
      <c r="K18" s="590">
        <v>1945.3290213299999</v>
      </c>
      <c r="L18" s="210"/>
      <c r="M18" s="210"/>
      <c r="N18" s="210"/>
    </row>
    <row r="19" spans="1:14" ht="12.75" customHeight="1">
      <c r="A19" s="235">
        <v>6121</v>
      </c>
      <c r="B19" s="297" t="s">
        <v>1597</v>
      </c>
      <c r="C19" s="266"/>
      <c r="D19" s="266"/>
      <c r="E19" s="266"/>
      <c r="F19" s="266"/>
      <c r="H19" s="272"/>
      <c r="I19" s="272"/>
      <c r="J19" s="272"/>
      <c r="K19" s="593"/>
      <c r="L19" s="210"/>
      <c r="M19" s="210"/>
      <c r="N19" s="210"/>
    </row>
    <row r="20" spans="1:14" ht="12.75" customHeight="1">
      <c r="A20" s="235"/>
      <c r="B20" s="208" t="s">
        <v>1598</v>
      </c>
      <c r="C20" s="275">
        <v>0</v>
      </c>
      <c r="D20" s="275">
        <v>0</v>
      </c>
      <c r="E20" s="275" t="s">
        <v>1229</v>
      </c>
      <c r="F20" s="275" t="s">
        <v>1229</v>
      </c>
      <c r="G20" s="275" t="s">
        <v>1229</v>
      </c>
      <c r="H20" s="275" t="s">
        <v>1229</v>
      </c>
      <c r="I20" s="275" t="s">
        <v>1229</v>
      </c>
      <c r="J20" s="275" t="s">
        <v>1229</v>
      </c>
      <c r="K20" s="592" t="s">
        <v>1229</v>
      </c>
      <c r="L20" s="210"/>
      <c r="M20" s="210"/>
      <c r="N20" s="210"/>
    </row>
    <row r="21" spans="1:14" ht="12.75" customHeight="1">
      <c r="A21" s="235">
        <v>6122</v>
      </c>
      <c r="B21" s="297" t="s">
        <v>1597</v>
      </c>
      <c r="C21" s="266"/>
      <c r="D21" s="266"/>
      <c r="E21" s="266"/>
      <c r="F21" s="266"/>
      <c r="H21" s="272"/>
      <c r="I21" s="272"/>
      <c r="J21" s="272"/>
      <c r="K21" s="591"/>
      <c r="L21" s="210"/>
      <c r="M21" s="210"/>
      <c r="N21" s="210"/>
    </row>
    <row r="22" spans="1:14">
      <c r="A22" s="235"/>
      <c r="B22" s="208" t="s">
        <v>1599</v>
      </c>
      <c r="C22" s="267">
        <v>198</v>
      </c>
      <c r="D22" s="267">
        <v>269</v>
      </c>
      <c r="E22" s="267">
        <v>123</v>
      </c>
      <c r="F22" s="267">
        <v>9</v>
      </c>
      <c r="G22" s="240">
        <v>0</v>
      </c>
      <c r="H22" s="272">
        <v>-19.504959579999998</v>
      </c>
      <c r="I22" s="272">
        <v>0</v>
      </c>
      <c r="J22" s="272">
        <v>0</v>
      </c>
      <c r="K22" s="592" t="s">
        <v>1229</v>
      </c>
      <c r="L22" s="210"/>
      <c r="M22" s="210"/>
      <c r="N22" s="210"/>
    </row>
    <row r="23" spans="1:14" ht="15">
      <c r="A23" s="235">
        <v>6123</v>
      </c>
      <c r="B23" s="297" t="s">
        <v>1600</v>
      </c>
      <c r="C23" s="267"/>
      <c r="D23" s="267"/>
      <c r="E23" s="267"/>
      <c r="F23" s="267"/>
      <c r="H23" s="272"/>
      <c r="I23" s="272"/>
      <c r="J23" s="272"/>
      <c r="K23" s="594"/>
      <c r="L23" s="210"/>
      <c r="M23" s="210"/>
      <c r="N23" s="210"/>
    </row>
    <row r="24" spans="1:14">
      <c r="A24" s="235"/>
      <c r="B24" s="297" t="s">
        <v>1599</v>
      </c>
      <c r="C24" s="277" t="s">
        <v>1229</v>
      </c>
      <c r="D24" s="277" t="s">
        <v>1229</v>
      </c>
      <c r="E24" s="277" t="s">
        <v>1229</v>
      </c>
      <c r="F24" s="277" t="s">
        <v>1229</v>
      </c>
      <c r="G24" s="277" t="s">
        <v>1229</v>
      </c>
      <c r="H24" s="269">
        <v>-1.17838208</v>
      </c>
      <c r="I24" s="269">
        <v>-0.53632957999999997</v>
      </c>
      <c r="J24" s="269">
        <v>-0.88432809000000001</v>
      </c>
      <c r="K24" s="590">
        <v>-0.47991212999999999</v>
      </c>
      <c r="L24" s="210"/>
      <c r="M24" s="210"/>
      <c r="N24" s="210"/>
    </row>
    <row r="25" spans="1:14" ht="12.75" customHeight="1">
      <c r="A25" s="235">
        <v>6124</v>
      </c>
      <c r="B25" s="297" t="s">
        <v>1601</v>
      </c>
      <c r="C25" s="267"/>
      <c r="D25" s="267"/>
      <c r="E25" s="267"/>
      <c r="F25" s="267"/>
      <c r="H25" s="272"/>
      <c r="I25" s="272"/>
      <c r="J25" s="272"/>
      <c r="K25" s="594"/>
      <c r="L25" s="210"/>
      <c r="M25" s="210"/>
      <c r="N25" s="210"/>
    </row>
    <row r="26" spans="1:14">
      <c r="A26" s="235"/>
      <c r="B26" s="297" t="s">
        <v>1602</v>
      </c>
      <c r="C26" s="277" t="s">
        <v>1229</v>
      </c>
      <c r="D26" s="277" t="s">
        <v>1229</v>
      </c>
      <c r="E26" s="277" t="s">
        <v>1229</v>
      </c>
      <c r="F26" s="277" t="s">
        <v>1229</v>
      </c>
      <c r="G26" s="277" t="s">
        <v>1229</v>
      </c>
      <c r="H26" s="269">
        <v>2521.8051658100003</v>
      </c>
      <c r="I26" s="269">
        <v>2564.4271637100001</v>
      </c>
      <c r="J26" s="269">
        <v>1603.0910579299998</v>
      </c>
      <c r="K26" s="591">
        <v>1945.8089334599999</v>
      </c>
      <c r="L26" s="210"/>
      <c r="M26" s="210"/>
      <c r="N26" s="210"/>
    </row>
    <row r="27" spans="1:14" ht="22.5">
      <c r="A27" s="595">
        <v>6125</v>
      </c>
      <c r="B27" s="596" t="s">
        <v>1601</v>
      </c>
      <c r="C27" s="277"/>
      <c r="D27" s="277"/>
      <c r="E27" s="277"/>
      <c r="F27" s="277"/>
      <c r="G27" s="277"/>
      <c r="H27" s="269"/>
      <c r="I27" s="269"/>
      <c r="J27" s="269"/>
      <c r="K27" s="591"/>
      <c r="L27" s="210"/>
      <c r="M27" s="210"/>
      <c r="N27" s="210"/>
    </row>
    <row r="28" spans="1:14" ht="15">
      <c r="A28" s="594"/>
      <c r="B28" s="596" t="s">
        <v>1962</v>
      </c>
      <c r="C28" s="592"/>
      <c r="D28" s="592"/>
      <c r="E28" s="592"/>
      <c r="F28" s="592"/>
      <c r="G28" s="592"/>
      <c r="H28" s="592"/>
      <c r="I28" s="592"/>
      <c r="J28" s="592"/>
      <c r="K28" s="592" t="s">
        <v>1229</v>
      </c>
      <c r="L28" s="210"/>
      <c r="M28" s="210"/>
      <c r="N28" s="210"/>
    </row>
    <row r="29" spans="1:14" ht="15">
      <c r="B29" s="276"/>
      <c r="C29" s="266"/>
      <c r="D29" s="266"/>
      <c r="E29" s="266"/>
      <c r="F29" s="266"/>
      <c r="H29" s="272"/>
      <c r="I29" s="272"/>
      <c r="J29" s="272"/>
      <c r="K29" s="594"/>
      <c r="L29" s="210"/>
      <c r="M29" s="210"/>
      <c r="N29" s="210"/>
    </row>
    <row r="30" spans="1:14">
      <c r="A30" s="218">
        <v>6200</v>
      </c>
      <c r="B30" s="218" t="s">
        <v>1592</v>
      </c>
      <c r="C30" s="283">
        <f>SUM(C31:C32)</f>
        <v>76</v>
      </c>
      <c r="D30" s="283">
        <f>SUM(D31:D33)</f>
        <v>90</v>
      </c>
      <c r="E30" s="283">
        <f>SUM(E31:E33)</f>
        <v>94</v>
      </c>
      <c r="F30" s="283">
        <f>SUM(F31:F33)</f>
        <v>69.959134830000011</v>
      </c>
      <c r="G30" s="332">
        <v>101.78873509</v>
      </c>
      <c r="H30" s="332">
        <v>49.648473609999996</v>
      </c>
      <c r="I30" s="332">
        <v>2.2572610000000002</v>
      </c>
      <c r="J30" s="332">
        <v>93.519561469999999</v>
      </c>
      <c r="K30" s="589">
        <v>38.158289860000004</v>
      </c>
      <c r="L30" s="210"/>
      <c r="M30" s="210"/>
      <c r="N30" s="210"/>
    </row>
    <row r="31" spans="1:14">
      <c r="A31" s="208">
        <v>6211</v>
      </c>
      <c r="B31" s="208" t="s">
        <v>1603</v>
      </c>
      <c r="C31" s="275">
        <v>-1</v>
      </c>
      <c r="D31" s="275">
        <v>0</v>
      </c>
      <c r="E31" s="275">
        <v>0</v>
      </c>
      <c r="F31" s="275" t="s">
        <v>1229</v>
      </c>
      <c r="G31" s="330">
        <v>0</v>
      </c>
      <c r="H31" s="330">
        <v>0</v>
      </c>
      <c r="I31" s="330"/>
      <c r="J31" s="330">
        <v>0</v>
      </c>
      <c r="K31" s="592" t="s">
        <v>1229</v>
      </c>
      <c r="L31" s="210"/>
      <c r="M31" s="210"/>
      <c r="N31" s="210"/>
    </row>
    <row r="32" spans="1:14">
      <c r="A32" s="208">
        <v>6212</v>
      </c>
      <c r="B32" s="208" t="s">
        <v>1604</v>
      </c>
      <c r="C32" s="267">
        <v>77</v>
      </c>
      <c r="D32" s="267">
        <v>90</v>
      </c>
      <c r="E32" s="267">
        <v>58</v>
      </c>
      <c r="F32" s="267">
        <v>24.62275726</v>
      </c>
      <c r="G32" s="330">
        <v>0</v>
      </c>
      <c r="H32" s="330">
        <v>0</v>
      </c>
      <c r="I32" s="330"/>
      <c r="J32" s="330">
        <v>0</v>
      </c>
      <c r="K32" s="591">
        <v>-12.331255199999998</v>
      </c>
      <c r="L32" s="210"/>
      <c r="M32" s="210"/>
      <c r="N32" s="210"/>
    </row>
    <row r="33" spans="1:14">
      <c r="A33" s="208">
        <v>6213</v>
      </c>
      <c r="B33" s="208" t="s">
        <v>1605</v>
      </c>
      <c r="C33" s="269" t="s">
        <v>1229</v>
      </c>
      <c r="D33" s="267">
        <v>0</v>
      </c>
      <c r="E33" s="267">
        <v>36</v>
      </c>
      <c r="F33" s="267">
        <v>45.336377570000003</v>
      </c>
      <c r="G33" s="330">
        <v>101.78873509</v>
      </c>
      <c r="H33" s="330">
        <v>49.648473609999996</v>
      </c>
      <c r="I33" s="330">
        <v>2.2572610000000002</v>
      </c>
      <c r="J33" s="330">
        <v>93.519561469999999</v>
      </c>
      <c r="K33" s="591">
        <v>50.489545060000005</v>
      </c>
      <c r="L33" s="210"/>
      <c r="M33" s="210"/>
      <c r="N33" s="210"/>
    </row>
    <row r="34" spans="1:14">
      <c r="A34" s="597">
        <v>6214</v>
      </c>
      <c r="B34" s="597" t="s">
        <v>1963</v>
      </c>
      <c r="C34" s="269"/>
      <c r="D34" s="267"/>
      <c r="E34" s="267"/>
      <c r="F34" s="267"/>
      <c r="G34" s="330"/>
      <c r="H34" s="330"/>
      <c r="I34" s="330"/>
      <c r="J34" s="330"/>
      <c r="K34" s="591">
        <v>0</v>
      </c>
      <c r="L34" s="210"/>
      <c r="M34" s="210"/>
      <c r="N34" s="210"/>
    </row>
    <row r="35" spans="1:14">
      <c r="B35" s="276"/>
      <c r="C35" s="266"/>
      <c r="D35" s="266"/>
      <c r="E35" s="266"/>
      <c r="F35" s="266"/>
      <c r="H35" s="272"/>
      <c r="I35" s="272"/>
      <c r="J35" s="272"/>
      <c r="K35" s="598"/>
      <c r="L35" s="210"/>
      <c r="M35" s="210"/>
      <c r="N35" s="210"/>
    </row>
    <row r="36" spans="1:14">
      <c r="A36" s="218">
        <v>6300</v>
      </c>
      <c r="B36" s="218" t="s">
        <v>1606</v>
      </c>
      <c r="C36" s="283">
        <f>SUM(C37:C38)</f>
        <v>1212</v>
      </c>
      <c r="D36" s="283">
        <f>SUM(D37:D39)</f>
        <v>1131</v>
      </c>
      <c r="E36" s="283">
        <f>SUM(E37:E39)</f>
        <v>464</v>
      </c>
      <c r="F36" s="283">
        <f>SUM(F37:F39)</f>
        <v>1314.7310502500002</v>
      </c>
      <c r="G36" s="332">
        <v>872.20769972999983</v>
      </c>
      <c r="H36" s="332">
        <v>1844.4201824099998</v>
      </c>
      <c r="I36" s="332">
        <v>1002.4597951600001</v>
      </c>
      <c r="J36" s="332">
        <v>1291.7142867</v>
      </c>
      <c r="K36" s="589">
        <v>1395.21899992</v>
      </c>
      <c r="L36" s="210"/>
      <c r="M36" s="210"/>
      <c r="N36" s="210"/>
    </row>
    <row r="37" spans="1:14">
      <c r="A37" s="208">
        <v>6311</v>
      </c>
      <c r="B37" s="208" t="s">
        <v>1607</v>
      </c>
      <c r="C37" s="267">
        <v>0</v>
      </c>
      <c r="D37" s="267">
        <v>0</v>
      </c>
      <c r="E37" s="267">
        <v>0</v>
      </c>
      <c r="F37" s="275" t="s">
        <v>1229</v>
      </c>
      <c r="G37" s="330">
        <v>0</v>
      </c>
      <c r="H37" s="330">
        <v>0</v>
      </c>
      <c r="I37" s="330"/>
      <c r="J37" s="330">
        <v>0</v>
      </c>
      <c r="K37" s="592" t="s">
        <v>1229</v>
      </c>
      <c r="L37" s="210"/>
      <c r="M37" s="210"/>
      <c r="N37" s="210"/>
    </row>
    <row r="38" spans="1:14">
      <c r="A38" s="208">
        <v>6312</v>
      </c>
      <c r="B38" s="208" t="s">
        <v>1608</v>
      </c>
      <c r="C38" s="267">
        <v>1212</v>
      </c>
      <c r="D38" s="267">
        <v>949</v>
      </c>
      <c r="E38" s="267">
        <v>192</v>
      </c>
      <c r="F38" s="267">
        <v>57.945958229999995</v>
      </c>
      <c r="G38" s="330">
        <v>3.0072776700000001</v>
      </c>
      <c r="H38" s="330">
        <v>65.277078290000006</v>
      </c>
      <c r="I38" s="330">
        <v>10.598967590000001</v>
      </c>
      <c r="J38" s="330">
        <v>0</v>
      </c>
      <c r="K38" s="592" t="s">
        <v>1229</v>
      </c>
      <c r="L38" s="210"/>
      <c r="M38" s="210"/>
      <c r="N38" s="210"/>
    </row>
    <row r="39" spans="1:14">
      <c r="A39" s="208">
        <v>6313</v>
      </c>
      <c r="B39" s="208" t="s">
        <v>1609</v>
      </c>
      <c r="C39" s="269" t="s">
        <v>1229</v>
      </c>
      <c r="D39" s="267">
        <v>182</v>
      </c>
      <c r="E39" s="267">
        <v>272</v>
      </c>
      <c r="F39" s="267">
        <v>1256.7850920200001</v>
      </c>
      <c r="G39" s="330">
        <v>869.20042205999994</v>
      </c>
      <c r="H39" s="330">
        <v>1779.1431041199999</v>
      </c>
      <c r="I39" s="330">
        <v>991.86082757000008</v>
      </c>
      <c r="J39" s="330">
        <v>1291.7142867</v>
      </c>
      <c r="K39" s="591">
        <v>1330.8243342900003</v>
      </c>
      <c r="L39" s="210"/>
      <c r="M39" s="210"/>
      <c r="N39" s="210"/>
    </row>
    <row r="40" spans="1:14">
      <c r="A40" s="597">
        <v>6314</v>
      </c>
      <c r="B40" s="597" t="s">
        <v>1964</v>
      </c>
      <c r="C40" s="266"/>
      <c r="D40" s="266"/>
      <c r="E40" s="266"/>
      <c r="F40" s="266"/>
      <c r="H40" s="272"/>
      <c r="I40" s="272"/>
      <c r="J40" s="272"/>
      <c r="K40" s="591">
        <v>64.394665630000006</v>
      </c>
      <c r="L40" s="210"/>
      <c r="M40" s="210"/>
      <c r="N40" s="210"/>
    </row>
    <row r="41" spans="1:14" ht="15">
      <c r="B41" s="276"/>
      <c r="C41" s="266"/>
      <c r="D41" s="266"/>
      <c r="E41" s="266"/>
      <c r="F41" s="266"/>
      <c r="H41" s="272"/>
      <c r="I41" s="272"/>
      <c r="J41" s="272"/>
      <c r="K41" s="594"/>
      <c r="L41" s="210"/>
      <c r="M41" s="210"/>
      <c r="N41" s="210"/>
    </row>
    <row r="42" spans="1:14">
      <c r="A42" s="218">
        <v>6400</v>
      </c>
      <c r="B42" s="218" t="s">
        <v>1610</v>
      </c>
      <c r="C42" s="264">
        <f>SUM(C43:C44)</f>
        <v>1271</v>
      </c>
      <c r="D42" s="264">
        <f>SUM(D43:D45)</f>
        <v>1632</v>
      </c>
      <c r="E42" s="264">
        <f>SUM(E43:E45)</f>
        <v>870</v>
      </c>
      <c r="F42" s="264">
        <f>SUM(F43:F45)</f>
        <v>357.93367243</v>
      </c>
      <c r="G42" s="332">
        <v>1151.11168202</v>
      </c>
      <c r="H42" s="332">
        <v>1188.3085359499996</v>
      </c>
      <c r="I42" s="332">
        <v>-0.66934901999999996</v>
      </c>
      <c r="J42" s="332">
        <v>841.86833437000007</v>
      </c>
      <c r="K42" s="589">
        <v>1981.6928879700001</v>
      </c>
      <c r="L42" s="210"/>
      <c r="M42" s="210"/>
      <c r="N42" s="210"/>
    </row>
    <row r="43" spans="1:14">
      <c r="A43" s="208">
        <v>6411</v>
      </c>
      <c r="B43" s="208" t="s">
        <v>1611</v>
      </c>
      <c r="C43" s="267">
        <v>0</v>
      </c>
      <c r="D43" s="267">
        <v>0</v>
      </c>
      <c r="E43" s="269" t="s">
        <v>1229</v>
      </c>
      <c r="F43" s="269" t="s">
        <v>1229</v>
      </c>
      <c r="G43" s="330">
        <v>0</v>
      </c>
      <c r="H43" s="330">
        <v>0</v>
      </c>
      <c r="I43" s="330"/>
      <c r="J43" s="330">
        <v>0</v>
      </c>
      <c r="K43" s="592" t="s">
        <v>1229</v>
      </c>
      <c r="L43" s="210"/>
      <c r="M43" s="210"/>
      <c r="N43" s="210"/>
    </row>
    <row r="44" spans="1:14">
      <c r="A44" s="208">
        <v>6412</v>
      </c>
      <c r="B44" s="208" t="s">
        <v>1612</v>
      </c>
      <c r="C44" s="267">
        <v>1271</v>
      </c>
      <c r="D44" s="267">
        <v>1504</v>
      </c>
      <c r="E44" s="267">
        <v>675</v>
      </c>
      <c r="F44" s="267">
        <v>102.07299164999999</v>
      </c>
      <c r="G44" s="330">
        <v>0</v>
      </c>
      <c r="H44" s="330">
        <v>23.235991579999997</v>
      </c>
      <c r="I44" s="330">
        <v>-0.66934901999999996</v>
      </c>
      <c r="J44" s="330">
        <v>-25.719173009999999</v>
      </c>
      <c r="K44" s="591">
        <v>0</v>
      </c>
      <c r="L44" s="210"/>
      <c r="M44" s="210"/>
      <c r="N44" s="210"/>
    </row>
    <row r="45" spans="1:14">
      <c r="A45" s="208">
        <v>6413</v>
      </c>
      <c r="B45" s="208" t="s">
        <v>1613</v>
      </c>
      <c r="C45" s="277" t="s">
        <v>1229</v>
      </c>
      <c r="D45" s="267">
        <v>128</v>
      </c>
      <c r="E45" s="267">
        <v>195</v>
      </c>
      <c r="F45" s="267">
        <v>255.86068078</v>
      </c>
      <c r="G45" s="330">
        <v>1151.11168202</v>
      </c>
      <c r="H45" s="330">
        <v>1165.0725443699998</v>
      </c>
      <c r="I45" s="277" t="s">
        <v>1229</v>
      </c>
      <c r="J45" s="330">
        <v>867.58750737999992</v>
      </c>
      <c r="K45" s="591">
        <v>1908.6157435699999</v>
      </c>
      <c r="L45" s="210"/>
      <c r="M45" s="210"/>
      <c r="N45" s="210"/>
    </row>
    <row r="46" spans="1:14">
      <c r="A46" s="597">
        <v>6414</v>
      </c>
      <c r="B46" s="597" t="s">
        <v>1965</v>
      </c>
      <c r="C46" s="266"/>
      <c r="D46" s="266"/>
      <c r="E46" s="266"/>
      <c r="F46" s="266"/>
      <c r="H46" s="272"/>
      <c r="I46" s="272"/>
      <c r="J46" s="272"/>
      <c r="K46" s="591">
        <v>73.077144400000009</v>
      </c>
      <c r="L46" s="210"/>
      <c r="M46" s="210"/>
      <c r="N46" s="210"/>
    </row>
    <row r="47" spans="1:14">
      <c r="B47" s="261"/>
      <c r="C47" s="266"/>
      <c r="D47" s="266"/>
      <c r="E47" s="266"/>
      <c r="F47" s="266"/>
      <c r="H47" s="272"/>
      <c r="I47" s="272"/>
      <c r="J47" s="272"/>
      <c r="K47" s="598"/>
      <c r="L47" s="210"/>
      <c r="M47" s="210"/>
      <c r="N47" s="210"/>
    </row>
    <row r="48" spans="1:14">
      <c r="A48" s="218">
        <v>6500</v>
      </c>
      <c r="B48" s="218" t="s">
        <v>38</v>
      </c>
      <c r="C48" s="264">
        <f>SUM(C49)</f>
        <v>194</v>
      </c>
      <c r="D48" s="264">
        <f>SUM(D49)</f>
        <v>187</v>
      </c>
      <c r="E48" s="264">
        <f>SUM(E49)</f>
        <v>348</v>
      </c>
      <c r="F48" s="264">
        <f>SUM(F49)</f>
        <v>470</v>
      </c>
      <c r="G48" s="332">
        <v>391.36046470999997</v>
      </c>
      <c r="H48" s="332">
        <v>419.37499283</v>
      </c>
      <c r="I48" s="332">
        <v>211.90867746999999</v>
      </c>
      <c r="J48" s="332">
        <v>393.44757353</v>
      </c>
      <c r="K48" s="589">
        <v>293.57197740999999</v>
      </c>
      <c r="L48" s="210"/>
      <c r="M48" s="210"/>
      <c r="N48" s="210"/>
    </row>
    <row r="49" spans="1:14">
      <c r="A49" s="208">
        <v>6511</v>
      </c>
      <c r="B49" s="208" t="s">
        <v>38</v>
      </c>
      <c r="C49" s="267">
        <v>194</v>
      </c>
      <c r="D49" s="267">
        <v>187</v>
      </c>
      <c r="E49" s="267">
        <v>348</v>
      </c>
      <c r="F49" s="267">
        <v>470</v>
      </c>
      <c r="G49" s="330">
        <v>391.36046470999997</v>
      </c>
      <c r="H49" s="330">
        <v>419.37499283</v>
      </c>
      <c r="I49" s="330">
        <v>211.90867746999999</v>
      </c>
      <c r="J49" s="330">
        <v>393.44757353</v>
      </c>
      <c r="K49" s="591">
        <v>293.57197740999999</v>
      </c>
      <c r="L49" s="210"/>
      <c r="M49" s="210"/>
      <c r="N49" s="210"/>
    </row>
    <row r="50" spans="1:14" ht="15">
      <c r="A50" s="208"/>
      <c r="B50" s="208"/>
      <c r="C50" s="266"/>
      <c r="D50" s="266"/>
      <c r="E50" s="266"/>
      <c r="F50" s="266"/>
      <c r="H50" s="272"/>
      <c r="I50" s="272"/>
      <c r="J50" s="272"/>
      <c r="K50" s="594"/>
      <c r="L50" s="210"/>
      <c r="M50" s="210"/>
      <c r="N50" s="210"/>
    </row>
    <row r="51" spans="1:14">
      <c r="A51" s="218">
        <v>6900</v>
      </c>
      <c r="B51" s="218" t="s">
        <v>1593</v>
      </c>
      <c r="C51" s="264">
        <f>SUM(C52)</f>
        <v>799</v>
      </c>
      <c r="D51" s="264">
        <f>SUM(D52:D53)</f>
        <v>155</v>
      </c>
      <c r="E51" s="264">
        <f>SUM(E52:E53)</f>
        <v>265</v>
      </c>
      <c r="F51" s="264">
        <f>SUM(F52:F53)</f>
        <v>278.85200137999999</v>
      </c>
      <c r="G51" s="332">
        <v>231.70009186999999</v>
      </c>
      <c r="H51" s="332">
        <v>155.15361159</v>
      </c>
      <c r="I51" s="332">
        <v>106.71828135000001</v>
      </c>
      <c r="J51" s="332">
        <v>191.76907381999999</v>
      </c>
      <c r="K51" s="589">
        <v>44.743594049999999</v>
      </c>
      <c r="L51" s="210"/>
      <c r="M51" s="210"/>
      <c r="N51" s="210"/>
    </row>
    <row r="52" spans="1:14">
      <c r="A52" s="208">
        <v>6911</v>
      </c>
      <c r="B52" s="208" t="s">
        <v>1593</v>
      </c>
      <c r="C52" s="267">
        <v>799</v>
      </c>
      <c r="D52" s="267">
        <v>40</v>
      </c>
      <c r="E52" s="267">
        <v>5</v>
      </c>
      <c r="F52" s="267">
        <v>30.457568340000016</v>
      </c>
      <c r="G52" s="330">
        <v>205.92506611000002</v>
      </c>
      <c r="H52" s="330">
        <v>98.793476199999986</v>
      </c>
      <c r="I52" s="330">
        <v>82.773078520000013</v>
      </c>
      <c r="J52" s="330">
        <v>191.76907381999999</v>
      </c>
      <c r="K52" s="591">
        <v>44.743594049999999</v>
      </c>
      <c r="L52" s="210"/>
      <c r="M52" s="210"/>
      <c r="N52" s="210"/>
    </row>
    <row r="53" spans="1:14">
      <c r="A53" s="208">
        <v>6912</v>
      </c>
      <c r="B53" s="208" t="s">
        <v>1261</v>
      </c>
      <c r="C53" s="269" t="s">
        <v>1229</v>
      </c>
      <c r="D53" s="267">
        <v>115</v>
      </c>
      <c r="E53" s="267">
        <v>260</v>
      </c>
      <c r="F53" s="267">
        <v>248.39443303999997</v>
      </c>
      <c r="G53" s="330">
        <v>25.775025760000002</v>
      </c>
      <c r="H53" s="330">
        <v>56.360135390000003</v>
      </c>
      <c r="I53" s="330">
        <v>23.945202829999999</v>
      </c>
      <c r="J53" s="592" t="s">
        <v>1229</v>
      </c>
      <c r="K53" s="592" t="s">
        <v>1229</v>
      </c>
      <c r="L53" s="210"/>
      <c r="M53" s="210"/>
      <c r="N53" s="210"/>
    </row>
    <row r="54" spans="1:14" ht="15">
      <c r="B54" s="286"/>
      <c r="C54" s="266"/>
      <c r="D54" s="266"/>
      <c r="E54" s="266"/>
      <c r="F54" s="266"/>
      <c r="H54" s="272"/>
      <c r="I54" s="272"/>
      <c r="J54" s="272"/>
      <c r="K54" s="594"/>
      <c r="L54" s="210"/>
      <c r="M54" s="210"/>
      <c r="N54" s="210"/>
    </row>
    <row r="55" spans="1:14" ht="13.5" thickBot="1">
      <c r="A55" s="333" t="s">
        <v>1028</v>
      </c>
      <c r="B55" s="333"/>
      <c r="C55" s="318">
        <f>C51+C48+C42+C36+C30+C7</f>
        <v>12640</v>
      </c>
      <c r="D55" s="318">
        <f>D51+D48+D42+D36+D30+D7</f>
        <v>13306</v>
      </c>
      <c r="E55" s="318">
        <f>E51+E48+E42+E36+E30+E7+1</f>
        <v>11159</v>
      </c>
      <c r="F55" s="318">
        <f>F51+F48+F42+F36+F30+F7</f>
        <v>11691.230969580001</v>
      </c>
      <c r="G55" s="318">
        <f>G51+G48+G42+G36+G30+G7</f>
        <v>12977.699934669999</v>
      </c>
      <c r="H55" s="318">
        <v>12328.127090060001</v>
      </c>
      <c r="I55" s="318">
        <v>9781.905818590003</v>
      </c>
      <c r="J55" s="318">
        <v>10265.016151289999</v>
      </c>
      <c r="K55" s="318">
        <v>11863.594470529999</v>
      </c>
      <c r="L55" s="210"/>
      <c r="M55" s="210"/>
      <c r="N55" s="210"/>
    </row>
    <row r="56" spans="1:14">
      <c r="A56" s="240" t="s">
        <v>179</v>
      </c>
      <c r="C56" s="334"/>
      <c r="D56" s="334"/>
      <c r="L56" s="210"/>
      <c r="M56" s="210"/>
      <c r="N56" s="210"/>
    </row>
  </sheetData>
  <phoneticPr fontId="18" type="noConversion"/>
  <pageMargins left="0.74803149606299213" right="0.74803149606299213" top="0.9055118110236221" bottom="0.86614173228346458" header="0.51181102362204722" footer="0.51181102362204722"/>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workbookViewId="0">
      <selection activeCell="F49" sqref="F49"/>
    </sheetView>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9" t="s">
        <v>930</v>
      </c>
      <c r="B1" s="99"/>
      <c r="C1" s="100"/>
      <c r="D1" s="100"/>
      <c r="E1" s="100"/>
      <c r="F1" s="100"/>
      <c r="G1" s="100"/>
      <c r="H1" s="100"/>
    </row>
    <row r="2" spans="1:8">
      <c r="A2" s="101" t="s">
        <v>1675</v>
      </c>
      <c r="B2" s="101"/>
      <c r="C2" s="100"/>
      <c r="D2" s="100"/>
      <c r="E2" s="100"/>
      <c r="F2" s="100"/>
      <c r="G2" s="100"/>
      <c r="H2" s="100"/>
    </row>
    <row r="3" spans="1:8">
      <c r="A3" s="102" t="s">
        <v>1721</v>
      </c>
      <c r="B3" s="102"/>
      <c r="C3" s="100"/>
      <c r="D3" s="100"/>
      <c r="E3" s="100"/>
      <c r="F3" s="100"/>
      <c r="G3" s="100"/>
      <c r="H3" s="100"/>
    </row>
    <row r="4" spans="1:8">
      <c r="A4" s="102" t="s">
        <v>630</v>
      </c>
      <c r="B4" s="102"/>
      <c r="C4" s="100"/>
      <c r="D4" s="100"/>
      <c r="E4" s="100"/>
      <c r="F4" s="100"/>
      <c r="G4" s="100"/>
      <c r="H4" s="100"/>
    </row>
    <row r="5" spans="1:8" ht="13.5" thickBot="1">
      <c r="A5" s="103"/>
      <c r="B5" s="103"/>
      <c r="C5" s="100"/>
      <c r="D5" s="100"/>
      <c r="E5" s="100"/>
      <c r="F5" s="100"/>
      <c r="G5" s="100"/>
      <c r="H5" s="100"/>
    </row>
    <row r="6" spans="1:8" ht="13.5" thickBot="1">
      <c r="A6" s="104" t="s">
        <v>1501</v>
      </c>
      <c r="B6" s="104"/>
      <c r="C6" s="105" t="s">
        <v>631</v>
      </c>
      <c r="D6" s="105" t="s">
        <v>632</v>
      </c>
      <c r="E6" s="105" t="s">
        <v>633</v>
      </c>
      <c r="F6" s="105" t="s">
        <v>634</v>
      </c>
      <c r="G6" s="105" t="s">
        <v>635</v>
      </c>
      <c r="H6" s="106"/>
    </row>
    <row r="7" spans="1:8">
      <c r="A7" s="103"/>
      <c r="B7" s="103"/>
      <c r="C7" s="100"/>
      <c r="D7" s="100"/>
      <c r="E7" s="100"/>
      <c r="F7" s="100"/>
      <c r="G7" s="100"/>
      <c r="H7" s="100"/>
    </row>
    <row r="8" spans="1:8">
      <c r="A8" s="100" t="s">
        <v>1502</v>
      </c>
      <c r="B8" s="100" t="s">
        <v>1559</v>
      </c>
      <c r="C8" s="111">
        <v>22.1</v>
      </c>
      <c r="D8" s="111">
        <v>24.9</v>
      </c>
      <c r="E8" s="111">
        <v>26.9</v>
      </c>
      <c r="F8" s="111">
        <v>29.4</v>
      </c>
      <c r="G8" s="111">
        <v>30.8</v>
      </c>
      <c r="H8" s="108"/>
    </row>
    <row r="9" spans="1:8">
      <c r="A9" s="100" t="s">
        <v>1509</v>
      </c>
      <c r="B9" s="100" t="s">
        <v>1510</v>
      </c>
      <c r="C9" s="111">
        <v>7106.8</v>
      </c>
      <c r="D9" s="111">
        <v>7720.5</v>
      </c>
      <c r="E9" s="111">
        <v>8470</v>
      </c>
      <c r="F9" s="111">
        <v>9093.2999999999993</v>
      </c>
      <c r="G9" s="111">
        <v>9627.7999999999993</v>
      </c>
      <c r="H9" s="108"/>
    </row>
    <row r="10" spans="1:8">
      <c r="A10" s="100" t="s">
        <v>1511</v>
      </c>
      <c r="B10" s="100" t="s">
        <v>1512</v>
      </c>
      <c r="C10" s="111">
        <v>5376.4</v>
      </c>
      <c r="D10" s="111">
        <v>6039.9</v>
      </c>
      <c r="E10" s="111">
        <v>6829</v>
      </c>
      <c r="F10" s="111">
        <v>7591.8</v>
      </c>
      <c r="G10" s="111">
        <v>7704.5</v>
      </c>
      <c r="H10" s="108"/>
    </row>
    <row r="11" spans="1:8">
      <c r="A11" s="100" t="s">
        <v>1513</v>
      </c>
      <c r="B11" s="100" t="s">
        <v>1514</v>
      </c>
      <c r="C11" s="111">
        <v>17813.5</v>
      </c>
      <c r="D11" s="111">
        <v>19842.8</v>
      </c>
      <c r="E11" s="111">
        <v>20194.7</v>
      </c>
      <c r="F11" s="111">
        <v>22327.8</v>
      </c>
      <c r="G11" s="111">
        <v>23858.400000000001</v>
      </c>
      <c r="H11" s="108"/>
    </row>
    <row r="12" spans="1:8">
      <c r="A12" s="100" t="s">
        <v>1515</v>
      </c>
      <c r="B12" s="100" t="s">
        <v>1516</v>
      </c>
      <c r="C12" s="111">
        <v>55716.1</v>
      </c>
      <c r="D12" s="111">
        <v>62207.199999999997</v>
      </c>
      <c r="E12" s="111">
        <v>65270.1</v>
      </c>
      <c r="F12" s="111">
        <v>70440.5</v>
      </c>
      <c r="G12" s="111">
        <v>76628.600000000006</v>
      </c>
      <c r="H12" s="108"/>
    </row>
    <row r="13" spans="1:8">
      <c r="A13" s="100"/>
      <c r="B13" s="100"/>
      <c r="C13" s="111"/>
      <c r="D13" s="111"/>
      <c r="E13" s="111"/>
      <c r="F13" s="111"/>
      <c r="G13" s="111"/>
      <c r="H13" s="108"/>
    </row>
    <row r="14" spans="1:8">
      <c r="A14" s="100" t="s">
        <v>1517</v>
      </c>
      <c r="B14" s="100" t="s">
        <v>530</v>
      </c>
      <c r="C14" s="111">
        <v>10867.2</v>
      </c>
      <c r="D14" s="111">
        <v>12133.5</v>
      </c>
      <c r="E14" s="111">
        <v>13297</v>
      </c>
      <c r="F14" s="111">
        <v>15821.5</v>
      </c>
      <c r="G14" s="111">
        <v>13017.7</v>
      </c>
      <c r="H14" s="108"/>
    </row>
    <row r="15" spans="1:8">
      <c r="A15" s="100" t="s">
        <v>531</v>
      </c>
      <c r="B15" s="100" t="s">
        <v>532</v>
      </c>
      <c r="C15" s="111">
        <v>13275.1</v>
      </c>
      <c r="D15" s="111">
        <v>13394</v>
      </c>
      <c r="E15" s="111">
        <v>12880.1</v>
      </c>
      <c r="F15" s="111">
        <v>13744.3</v>
      </c>
      <c r="G15" s="111">
        <v>15270.7</v>
      </c>
      <c r="H15" s="108"/>
    </row>
    <row r="16" spans="1:8">
      <c r="A16" s="100" t="s">
        <v>533</v>
      </c>
      <c r="B16" s="100" t="s">
        <v>534</v>
      </c>
      <c r="C16" s="111">
        <v>29082</v>
      </c>
      <c r="D16" s="111">
        <v>31507.9</v>
      </c>
      <c r="E16" s="111">
        <v>33104.199999999997</v>
      </c>
      <c r="F16" s="111">
        <v>35489</v>
      </c>
      <c r="G16" s="111">
        <v>37778.800000000003</v>
      </c>
      <c r="H16" s="108"/>
    </row>
    <row r="17" spans="1:8">
      <c r="A17" s="100" t="s">
        <v>535</v>
      </c>
      <c r="B17" s="100" t="s">
        <v>536</v>
      </c>
      <c r="C17" s="111">
        <v>7290.8</v>
      </c>
      <c r="D17" s="111">
        <v>6452.9</v>
      </c>
      <c r="E17" s="111">
        <v>6559.5</v>
      </c>
      <c r="F17" s="111">
        <v>6583.4</v>
      </c>
      <c r="G17" s="111">
        <v>6176.3</v>
      </c>
      <c r="H17" s="108"/>
    </row>
    <row r="18" spans="1:8">
      <c r="A18" s="100" t="s">
        <v>537</v>
      </c>
      <c r="B18" s="100" t="s">
        <v>538</v>
      </c>
      <c r="C18" s="111"/>
      <c r="D18" s="111"/>
      <c r="E18" s="111"/>
      <c r="F18" s="111"/>
      <c r="G18" s="111"/>
      <c r="H18" s="108"/>
    </row>
    <row r="19" spans="1:8">
      <c r="A19" s="100"/>
      <c r="B19" s="100"/>
      <c r="C19" s="111"/>
      <c r="D19" s="111"/>
      <c r="E19" s="111"/>
      <c r="F19" s="111"/>
      <c r="G19" s="111"/>
      <c r="H19" s="108"/>
    </row>
    <row r="20" spans="1:8">
      <c r="A20" s="100" t="s">
        <v>862</v>
      </c>
      <c r="B20" s="100" t="s">
        <v>1560</v>
      </c>
      <c r="C20" s="111">
        <v>15426.5</v>
      </c>
      <c r="D20" s="111">
        <v>17544.5</v>
      </c>
      <c r="E20" s="111">
        <v>19407.5</v>
      </c>
      <c r="F20" s="111">
        <v>21501</v>
      </c>
      <c r="G20" s="111">
        <v>25232.400000000001</v>
      </c>
      <c r="H20" s="108"/>
    </row>
    <row r="21" spans="1:8">
      <c r="A21" s="100" t="s">
        <v>864</v>
      </c>
      <c r="B21" s="100" t="s">
        <v>1561</v>
      </c>
      <c r="C21" s="111">
        <v>12159.2</v>
      </c>
      <c r="D21" s="111">
        <v>15225.6</v>
      </c>
      <c r="E21" s="111">
        <v>21992.2</v>
      </c>
      <c r="F21" s="111">
        <v>12038.7</v>
      </c>
      <c r="G21" s="111">
        <v>14414.9</v>
      </c>
      <c r="H21" s="108"/>
    </row>
    <row r="22" spans="1:8">
      <c r="A22" s="100" t="s">
        <v>866</v>
      </c>
      <c r="B22" s="100" t="s">
        <v>867</v>
      </c>
      <c r="C22" s="111">
        <v>3334</v>
      </c>
      <c r="D22" s="111">
        <v>3282.6</v>
      </c>
      <c r="E22" s="111">
        <v>3379.9</v>
      </c>
      <c r="F22" s="111">
        <v>3656.3</v>
      </c>
      <c r="G22" s="111">
        <v>4036.7</v>
      </c>
      <c r="H22" s="108"/>
    </row>
    <row r="23" spans="1:8">
      <c r="A23" s="100" t="s">
        <v>868</v>
      </c>
      <c r="B23" s="100" t="s">
        <v>872</v>
      </c>
      <c r="C23" s="111">
        <v>351.9</v>
      </c>
      <c r="D23" s="111">
        <v>472</v>
      </c>
      <c r="E23" s="111">
        <v>521.1</v>
      </c>
      <c r="F23" s="111">
        <v>471.5</v>
      </c>
      <c r="G23" s="111">
        <v>456.6</v>
      </c>
      <c r="H23" s="108"/>
    </row>
    <row r="24" spans="1:8">
      <c r="A24" s="100"/>
      <c r="B24" s="100"/>
      <c r="C24" s="111"/>
      <c r="D24" s="111"/>
      <c r="E24" s="111"/>
      <c r="F24" s="111"/>
      <c r="G24" s="111"/>
      <c r="H24" s="108"/>
    </row>
    <row r="25" spans="1:8">
      <c r="A25" s="100" t="s">
        <v>870</v>
      </c>
      <c r="B25" s="100" t="s">
        <v>1563</v>
      </c>
      <c r="C25" s="111">
        <v>23765</v>
      </c>
      <c r="D25" s="111">
        <v>27724.1</v>
      </c>
      <c r="E25" s="111">
        <v>48196</v>
      </c>
      <c r="F25" s="111">
        <v>60386.5</v>
      </c>
      <c r="G25" s="111">
        <v>75234.3</v>
      </c>
      <c r="H25" s="108"/>
    </row>
    <row r="26" spans="1:8">
      <c r="A26" s="100" t="s">
        <v>871</v>
      </c>
      <c r="B26" s="100" t="s">
        <v>419</v>
      </c>
      <c r="C26" s="111">
        <v>18.7</v>
      </c>
      <c r="D26" s="111">
        <v>9.1</v>
      </c>
      <c r="E26" s="111">
        <v>22.8</v>
      </c>
      <c r="F26" s="111">
        <v>0.6</v>
      </c>
      <c r="G26" s="111">
        <v>-7.1</v>
      </c>
      <c r="H26" s="108"/>
    </row>
    <row r="27" spans="1:8">
      <c r="A27" s="100"/>
      <c r="B27" s="100" t="s">
        <v>636</v>
      </c>
      <c r="C27" s="111">
        <v>455.2</v>
      </c>
      <c r="D27" s="111">
        <v>-1241.5999999999999</v>
      </c>
      <c r="E27" s="111">
        <v>848.2</v>
      </c>
      <c r="F27" s="111">
        <v>383.2</v>
      </c>
      <c r="G27" s="111">
        <v>-1144.3</v>
      </c>
      <c r="H27" s="108"/>
    </row>
    <row r="28" spans="1:8">
      <c r="A28" s="100"/>
      <c r="B28" s="100"/>
      <c r="C28" s="111"/>
      <c r="D28" s="111"/>
      <c r="E28" s="111"/>
      <c r="F28" s="111"/>
      <c r="G28" s="111"/>
      <c r="H28" s="106"/>
    </row>
    <row r="29" spans="1:8" ht="13.5" thickBot="1">
      <c r="A29" s="193"/>
      <c r="B29" s="193" t="s">
        <v>420</v>
      </c>
      <c r="C29" s="194">
        <f>SUM(C8:C27)</f>
        <v>202060.50000000003</v>
      </c>
      <c r="D29" s="194">
        <f>SUM(D8:D27)</f>
        <v>222339.9</v>
      </c>
      <c r="E29" s="194">
        <f>SUM(E8:E27)</f>
        <v>260999.2</v>
      </c>
      <c r="F29" s="194">
        <f>SUM(F8:F27)</f>
        <v>279558.8</v>
      </c>
      <c r="G29" s="194">
        <f>SUM(G8:G27)</f>
        <v>308317.10000000003</v>
      </c>
      <c r="H29" s="106"/>
    </row>
    <row r="30" spans="1:8">
      <c r="A30" s="106"/>
      <c r="B30" s="106"/>
      <c r="C30" s="110"/>
      <c r="D30" s="110"/>
      <c r="E30" s="110"/>
      <c r="F30" s="110"/>
      <c r="G30" s="110"/>
      <c r="H30" s="106"/>
    </row>
    <row r="31" spans="1:8">
      <c r="A31" s="100" t="s">
        <v>1767</v>
      </c>
      <c r="B31" s="106"/>
      <c r="C31" s="110"/>
      <c r="D31" s="110"/>
      <c r="E31" s="110"/>
      <c r="F31" s="110"/>
      <c r="G31" s="110"/>
      <c r="H31" s="106"/>
    </row>
    <row r="32" spans="1:8">
      <c r="A32" s="100" t="s">
        <v>335</v>
      </c>
      <c r="B32" s="100"/>
      <c r="C32" s="100"/>
      <c r="D32" s="110"/>
      <c r="E32" s="110"/>
      <c r="F32" s="110"/>
      <c r="G32" s="110"/>
      <c r="H32" s="106"/>
    </row>
  </sheetData>
  <phoneticPr fontId="15"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workbookViewId="0">
      <selection activeCell="F49" sqref="F49"/>
    </sheetView>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9" t="s">
        <v>931</v>
      </c>
      <c r="B1" s="99"/>
      <c r="C1" s="100"/>
      <c r="D1" s="100"/>
      <c r="E1" s="100"/>
      <c r="F1" s="100"/>
      <c r="G1" s="100"/>
      <c r="H1" s="100"/>
      <c r="I1" s="100"/>
      <c r="J1" s="100"/>
      <c r="K1" s="100"/>
      <c r="L1" s="100"/>
    </row>
    <row r="2" spans="1:12" ht="13.5">
      <c r="A2" s="101" t="s">
        <v>1674</v>
      </c>
      <c r="B2" s="101"/>
      <c r="C2" s="100"/>
      <c r="D2" s="100"/>
      <c r="E2" s="100"/>
      <c r="F2" s="100"/>
      <c r="G2" s="100"/>
      <c r="H2" s="100"/>
      <c r="I2" s="100"/>
      <c r="J2" s="100"/>
      <c r="K2" s="100"/>
      <c r="L2" s="100"/>
    </row>
    <row r="3" spans="1:12">
      <c r="A3" s="102" t="s">
        <v>1720</v>
      </c>
      <c r="B3" s="102"/>
      <c r="C3" s="100"/>
      <c r="D3" s="100"/>
      <c r="E3" s="100"/>
      <c r="F3" s="100"/>
      <c r="G3" s="100"/>
      <c r="H3" s="100"/>
      <c r="I3" s="100"/>
      <c r="J3" s="100"/>
      <c r="K3" s="100"/>
      <c r="L3" s="100"/>
    </row>
    <row r="4" spans="1:12">
      <c r="A4" s="102" t="s">
        <v>1553</v>
      </c>
      <c r="B4" s="102"/>
      <c r="C4" s="100"/>
      <c r="D4" s="100"/>
      <c r="E4" s="100"/>
      <c r="F4" s="100"/>
      <c r="G4" s="100"/>
      <c r="H4" s="100"/>
      <c r="I4" s="100"/>
      <c r="J4" s="100"/>
      <c r="K4" s="100"/>
      <c r="L4" s="100"/>
    </row>
    <row r="5" spans="1:12" ht="13.5" thickBot="1">
      <c r="A5" s="103"/>
      <c r="B5" s="103"/>
      <c r="C5" s="100"/>
      <c r="D5" s="100"/>
      <c r="E5" s="100"/>
      <c r="F5" s="100"/>
      <c r="G5" s="100"/>
      <c r="H5" s="100"/>
      <c r="I5" s="100"/>
      <c r="J5" s="100"/>
      <c r="K5" s="100"/>
      <c r="L5" s="100"/>
    </row>
    <row r="6" spans="1:12" ht="13.5" thickBot="1">
      <c r="A6" s="104" t="s">
        <v>1501</v>
      </c>
      <c r="B6" s="104"/>
      <c r="C6" s="105" t="s">
        <v>1554</v>
      </c>
      <c r="D6" s="105" t="s">
        <v>1555</v>
      </c>
      <c r="E6" s="105" t="s">
        <v>1556</v>
      </c>
      <c r="F6" s="105" t="s">
        <v>1557</v>
      </c>
      <c r="G6" s="105" t="s">
        <v>1558</v>
      </c>
      <c r="H6" s="106"/>
      <c r="I6" s="106"/>
      <c r="J6" s="106"/>
      <c r="K6" s="106"/>
      <c r="L6" s="106"/>
    </row>
    <row r="7" spans="1:12">
      <c r="A7" s="103"/>
      <c r="B7" s="103"/>
      <c r="C7" s="100"/>
      <c r="D7" s="100"/>
      <c r="E7" s="100"/>
      <c r="F7" s="100"/>
      <c r="G7" s="100"/>
      <c r="H7" s="100"/>
      <c r="I7" s="100"/>
      <c r="J7" s="107"/>
      <c r="K7" s="107"/>
      <c r="L7" s="100"/>
    </row>
    <row r="8" spans="1:12">
      <c r="A8" s="100" t="s">
        <v>1502</v>
      </c>
      <c r="B8" s="100" t="s">
        <v>1559</v>
      </c>
      <c r="C8" s="111">
        <v>32.9</v>
      </c>
      <c r="D8" s="111">
        <v>35.6</v>
      </c>
      <c r="E8" s="111">
        <v>38.4</v>
      </c>
      <c r="F8" s="111">
        <v>44.3</v>
      </c>
      <c r="G8" s="111">
        <v>51.6</v>
      </c>
      <c r="H8" s="108"/>
      <c r="I8" s="106"/>
      <c r="J8" s="106"/>
      <c r="K8" s="106"/>
      <c r="L8" s="106"/>
    </row>
    <row r="9" spans="1:12">
      <c r="A9" s="100" t="s">
        <v>1509</v>
      </c>
      <c r="B9" s="100" t="s">
        <v>1510</v>
      </c>
      <c r="C9" s="111">
        <v>4319.2</v>
      </c>
      <c r="D9" s="111">
        <v>4512.8</v>
      </c>
      <c r="E9" s="111">
        <v>4854.3999999999996</v>
      </c>
      <c r="F9" s="111">
        <v>5362.2</v>
      </c>
      <c r="G9" s="111">
        <v>6352.2</v>
      </c>
      <c r="H9" s="108"/>
      <c r="I9" s="106"/>
      <c r="J9" s="106"/>
      <c r="K9" s="106"/>
      <c r="L9" s="106"/>
    </row>
    <row r="10" spans="1:12">
      <c r="A10" s="100" t="s">
        <v>1511</v>
      </c>
      <c r="B10" s="100" t="s">
        <v>1512</v>
      </c>
      <c r="C10" s="111">
        <v>9179.4</v>
      </c>
      <c r="D10" s="111">
        <v>9260.6</v>
      </c>
      <c r="E10" s="111">
        <v>11154.5</v>
      </c>
      <c r="F10" s="111">
        <v>12180.4</v>
      </c>
      <c r="G10" s="111">
        <v>13939.3</v>
      </c>
      <c r="H10" s="108"/>
      <c r="I10" s="106"/>
      <c r="J10" s="106"/>
      <c r="K10" s="106"/>
      <c r="L10" s="106"/>
    </row>
    <row r="11" spans="1:12">
      <c r="A11" s="100" t="s">
        <v>1513</v>
      </c>
      <c r="B11" s="100" t="s">
        <v>1514</v>
      </c>
      <c r="C11" s="111">
        <v>25508.2</v>
      </c>
      <c r="D11" s="111">
        <v>26866.9</v>
      </c>
      <c r="E11" s="111">
        <v>28522.9</v>
      </c>
      <c r="F11" s="111">
        <v>30760.5</v>
      </c>
      <c r="G11" s="111">
        <v>34619.5</v>
      </c>
      <c r="H11" s="108"/>
      <c r="I11" s="106"/>
      <c r="J11" s="106"/>
      <c r="K11" s="106"/>
      <c r="L11" s="106"/>
    </row>
    <row r="12" spans="1:12">
      <c r="A12" s="100" t="s">
        <v>1515</v>
      </c>
      <c r="B12" s="100" t="s">
        <v>1516</v>
      </c>
      <c r="C12" s="111">
        <v>79283</v>
      </c>
      <c r="D12" s="111">
        <v>85459</v>
      </c>
      <c r="E12" s="111">
        <v>91924.5</v>
      </c>
      <c r="F12" s="111">
        <v>98497.8</v>
      </c>
      <c r="G12" s="111">
        <v>106211</v>
      </c>
      <c r="H12" s="108"/>
      <c r="I12" s="106"/>
      <c r="J12" s="106"/>
      <c r="K12" s="106"/>
      <c r="L12" s="106"/>
    </row>
    <row r="13" spans="1:12">
      <c r="A13" s="100"/>
      <c r="B13" s="100"/>
      <c r="C13" s="111"/>
      <c r="D13" s="111"/>
      <c r="E13" s="111"/>
      <c r="F13" s="111"/>
      <c r="G13" s="111"/>
      <c r="H13" s="108"/>
      <c r="I13" s="106"/>
      <c r="J13" s="106"/>
      <c r="K13" s="106"/>
      <c r="L13" s="106"/>
    </row>
    <row r="14" spans="1:12">
      <c r="A14" s="100" t="s">
        <v>1517</v>
      </c>
      <c r="B14" s="100" t="s">
        <v>530</v>
      </c>
      <c r="C14" s="111">
        <v>11222.1</v>
      </c>
      <c r="D14" s="111">
        <v>12617.5</v>
      </c>
      <c r="E14" s="111">
        <v>11319.9</v>
      </c>
      <c r="F14" s="111">
        <v>13496</v>
      </c>
      <c r="G14" s="111">
        <v>18223.400000000001</v>
      </c>
      <c r="H14" s="108"/>
      <c r="I14" s="106"/>
      <c r="J14" s="106"/>
      <c r="K14" s="106"/>
      <c r="L14" s="106"/>
    </row>
    <row r="15" spans="1:12">
      <c r="A15" s="100" t="s">
        <v>531</v>
      </c>
      <c r="B15" s="100" t="s">
        <v>532</v>
      </c>
      <c r="C15" s="111">
        <v>17312</v>
      </c>
      <c r="D15" s="111">
        <v>18311.7</v>
      </c>
      <c r="E15" s="111">
        <v>20346.8</v>
      </c>
      <c r="F15" s="111">
        <v>22317.7</v>
      </c>
      <c r="G15" s="111">
        <v>27468.3</v>
      </c>
      <c r="H15" s="108"/>
      <c r="I15" s="106"/>
      <c r="J15" s="106"/>
      <c r="K15" s="106"/>
      <c r="L15" s="106"/>
    </row>
    <row r="16" spans="1:12">
      <c r="A16" s="100" t="s">
        <v>533</v>
      </c>
      <c r="B16" s="100" t="s">
        <v>534</v>
      </c>
      <c r="C16" s="111">
        <v>41379.599999999999</v>
      </c>
      <c r="D16" s="111">
        <v>43141.599999999999</v>
      </c>
      <c r="E16" s="111">
        <v>46611.199999999997</v>
      </c>
      <c r="F16" s="111">
        <v>46063</v>
      </c>
      <c r="G16" s="111">
        <v>50408.800000000003</v>
      </c>
      <c r="H16" s="108"/>
      <c r="I16" s="106"/>
      <c r="J16" s="106"/>
      <c r="K16" s="106"/>
      <c r="L16" s="106"/>
    </row>
    <row r="17" spans="1:12">
      <c r="A17" s="100" t="s">
        <v>535</v>
      </c>
      <c r="B17" s="100" t="s">
        <v>536</v>
      </c>
      <c r="C17" s="111">
        <v>5936.8</v>
      </c>
      <c r="D17" s="111">
        <v>6938.7</v>
      </c>
      <c r="E17" s="111">
        <v>5844.3</v>
      </c>
      <c r="F17" s="111">
        <v>5479.2</v>
      </c>
      <c r="G17" s="111">
        <v>5557.7</v>
      </c>
      <c r="H17" s="108"/>
      <c r="I17" s="106"/>
      <c r="J17" s="106"/>
      <c r="K17" s="106"/>
      <c r="L17" s="106"/>
    </row>
    <row r="18" spans="1:12">
      <c r="A18" s="100" t="s">
        <v>537</v>
      </c>
      <c r="B18" s="100" t="s">
        <v>538</v>
      </c>
      <c r="C18" s="111">
        <v>21882.7</v>
      </c>
      <c r="D18" s="111">
        <v>24434.6</v>
      </c>
      <c r="E18" s="111">
        <v>25003.3</v>
      </c>
      <c r="F18" s="111">
        <v>26309.8</v>
      </c>
      <c r="G18" s="111">
        <v>28282.799999999999</v>
      </c>
      <c r="H18" s="108"/>
      <c r="I18" s="106"/>
      <c r="J18" s="106"/>
      <c r="K18" s="106"/>
      <c r="L18" s="106"/>
    </row>
    <row r="19" spans="1:12">
      <c r="A19" s="100"/>
      <c r="B19" s="100"/>
      <c r="C19" s="111"/>
      <c r="D19" s="111"/>
      <c r="E19" s="111"/>
      <c r="F19" s="111"/>
      <c r="G19" s="111"/>
      <c r="H19" s="108"/>
      <c r="I19" s="106"/>
      <c r="J19" s="106"/>
      <c r="K19" s="106"/>
      <c r="L19" s="106"/>
    </row>
    <row r="20" spans="1:12">
      <c r="A20" s="100" t="s">
        <v>862</v>
      </c>
      <c r="B20" s="100" t="s">
        <v>1560</v>
      </c>
      <c r="C20" s="111">
        <v>13827.7</v>
      </c>
      <c r="D20" s="111">
        <v>17971.099999999999</v>
      </c>
      <c r="E20" s="111">
        <v>16613.400000000001</v>
      </c>
      <c r="F20" s="111">
        <v>18124.2</v>
      </c>
      <c r="G20" s="111">
        <v>23908.799999999999</v>
      </c>
      <c r="H20" s="108"/>
      <c r="I20" s="106"/>
      <c r="J20" s="106"/>
      <c r="K20" s="106"/>
      <c r="L20" s="106"/>
    </row>
    <row r="21" spans="1:12">
      <c r="A21" s="100" t="s">
        <v>864</v>
      </c>
      <c r="B21" s="100" t="s">
        <v>1561</v>
      </c>
      <c r="C21" s="111">
        <v>10234</v>
      </c>
      <c r="D21" s="111">
        <v>4195.2</v>
      </c>
      <c r="E21" s="111">
        <v>3479.6</v>
      </c>
      <c r="F21" s="111">
        <v>3438.5</v>
      </c>
      <c r="G21" s="111">
        <v>3038.2</v>
      </c>
      <c r="H21" s="108"/>
      <c r="I21" s="106"/>
      <c r="J21" s="106"/>
      <c r="K21" s="106"/>
      <c r="L21" s="106"/>
    </row>
    <row r="22" spans="1:12">
      <c r="A22" s="100" t="s">
        <v>866</v>
      </c>
      <c r="B22" s="100" t="s">
        <v>867</v>
      </c>
      <c r="C22" s="111">
        <v>10149.6</v>
      </c>
      <c r="D22" s="111">
        <v>11114.3</v>
      </c>
      <c r="E22" s="111">
        <v>10108.200000000001</v>
      </c>
      <c r="F22" s="111">
        <v>11435.3</v>
      </c>
      <c r="G22" s="111">
        <v>13514.9</v>
      </c>
      <c r="H22" s="108"/>
      <c r="I22" s="106"/>
      <c r="J22" s="106"/>
      <c r="K22" s="106"/>
      <c r="L22" s="106"/>
    </row>
    <row r="23" spans="1:12">
      <c r="A23" s="100" t="s">
        <v>868</v>
      </c>
      <c r="B23" s="100" t="s">
        <v>1562</v>
      </c>
      <c r="C23" s="111">
        <v>5079.5</v>
      </c>
      <c r="D23" s="111">
        <v>5949.3</v>
      </c>
      <c r="E23" s="111">
        <v>7223.2</v>
      </c>
      <c r="F23" s="111">
        <v>2429.4</v>
      </c>
      <c r="G23" s="111">
        <v>2020</v>
      </c>
      <c r="H23" s="108"/>
      <c r="I23" s="106"/>
      <c r="J23" s="106"/>
      <c r="K23" s="106"/>
      <c r="L23" s="106"/>
    </row>
    <row r="24" spans="1:12">
      <c r="A24" s="100" t="s">
        <v>870</v>
      </c>
      <c r="B24" s="100" t="s">
        <v>872</v>
      </c>
      <c r="C24" s="111">
        <v>357.6</v>
      </c>
      <c r="D24" s="111">
        <v>371.1</v>
      </c>
      <c r="E24" s="111">
        <v>398</v>
      </c>
      <c r="F24" s="111">
        <v>488.2</v>
      </c>
      <c r="G24" s="111">
        <v>586.29999999999995</v>
      </c>
      <c r="H24" s="108"/>
      <c r="I24" s="106"/>
      <c r="J24" s="106"/>
      <c r="K24" s="106"/>
      <c r="L24" s="106"/>
    </row>
    <row r="25" spans="1:12">
      <c r="A25" s="100"/>
      <c r="B25" s="100"/>
      <c r="C25" s="111"/>
      <c r="D25" s="111"/>
      <c r="E25" s="111"/>
      <c r="F25" s="111"/>
      <c r="G25" s="111"/>
      <c r="H25" s="108"/>
      <c r="I25" s="106"/>
      <c r="J25" s="106"/>
      <c r="K25" s="106"/>
      <c r="L25" s="106"/>
    </row>
    <row r="26" spans="1:12">
      <c r="A26" s="100" t="s">
        <v>871</v>
      </c>
      <c r="B26" s="100" t="s">
        <v>1563</v>
      </c>
      <c r="C26" s="111">
        <v>66508.800000000003</v>
      </c>
      <c r="D26" s="111">
        <v>63812.1</v>
      </c>
      <c r="E26" s="111">
        <v>53410.400000000001</v>
      </c>
      <c r="F26" s="111">
        <v>53178.9</v>
      </c>
      <c r="G26" s="111">
        <v>63696.2</v>
      </c>
      <c r="H26" s="108"/>
      <c r="I26" s="106"/>
      <c r="J26" s="106"/>
      <c r="K26" s="106"/>
      <c r="L26" s="106"/>
    </row>
    <row r="27" spans="1:12">
      <c r="A27" s="100" t="s">
        <v>874</v>
      </c>
      <c r="B27" s="100" t="s">
        <v>419</v>
      </c>
      <c r="C27" s="111">
        <v>28.4</v>
      </c>
      <c r="D27" s="111">
        <v>4.9000000000000004</v>
      </c>
      <c r="E27" s="111">
        <v>2.6</v>
      </c>
      <c r="F27" s="111">
        <v>19.8</v>
      </c>
      <c r="G27" s="111">
        <v>12.5</v>
      </c>
      <c r="H27" s="108"/>
      <c r="I27" s="106"/>
      <c r="J27" s="106"/>
      <c r="K27" s="106"/>
      <c r="L27" s="106"/>
    </row>
    <row r="28" spans="1:12">
      <c r="A28" s="100" t="s">
        <v>1564</v>
      </c>
      <c r="B28" s="100" t="s">
        <v>1565</v>
      </c>
      <c r="C28" s="111">
        <v>-340.5</v>
      </c>
      <c r="D28" s="111">
        <v>270.10000000000002</v>
      </c>
      <c r="E28" s="111">
        <v>-186.6</v>
      </c>
      <c r="F28" s="111">
        <v>-25.7</v>
      </c>
      <c r="G28" s="111">
        <v>248.3</v>
      </c>
      <c r="H28" s="108"/>
      <c r="I28" s="106"/>
      <c r="J28" s="106"/>
      <c r="K28" s="106"/>
      <c r="L28" s="106"/>
    </row>
    <row r="29" spans="1:12">
      <c r="A29" s="100"/>
      <c r="B29" s="100"/>
      <c r="C29" s="111"/>
      <c r="D29" s="111"/>
      <c r="E29" s="111"/>
      <c r="F29" s="111"/>
      <c r="G29" s="111"/>
      <c r="H29" s="106"/>
      <c r="I29" s="106"/>
      <c r="J29" s="106"/>
      <c r="K29" s="106"/>
      <c r="L29" s="106"/>
    </row>
    <row r="30" spans="1:12" ht="13.5" thickBot="1">
      <c r="A30" s="193"/>
      <c r="B30" s="193" t="s">
        <v>420</v>
      </c>
      <c r="C30" s="194">
        <v>321901</v>
      </c>
      <c r="D30" s="194">
        <v>335267.09999999998</v>
      </c>
      <c r="E30" s="194">
        <v>336669</v>
      </c>
      <c r="F30" s="194">
        <v>349599.5</v>
      </c>
      <c r="G30" s="194">
        <v>398139.8</v>
      </c>
      <c r="H30" s="106"/>
      <c r="I30" s="109"/>
      <c r="J30" s="106"/>
      <c r="K30" s="106"/>
      <c r="L30" s="106"/>
    </row>
    <row r="31" spans="1:12">
      <c r="A31" s="106"/>
      <c r="B31" s="106"/>
      <c r="C31" s="110"/>
      <c r="D31" s="110"/>
      <c r="E31" s="110"/>
      <c r="F31" s="110"/>
      <c r="G31" s="110"/>
      <c r="H31" s="106"/>
      <c r="I31" s="106"/>
      <c r="J31" s="106"/>
      <c r="K31" s="106"/>
      <c r="L31" s="106"/>
    </row>
    <row r="32" spans="1:12">
      <c r="A32" s="100" t="s">
        <v>1768</v>
      </c>
      <c r="B32" s="106"/>
      <c r="C32" s="110"/>
      <c r="D32" s="110"/>
      <c r="E32" s="110"/>
      <c r="F32" s="110"/>
      <c r="G32" s="110"/>
      <c r="H32" s="106"/>
      <c r="I32" s="106"/>
      <c r="J32" s="106"/>
      <c r="K32" s="106"/>
      <c r="L32" s="106"/>
    </row>
    <row r="33" spans="1:12">
      <c r="A33" s="100" t="s">
        <v>335</v>
      </c>
      <c r="B33" s="100"/>
      <c r="C33" s="100"/>
      <c r="D33" s="110"/>
      <c r="E33" s="110"/>
      <c r="F33" s="110"/>
      <c r="G33" s="110"/>
      <c r="H33" s="106"/>
      <c r="I33" s="106"/>
      <c r="J33" s="106"/>
      <c r="K33" s="106"/>
      <c r="L33" s="106"/>
    </row>
  </sheetData>
  <phoneticPr fontId="15"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
  <sheetViews>
    <sheetView workbookViewId="0">
      <selection activeCell="E49" sqref="E49"/>
    </sheetView>
  </sheetViews>
  <sheetFormatPr defaultRowHeight="12.75"/>
  <cols>
    <col min="1" max="1" width="22" style="443" customWidth="1"/>
    <col min="2" max="14" width="7.6640625" style="443" bestFit="1" customWidth="1"/>
    <col min="15" max="17" width="9.1640625" style="443" bestFit="1" customWidth="1"/>
    <col min="18" max="18" width="8.83203125" style="443" customWidth="1"/>
    <col min="19" max="19" width="9.33203125" style="443" customWidth="1"/>
    <col min="20" max="16384" width="9.33203125" style="443"/>
  </cols>
  <sheetData>
    <row r="1" spans="1:19">
      <c r="A1" s="379" t="s">
        <v>407</v>
      </c>
      <c r="B1" s="380"/>
      <c r="C1" s="380"/>
      <c r="D1" s="380"/>
      <c r="E1" s="380"/>
      <c r="F1" s="380"/>
      <c r="G1" s="380"/>
      <c r="H1" s="380"/>
      <c r="I1" s="380"/>
      <c r="J1" s="380"/>
      <c r="K1" s="380"/>
      <c r="L1" s="380"/>
      <c r="M1" s="380"/>
      <c r="N1" s="380"/>
      <c r="O1" s="380"/>
      <c r="P1" s="380"/>
      <c r="Q1" s="380"/>
    </row>
    <row r="2" spans="1:19">
      <c r="A2" s="379" t="s">
        <v>2003</v>
      </c>
      <c r="B2" s="380"/>
      <c r="C2" s="380"/>
      <c r="D2" s="380"/>
      <c r="E2" s="380"/>
      <c r="F2" s="380"/>
      <c r="G2" s="380"/>
      <c r="H2" s="380"/>
      <c r="I2" s="380"/>
      <c r="J2" s="380"/>
      <c r="K2" s="380"/>
      <c r="L2" s="380"/>
      <c r="M2" s="380"/>
      <c r="N2" s="380"/>
      <c r="O2" s="380"/>
      <c r="P2" s="380"/>
      <c r="Q2" s="380"/>
    </row>
    <row r="3" spans="1:19">
      <c r="A3" s="381" t="s">
        <v>2004</v>
      </c>
      <c r="B3" s="381"/>
      <c r="C3" s="381"/>
      <c r="D3" s="381"/>
      <c r="E3" s="381"/>
      <c r="F3" s="381"/>
      <c r="G3" s="380"/>
      <c r="H3" s="380"/>
      <c r="I3" s="380"/>
      <c r="J3" s="380"/>
      <c r="K3" s="380"/>
      <c r="L3" s="380"/>
      <c r="M3" s="380"/>
      <c r="N3" s="380"/>
      <c r="O3" s="380"/>
      <c r="P3" s="380"/>
      <c r="Q3" s="380"/>
    </row>
    <row r="4" spans="1:19" ht="13.5" thickBot="1">
      <c r="A4" s="382"/>
      <c r="B4" s="383"/>
      <c r="C4" s="384"/>
      <c r="D4" s="383"/>
      <c r="E4" s="384"/>
      <c r="F4" s="384"/>
      <c r="G4" s="380"/>
      <c r="H4" s="380"/>
      <c r="I4" s="380"/>
      <c r="J4" s="380"/>
      <c r="K4" s="380"/>
      <c r="L4" s="380"/>
      <c r="M4" s="380"/>
      <c r="N4" s="380"/>
      <c r="O4" s="380"/>
      <c r="P4" s="385"/>
      <c r="Q4" s="380"/>
    </row>
    <row r="5" spans="1:19" ht="13.5" thickBot="1">
      <c r="A5" s="386"/>
      <c r="B5" s="387">
        <v>1997</v>
      </c>
      <c r="C5" s="388">
        <v>1998</v>
      </c>
      <c r="D5" s="388">
        <v>1999</v>
      </c>
      <c r="E5" s="387">
        <v>2000</v>
      </c>
      <c r="F5" s="388">
        <v>2001</v>
      </c>
      <c r="G5" s="388">
        <v>2002</v>
      </c>
      <c r="H5" s="388">
        <v>2003</v>
      </c>
      <c r="I5" s="388">
        <v>2004</v>
      </c>
      <c r="J5" s="388">
        <v>2005</v>
      </c>
      <c r="K5" s="388">
        <v>2006</v>
      </c>
      <c r="L5" s="388">
        <v>2007</v>
      </c>
      <c r="M5" s="388">
        <v>2008</v>
      </c>
      <c r="N5" s="388">
        <v>2009</v>
      </c>
      <c r="O5" s="388">
        <v>2010</v>
      </c>
      <c r="P5" s="388">
        <v>2011</v>
      </c>
      <c r="Q5" s="388">
        <v>2012</v>
      </c>
      <c r="R5" s="670">
        <v>2013</v>
      </c>
      <c r="S5" s="664">
        <v>2014</v>
      </c>
    </row>
    <row r="6" spans="1:19">
      <c r="A6" s="381" t="s">
        <v>197</v>
      </c>
      <c r="B6" s="389">
        <v>569185</v>
      </c>
      <c r="C6" s="389">
        <v>585689</v>
      </c>
      <c r="D6" s="389">
        <v>615337</v>
      </c>
      <c r="E6" s="389">
        <v>619352.54500000004</v>
      </c>
      <c r="F6" s="389">
        <v>640776.56599999999</v>
      </c>
      <c r="G6" s="389">
        <v>657992.14842539991</v>
      </c>
      <c r="H6" s="389">
        <v>661296.95703449997</v>
      </c>
      <c r="I6" s="445">
        <v>688005.19917000004</v>
      </c>
      <c r="J6" s="445">
        <v>692298.63</v>
      </c>
      <c r="K6" s="445">
        <v>716065.53611089988</v>
      </c>
      <c r="L6" s="445">
        <v>721916.929</v>
      </c>
      <c r="M6" s="445">
        <v>742057</v>
      </c>
      <c r="N6" s="445">
        <v>744807</v>
      </c>
      <c r="O6" s="445">
        <v>763028</v>
      </c>
      <c r="P6" s="445">
        <v>766987</v>
      </c>
      <c r="Q6" s="445">
        <v>783706</v>
      </c>
      <c r="R6" s="672">
        <v>810613.92185899999</v>
      </c>
      <c r="S6" s="668">
        <v>837546.24071239994</v>
      </c>
    </row>
    <row r="7" spans="1:19">
      <c r="A7" s="381" t="s">
        <v>1530</v>
      </c>
      <c r="B7" s="390"/>
      <c r="C7" s="389"/>
      <c r="D7" s="389"/>
      <c r="E7" s="390"/>
      <c r="F7" s="389"/>
      <c r="G7" s="380"/>
      <c r="H7" s="380"/>
      <c r="I7" s="380"/>
      <c r="J7" s="380"/>
      <c r="K7" s="380"/>
      <c r="L7" s="380"/>
      <c r="M7" s="380"/>
      <c r="N7" s="380"/>
      <c r="O7" s="380"/>
      <c r="P7" s="445"/>
      <c r="Q7" s="445"/>
      <c r="R7" s="672"/>
      <c r="S7" s="666"/>
    </row>
    <row r="8" spans="1:19">
      <c r="A8" s="391" t="s">
        <v>198</v>
      </c>
      <c r="B8" s="392">
        <v>129707</v>
      </c>
      <c r="C8" s="392">
        <v>132340</v>
      </c>
      <c r="D8" s="392">
        <v>136193.95989</v>
      </c>
      <c r="E8" s="392">
        <v>140657.89918000001</v>
      </c>
      <c r="F8" s="392">
        <v>145507.59379000001</v>
      </c>
      <c r="G8" s="392">
        <v>153644.95509999999</v>
      </c>
      <c r="H8" s="392">
        <v>157779.80020200001</v>
      </c>
      <c r="I8" s="392">
        <v>167541.19957999999</v>
      </c>
      <c r="J8" s="392">
        <v>172033.17503000001</v>
      </c>
      <c r="K8" s="392">
        <v>179137.84999000002</v>
      </c>
      <c r="L8" s="392">
        <v>188227</v>
      </c>
      <c r="M8" s="392">
        <v>201386</v>
      </c>
      <c r="N8" s="392">
        <v>219802</v>
      </c>
      <c r="O8" s="392">
        <v>222897</v>
      </c>
      <c r="P8" s="447">
        <v>222003</v>
      </c>
      <c r="Q8" s="447">
        <v>238478</v>
      </c>
      <c r="R8" s="673">
        <v>256702.63902911</v>
      </c>
      <c r="S8" s="667">
        <v>257987.76007332001</v>
      </c>
    </row>
    <row r="9" spans="1:19">
      <c r="A9" s="393" t="s">
        <v>199</v>
      </c>
      <c r="B9" s="394">
        <v>698892</v>
      </c>
      <c r="C9" s="394">
        <v>718029</v>
      </c>
      <c r="D9" s="394">
        <v>751530.95989000006</v>
      </c>
      <c r="E9" s="394">
        <v>760010.44418000011</v>
      </c>
      <c r="F9" s="394">
        <v>786284.15978999995</v>
      </c>
      <c r="G9" s="394">
        <v>811637.10352539993</v>
      </c>
      <c r="H9" s="394">
        <v>819076.75723650004</v>
      </c>
      <c r="I9" s="394">
        <v>855546.39875000005</v>
      </c>
      <c r="J9" s="394">
        <v>864331.80503000005</v>
      </c>
      <c r="K9" s="394">
        <v>895203.38610089989</v>
      </c>
      <c r="L9" s="394">
        <v>910143.929</v>
      </c>
      <c r="M9" s="394">
        <v>943443</v>
      </c>
      <c r="N9" s="394">
        <v>964609</v>
      </c>
      <c r="O9" s="394">
        <v>985925</v>
      </c>
      <c r="P9" s="446">
        <v>988990</v>
      </c>
      <c r="Q9" s="446">
        <v>1022184</v>
      </c>
      <c r="R9" s="669">
        <v>1067316.5608888399</v>
      </c>
      <c r="S9" s="663">
        <v>1095534.0007857201</v>
      </c>
    </row>
    <row r="10" spans="1:19">
      <c r="A10" s="381" t="s">
        <v>200</v>
      </c>
      <c r="B10" s="389">
        <v>24108</v>
      </c>
      <c r="C10" s="389">
        <v>1971</v>
      </c>
      <c r="D10" s="389">
        <v>1469.0401099999435</v>
      </c>
      <c r="E10" s="389">
        <v>4989.5558199998923</v>
      </c>
      <c r="F10" s="389">
        <v>4715.840210000053</v>
      </c>
      <c r="G10" s="389">
        <v>362.89647460007109</v>
      </c>
      <c r="H10" s="389">
        <v>2923.2427634999622</v>
      </c>
      <c r="I10" s="389">
        <v>2453.6012499999488</v>
      </c>
      <c r="J10" s="389">
        <v>5668.1949699999532</v>
      </c>
      <c r="K10" s="389">
        <v>11796.613899100106</v>
      </c>
      <c r="L10" s="389">
        <v>27856.070999999996</v>
      </c>
      <c r="M10" s="389">
        <v>13557</v>
      </c>
      <c r="N10" s="389">
        <v>24391</v>
      </c>
      <c r="O10" s="389">
        <v>38075</v>
      </c>
      <c r="P10" s="445">
        <v>74010</v>
      </c>
      <c r="Q10" s="445">
        <v>61816</v>
      </c>
      <c r="R10" s="674">
        <v>27683.439111160114</v>
      </c>
      <c r="S10" s="668">
        <v>11465.999214279931</v>
      </c>
    </row>
    <row r="11" spans="1:19" ht="13.5" thickBot="1">
      <c r="A11" s="395" t="s">
        <v>201</v>
      </c>
      <c r="B11" s="396">
        <v>723000</v>
      </c>
      <c r="C11" s="396">
        <v>720000</v>
      </c>
      <c r="D11" s="396">
        <v>753000</v>
      </c>
      <c r="E11" s="396">
        <v>765000</v>
      </c>
      <c r="F11" s="396">
        <v>791000</v>
      </c>
      <c r="G11" s="396">
        <v>812000</v>
      </c>
      <c r="H11" s="396">
        <v>822000</v>
      </c>
      <c r="I11" s="396">
        <v>858000</v>
      </c>
      <c r="J11" s="396">
        <v>870000</v>
      </c>
      <c r="K11" s="396">
        <v>907000</v>
      </c>
      <c r="L11" s="396">
        <v>938000</v>
      </c>
      <c r="M11" s="396">
        <v>957000</v>
      </c>
      <c r="N11" s="396">
        <v>989000</v>
      </c>
      <c r="O11" s="396">
        <v>1024000</v>
      </c>
      <c r="P11" s="444">
        <v>1063000</v>
      </c>
      <c r="Q11" s="444">
        <v>1084000</v>
      </c>
      <c r="R11" s="671">
        <v>1095000</v>
      </c>
      <c r="S11" s="665">
        <v>1107000</v>
      </c>
    </row>
    <row r="12" spans="1:19">
      <c r="A12" s="397" t="s">
        <v>179</v>
      </c>
      <c r="B12" s="381"/>
      <c r="C12" s="381"/>
      <c r="D12" s="381"/>
      <c r="E12" s="381"/>
      <c r="F12" s="381"/>
      <c r="G12" s="380"/>
      <c r="H12" s="380"/>
      <c r="I12" s="380"/>
      <c r="J12" s="380"/>
      <c r="K12" s="380"/>
      <c r="L12" s="380"/>
      <c r="M12" s="380"/>
      <c r="N12" s="380"/>
      <c r="O12" s="380"/>
      <c r="P12" s="380"/>
      <c r="Q12" s="380"/>
    </row>
  </sheetData>
  <pageMargins left="0.7" right="0.7" top="0.75" bottom="0.75" header="0.3" footer="0.3"/>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workbookViewId="0">
      <selection activeCell="F49" sqref="F49"/>
    </sheetView>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1" t="s">
        <v>932</v>
      </c>
      <c r="B1" s="41"/>
      <c r="C1" s="4"/>
      <c r="D1" s="4"/>
      <c r="E1" s="4"/>
      <c r="F1" s="4"/>
      <c r="G1" s="4"/>
      <c r="H1" s="4"/>
      <c r="I1" s="4"/>
      <c r="J1" s="4"/>
      <c r="K1" s="4"/>
      <c r="L1" s="4"/>
    </row>
    <row r="2" spans="1:12">
      <c r="A2" s="81" t="s">
        <v>1673</v>
      </c>
      <c r="B2" s="81"/>
      <c r="C2" s="4"/>
      <c r="D2" s="4"/>
      <c r="E2" s="4"/>
      <c r="F2" s="4"/>
      <c r="G2" s="4"/>
      <c r="H2" s="4"/>
      <c r="I2" s="4"/>
      <c r="J2" s="4"/>
      <c r="K2" s="4"/>
      <c r="L2" s="4"/>
    </row>
    <row r="3" spans="1:12">
      <c r="A3" s="80" t="s">
        <v>1719</v>
      </c>
      <c r="B3" s="80"/>
      <c r="C3" s="4"/>
      <c r="D3" s="4"/>
      <c r="E3" s="4"/>
      <c r="F3" s="4"/>
      <c r="G3" s="4"/>
      <c r="H3" s="4"/>
      <c r="I3" s="4"/>
      <c r="J3" s="4"/>
      <c r="K3" s="4"/>
      <c r="L3" s="4"/>
    </row>
    <row r="4" spans="1:12">
      <c r="A4" s="80" t="s">
        <v>1500</v>
      </c>
      <c r="B4" s="80"/>
      <c r="C4" s="4"/>
      <c r="D4" s="4"/>
      <c r="E4" s="4"/>
      <c r="F4" s="4"/>
      <c r="G4" s="4"/>
      <c r="H4" s="4"/>
      <c r="I4" s="4"/>
      <c r="J4" s="4"/>
      <c r="K4" s="4"/>
      <c r="L4" s="4"/>
    </row>
    <row r="5" spans="1:12" ht="13.5" thickBot="1">
      <c r="A5" s="17"/>
      <c r="B5" s="17"/>
      <c r="C5" s="4"/>
      <c r="D5" s="4"/>
      <c r="E5" s="4"/>
      <c r="F5" s="4"/>
      <c r="G5" s="4"/>
      <c r="H5" s="4"/>
      <c r="I5" s="4"/>
      <c r="J5" s="4"/>
      <c r="K5" s="4"/>
      <c r="L5" s="4"/>
    </row>
    <row r="6" spans="1:12" ht="13.5" thickBot="1">
      <c r="A6" s="35" t="s">
        <v>1501</v>
      </c>
      <c r="B6" s="35"/>
      <c r="C6" s="95" t="s">
        <v>1504</v>
      </c>
      <c r="D6" s="95" t="s">
        <v>1505</v>
      </c>
      <c r="E6" s="95" t="s">
        <v>1508</v>
      </c>
      <c r="F6" s="95" t="s">
        <v>1506</v>
      </c>
      <c r="G6" s="95" t="s">
        <v>1507</v>
      </c>
    </row>
    <row r="7" spans="1:12">
      <c r="A7" s="17"/>
      <c r="B7" s="17"/>
      <c r="C7" s="4"/>
      <c r="D7" s="4"/>
      <c r="E7" s="4"/>
      <c r="F7" s="4"/>
      <c r="G7" s="4"/>
      <c r="H7" s="4"/>
      <c r="I7" s="4"/>
      <c r="J7" s="55"/>
      <c r="K7" s="55"/>
      <c r="L7" s="4"/>
    </row>
    <row r="8" spans="1:12">
      <c r="A8" s="4" t="s">
        <v>1502</v>
      </c>
      <c r="B8" s="4" t="s">
        <v>1503</v>
      </c>
      <c r="C8" s="3">
        <v>101</v>
      </c>
      <c r="D8" s="3">
        <v>95</v>
      </c>
      <c r="E8" s="3">
        <v>115</v>
      </c>
      <c r="F8" s="3">
        <v>135</v>
      </c>
      <c r="G8" s="3">
        <v>1599</v>
      </c>
    </row>
    <row r="9" spans="1:12">
      <c r="A9" s="4" t="s">
        <v>1509</v>
      </c>
      <c r="B9" s="4" t="s">
        <v>1510</v>
      </c>
      <c r="C9" s="3">
        <v>17160</v>
      </c>
      <c r="D9" s="3">
        <v>17886</v>
      </c>
      <c r="E9" s="3">
        <v>18646</v>
      </c>
      <c r="F9" s="3">
        <v>18190</v>
      </c>
      <c r="G9" s="3">
        <v>19414</v>
      </c>
    </row>
    <row r="10" spans="1:12">
      <c r="A10" s="4" t="s">
        <v>1511</v>
      </c>
      <c r="B10" s="4" t="s">
        <v>1512</v>
      </c>
      <c r="C10" s="3">
        <v>15626</v>
      </c>
      <c r="D10" s="3">
        <v>16709</v>
      </c>
      <c r="E10" s="3">
        <v>17315</v>
      </c>
      <c r="F10" s="3">
        <v>17790</v>
      </c>
      <c r="G10" s="3">
        <v>16418</v>
      </c>
    </row>
    <row r="11" spans="1:12">
      <c r="A11" s="4" t="s">
        <v>1513</v>
      </c>
      <c r="B11" s="4" t="s">
        <v>1514</v>
      </c>
      <c r="C11" s="3">
        <v>38742</v>
      </c>
      <c r="D11" s="3">
        <v>35875</v>
      </c>
      <c r="E11" s="3">
        <v>38317</v>
      </c>
      <c r="F11" s="3">
        <v>38191</v>
      </c>
      <c r="G11" s="3">
        <v>38833</v>
      </c>
    </row>
    <row r="12" spans="1:12">
      <c r="A12" s="4" t="s">
        <v>1515</v>
      </c>
      <c r="B12" s="4" t="s">
        <v>1516</v>
      </c>
      <c r="C12" s="3">
        <v>119912</v>
      </c>
      <c r="D12" s="3">
        <v>128496</v>
      </c>
      <c r="E12" s="3">
        <v>133060</v>
      </c>
      <c r="F12" s="3">
        <v>129057</v>
      </c>
      <c r="G12" s="3">
        <v>134444</v>
      </c>
    </row>
    <row r="13" spans="1:12">
      <c r="A13" s="4"/>
      <c r="B13" s="4"/>
      <c r="C13" s="3"/>
      <c r="D13" s="3"/>
      <c r="E13" s="3"/>
      <c r="F13" s="3"/>
      <c r="G13" s="3"/>
    </row>
    <row r="14" spans="1:12">
      <c r="A14" s="4" t="s">
        <v>1517</v>
      </c>
      <c r="B14" s="4" t="s">
        <v>530</v>
      </c>
      <c r="C14" s="3">
        <v>16415</v>
      </c>
      <c r="D14" s="3">
        <v>17904</v>
      </c>
      <c r="E14" s="3">
        <v>25483</v>
      </c>
      <c r="F14" s="3">
        <v>26634</v>
      </c>
      <c r="G14" s="3">
        <v>29894</v>
      </c>
    </row>
    <row r="15" spans="1:12">
      <c r="A15" s="4" t="s">
        <v>531</v>
      </c>
      <c r="B15" s="4" t="s">
        <v>532</v>
      </c>
      <c r="C15" s="3">
        <v>56972</v>
      </c>
      <c r="D15" s="3">
        <v>70886</v>
      </c>
      <c r="E15" s="3">
        <v>124015</v>
      </c>
      <c r="F15" s="3">
        <v>122261</v>
      </c>
      <c r="G15" s="3">
        <v>101313</v>
      </c>
    </row>
    <row r="16" spans="1:12">
      <c r="A16" s="4" t="s">
        <v>533</v>
      </c>
      <c r="B16" s="4" t="s">
        <v>534</v>
      </c>
      <c r="C16" s="3">
        <v>57002</v>
      </c>
      <c r="D16" s="3">
        <v>59606</v>
      </c>
      <c r="E16" s="3">
        <v>53271</v>
      </c>
      <c r="F16" s="3">
        <v>36191</v>
      </c>
      <c r="G16" s="3">
        <v>38299</v>
      </c>
    </row>
    <row r="17" spans="1:7">
      <c r="A17" s="4" t="s">
        <v>535</v>
      </c>
      <c r="B17" s="4" t="s">
        <v>536</v>
      </c>
      <c r="C17" s="3">
        <v>8179</v>
      </c>
      <c r="D17" s="3">
        <v>12165</v>
      </c>
      <c r="E17" s="3">
        <v>8458</v>
      </c>
      <c r="F17" s="3">
        <v>6915</v>
      </c>
      <c r="G17" s="3">
        <v>6038</v>
      </c>
    </row>
    <row r="18" spans="1:7">
      <c r="A18" s="4" t="s">
        <v>537</v>
      </c>
      <c r="B18" s="4" t="s">
        <v>538</v>
      </c>
      <c r="C18" s="3">
        <v>27710</v>
      </c>
      <c r="D18" s="3">
        <v>38465</v>
      </c>
      <c r="E18" s="3">
        <v>46120</v>
      </c>
      <c r="F18" s="3">
        <v>39870</v>
      </c>
      <c r="G18" s="3">
        <v>46300</v>
      </c>
    </row>
    <row r="19" spans="1:7">
      <c r="A19" s="4"/>
      <c r="B19" s="4"/>
      <c r="C19" s="3"/>
      <c r="D19" s="3"/>
      <c r="E19" s="3"/>
      <c r="F19" s="3"/>
      <c r="G19" s="3"/>
    </row>
    <row r="20" spans="1:7">
      <c r="A20" s="4" t="s">
        <v>862</v>
      </c>
      <c r="B20" s="4" t="s">
        <v>863</v>
      </c>
      <c r="C20" s="3">
        <v>10125</v>
      </c>
      <c r="D20" s="3">
        <v>10690</v>
      </c>
      <c r="E20" s="3">
        <v>14611</v>
      </c>
      <c r="F20" s="3">
        <v>14874</v>
      </c>
      <c r="G20" s="3">
        <v>15121</v>
      </c>
    </row>
    <row r="21" spans="1:7">
      <c r="A21" s="4" t="s">
        <v>864</v>
      </c>
      <c r="B21" s="4" t="s">
        <v>865</v>
      </c>
      <c r="C21" s="3">
        <v>4625</v>
      </c>
      <c r="D21" s="3">
        <v>5231</v>
      </c>
      <c r="E21" s="3">
        <v>8134</v>
      </c>
      <c r="F21" s="3">
        <v>4205</v>
      </c>
      <c r="G21" s="3">
        <v>3201</v>
      </c>
    </row>
    <row r="22" spans="1:7">
      <c r="A22" s="4" t="s">
        <v>866</v>
      </c>
      <c r="B22" s="4" t="s">
        <v>867</v>
      </c>
      <c r="C22" s="3">
        <v>2271</v>
      </c>
      <c r="D22" s="3">
        <v>2193</v>
      </c>
      <c r="E22" s="3">
        <v>2259</v>
      </c>
      <c r="F22" s="3">
        <v>2122</v>
      </c>
      <c r="G22" s="3">
        <v>2201</v>
      </c>
    </row>
    <row r="23" spans="1:7">
      <c r="A23" s="4" t="s">
        <v>868</v>
      </c>
      <c r="B23" s="4" t="s">
        <v>869</v>
      </c>
      <c r="C23" s="3">
        <v>1478</v>
      </c>
      <c r="D23" s="3">
        <v>1594</v>
      </c>
      <c r="E23" s="3">
        <v>1988</v>
      </c>
      <c r="F23" s="3">
        <v>2143</v>
      </c>
      <c r="G23" s="3">
        <v>2275</v>
      </c>
    </row>
    <row r="24" spans="1:7">
      <c r="A24" s="4" t="s">
        <v>870</v>
      </c>
      <c r="B24" s="4" t="s">
        <v>872</v>
      </c>
      <c r="C24" s="3">
        <v>601</v>
      </c>
      <c r="D24" s="3">
        <v>636</v>
      </c>
      <c r="E24" s="3">
        <v>650</v>
      </c>
      <c r="F24" s="3">
        <v>706</v>
      </c>
      <c r="G24" s="3">
        <v>851</v>
      </c>
    </row>
    <row r="25" spans="1:7">
      <c r="A25" s="4"/>
      <c r="B25" s="4"/>
      <c r="C25" s="3"/>
      <c r="D25" s="3"/>
      <c r="E25" s="3"/>
      <c r="F25" s="3"/>
      <c r="G25" s="3"/>
    </row>
    <row r="26" spans="1:7">
      <c r="A26" s="4" t="s">
        <v>871</v>
      </c>
      <c r="B26" s="4" t="s">
        <v>873</v>
      </c>
      <c r="C26" s="3">
        <v>61033</v>
      </c>
      <c r="D26" s="3">
        <v>60043</v>
      </c>
      <c r="E26" s="3">
        <v>73090</v>
      </c>
      <c r="F26" s="3">
        <v>94736</v>
      </c>
      <c r="G26" s="3">
        <v>123201</v>
      </c>
    </row>
    <row r="27" spans="1:7">
      <c r="A27" s="4" t="s">
        <v>874</v>
      </c>
      <c r="B27" s="4" t="s">
        <v>419</v>
      </c>
      <c r="C27" s="3">
        <v>37</v>
      </c>
      <c r="D27" s="3">
        <v>11</v>
      </c>
      <c r="E27" s="3">
        <v>14</v>
      </c>
      <c r="F27" s="3">
        <v>6</v>
      </c>
      <c r="G27" s="3">
        <v>19</v>
      </c>
    </row>
    <row r="28" spans="1:7">
      <c r="A28" s="4"/>
      <c r="B28" s="4"/>
      <c r="C28" s="3"/>
      <c r="D28" s="3"/>
      <c r="E28" s="3"/>
      <c r="F28" s="3"/>
      <c r="G28" s="3"/>
    </row>
    <row r="29" spans="1:7" s="96" customFormat="1" ht="13.5" thickBot="1">
      <c r="A29" s="44"/>
      <c r="B29" s="44" t="s">
        <v>420</v>
      </c>
      <c r="C29" s="79">
        <f>SUM(C8:C28)</f>
        <v>437989</v>
      </c>
      <c r="D29" s="79">
        <f>SUM(D8:D28)</f>
        <v>478485</v>
      </c>
      <c r="E29" s="79">
        <f>SUM(E8:E28)</f>
        <v>565546</v>
      </c>
      <c r="F29" s="79">
        <f>SUM(F8:F28)</f>
        <v>554026</v>
      </c>
      <c r="G29" s="79">
        <f>SUM(G8:G28)</f>
        <v>579421</v>
      </c>
    </row>
    <row r="30" spans="1:7">
      <c r="C30" s="61"/>
      <c r="D30" s="61"/>
      <c r="E30" s="61"/>
      <c r="F30" s="61"/>
      <c r="G30" s="61"/>
    </row>
    <row r="31" spans="1:7">
      <c r="A31" s="4" t="s">
        <v>1769</v>
      </c>
      <c r="C31" s="61"/>
      <c r="D31" s="61"/>
      <c r="E31" s="61"/>
      <c r="F31" s="61"/>
      <c r="G31" s="61"/>
    </row>
    <row r="32" spans="1:7">
      <c r="A32" s="4" t="s">
        <v>335</v>
      </c>
      <c r="B32" s="4"/>
      <c r="C32" s="4"/>
      <c r="D32" s="61"/>
      <c r="E32" s="61"/>
      <c r="F32" s="61"/>
      <c r="G32" s="61"/>
    </row>
  </sheetData>
  <phoneticPr fontId="15"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1"/>
  <sheetViews>
    <sheetView zoomScaleNormal="100" workbookViewId="0">
      <pane ySplit="6" topLeftCell="A28" activePane="bottomLeft" state="frozen"/>
      <selection activeCell="F49" sqref="F49"/>
      <selection pane="bottomLeft" activeCell="F49" sqref="F49"/>
    </sheetView>
  </sheetViews>
  <sheetFormatPr defaultRowHeight="12.75"/>
  <cols>
    <col min="1" max="1" width="7.5" style="607" customWidth="1"/>
    <col min="2" max="2" width="47" style="601" customWidth="1"/>
    <col min="3" max="3" width="10.6640625" style="601" customWidth="1"/>
    <col min="4" max="4" width="8.6640625" style="601" customWidth="1"/>
    <col min="5" max="5" width="8" style="601" customWidth="1"/>
    <col min="6" max="7" width="8.6640625" style="601" customWidth="1"/>
    <col min="8" max="8" width="11.33203125" style="601" customWidth="1"/>
    <col min="9" max="9" width="8.83203125" style="601" customWidth="1"/>
    <col min="10" max="10" width="8.33203125" style="601" customWidth="1"/>
    <col min="11" max="12" width="8.83203125" style="601" customWidth="1"/>
    <col min="13" max="13" width="8.33203125" style="601" customWidth="1"/>
    <col min="14" max="16384" width="9.33203125" style="602"/>
  </cols>
  <sheetData>
    <row r="1" spans="1:24">
      <c r="A1" s="599" t="s">
        <v>1749</v>
      </c>
      <c r="B1" s="600"/>
      <c r="C1" s="600"/>
      <c r="D1" s="600"/>
      <c r="E1" s="203"/>
      <c r="F1" s="203"/>
      <c r="G1" s="203"/>
      <c r="H1" s="203"/>
      <c r="I1" s="203"/>
      <c r="J1" s="203"/>
      <c r="K1" s="203"/>
      <c r="L1" s="203"/>
    </row>
    <row r="2" spans="1:24">
      <c r="A2" s="603" t="s">
        <v>1978</v>
      </c>
      <c r="B2" s="604"/>
      <c r="C2" s="604"/>
      <c r="D2" s="604"/>
      <c r="E2" s="203"/>
      <c r="F2" s="203"/>
      <c r="G2" s="203"/>
      <c r="H2" s="203"/>
      <c r="I2" s="203"/>
      <c r="J2" s="203"/>
      <c r="K2" s="203"/>
      <c r="L2" s="203"/>
    </row>
    <row r="3" spans="1:24">
      <c r="A3" s="605" t="s">
        <v>1784</v>
      </c>
      <c r="B3" s="606"/>
      <c r="C3" s="606"/>
      <c r="D3" s="606"/>
      <c r="E3" s="203"/>
      <c r="F3" s="203"/>
      <c r="G3" s="203"/>
      <c r="H3" s="203"/>
      <c r="I3" s="203"/>
      <c r="J3" s="203"/>
      <c r="K3" s="203"/>
      <c r="L3" s="203"/>
    </row>
    <row r="4" spans="1:24">
      <c r="A4" s="605" t="s">
        <v>1979</v>
      </c>
      <c r="B4" s="606"/>
      <c r="C4" s="606"/>
      <c r="D4" s="606"/>
      <c r="E4" s="203"/>
      <c r="F4" s="203"/>
      <c r="G4" s="203"/>
      <c r="H4" s="203"/>
      <c r="I4" s="203"/>
      <c r="J4" s="203"/>
      <c r="K4" s="203"/>
      <c r="L4" s="203"/>
    </row>
    <row r="6" spans="1:24">
      <c r="A6" s="608" t="s">
        <v>1633</v>
      </c>
      <c r="B6" s="609" t="s">
        <v>1980</v>
      </c>
      <c r="C6" s="609">
        <v>1995</v>
      </c>
      <c r="D6" s="609">
        <v>1996</v>
      </c>
      <c r="E6" s="609">
        <v>1997</v>
      </c>
      <c r="F6" s="609">
        <v>1998</v>
      </c>
      <c r="G6" s="609">
        <v>1999</v>
      </c>
      <c r="H6" s="609">
        <v>2000</v>
      </c>
      <c r="I6" s="609">
        <v>2001</v>
      </c>
      <c r="J6" s="609">
        <v>2002</v>
      </c>
      <c r="K6" s="609">
        <v>2003</v>
      </c>
      <c r="L6" s="609">
        <v>2004</v>
      </c>
      <c r="M6" s="609">
        <v>2005</v>
      </c>
    </row>
    <row r="7" spans="1:24">
      <c r="A7" s="610" t="str">
        <f>T("01")</f>
        <v>01</v>
      </c>
      <c r="B7" s="611" t="str">
        <f>T("Rikets styrelse")</f>
        <v>Rikets styrelse</v>
      </c>
      <c r="C7" s="612">
        <v>6643.3280275999996</v>
      </c>
      <c r="D7" s="612">
        <v>6859.8133635000004</v>
      </c>
      <c r="E7" s="613">
        <v>7343.0031249599897</v>
      </c>
      <c r="F7" s="613">
        <v>7832.0992666000002</v>
      </c>
      <c r="G7" s="613">
        <v>8269.3427821500009</v>
      </c>
      <c r="H7" s="613">
        <v>8535.3211276099992</v>
      </c>
      <c r="I7" s="613">
        <v>9166.4091830499983</v>
      </c>
      <c r="J7" s="613">
        <v>9327.2025468400007</v>
      </c>
      <c r="K7" s="613">
        <v>9594.7044045999992</v>
      </c>
      <c r="L7" s="613">
        <v>9767.1716236600005</v>
      </c>
      <c r="M7" s="613">
        <v>9873.0208211600002</v>
      </c>
      <c r="W7" s="613"/>
      <c r="X7" s="613"/>
    </row>
    <row r="8" spans="1:24">
      <c r="A8" s="610" t="str">
        <f>T("02")</f>
        <v>02</v>
      </c>
      <c r="B8" s="611" t="str">
        <f>T("Samhällsekonomi och finansförvaltning")</f>
        <v>Samhällsekonomi och finansförvaltning</v>
      </c>
      <c r="C8" s="612">
        <v>2029.8248251</v>
      </c>
      <c r="D8" s="612">
        <v>6417.8286048</v>
      </c>
      <c r="E8" s="613">
        <v>10665.46176444</v>
      </c>
      <c r="F8" s="613">
        <v>10039.270249089999</v>
      </c>
      <c r="G8" s="613">
        <v>9084.9663441000012</v>
      </c>
      <c r="H8" s="613">
        <v>8912.8308377699996</v>
      </c>
      <c r="I8" s="613">
        <v>9581.9958755499993</v>
      </c>
      <c r="J8" s="613">
        <v>8837.9224752499995</v>
      </c>
      <c r="K8" s="613">
        <v>8956.77032659</v>
      </c>
      <c r="L8" s="613">
        <v>9221.05874434</v>
      </c>
      <c r="M8" s="613">
        <v>10971.834559860001</v>
      </c>
    </row>
    <row r="9" spans="1:24">
      <c r="A9" s="610" t="str">
        <f>T("03")</f>
        <v>03</v>
      </c>
      <c r="B9" s="611" t="str">
        <f>T("Skatt, tull och exekution")</f>
        <v>Skatt, tull och exekution</v>
      </c>
      <c r="C9" s="612">
        <v>6523.9875167</v>
      </c>
      <c r="D9" s="612">
        <v>7115.1107652999999</v>
      </c>
      <c r="E9" s="613">
        <v>7005.7640630900005</v>
      </c>
      <c r="F9" s="613">
        <v>7166.8088831000005</v>
      </c>
      <c r="G9" s="613">
        <v>7299.0801699200001</v>
      </c>
      <c r="H9" s="613">
        <v>7566.8252604999998</v>
      </c>
      <c r="I9" s="613">
        <v>7823.9241841499997</v>
      </c>
      <c r="J9" s="613">
        <v>8049.0493570199997</v>
      </c>
      <c r="K9" s="613">
        <v>8283.6399926499998</v>
      </c>
      <c r="L9" s="613">
        <v>8569.1402404399996</v>
      </c>
      <c r="M9" s="613">
        <v>8572.3899333299996</v>
      </c>
    </row>
    <row r="10" spans="1:24">
      <c r="A10" s="610" t="str">
        <f>T("04")</f>
        <v>04</v>
      </c>
      <c r="B10" s="611" t="str">
        <f>T("Rättsväsendet")</f>
        <v>Rättsväsendet</v>
      </c>
      <c r="C10" s="612">
        <v>19207.612274999999</v>
      </c>
      <c r="D10" s="612">
        <v>19968.180066000001</v>
      </c>
      <c r="E10" s="613">
        <v>19888.886231109998</v>
      </c>
      <c r="F10" s="613">
        <v>20109.491655260001</v>
      </c>
      <c r="G10" s="613">
        <v>20915.449416019997</v>
      </c>
      <c r="H10" s="613">
        <v>21920.048886110002</v>
      </c>
      <c r="I10" s="613">
        <v>22756.605282370001</v>
      </c>
      <c r="J10" s="613">
        <v>24051.85862571</v>
      </c>
      <c r="K10" s="613">
        <v>25512.857462129999</v>
      </c>
      <c r="L10" s="613">
        <v>26317.787348710001</v>
      </c>
      <c r="M10" s="613">
        <v>27024.955684289998</v>
      </c>
    </row>
    <row r="11" spans="1:24">
      <c r="A11" s="610" t="str">
        <f>T("05")</f>
        <v>05</v>
      </c>
      <c r="B11" s="611" t="str">
        <f>T("Internationell samverkan")</f>
        <v>Internationell samverkan</v>
      </c>
      <c r="C11" s="612">
        <v>1946.6199649</v>
      </c>
      <c r="D11" s="612">
        <v>1674.5073854</v>
      </c>
      <c r="E11" s="613">
        <v>821.77619771000002</v>
      </c>
      <c r="F11" s="613">
        <v>830.51227569000002</v>
      </c>
      <c r="G11" s="613">
        <v>967.62174395</v>
      </c>
      <c r="H11" s="613">
        <v>1092.5035449900001</v>
      </c>
      <c r="I11" s="613">
        <v>1160.4681471200001</v>
      </c>
      <c r="J11" s="613">
        <v>1136.92549932</v>
      </c>
      <c r="K11" s="613">
        <v>1114.6124888200002</v>
      </c>
      <c r="L11" s="613">
        <v>1266.8814443199999</v>
      </c>
      <c r="M11" s="613">
        <v>1364.9273599000001</v>
      </c>
    </row>
    <row r="12" spans="1:24">
      <c r="A12" s="610"/>
      <c r="B12" s="611"/>
      <c r="C12" s="612"/>
      <c r="D12" s="612"/>
      <c r="E12" s="613"/>
      <c r="F12" s="613"/>
      <c r="G12" s="613"/>
      <c r="H12" s="613"/>
      <c r="I12" s="613"/>
      <c r="J12" s="613"/>
      <c r="K12" s="613"/>
      <c r="L12" s="613"/>
      <c r="M12" s="613"/>
    </row>
    <row r="13" spans="1:24">
      <c r="A13" s="610" t="str">
        <f>T("06")</f>
        <v>06</v>
      </c>
      <c r="B13" s="611" t="str">
        <f>T("Försvar och samhällets krisberedskap")</f>
        <v>Försvar och samhällets krisberedskap</v>
      </c>
      <c r="C13" s="612">
        <v>40383.931611</v>
      </c>
      <c r="D13" s="612">
        <v>26854.840712000001</v>
      </c>
      <c r="E13" s="613">
        <v>41316.738974399996</v>
      </c>
      <c r="F13" s="613">
        <v>42746.463154320001</v>
      </c>
      <c r="G13" s="613">
        <v>44688.523888980002</v>
      </c>
      <c r="H13" s="613">
        <v>46579.560067480001</v>
      </c>
      <c r="I13" s="613">
        <v>45317.174973480003</v>
      </c>
      <c r="J13" s="613">
        <v>45036.78234328</v>
      </c>
      <c r="K13" s="613">
        <v>45575.304455580001</v>
      </c>
      <c r="L13" s="613">
        <v>43304.463592500004</v>
      </c>
      <c r="M13" s="613">
        <v>44041.439980770003</v>
      </c>
    </row>
    <row r="14" spans="1:24">
      <c r="A14" s="610" t="str">
        <f>T("07")</f>
        <v>07</v>
      </c>
      <c r="B14" s="611" t="str">
        <f>T("Internationellt bistånd")</f>
        <v>Internationellt bistånd</v>
      </c>
      <c r="C14" s="612">
        <v>12101.378407</v>
      </c>
      <c r="D14" s="612">
        <v>12091.644970000001</v>
      </c>
      <c r="E14" s="613">
        <v>12139.271337029999</v>
      </c>
      <c r="F14" s="613">
        <v>11478.58285196</v>
      </c>
      <c r="G14" s="613">
        <v>12418.492908579999</v>
      </c>
      <c r="H14" s="613">
        <v>15317.474779100001</v>
      </c>
      <c r="I14" s="613">
        <v>16989.313606400003</v>
      </c>
      <c r="J14" s="613">
        <v>15683.51590495</v>
      </c>
      <c r="K14" s="613">
        <v>15912.02533395</v>
      </c>
      <c r="L14" s="613">
        <v>19907.172927830001</v>
      </c>
      <c r="M14" s="613">
        <v>22260.14017346</v>
      </c>
    </row>
    <row r="15" spans="1:24">
      <c r="A15" s="610" t="str">
        <f>T("08")</f>
        <v>08</v>
      </c>
      <c r="B15" s="611" t="str">
        <f>T("Migration")</f>
        <v>Migration</v>
      </c>
      <c r="C15" s="612">
        <v>2840.4299827999998</v>
      </c>
      <c r="D15" s="612">
        <v>2056.0238371999999</v>
      </c>
      <c r="E15" s="613">
        <v>2095.5481783199998</v>
      </c>
      <c r="F15" s="613">
        <v>1840.64430554</v>
      </c>
      <c r="G15" s="613">
        <v>1969.41773835</v>
      </c>
      <c r="H15" s="613">
        <v>2223.3789864199998</v>
      </c>
      <c r="I15" s="613">
        <v>2725.57821913</v>
      </c>
      <c r="J15" s="613">
        <v>3812.5163435900004</v>
      </c>
      <c r="K15" s="613">
        <v>4921.33877983</v>
      </c>
      <c r="L15" s="613">
        <v>5214.55152653</v>
      </c>
      <c r="M15" s="613">
        <v>4806.4685828700003</v>
      </c>
    </row>
    <row r="16" spans="1:24">
      <c r="A16" s="610" t="str">
        <f>T("09")</f>
        <v>09</v>
      </c>
      <c r="B16" s="611" t="str">
        <f>T("Hälsovård, sjukvård och social omsorg")</f>
        <v>Hälsovård, sjukvård och social omsorg</v>
      </c>
      <c r="C16" s="612">
        <v>18201.246959</v>
      </c>
      <c r="D16" s="612">
        <v>24582.704936000002</v>
      </c>
      <c r="E16" s="613">
        <v>24210.104796039999</v>
      </c>
      <c r="F16" s="613">
        <v>23115.093453279998</v>
      </c>
      <c r="G16" s="613">
        <v>24510.874258560001</v>
      </c>
      <c r="H16" s="613">
        <v>28564.966363400003</v>
      </c>
      <c r="I16" s="613">
        <v>29477.8778638</v>
      </c>
      <c r="J16" s="613">
        <v>31023.347688439997</v>
      </c>
      <c r="K16" s="613">
        <v>34051.440630470002</v>
      </c>
      <c r="L16" s="613">
        <v>36788.369987549995</v>
      </c>
      <c r="M16" s="613">
        <v>38455.296175849995</v>
      </c>
    </row>
    <row r="17" spans="1:13">
      <c r="A17" s="610" t="str">
        <f>T("10")</f>
        <v>10</v>
      </c>
      <c r="B17" s="611" t="str">
        <f>T("Ekonomisk trygghet vid sjukdom och funktionsnedsättning")</f>
        <v>Ekonomisk trygghet vid sjukdom och funktionsnedsättning</v>
      </c>
      <c r="C17" s="612">
        <v>31535.311781</v>
      </c>
      <c r="D17" s="612">
        <v>37052.884749999997</v>
      </c>
      <c r="E17" s="613">
        <v>35650.244718139998</v>
      </c>
      <c r="F17" s="613">
        <v>39744.865426119999</v>
      </c>
      <c r="G17" s="613">
        <v>88477.094333090005</v>
      </c>
      <c r="H17" s="613">
        <v>97936.787192519987</v>
      </c>
      <c r="I17" s="613">
        <v>107315.50644277</v>
      </c>
      <c r="J17" s="613">
        <v>112889.0639373</v>
      </c>
      <c r="K17" s="613">
        <v>121464.02312577001</v>
      </c>
      <c r="L17" s="613">
        <v>122916.43688800999</v>
      </c>
      <c r="M17" s="613">
        <v>127049.42309334</v>
      </c>
    </row>
    <row r="18" spans="1:13">
      <c r="A18" s="610"/>
      <c r="B18" s="611"/>
      <c r="C18" s="612"/>
      <c r="D18" s="612"/>
      <c r="E18" s="613"/>
      <c r="F18" s="613"/>
      <c r="G18" s="613"/>
      <c r="H18" s="613"/>
      <c r="I18" s="613"/>
      <c r="J18" s="613"/>
      <c r="K18" s="613"/>
      <c r="L18" s="613"/>
      <c r="M18" s="613"/>
    </row>
    <row r="19" spans="1:13">
      <c r="A19" s="610" t="str">
        <f>T("11")</f>
        <v>11</v>
      </c>
      <c r="B19" s="611" t="str">
        <f>T("Ekonomisk trygghet vid ålderdom")</f>
        <v>Ekonomisk trygghet vid ålderdom</v>
      </c>
      <c r="C19" s="612">
        <v>65071.675635</v>
      </c>
      <c r="D19" s="612">
        <v>64505.931942000003</v>
      </c>
      <c r="E19" s="613">
        <v>63134.117524929999</v>
      </c>
      <c r="F19" s="613">
        <v>62683.993435840006</v>
      </c>
      <c r="G19" s="613">
        <v>34450.292231740001</v>
      </c>
      <c r="H19" s="613">
        <v>33537.532529160002</v>
      </c>
      <c r="I19" s="613">
        <v>33839.037469989998</v>
      </c>
      <c r="J19" s="613">
        <v>33794.146438160002</v>
      </c>
      <c r="K19" s="613">
        <v>51953.610575319995</v>
      </c>
      <c r="L19" s="613">
        <v>51229.107183519998</v>
      </c>
      <c r="M19" s="613">
        <v>46120.226261880001</v>
      </c>
    </row>
    <row r="20" spans="1:13">
      <c r="A20" s="610" t="str">
        <f>T("12")</f>
        <v>12</v>
      </c>
      <c r="B20" s="611" t="str">
        <f>T("Ekonomisk trygghet för familjer och barn")</f>
        <v>Ekonomisk trygghet för familjer och barn</v>
      </c>
      <c r="C20" s="612">
        <v>41668.733076999997</v>
      </c>
      <c r="D20" s="612">
        <v>42335.647015000002</v>
      </c>
      <c r="E20" s="613">
        <v>38797.317711970005</v>
      </c>
      <c r="F20" s="613">
        <v>41658.839342899999</v>
      </c>
      <c r="G20" s="613">
        <v>46241.983214610002</v>
      </c>
      <c r="H20" s="613">
        <v>48968.986552919996</v>
      </c>
      <c r="I20" s="613">
        <v>52282.94518078</v>
      </c>
      <c r="J20" s="613">
        <v>53914.45033847</v>
      </c>
      <c r="K20" s="613">
        <v>55817.939335900002</v>
      </c>
      <c r="L20" s="613">
        <v>57538.487284900002</v>
      </c>
      <c r="M20" s="613">
        <v>59071.397874089998</v>
      </c>
    </row>
    <row r="21" spans="1:13">
      <c r="A21" s="610" t="str">
        <f>T("13")</f>
        <v>13</v>
      </c>
      <c r="B21" s="611" t="str">
        <f>T("Integration och jämställdhet")</f>
        <v>Integration och jämställdhet</v>
      </c>
      <c r="C21" s="612">
        <v>5783.5370275999994</v>
      </c>
      <c r="D21" s="612">
        <v>2936.4835356999997</v>
      </c>
      <c r="E21" s="613">
        <v>7129.60625987</v>
      </c>
      <c r="F21" s="613">
        <v>8543.4472561300008</v>
      </c>
      <c r="G21" s="613">
        <v>8927.8191606699984</v>
      </c>
      <c r="H21" s="613">
        <v>8244.0670357300005</v>
      </c>
      <c r="I21" s="613">
        <v>7362.3138975499996</v>
      </c>
      <c r="J21" s="613">
        <v>7195.7511766999996</v>
      </c>
      <c r="K21" s="613">
        <v>6988.7649319599996</v>
      </c>
      <c r="L21" s="613">
        <v>6540.43281699</v>
      </c>
      <c r="M21" s="613">
        <v>6404.8707499000002</v>
      </c>
    </row>
    <row r="22" spans="1:13">
      <c r="A22" s="610" t="str">
        <f>T("14")</f>
        <v>14</v>
      </c>
      <c r="B22" s="611" t="str">
        <f>T("Arbetsmarknad och arbetsliv")</f>
        <v>Arbetsmarknad och arbetsliv</v>
      </c>
      <c r="C22" s="612">
        <v>70982.830281000002</v>
      </c>
      <c r="D22" s="612">
        <v>92203.831064999991</v>
      </c>
      <c r="E22" s="613">
        <v>77129.307019480009</v>
      </c>
      <c r="F22" s="613">
        <v>70747.598664639998</v>
      </c>
      <c r="G22" s="613">
        <v>70182.823657989997</v>
      </c>
      <c r="H22" s="613">
        <v>60886.274182870002</v>
      </c>
      <c r="I22" s="613">
        <v>54873.239086809997</v>
      </c>
      <c r="J22" s="613">
        <v>57729.692005860001</v>
      </c>
      <c r="K22" s="613">
        <v>61179.794426150002</v>
      </c>
      <c r="L22" s="613">
        <v>64295.314519009997</v>
      </c>
      <c r="M22" s="613">
        <v>66434.974251349995</v>
      </c>
    </row>
    <row r="23" spans="1:13">
      <c r="A23" s="610" t="str">
        <f>T("15")</f>
        <v>15</v>
      </c>
      <c r="B23" s="611" t="str">
        <f>T("Studiestöd")</f>
        <v>Studiestöd</v>
      </c>
      <c r="C23" s="612">
        <v>12557.512185000001</v>
      </c>
      <c r="D23" s="612">
        <v>11908.922726000001</v>
      </c>
      <c r="E23" s="613">
        <v>16280.72495263</v>
      </c>
      <c r="F23" s="613">
        <v>22258.108947870001</v>
      </c>
      <c r="G23" s="613">
        <v>20017.331453719999</v>
      </c>
      <c r="H23" s="613">
        <v>20048.756043510002</v>
      </c>
      <c r="I23" s="613">
        <v>19446.92693835</v>
      </c>
      <c r="J23" s="613">
        <v>21074.83423493</v>
      </c>
      <c r="K23" s="613">
        <v>20292.55834322</v>
      </c>
      <c r="L23" s="613">
        <v>21222.026166399999</v>
      </c>
      <c r="M23" s="613">
        <v>20157.58686069</v>
      </c>
    </row>
    <row r="24" spans="1:13">
      <c r="A24" s="610"/>
      <c r="B24" s="611"/>
      <c r="C24" s="612"/>
      <c r="D24" s="612"/>
      <c r="E24" s="613"/>
      <c r="F24" s="613"/>
      <c r="G24" s="613"/>
      <c r="H24" s="613"/>
      <c r="I24" s="613"/>
      <c r="J24" s="613"/>
      <c r="K24" s="613"/>
      <c r="L24" s="613"/>
      <c r="M24" s="613"/>
    </row>
    <row r="25" spans="1:13">
      <c r="A25" s="610" t="str">
        <f>T("16")</f>
        <v>16</v>
      </c>
      <c r="B25" s="611" t="str">
        <f>T("Utbildning och universitetsforskning")</f>
        <v>Utbildning och universitetsforskning</v>
      </c>
      <c r="C25" s="612">
        <v>23529.523390000002</v>
      </c>
      <c r="D25" s="612">
        <v>23453.209342000002</v>
      </c>
      <c r="E25" s="613">
        <v>24838.10950124</v>
      </c>
      <c r="F25" s="613">
        <v>27412.041859650002</v>
      </c>
      <c r="G25" s="613">
        <v>28821.575405250001</v>
      </c>
      <c r="H25" s="613">
        <v>31010.1866252</v>
      </c>
      <c r="I25" s="613">
        <v>32920.033805489998</v>
      </c>
      <c r="J25" s="613">
        <v>40484.623692009998</v>
      </c>
      <c r="K25" s="613">
        <v>41636.062045189996</v>
      </c>
      <c r="L25" s="613">
        <v>43615.681372680003</v>
      </c>
      <c r="M25" s="613">
        <v>43338.838164010005</v>
      </c>
    </row>
    <row r="26" spans="1:13">
      <c r="A26" s="610" t="str">
        <f>T("17")</f>
        <v>17</v>
      </c>
      <c r="B26" s="611" t="str">
        <f>T("Kultur, medier, trossamfund och fritid")</f>
        <v>Kultur, medier, trossamfund och fritid</v>
      </c>
      <c r="C26" s="612">
        <v>6457.2995339999998</v>
      </c>
      <c r="D26" s="612">
        <v>7238.4107346000001</v>
      </c>
      <c r="E26" s="613">
        <v>7179.3207930600001</v>
      </c>
      <c r="F26" s="613">
        <v>7345.2058480099995</v>
      </c>
      <c r="G26" s="613">
        <v>7557.5971292100003</v>
      </c>
      <c r="H26" s="613">
        <v>7588.6173626099999</v>
      </c>
      <c r="I26" s="613">
        <v>7813.8670945200001</v>
      </c>
      <c r="J26" s="613">
        <v>8094.9703922099998</v>
      </c>
      <c r="K26" s="613">
        <v>8351.5325487200007</v>
      </c>
      <c r="L26" s="613">
        <v>8738.6703897900006</v>
      </c>
      <c r="M26" s="613">
        <v>8967.7186474300015</v>
      </c>
    </row>
    <row r="27" spans="1:13" ht="23.25" customHeight="1">
      <c r="A27" s="610" t="str">
        <f>T("18")</f>
        <v>18</v>
      </c>
      <c r="B27" s="614" t="str">
        <f>T("Samhällsplanering, bostadsförsörjning, byggande samt konsumentpolitik")</f>
        <v>Samhällsplanering, bostadsförsörjning, byggande samt konsumentpolitik</v>
      </c>
      <c r="C27" s="612">
        <v>33970.353977999999</v>
      </c>
      <c r="D27" s="612">
        <v>30272.790234</v>
      </c>
      <c r="E27" s="613">
        <v>22869.399100809998</v>
      </c>
      <c r="F27" s="613">
        <v>14838.770476260001</v>
      </c>
      <c r="G27" s="613">
        <v>10278.31211535</v>
      </c>
      <c r="H27" s="613">
        <v>5641.3828314699995</v>
      </c>
      <c r="I27" s="613">
        <v>4685.5581042000003</v>
      </c>
      <c r="J27" s="613">
        <v>3215.6476424099997</v>
      </c>
      <c r="K27" s="613">
        <v>3291.63294997</v>
      </c>
      <c r="L27" s="613">
        <v>3061.8906741200003</v>
      </c>
      <c r="M27" s="613">
        <v>3109.3201972799998</v>
      </c>
    </row>
    <row r="28" spans="1:13">
      <c r="A28" s="610" t="str">
        <f>T("19")</f>
        <v>19</v>
      </c>
      <c r="B28" s="611" t="str">
        <f>T("Regional tillväxt")</f>
        <v>Regional tillväxt</v>
      </c>
      <c r="C28" s="612">
        <v>2811.9052966999998</v>
      </c>
      <c r="D28" s="612">
        <v>2517.6765611999999</v>
      </c>
      <c r="E28" s="613">
        <v>2933.4103992300002</v>
      </c>
      <c r="F28" s="613">
        <v>3428.43206143</v>
      </c>
      <c r="G28" s="613">
        <v>3711.4737266099996</v>
      </c>
      <c r="H28" s="613">
        <v>2998.15959883</v>
      </c>
      <c r="I28" s="613">
        <v>3208.5445475800002</v>
      </c>
      <c r="J28" s="613">
        <v>3219.1267808599996</v>
      </c>
      <c r="K28" s="613">
        <v>3421.0499386500001</v>
      </c>
      <c r="L28" s="613">
        <v>3301.2716182200002</v>
      </c>
      <c r="M28" s="613">
        <v>3285.5381303099998</v>
      </c>
    </row>
    <row r="29" spans="1:13">
      <c r="A29" s="610" t="str">
        <f>T("20")</f>
        <v>20</v>
      </c>
      <c r="B29" s="611" t="str">
        <f>T("Allmän miljö- och naturvård")</f>
        <v>Allmän miljö- och naturvård</v>
      </c>
      <c r="C29" s="612">
        <v>1503.9340253</v>
      </c>
      <c r="D29" s="612">
        <v>1326.4508787</v>
      </c>
      <c r="E29" s="613">
        <v>1684.7842403299999</v>
      </c>
      <c r="F29" s="613">
        <v>1535.8477606700001</v>
      </c>
      <c r="G29" s="613">
        <v>1735.4535539400001</v>
      </c>
      <c r="H29" s="613">
        <v>1822.43560611</v>
      </c>
      <c r="I29" s="613">
        <v>2140.5407937099999</v>
      </c>
      <c r="J29" s="613">
        <v>2673.38525854</v>
      </c>
      <c r="K29" s="613">
        <v>2497.59010334</v>
      </c>
      <c r="L29" s="613">
        <v>3055.91570512</v>
      </c>
      <c r="M29" s="613">
        <v>3986.9328225699996</v>
      </c>
    </row>
    <row r="30" spans="1:13">
      <c r="A30" s="610"/>
      <c r="B30" s="611"/>
      <c r="C30" s="612"/>
      <c r="D30" s="612"/>
      <c r="E30" s="613"/>
      <c r="F30" s="613"/>
      <c r="G30" s="613"/>
      <c r="H30" s="613"/>
      <c r="I30" s="613"/>
      <c r="J30" s="613"/>
      <c r="K30" s="613"/>
      <c r="L30" s="613"/>
      <c r="M30" s="613"/>
    </row>
    <row r="31" spans="1:13">
      <c r="A31" s="610" t="str">
        <f>T("21")</f>
        <v>21</v>
      </c>
      <c r="B31" s="611" t="str">
        <f>T("Energi")</f>
        <v>Energi</v>
      </c>
      <c r="C31" s="612">
        <v>1322.7229711</v>
      </c>
      <c r="D31" s="612">
        <v>948.11802046000003</v>
      </c>
      <c r="E31" s="613">
        <v>593.45862121000005</v>
      </c>
      <c r="F31" s="613">
        <v>867.09224731000006</v>
      </c>
      <c r="G31" s="613">
        <v>1101.45115504</v>
      </c>
      <c r="H31" s="613">
        <v>1730.7853397700001</v>
      </c>
      <c r="I31" s="613">
        <v>1950.44852937</v>
      </c>
      <c r="J31" s="613">
        <v>2253.4648028799998</v>
      </c>
      <c r="K31" s="613">
        <v>1906.3684663700001</v>
      </c>
      <c r="L31" s="613">
        <v>2068.96580958</v>
      </c>
      <c r="M31" s="613">
        <v>1396.23764381</v>
      </c>
    </row>
    <row r="32" spans="1:13">
      <c r="A32" s="610" t="str">
        <f>T("22")</f>
        <v>22</v>
      </c>
      <c r="B32" s="611" t="str">
        <f>T("Kommunikationer")</f>
        <v>Kommunikationer</v>
      </c>
      <c r="C32" s="612">
        <v>30131.499831000001</v>
      </c>
      <c r="D32" s="612">
        <v>27316.741845</v>
      </c>
      <c r="E32" s="613">
        <v>24033.379506269997</v>
      </c>
      <c r="F32" s="613">
        <v>26856.82520377</v>
      </c>
      <c r="G32" s="613">
        <v>25085.24688748</v>
      </c>
      <c r="H32" s="613">
        <v>24858.891819839999</v>
      </c>
      <c r="I32" s="613">
        <v>24243.918661899999</v>
      </c>
      <c r="J32" s="613">
        <v>24379.879715130002</v>
      </c>
      <c r="K32" s="613">
        <v>25130.649336429997</v>
      </c>
      <c r="L32" s="613">
        <v>28994.81081829</v>
      </c>
      <c r="M32" s="613">
        <v>31689.017153420002</v>
      </c>
    </row>
    <row r="33" spans="1:13">
      <c r="A33" s="610" t="str">
        <f>T("23")</f>
        <v>23</v>
      </c>
      <c r="B33" s="611" t="str">
        <f>T("Areella näringar, landsbygd och livsmedel")</f>
        <v>Areella näringar, landsbygd och livsmedel</v>
      </c>
      <c r="C33" s="612">
        <v>8645.5801962999994</v>
      </c>
      <c r="D33" s="612">
        <v>9637.8302372999988</v>
      </c>
      <c r="E33" s="613">
        <v>10855.281116149999</v>
      </c>
      <c r="F33" s="613">
        <v>11825.89930114</v>
      </c>
      <c r="G33" s="613">
        <v>11914.38640394</v>
      </c>
      <c r="H33" s="613">
        <v>9727.2420385299993</v>
      </c>
      <c r="I33" s="613">
        <v>16626.593706</v>
      </c>
      <c r="J33" s="613">
        <v>13921.6799448</v>
      </c>
      <c r="K33" s="613">
        <v>9614.550244</v>
      </c>
      <c r="L33" s="613">
        <v>12218.51908538</v>
      </c>
      <c r="M33" s="613">
        <v>17408.334907430002</v>
      </c>
    </row>
    <row r="34" spans="1:13">
      <c r="A34" s="610" t="str">
        <f>T("24")</f>
        <v>24</v>
      </c>
      <c r="B34" s="611" t="str">
        <f>T("Näringsliv")</f>
        <v>Näringsliv</v>
      </c>
      <c r="C34" s="612">
        <v>3647.2097874999999</v>
      </c>
      <c r="D34" s="612">
        <v>3004.6847014999998</v>
      </c>
      <c r="E34" s="613">
        <v>3078.6962167000002</v>
      </c>
      <c r="F34" s="613">
        <v>2788.61347918</v>
      </c>
      <c r="G34" s="613">
        <v>3284.13341567</v>
      </c>
      <c r="H34" s="613">
        <v>3809.9740954200001</v>
      </c>
      <c r="I34" s="613">
        <v>3156.8191576200002</v>
      </c>
      <c r="J34" s="613">
        <v>3211.3343022899999</v>
      </c>
      <c r="K34" s="613">
        <v>3105.9256456600001</v>
      </c>
      <c r="L34" s="613">
        <v>3454.1744084800002</v>
      </c>
      <c r="M34" s="613">
        <v>3547.5089472500003</v>
      </c>
    </row>
    <row r="35" spans="1:13">
      <c r="A35" s="610" t="str">
        <f>T("25")</f>
        <v>25</v>
      </c>
      <c r="B35" s="611" t="str">
        <f>T("Allmänna bidrag till kommuner")</f>
        <v>Allmänna bidrag till kommuner</v>
      </c>
      <c r="C35" s="612">
        <v>48488.655362999998</v>
      </c>
      <c r="D35" s="612">
        <v>78237.324901</v>
      </c>
      <c r="E35" s="613">
        <v>87330.474686000001</v>
      </c>
      <c r="F35" s="613">
        <v>96784.23599270999</v>
      </c>
      <c r="G35" s="613">
        <v>102542.45954482</v>
      </c>
      <c r="H35" s="613">
        <v>97534.544008369994</v>
      </c>
      <c r="I35" s="613">
        <v>100639.38710677999</v>
      </c>
      <c r="J35" s="613">
        <v>102332.70257108999</v>
      </c>
      <c r="K35" s="613">
        <v>72400.297180580004</v>
      </c>
      <c r="L35" s="613">
        <v>69833.826074579993</v>
      </c>
      <c r="M35" s="613">
        <v>57325.101884989999</v>
      </c>
    </row>
    <row r="36" spans="1:13">
      <c r="A36" s="610"/>
      <c r="B36" s="611"/>
      <c r="C36" s="612"/>
      <c r="D36" s="612"/>
      <c r="E36" s="613"/>
      <c r="F36" s="613"/>
      <c r="G36" s="613"/>
      <c r="H36" s="613"/>
      <c r="I36" s="613"/>
      <c r="J36" s="613"/>
      <c r="K36" s="613"/>
      <c r="L36" s="613"/>
      <c r="M36" s="613"/>
    </row>
    <row r="37" spans="1:13">
      <c r="A37" s="610" t="str">
        <f>T("26")</f>
        <v>26</v>
      </c>
      <c r="B37" s="611" t="str">
        <f>T("Statsskuldsräntor m.m.")</f>
        <v>Statsskuldsräntor m.m.</v>
      </c>
      <c r="C37" s="612">
        <v>104766.70253</v>
      </c>
      <c r="D37" s="612">
        <v>99539.96678100001</v>
      </c>
      <c r="E37" s="613">
        <v>98366.882168630007</v>
      </c>
      <c r="F37" s="613">
        <v>113405.22632539</v>
      </c>
      <c r="G37" s="613">
        <v>89884.709456559998</v>
      </c>
      <c r="H37" s="613">
        <v>90213.313614240004</v>
      </c>
      <c r="I37" s="613">
        <v>81259.874288899999</v>
      </c>
      <c r="J37" s="613">
        <v>67339.655012339994</v>
      </c>
      <c r="K37" s="613">
        <v>42173.3477661</v>
      </c>
      <c r="L37" s="613">
        <v>52718.18703814</v>
      </c>
      <c r="M37" s="613">
        <v>32657.383241269999</v>
      </c>
    </row>
    <row r="38" spans="1:13">
      <c r="A38" s="610" t="str">
        <f>T("27")</f>
        <v>27</v>
      </c>
      <c r="B38" s="611" t="str">
        <f>T("Avgiften till Europeiska unionen")</f>
        <v>Avgiften till Europeiska unionen</v>
      </c>
      <c r="C38" s="612">
        <v>15447.336938999999</v>
      </c>
      <c r="D38" s="612">
        <v>16773.886241</v>
      </c>
      <c r="E38" s="613">
        <v>20180.825266</v>
      </c>
      <c r="F38" s="613">
        <v>21209.950278329998</v>
      </c>
      <c r="G38" s="613">
        <v>20883.956914179998</v>
      </c>
      <c r="H38" s="613">
        <v>22295.012417729999</v>
      </c>
      <c r="I38" s="613">
        <v>23271.537978560002</v>
      </c>
      <c r="J38" s="613">
        <v>20648.274405639997</v>
      </c>
      <c r="K38" s="613">
        <v>18321.913958969999</v>
      </c>
      <c r="L38" s="613">
        <v>25563.07092328</v>
      </c>
      <c r="M38" s="613">
        <v>25635.130457070001</v>
      </c>
    </row>
    <row r="39" spans="1:13">
      <c r="C39" s="612"/>
      <c r="D39" s="612"/>
      <c r="E39" s="613"/>
      <c r="F39" s="613"/>
      <c r="G39" s="613"/>
      <c r="H39" s="613"/>
      <c r="I39" s="613"/>
      <c r="J39" s="613"/>
      <c r="K39" s="613"/>
      <c r="L39" s="613"/>
      <c r="M39" s="613"/>
    </row>
    <row r="40" spans="1:13">
      <c r="A40" s="615" t="s">
        <v>1662</v>
      </c>
      <c r="B40" s="616" t="s">
        <v>1663</v>
      </c>
      <c r="C40" s="434">
        <v>618200.68339759985</v>
      </c>
      <c r="D40" s="434">
        <v>658831.44615166017</v>
      </c>
      <c r="E40" s="617">
        <v>667551.89446975</v>
      </c>
      <c r="F40" s="617">
        <v>699093.96000218985</v>
      </c>
      <c r="G40" s="617">
        <v>705221.86901048</v>
      </c>
      <c r="H40" s="617">
        <v>709565.85874821013</v>
      </c>
      <c r="I40" s="617">
        <v>722036.44012593001</v>
      </c>
      <c r="J40" s="617">
        <v>725331.80343601992</v>
      </c>
      <c r="K40" s="617">
        <v>703470.30479691993</v>
      </c>
      <c r="L40" s="617">
        <v>740723.38621236989</v>
      </c>
      <c r="M40" s="617">
        <v>724956.01455958001</v>
      </c>
    </row>
    <row r="41" spans="1:13">
      <c r="A41" s="615" t="s">
        <v>1664</v>
      </c>
      <c r="B41" s="616" t="s">
        <v>1665</v>
      </c>
      <c r="C41" s="434">
        <f t="shared" ref="C41:D41" si="0">C40-C37</f>
        <v>513433.98086759984</v>
      </c>
      <c r="D41" s="434">
        <f t="shared" si="0"/>
        <v>559291.47937066015</v>
      </c>
      <c r="E41" s="617">
        <v>569185.01230112009</v>
      </c>
      <c r="F41" s="617">
        <v>585688.73367679992</v>
      </c>
      <c r="G41" s="617">
        <v>615337.15955392004</v>
      </c>
      <c r="H41" s="617">
        <v>619352.54513396998</v>
      </c>
      <c r="I41" s="617">
        <v>640776.56583702995</v>
      </c>
      <c r="J41" s="617">
        <v>657992.14842367999</v>
      </c>
      <c r="K41" s="617">
        <v>661296.95703081985</v>
      </c>
      <c r="L41" s="617">
        <v>688005.19917422987</v>
      </c>
      <c r="M41" s="617">
        <v>692298.63131831004</v>
      </c>
    </row>
    <row r="42" spans="1:13">
      <c r="C42" s="618"/>
      <c r="D42" s="618"/>
      <c r="E42" s="613"/>
      <c r="F42" s="613"/>
      <c r="G42" s="613"/>
      <c r="H42" s="613"/>
      <c r="I42" s="613"/>
      <c r="J42" s="613"/>
      <c r="K42" s="613"/>
      <c r="L42" s="613"/>
      <c r="M42" s="613"/>
    </row>
    <row r="43" spans="1:13">
      <c r="A43" s="610"/>
      <c r="B43" s="203" t="s">
        <v>352</v>
      </c>
      <c r="C43" s="612">
        <v>-38529</v>
      </c>
      <c r="D43" s="612">
        <v>88489</v>
      </c>
      <c r="E43" s="613">
        <v>-1960.8779999999999</v>
      </c>
      <c r="F43" s="613">
        <v>385.55900000000003</v>
      </c>
      <c r="G43" s="613">
        <v>-44142.026257999998</v>
      </c>
      <c r="H43" s="613">
        <v>-35411.535436899998</v>
      </c>
      <c r="I43" s="613">
        <v>-34426.466071000003</v>
      </c>
      <c r="J43" s="613">
        <v>-48595.672122399999</v>
      </c>
      <c r="K43" s="613">
        <v>-7281.5772824999995</v>
      </c>
      <c r="L43" s="613">
        <v>-6097.81751171</v>
      </c>
      <c r="M43" s="613">
        <v>-3269.155538</v>
      </c>
    </row>
    <row r="44" spans="1:13">
      <c r="A44" s="610"/>
      <c r="B44" s="203" t="s">
        <v>331</v>
      </c>
      <c r="C44" s="612">
        <v>24482</v>
      </c>
      <c r="D44" s="612">
        <v>-125840</v>
      </c>
      <c r="E44" s="613">
        <v>-10435</v>
      </c>
      <c r="F44" s="613">
        <v>-2828</v>
      </c>
      <c r="G44" s="613">
        <v>-17932.599999999999</v>
      </c>
      <c r="H44" s="613">
        <v>23914.155811999997</v>
      </c>
      <c r="I44" s="613">
        <v>28768.99960585</v>
      </c>
      <c r="J44" s="613">
        <v>50262.276911100002</v>
      </c>
      <c r="K44" s="613">
        <v>12094.360038499999</v>
      </c>
      <c r="L44" s="613">
        <v>10305.228024119999</v>
      </c>
      <c r="M44" s="613">
        <v>10084.42347123</v>
      </c>
    </row>
    <row r="45" spans="1:13">
      <c r="B45" s="203"/>
      <c r="C45" s="612"/>
      <c r="D45" s="612"/>
      <c r="E45" s="613"/>
      <c r="F45" s="613"/>
      <c r="G45" s="613"/>
      <c r="H45" s="613"/>
      <c r="I45" s="613"/>
      <c r="J45" s="613"/>
      <c r="K45" s="613"/>
      <c r="L45" s="613"/>
      <c r="M45" s="613"/>
    </row>
    <row r="46" spans="1:13">
      <c r="A46" s="615" t="s">
        <v>1666</v>
      </c>
      <c r="B46" s="616" t="s">
        <v>1667</v>
      </c>
      <c r="C46" s="434">
        <f t="shared" ref="C46:D46" si="1">C40+C43+C44</f>
        <v>604153.68339759985</v>
      </c>
      <c r="D46" s="434">
        <f t="shared" si="1"/>
        <v>621480.44615166017</v>
      </c>
      <c r="E46" s="617">
        <v>655156.01646975009</v>
      </c>
      <c r="F46" s="617">
        <v>696651.51900218986</v>
      </c>
      <c r="G46" s="617">
        <v>643147.24275248009</v>
      </c>
      <c r="H46" s="617">
        <v>698068.47912331007</v>
      </c>
      <c r="I46" s="617">
        <v>716378.97366078</v>
      </c>
      <c r="J46" s="617">
        <v>726998.40822471993</v>
      </c>
      <c r="K46" s="617">
        <v>708283.08755291987</v>
      </c>
      <c r="L46" s="617">
        <v>744930.79672477988</v>
      </c>
      <c r="M46" s="617">
        <v>731771.28249281005</v>
      </c>
    </row>
    <row r="47" spans="1:13">
      <c r="B47" s="616"/>
      <c r="C47" s="612"/>
      <c r="D47" s="612"/>
      <c r="E47" s="613"/>
      <c r="F47" s="613"/>
      <c r="G47" s="613"/>
      <c r="H47" s="613"/>
      <c r="I47" s="613"/>
      <c r="J47" s="613"/>
      <c r="K47" s="613"/>
      <c r="L47" s="613"/>
      <c r="M47" s="613"/>
    </row>
    <row r="48" spans="1:13">
      <c r="A48" s="610"/>
      <c r="B48" s="611" t="s">
        <v>1747</v>
      </c>
      <c r="C48" s="613">
        <v>114100</v>
      </c>
      <c r="D48" s="612">
        <v>118500</v>
      </c>
      <c r="E48" s="613">
        <v>129707</v>
      </c>
      <c r="F48" s="613">
        <v>132340</v>
      </c>
      <c r="G48" s="613">
        <v>136193.95989199998</v>
      </c>
      <c r="H48" s="613">
        <v>140657.89918000001</v>
      </c>
      <c r="I48" s="613">
        <v>145507.593792</v>
      </c>
      <c r="J48" s="613">
        <v>153644.95509900001</v>
      </c>
      <c r="K48" s="613">
        <v>157779.80020199998</v>
      </c>
      <c r="L48" s="613">
        <v>167541.19957900001</v>
      </c>
      <c r="M48" s="613">
        <v>172033.175028</v>
      </c>
    </row>
    <row r="49" spans="1:13">
      <c r="B49" s="611"/>
      <c r="C49" s="203"/>
      <c r="D49" s="612"/>
      <c r="E49" s="613"/>
      <c r="F49" s="613"/>
      <c r="G49" s="613"/>
      <c r="H49" s="613"/>
      <c r="I49" s="613"/>
      <c r="J49" s="613"/>
      <c r="K49" s="613"/>
      <c r="L49" s="613"/>
      <c r="M49" s="613"/>
    </row>
    <row r="50" spans="1:13">
      <c r="A50" s="615" t="s">
        <v>1668</v>
      </c>
      <c r="B50" s="616" t="s">
        <v>1748</v>
      </c>
      <c r="C50" s="617">
        <f t="shared" ref="C50:D50" si="2">C41+C48</f>
        <v>627533.98086759984</v>
      </c>
      <c r="D50" s="617">
        <f t="shared" si="2"/>
        <v>677791.47937066015</v>
      </c>
      <c r="E50" s="617">
        <v>698892.01230112009</v>
      </c>
      <c r="F50" s="617">
        <v>718028.73367679992</v>
      </c>
      <c r="G50" s="617">
        <v>751531.11944591999</v>
      </c>
      <c r="H50" s="617">
        <v>760010.44431397005</v>
      </c>
      <c r="I50" s="617">
        <v>786284.15962903004</v>
      </c>
      <c r="J50" s="617">
        <v>811637.10352267988</v>
      </c>
      <c r="K50" s="617">
        <v>819076.75723281992</v>
      </c>
      <c r="L50" s="617">
        <v>855546.39875322988</v>
      </c>
      <c r="M50" s="617">
        <v>864331.80634631007</v>
      </c>
    </row>
    <row r="51" spans="1:13">
      <c r="A51" s="610"/>
      <c r="B51" s="611"/>
      <c r="C51" s="203"/>
      <c r="D51" s="612"/>
      <c r="E51" s="613"/>
      <c r="F51" s="613"/>
      <c r="G51" s="613"/>
      <c r="H51" s="613"/>
      <c r="I51" s="613"/>
      <c r="J51" s="613"/>
      <c r="K51" s="613"/>
      <c r="L51" s="613"/>
      <c r="M51" s="613"/>
    </row>
    <row r="52" spans="1:13">
      <c r="A52" s="615" t="s">
        <v>1670</v>
      </c>
      <c r="B52" s="619" t="s">
        <v>201</v>
      </c>
      <c r="C52" s="620" t="s">
        <v>1229</v>
      </c>
      <c r="D52" s="621" t="s">
        <v>1229</v>
      </c>
      <c r="E52" s="622">
        <v>723000</v>
      </c>
      <c r="F52" s="622">
        <v>720000</v>
      </c>
      <c r="G52" s="622">
        <v>753000</v>
      </c>
      <c r="H52" s="622">
        <v>765000</v>
      </c>
      <c r="I52" s="622">
        <v>791000</v>
      </c>
      <c r="J52" s="622">
        <v>812000</v>
      </c>
      <c r="K52" s="622">
        <v>822000</v>
      </c>
      <c r="L52" s="622">
        <v>858000</v>
      </c>
      <c r="M52" s="622">
        <v>870000</v>
      </c>
    </row>
    <row r="53" spans="1:13">
      <c r="A53" s="610"/>
      <c r="B53" s="616"/>
      <c r="C53" s="620"/>
      <c r="D53" s="621"/>
      <c r="E53" s="617"/>
      <c r="F53" s="617"/>
      <c r="G53" s="617"/>
      <c r="H53" s="617"/>
      <c r="I53" s="617"/>
      <c r="J53" s="617"/>
      <c r="K53" s="617"/>
      <c r="L53" s="617"/>
      <c r="M53" s="617"/>
    </row>
    <row r="54" spans="1:13" ht="13.5" thickBot="1">
      <c r="A54" s="623"/>
      <c r="B54" s="624" t="s">
        <v>1671</v>
      </c>
      <c r="C54" s="625" t="s">
        <v>1229</v>
      </c>
      <c r="D54" s="626" t="s">
        <v>1229</v>
      </c>
      <c r="E54" s="627">
        <v>24107.987698879959</v>
      </c>
      <c r="F54" s="627">
        <v>1971.2663232001066</v>
      </c>
      <c r="G54" s="627">
        <v>1468.8805540800095</v>
      </c>
      <c r="H54" s="627">
        <v>4989.5556860299112</v>
      </c>
      <c r="I54" s="627">
        <v>4715.8403709700106</v>
      </c>
      <c r="J54" s="627">
        <v>362.89647732007501</v>
      </c>
      <c r="K54" s="627">
        <v>2923.2427671800851</v>
      </c>
      <c r="L54" s="627">
        <v>2453.6012467701435</v>
      </c>
      <c r="M54" s="627">
        <v>5668.1936536899802</v>
      </c>
    </row>
    <row r="55" spans="1:13">
      <c r="A55" s="628" t="s">
        <v>179</v>
      </c>
      <c r="C55" s="203"/>
      <c r="D55" s="203"/>
    </row>
    <row r="56" spans="1:13">
      <c r="A56" s="631" t="s">
        <v>1770</v>
      </c>
      <c r="C56" s="630"/>
      <c r="D56" s="630"/>
      <c r="E56" s="203"/>
      <c r="F56" s="203"/>
      <c r="G56" s="203"/>
      <c r="H56" s="203"/>
      <c r="I56" s="203"/>
      <c r="J56" s="203"/>
      <c r="K56" s="203"/>
      <c r="L56" s="203"/>
      <c r="M56" s="203"/>
    </row>
    <row r="57" spans="1:13">
      <c r="A57" s="631" t="s">
        <v>334</v>
      </c>
      <c r="C57" s="203"/>
      <c r="D57" s="203"/>
      <c r="E57" s="203"/>
      <c r="F57" s="203"/>
      <c r="G57" s="203"/>
      <c r="H57" s="203"/>
      <c r="I57" s="203"/>
      <c r="J57" s="203"/>
      <c r="K57" s="203"/>
      <c r="L57" s="203"/>
      <c r="M57" s="203"/>
    </row>
    <row r="58" spans="1:13">
      <c r="A58" s="631" t="s">
        <v>1771</v>
      </c>
      <c r="E58" s="203"/>
      <c r="F58" s="203"/>
      <c r="G58" s="203"/>
      <c r="H58" s="203"/>
      <c r="I58" s="203"/>
      <c r="J58" s="203"/>
      <c r="K58" s="203"/>
      <c r="L58" s="203"/>
      <c r="M58" s="203"/>
    </row>
    <row r="59" spans="1:13">
      <c r="A59" s="631" t="s">
        <v>1325</v>
      </c>
      <c r="E59" s="203"/>
      <c r="F59" s="203"/>
      <c r="G59" s="203"/>
      <c r="H59" s="203"/>
      <c r="I59" s="203"/>
      <c r="J59" s="203"/>
      <c r="K59" s="203"/>
      <c r="L59" s="203"/>
      <c r="M59" s="203"/>
    </row>
    <row r="60" spans="1:13">
      <c r="A60" s="631" t="s">
        <v>332</v>
      </c>
      <c r="E60" s="203"/>
      <c r="F60" s="203"/>
      <c r="G60" s="203"/>
      <c r="H60" s="203"/>
      <c r="I60" s="203"/>
      <c r="J60" s="203"/>
      <c r="K60" s="203"/>
      <c r="L60" s="203"/>
      <c r="M60" s="203"/>
    </row>
    <row r="61" spans="1:13">
      <c r="A61" s="631" t="s">
        <v>206</v>
      </c>
      <c r="E61" s="203"/>
      <c r="F61" s="203"/>
      <c r="G61" s="203"/>
      <c r="H61" s="203"/>
      <c r="I61" s="203"/>
      <c r="J61" s="203"/>
      <c r="K61" s="203"/>
      <c r="L61" s="203"/>
      <c r="M61" s="203"/>
    </row>
    <row r="62" spans="1:13">
      <c r="A62" s="631" t="s">
        <v>1772</v>
      </c>
      <c r="E62" s="203"/>
      <c r="F62" s="203"/>
      <c r="G62" s="203"/>
      <c r="H62" s="203"/>
      <c r="I62" s="203"/>
      <c r="J62" s="203"/>
      <c r="K62" s="203"/>
      <c r="L62" s="203"/>
      <c r="M62" s="203"/>
    </row>
    <row r="63" spans="1:13">
      <c r="A63" s="602"/>
      <c r="C63" s="602"/>
      <c r="D63" s="602"/>
      <c r="E63" s="602"/>
      <c r="F63" s="602"/>
      <c r="G63" s="602"/>
      <c r="H63" s="602"/>
      <c r="I63" s="602"/>
      <c r="J63" s="602"/>
      <c r="K63" s="602"/>
      <c r="L63" s="602"/>
      <c r="M63" s="602"/>
    </row>
    <row r="65" spans="1:13">
      <c r="A65" s="602"/>
      <c r="B65" s="203"/>
      <c r="C65" s="602"/>
      <c r="D65" s="602"/>
      <c r="E65" s="602"/>
      <c r="F65" s="602"/>
      <c r="G65" s="602"/>
      <c r="H65" s="602"/>
      <c r="I65" s="602"/>
      <c r="J65" s="602"/>
      <c r="K65" s="602"/>
      <c r="L65" s="602"/>
      <c r="M65" s="602"/>
    </row>
    <row r="66" spans="1:13">
      <c r="A66" s="602"/>
      <c r="B66" s="203"/>
      <c r="C66" s="602"/>
      <c r="D66" s="602"/>
      <c r="E66" s="602"/>
      <c r="F66" s="602"/>
      <c r="G66" s="602"/>
      <c r="H66" s="602"/>
      <c r="I66" s="602"/>
      <c r="J66" s="602"/>
      <c r="K66" s="602"/>
      <c r="L66" s="602"/>
      <c r="M66" s="602"/>
    </row>
    <row r="67" spans="1:13">
      <c r="A67" s="602"/>
      <c r="B67" s="203"/>
      <c r="C67" s="602"/>
      <c r="D67" s="602"/>
      <c r="E67" s="602"/>
      <c r="F67" s="602"/>
      <c r="G67" s="602"/>
      <c r="H67" s="602"/>
      <c r="I67" s="602"/>
      <c r="J67" s="602"/>
      <c r="K67" s="602"/>
      <c r="L67" s="602"/>
      <c r="M67" s="602"/>
    </row>
    <row r="68" spans="1:13">
      <c r="A68" s="602"/>
      <c r="B68" s="630"/>
      <c r="C68" s="602"/>
      <c r="D68" s="602"/>
      <c r="E68" s="602"/>
      <c r="F68" s="602"/>
      <c r="G68" s="602"/>
      <c r="H68" s="602"/>
      <c r="I68" s="602"/>
      <c r="J68" s="602"/>
      <c r="K68" s="602"/>
      <c r="L68" s="602"/>
      <c r="M68" s="602"/>
    </row>
    <row r="69" spans="1:13">
      <c r="A69" s="602"/>
      <c r="B69" s="630"/>
      <c r="C69" s="602"/>
      <c r="D69" s="602"/>
      <c r="E69" s="602"/>
      <c r="F69" s="602"/>
      <c r="G69" s="602"/>
      <c r="H69" s="602"/>
      <c r="I69" s="602"/>
      <c r="J69" s="602"/>
      <c r="K69" s="602"/>
      <c r="L69" s="602"/>
      <c r="M69" s="602"/>
    </row>
    <row r="70" spans="1:13">
      <c r="A70" s="602"/>
      <c r="B70" s="630"/>
      <c r="C70" s="602"/>
      <c r="D70" s="602"/>
      <c r="E70" s="602"/>
      <c r="F70" s="602"/>
      <c r="G70" s="602"/>
      <c r="H70" s="602"/>
      <c r="I70" s="602"/>
      <c r="J70" s="602"/>
      <c r="K70" s="602"/>
      <c r="L70" s="602"/>
      <c r="M70" s="602"/>
    </row>
    <row r="71" spans="1:13">
      <c r="A71" s="602"/>
      <c r="B71" s="203"/>
      <c r="C71" s="602"/>
      <c r="D71" s="602"/>
      <c r="E71" s="602"/>
      <c r="F71" s="602"/>
      <c r="G71" s="602"/>
      <c r="H71" s="602"/>
      <c r="I71" s="602"/>
      <c r="J71" s="602"/>
      <c r="K71" s="602"/>
      <c r="L71" s="602"/>
      <c r="M71" s="602"/>
    </row>
  </sheetData>
  <pageMargins left="0.82677165354330717" right="0.23622047244094491" top="0.47244094488188981" bottom="0.19685039370078741" header="0" footer="0"/>
  <pageSetup paperSize="9" scale="6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workbookViewId="0">
      <selection activeCell="F49" sqref="F49"/>
    </sheetView>
  </sheetViews>
  <sheetFormatPr defaultRowHeight="12.75"/>
  <cols>
    <col min="1" max="1" width="4.6640625" style="630" customWidth="1"/>
    <col min="2" max="2" width="51.5" style="630" customWidth="1"/>
    <col min="3" max="11" width="9.83203125" style="601" customWidth="1"/>
    <col min="12" max="16384" width="9.33203125" style="602"/>
  </cols>
  <sheetData>
    <row r="1" spans="1:11">
      <c r="A1" s="600" t="s">
        <v>1783</v>
      </c>
      <c r="B1" s="600"/>
    </row>
    <row r="2" spans="1:11">
      <c r="A2" s="604" t="s">
        <v>1981</v>
      </c>
      <c r="B2" s="604"/>
    </row>
    <row r="3" spans="1:11">
      <c r="A3" s="606" t="s">
        <v>1982</v>
      </c>
      <c r="B3" s="606"/>
    </row>
    <row r="4" spans="1:11">
      <c r="A4" s="606" t="s">
        <v>1979</v>
      </c>
      <c r="B4" s="606"/>
    </row>
    <row r="5" spans="1:11" ht="13.5" thickBot="1"/>
    <row r="6" spans="1:11" ht="13.5" thickBot="1">
      <c r="A6" s="632" t="s">
        <v>205</v>
      </c>
      <c r="B6" s="632"/>
      <c r="C6" s="633">
        <v>2006</v>
      </c>
      <c r="D6" s="633">
        <v>2007</v>
      </c>
      <c r="E6" s="633">
        <v>2008</v>
      </c>
      <c r="F6" s="633">
        <v>2009</v>
      </c>
      <c r="G6" s="633">
        <v>2010</v>
      </c>
      <c r="H6" s="633">
        <v>2011</v>
      </c>
      <c r="I6" s="633">
        <v>2012</v>
      </c>
      <c r="J6" s="633">
        <v>2013</v>
      </c>
      <c r="K6" s="633">
        <v>2014</v>
      </c>
    </row>
    <row r="7" spans="1:11">
      <c r="C7" s="609"/>
      <c r="D7" s="609"/>
      <c r="E7" s="609"/>
      <c r="F7" s="609"/>
      <c r="G7" s="609"/>
      <c r="H7" s="609"/>
      <c r="I7" s="609"/>
      <c r="J7" s="609"/>
      <c r="K7" s="609"/>
    </row>
    <row r="8" spans="1:11">
      <c r="A8" s="630">
        <v>1</v>
      </c>
      <c r="B8" s="203" t="s">
        <v>1294</v>
      </c>
      <c r="C8" s="613">
        <v>10636.789797040001</v>
      </c>
      <c r="D8" s="613">
        <v>10594.07373136</v>
      </c>
      <c r="E8" s="613">
        <v>10965.597990779999</v>
      </c>
      <c r="F8" s="613">
        <v>12151.836534439999</v>
      </c>
      <c r="G8" s="613">
        <v>11656.509012499999</v>
      </c>
      <c r="H8" s="613">
        <v>11188.205681830001</v>
      </c>
      <c r="I8" s="613">
        <v>11528.883701729999</v>
      </c>
      <c r="J8" s="613">
        <v>11823.21484807</v>
      </c>
      <c r="K8" s="613">
        <v>12902.419503359999</v>
      </c>
    </row>
    <row r="9" spans="1:11">
      <c r="A9" s="630">
        <v>2</v>
      </c>
      <c r="B9" s="203" t="s">
        <v>824</v>
      </c>
      <c r="C9" s="613">
        <v>11832.4488162</v>
      </c>
      <c r="D9" s="613">
        <v>11207.552643789999</v>
      </c>
      <c r="E9" s="613">
        <v>11378.193506670001</v>
      </c>
      <c r="F9" s="613">
        <v>12005.644285420001</v>
      </c>
      <c r="G9" s="613">
        <v>12139.678812</v>
      </c>
      <c r="H9" s="613">
        <v>12870.362488809998</v>
      </c>
      <c r="I9" s="613">
        <v>13510.77311129</v>
      </c>
      <c r="J9" s="613">
        <v>16051.675569809999</v>
      </c>
      <c r="K9" s="613">
        <v>14121.843122660001</v>
      </c>
    </row>
    <row r="10" spans="1:11">
      <c r="A10" s="630">
        <v>3</v>
      </c>
      <c r="B10" s="203" t="s">
        <v>825</v>
      </c>
      <c r="C10" s="613">
        <v>9011.060692609999</v>
      </c>
      <c r="D10" s="613">
        <v>9670.1000198299989</v>
      </c>
      <c r="E10" s="613">
        <v>9445.6159856800004</v>
      </c>
      <c r="F10" s="613">
        <v>9434.321326199999</v>
      </c>
      <c r="G10" s="613">
        <v>9385.2894146899998</v>
      </c>
      <c r="H10" s="613">
        <v>9910.2511540300002</v>
      </c>
      <c r="I10" s="613">
        <v>10272.437907810001</v>
      </c>
      <c r="J10" s="613">
        <v>10388.138716220001</v>
      </c>
      <c r="K10" s="613">
        <v>10383.665559809999</v>
      </c>
    </row>
    <row r="11" spans="1:11">
      <c r="A11" s="630">
        <v>4</v>
      </c>
      <c r="B11" s="203" t="s">
        <v>826</v>
      </c>
      <c r="C11" s="613">
        <v>28505.404636209998</v>
      </c>
      <c r="D11" s="613">
        <v>30627.237103899999</v>
      </c>
      <c r="E11" s="613">
        <v>32692.665971749997</v>
      </c>
      <c r="F11" s="613">
        <v>33644.512950510005</v>
      </c>
      <c r="G11" s="613">
        <v>35486.136362439996</v>
      </c>
      <c r="H11" s="613">
        <v>37164.038484489996</v>
      </c>
      <c r="I11" s="613">
        <v>38213.115722809998</v>
      </c>
      <c r="J11" s="613">
        <v>39297.215791479997</v>
      </c>
      <c r="K11" s="613">
        <v>40193.843352659998</v>
      </c>
    </row>
    <row r="12" spans="1:11">
      <c r="A12" s="630">
        <v>5</v>
      </c>
      <c r="B12" s="203" t="s">
        <v>827</v>
      </c>
      <c r="C12" s="613">
        <v>1425.63892136</v>
      </c>
      <c r="D12" s="613">
        <v>1585.59562334</v>
      </c>
      <c r="E12" s="613">
        <v>1750.4971080600001</v>
      </c>
      <c r="F12" s="613">
        <v>1815.2798034900002</v>
      </c>
      <c r="G12" s="613">
        <v>1997.7472971000002</v>
      </c>
      <c r="H12" s="613">
        <v>1892.1524471600001</v>
      </c>
      <c r="I12" s="613">
        <v>1549.9209108800001</v>
      </c>
      <c r="J12" s="613">
        <v>1826.4014130400001</v>
      </c>
      <c r="K12" s="613">
        <v>1662.4374563200001</v>
      </c>
    </row>
    <row r="13" spans="1:11">
      <c r="B13" s="203"/>
      <c r="C13" s="613"/>
      <c r="D13" s="613"/>
      <c r="E13" s="613"/>
      <c r="F13" s="613"/>
      <c r="G13" s="613"/>
      <c r="H13" s="613"/>
      <c r="I13" s="613"/>
      <c r="J13" s="613"/>
      <c r="K13" s="613"/>
    </row>
    <row r="14" spans="1:11">
      <c r="A14" s="630">
        <v>6</v>
      </c>
      <c r="B14" s="203" t="s">
        <v>828</v>
      </c>
      <c r="C14" s="613">
        <v>44262.429111620004</v>
      </c>
      <c r="D14" s="613">
        <v>46529.933976369997</v>
      </c>
      <c r="E14" s="613">
        <v>43029.607667180004</v>
      </c>
      <c r="F14" s="613">
        <v>42106.47525707</v>
      </c>
      <c r="G14" s="613">
        <v>45665.235668130001</v>
      </c>
      <c r="H14" s="613">
        <v>44153.481799950001</v>
      </c>
      <c r="I14" s="613">
        <v>45461.729541120003</v>
      </c>
      <c r="J14" s="613">
        <v>45410.453147330001</v>
      </c>
      <c r="K14" s="613">
        <v>47977.67235013</v>
      </c>
    </row>
    <row r="15" spans="1:11">
      <c r="A15" s="630">
        <v>7</v>
      </c>
      <c r="B15" s="203" t="s">
        <v>829</v>
      </c>
      <c r="C15" s="613">
        <v>25893.47548365</v>
      </c>
      <c r="D15" s="613">
        <v>25441.20824896</v>
      </c>
      <c r="E15" s="613">
        <v>27452.801100460001</v>
      </c>
      <c r="F15" s="613">
        <v>29600.316785440002</v>
      </c>
      <c r="G15" s="613">
        <v>26668.88183228</v>
      </c>
      <c r="H15" s="613">
        <v>29198.609912020002</v>
      </c>
      <c r="I15" s="613">
        <v>30197.122765020002</v>
      </c>
      <c r="J15" s="613">
        <v>30775.558961819999</v>
      </c>
      <c r="K15" s="613">
        <v>31027.324202939999</v>
      </c>
    </row>
    <row r="16" spans="1:11">
      <c r="A16" s="630">
        <v>8</v>
      </c>
      <c r="B16" s="203" t="s">
        <v>1231</v>
      </c>
      <c r="C16" s="613">
        <v>4522.4234857299998</v>
      </c>
      <c r="D16" s="613">
        <v>5294.9757255900004</v>
      </c>
      <c r="E16" s="613">
        <v>6134.3943133699995</v>
      </c>
      <c r="F16" s="613">
        <v>6521.0454662499997</v>
      </c>
      <c r="G16" s="613">
        <v>7092.12152341</v>
      </c>
      <c r="H16" s="613">
        <v>7572.1166601699997</v>
      </c>
      <c r="I16" s="613">
        <v>8247.6987018899999</v>
      </c>
      <c r="J16" s="613">
        <v>9870.1124352899988</v>
      </c>
      <c r="K16" s="613">
        <v>12551.150758419999</v>
      </c>
    </row>
    <row r="17" spans="1:11">
      <c r="A17" s="630">
        <v>9</v>
      </c>
      <c r="B17" s="203" t="s">
        <v>1271</v>
      </c>
      <c r="C17" s="613">
        <v>42161.673857679998</v>
      </c>
      <c r="D17" s="613">
        <v>46653.146027840005</v>
      </c>
      <c r="E17" s="613">
        <v>49131.003056419999</v>
      </c>
      <c r="F17" s="613">
        <v>53064.772398659996</v>
      </c>
      <c r="G17" s="613">
        <v>56014.726261900003</v>
      </c>
      <c r="H17" s="613">
        <v>56538.473200419998</v>
      </c>
      <c r="I17" s="613">
        <v>58689.941502609996</v>
      </c>
      <c r="J17" s="613">
        <v>58994.268330840001</v>
      </c>
      <c r="K17" s="613">
        <v>61589.040852719998</v>
      </c>
    </row>
    <row r="18" spans="1:11">
      <c r="A18" s="630">
        <v>10</v>
      </c>
      <c r="B18" s="203" t="s">
        <v>383</v>
      </c>
      <c r="C18" s="613">
        <v>125683.26520239</v>
      </c>
      <c r="D18" s="613">
        <v>119464.3676293</v>
      </c>
      <c r="E18" s="613">
        <v>115862.23002175</v>
      </c>
      <c r="F18" s="613">
        <v>109969.07280062001</v>
      </c>
      <c r="G18" s="613">
        <v>99933.056228290006</v>
      </c>
      <c r="H18" s="613">
        <v>95800.135084220005</v>
      </c>
      <c r="I18" s="613">
        <v>94852.700926789999</v>
      </c>
      <c r="J18" s="613">
        <v>96394.498643600004</v>
      </c>
      <c r="K18" s="613">
        <v>99036.241801199998</v>
      </c>
    </row>
    <row r="19" spans="1:11">
      <c r="B19" s="203"/>
      <c r="C19" s="613"/>
      <c r="D19" s="613"/>
      <c r="E19" s="613"/>
      <c r="F19" s="613"/>
      <c r="G19" s="613"/>
      <c r="H19" s="613"/>
      <c r="I19" s="613"/>
      <c r="J19" s="613"/>
      <c r="K19" s="613"/>
    </row>
    <row r="20" spans="1:11">
      <c r="A20" s="630">
        <v>11</v>
      </c>
      <c r="B20" s="203" t="s">
        <v>384</v>
      </c>
      <c r="C20" s="613">
        <v>45018.678170319996</v>
      </c>
      <c r="D20" s="613">
        <v>43738.051939999998</v>
      </c>
      <c r="E20" s="613">
        <v>42591.288235280001</v>
      </c>
      <c r="F20" s="613">
        <v>42304.425758630001</v>
      </c>
      <c r="G20" s="613">
        <v>41473.183482280001</v>
      </c>
      <c r="H20" s="613">
        <v>41590.095474150003</v>
      </c>
      <c r="I20" s="613">
        <v>41341.742957920003</v>
      </c>
      <c r="J20" s="613">
        <v>39985.421946460003</v>
      </c>
      <c r="K20" s="613">
        <v>39312.891573840003</v>
      </c>
    </row>
    <row r="21" spans="1:11">
      <c r="A21" s="630">
        <v>12</v>
      </c>
      <c r="B21" s="203" t="s">
        <v>190</v>
      </c>
      <c r="C21" s="613">
        <v>63663.534480530005</v>
      </c>
      <c r="D21" s="613">
        <v>64944.810549829999</v>
      </c>
      <c r="E21" s="613">
        <v>66392.862334100006</v>
      </c>
      <c r="F21" s="613">
        <v>68080.231817729989</v>
      </c>
      <c r="G21" s="613">
        <v>70177.421867559999</v>
      </c>
      <c r="H21" s="613">
        <v>71994.202546700006</v>
      </c>
      <c r="I21" s="613">
        <v>75579.43924656001</v>
      </c>
      <c r="J21" s="613">
        <v>78532.970127480003</v>
      </c>
      <c r="K21" s="613">
        <v>80809.298836919988</v>
      </c>
    </row>
    <row r="22" spans="1:11">
      <c r="A22" s="630">
        <v>13</v>
      </c>
      <c r="B22" s="203" t="s">
        <v>1214</v>
      </c>
      <c r="C22" s="613">
        <v>3373.6018247099996</v>
      </c>
      <c r="D22" s="613">
        <v>4253.49411659</v>
      </c>
      <c r="E22" s="613">
        <v>5044.9417211800001</v>
      </c>
      <c r="F22" s="613">
        <v>5332.1288030200003</v>
      </c>
      <c r="G22" s="613">
        <v>5191.6645554500001</v>
      </c>
      <c r="H22" s="613">
        <v>4967.6978989199997</v>
      </c>
      <c r="I22" s="613">
        <v>6753.0192496400005</v>
      </c>
      <c r="J22" s="613">
        <v>8836.1361865800009</v>
      </c>
      <c r="K22" s="613">
        <v>12224.50802275</v>
      </c>
    </row>
    <row r="23" spans="1:11">
      <c r="A23" s="630">
        <v>14</v>
      </c>
      <c r="B23" s="203" t="s">
        <v>595</v>
      </c>
      <c r="C23" s="613">
        <v>69456.471608339998</v>
      </c>
      <c r="D23" s="613">
        <v>54879.521416219999</v>
      </c>
      <c r="E23" s="613">
        <v>47766.975020710001</v>
      </c>
      <c r="F23" s="613">
        <v>60619.538663889994</v>
      </c>
      <c r="G23" s="613">
        <v>68555.686599969995</v>
      </c>
      <c r="H23" s="613">
        <v>63285.481964450002</v>
      </c>
      <c r="I23" s="613">
        <v>66632.905993799999</v>
      </c>
      <c r="J23" s="613">
        <v>69721.139823470003</v>
      </c>
      <c r="K23" s="613">
        <v>66900.759993739994</v>
      </c>
    </row>
    <row r="24" spans="1:11">
      <c r="A24" s="630">
        <v>15</v>
      </c>
      <c r="B24" s="203" t="s">
        <v>1403</v>
      </c>
      <c r="C24" s="613">
        <v>20551.24191411</v>
      </c>
      <c r="D24" s="613">
        <v>19734.11605882</v>
      </c>
      <c r="E24" s="613">
        <v>19496.549960779997</v>
      </c>
      <c r="F24" s="613">
        <v>21430.359099459998</v>
      </c>
      <c r="G24" s="613">
        <v>22580.303477289999</v>
      </c>
      <c r="H24" s="613">
        <v>21813.311372760003</v>
      </c>
      <c r="I24" s="613">
        <v>21067.515905049997</v>
      </c>
      <c r="J24" s="613">
        <v>20566.933022929999</v>
      </c>
      <c r="K24" s="613">
        <v>19953.364635770002</v>
      </c>
    </row>
    <row r="25" spans="1:11">
      <c r="B25" s="203"/>
      <c r="C25" s="613"/>
      <c r="D25" s="613"/>
      <c r="E25" s="613"/>
      <c r="F25" s="613"/>
      <c r="G25" s="613"/>
      <c r="H25" s="613"/>
      <c r="I25" s="613"/>
      <c r="J25" s="613"/>
      <c r="K25" s="613"/>
    </row>
    <row r="26" spans="1:11">
      <c r="A26" s="630">
        <v>16</v>
      </c>
      <c r="B26" s="203" t="s">
        <v>1545</v>
      </c>
      <c r="C26" s="613">
        <v>46103.286102069993</v>
      </c>
      <c r="D26" s="613">
        <v>41814.350793999998</v>
      </c>
      <c r="E26" s="613">
        <v>44160.119652199995</v>
      </c>
      <c r="F26" s="613">
        <v>48879.44929353</v>
      </c>
      <c r="G26" s="613">
        <v>53256.438913509999</v>
      </c>
      <c r="H26" s="613">
        <v>53709.38372451</v>
      </c>
      <c r="I26" s="613">
        <v>53836.812991610001</v>
      </c>
      <c r="J26" s="613">
        <v>56484.321758179998</v>
      </c>
      <c r="K26" s="613">
        <v>59419.088450989999</v>
      </c>
    </row>
    <row r="27" spans="1:11">
      <c r="A27" s="630">
        <v>17</v>
      </c>
      <c r="B27" s="203" t="s">
        <v>191</v>
      </c>
      <c r="C27" s="613">
        <v>9585.2043257599998</v>
      </c>
      <c r="D27" s="613">
        <v>10091.428854560001</v>
      </c>
      <c r="E27" s="613">
        <v>10117.010725349999</v>
      </c>
      <c r="F27" s="613">
        <v>10269.2295233</v>
      </c>
      <c r="G27" s="613">
        <v>11337.850593739999</v>
      </c>
      <c r="H27" s="613">
        <v>11951.736687820001</v>
      </c>
      <c r="I27" s="613">
        <v>12317.99284486</v>
      </c>
      <c r="J27" s="613">
        <v>12730.108195610001</v>
      </c>
      <c r="K27" s="613">
        <v>12827.142868039999</v>
      </c>
    </row>
    <row r="28" spans="1:11" ht="22.5">
      <c r="A28" s="631">
        <v>18</v>
      </c>
      <c r="B28" s="614" t="s">
        <v>1492</v>
      </c>
      <c r="C28" s="613">
        <v>2899.2043965099997</v>
      </c>
      <c r="D28" s="613">
        <v>2423.4609999000004</v>
      </c>
      <c r="E28" s="613">
        <v>2074.6197283900001</v>
      </c>
      <c r="F28" s="613">
        <v>1905.6756793700001</v>
      </c>
      <c r="G28" s="613">
        <v>1559.1882036100001</v>
      </c>
      <c r="H28" s="613">
        <v>1109.9875911699999</v>
      </c>
      <c r="I28" s="613">
        <v>980.68768610000006</v>
      </c>
      <c r="J28" s="613">
        <v>999.41561666999996</v>
      </c>
      <c r="K28" s="613">
        <v>1076.39788823</v>
      </c>
    </row>
    <row r="29" spans="1:11">
      <c r="A29" s="630">
        <v>19</v>
      </c>
      <c r="B29" s="203" t="s">
        <v>1215</v>
      </c>
      <c r="C29" s="613">
        <v>3331.8966125500001</v>
      </c>
      <c r="D29" s="613">
        <v>2878.5314805200001</v>
      </c>
      <c r="E29" s="613">
        <v>2798.5686556000001</v>
      </c>
      <c r="F29" s="613">
        <v>3203.8280569399999</v>
      </c>
      <c r="G29" s="613">
        <v>3178.5316433600001</v>
      </c>
      <c r="H29" s="613">
        <v>3222.1477057900001</v>
      </c>
      <c r="I29" s="613">
        <v>3407.5436996600001</v>
      </c>
      <c r="J29" s="613">
        <v>3270.0346179900002</v>
      </c>
      <c r="K29" s="613">
        <v>2878.53004594</v>
      </c>
    </row>
    <row r="30" spans="1:11">
      <c r="A30" s="630">
        <v>20</v>
      </c>
      <c r="B30" s="203" t="s">
        <v>808</v>
      </c>
      <c r="C30" s="613">
        <v>4545.5982683100001</v>
      </c>
      <c r="D30" s="613">
        <v>4311.9887430499994</v>
      </c>
      <c r="E30" s="613">
        <v>4666.5497274700001</v>
      </c>
      <c r="F30" s="613">
        <v>5161.3104157400003</v>
      </c>
      <c r="G30" s="613">
        <v>5161.4060314199996</v>
      </c>
      <c r="H30" s="613">
        <v>5068.6250249699997</v>
      </c>
      <c r="I30" s="613">
        <v>4830.9663635099996</v>
      </c>
      <c r="J30" s="613">
        <v>4806.8510463900002</v>
      </c>
      <c r="K30" s="613">
        <v>5085.10231398</v>
      </c>
    </row>
    <row r="31" spans="1:11">
      <c r="B31" s="203"/>
      <c r="C31" s="613"/>
      <c r="D31" s="613"/>
      <c r="E31" s="613"/>
      <c r="F31" s="613"/>
      <c r="G31" s="613"/>
      <c r="H31" s="613"/>
      <c r="I31" s="613"/>
      <c r="J31" s="613"/>
      <c r="K31" s="613"/>
    </row>
    <row r="32" spans="1:11">
      <c r="A32" s="630">
        <v>21</v>
      </c>
      <c r="B32" s="203" t="s">
        <v>1387</v>
      </c>
      <c r="C32" s="613">
        <v>1603.26746149</v>
      </c>
      <c r="D32" s="613">
        <v>2171.9328831799999</v>
      </c>
      <c r="E32" s="613">
        <v>2079.27323643</v>
      </c>
      <c r="F32" s="613">
        <v>3045.2241230899999</v>
      </c>
      <c r="G32" s="613">
        <v>2704.4576889499999</v>
      </c>
      <c r="H32" s="613">
        <v>2917.9665073600004</v>
      </c>
      <c r="I32" s="613">
        <v>2713.0474005900001</v>
      </c>
      <c r="J32" s="613">
        <v>2613.35237869</v>
      </c>
      <c r="K32" s="613">
        <v>2858.2562335299999</v>
      </c>
    </row>
    <row r="33" spans="1:11">
      <c r="A33" s="630">
        <v>22</v>
      </c>
      <c r="B33" s="203" t="s">
        <v>1447</v>
      </c>
      <c r="C33" s="613">
        <v>30955.320021450003</v>
      </c>
      <c r="D33" s="613">
        <v>44289.845556859997</v>
      </c>
      <c r="E33" s="613">
        <v>61483.546415889999</v>
      </c>
      <c r="F33" s="613">
        <v>40572.765151540007</v>
      </c>
      <c r="G33" s="613">
        <v>39788.316697910006</v>
      </c>
      <c r="H33" s="613">
        <v>38733.544804730001</v>
      </c>
      <c r="I33" s="613">
        <v>42861.053249370001</v>
      </c>
      <c r="J33" s="613">
        <v>43654.715129649994</v>
      </c>
      <c r="K33" s="613">
        <v>45961.591533260005</v>
      </c>
    </row>
    <row r="34" spans="1:11">
      <c r="A34" s="630">
        <v>23</v>
      </c>
      <c r="B34" s="203" t="s">
        <v>333</v>
      </c>
      <c r="C34" s="613">
        <v>20985.16082736</v>
      </c>
      <c r="D34" s="613">
        <v>15478.380745659999</v>
      </c>
      <c r="E34" s="613">
        <v>16508.069834869999</v>
      </c>
      <c r="F34" s="613">
        <v>16368.579253459999</v>
      </c>
      <c r="G34" s="613">
        <v>17447.406608630001</v>
      </c>
      <c r="H34" s="613">
        <v>16371.599298559999</v>
      </c>
      <c r="I34" s="613">
        <v>16386.70805745</v>
      </c>
      <c r="J34" s="613">
        <v>16006.30151411</v>
      </c>
      <c r="K34" s="613">
        <v>16202.570580269999</v>
      </c>
    </row>
    <row r="35" spans="1:11">
      <c r="A35" s="630">
        <v>24</v>
      </c>
      <c r="B35" s="203" t="s">
        <v>1182</v>
      </c>
      <c r="C35" s="613">
        <v>3891.8512102899999</v>
      </c>
      <c r="D35" s="613">
        <v>4229.75337124</v>
      </c>
      <c r="E35" s="613">
        <v>12738.697565209999</v>
      </c>
      <c r="F35" s="613">
        <v>6539.8154264599998</v>
      </c>
      <c r="G35" s="613">
        <v>8478.3797618200006</v>
      </c>
      <c r="H35" s="613">
        <v>5344.2914355600005</v>
      </c>
      <c r="I35" s="613">
        <v>5882.4801921899998</v>
      </c>
      <c r="J35" s="613">
        <v>5247.95086851</v>
      </c>
      <c r="K35" s="613">
        <v>5439.0219200799993</v>
      </c>
    </row>
    <row r="36" spans="1:11">
      <c r="A36" s="630">
        <v>25</v>
      </c>
      <c r="B36" s="203" t="s">
        <v>395</v>
      </c>
      <c r="C36" s="613">
        <v>60246.437461770001</v>
      </c>
      <c r="D36" s="613">
        <v>72974.528215120008</v>
      </c>
      <c r="E36" s="613">
        <v>64769.90506977</v>
      </c>
      <c r="F36" s="613">
        <v>81589.162969819998</v>
      </c>
      <c r="G36" s="613">
        <v>75691.249534999995</v>
      </c>
      <c r="H36" s="613">
        <v>88023.356369000001</v>
      </c>
      <c r="I36" s="613">
        <v>85138.297888000001</v>
      </c>
      <c r="J36" s="613">
        <v>88914.664957000001</v>
      </c>
      <c r="K36" s="613">
        <v>93599.096816000005</v>
      </c>
    </row>
    <row r="37" spans="1:11">
      <c r="B37" s="203"/>
      <c r="C37" s="613"/>
      <c r="D37" s="613"/>
      <c r="E37" s="613"/>
      <c r="F37" s="613"/>
      <c r="G37" s="613"/>
      <c r="H37" s="613"/>
      <c r="I37" s="613"/>
      <c r="J37" s="613"/>
      <c r="K37" s="613"/>
    </row>
    <row r="38" spans="1:11">
      <c r="A38" s="630">
        <v>26</v>
      </c>
      <c r="B38" s="203" t="s">
        <v>396</v>
      </c>
      <c r="C38" s="613">
        <v>49472.278751079997</v>
      </c>
      <c r="D38" s="613">
        <v>47254.756197669994</v>
      </c>
      <c r="E38" s="613">
        <v>48205.801927460001</v>
      </c>
      <c r="F38" s="613">
        <v>36462.535056610002</v>
      </c>
      <c r="G38" s="613">
        <v>23361.194614079999</v>
      </c>
      <c r="H38" s="613">
        <v>34491.259071209999</v>
      </c>
      <c r="I38" s="613">
        <v>27381.079358120001</v>
      </c>
      <c r="J38" s="613">
        <v>16774.230064089999</v>
      </c>
      <c r="K38" s="613">
        <v>3325.4958169000001</v>
      </c>
    </row>
    <row r="39" spans="1:11">
      <c r="A39" s="630">
        <v>27</v>
      </c>
      <c r="B39" s="203" t="s">
        <v>668</v>
      </c>
      <c r="C39" s="613">
        <v>25920.171424389999</v>
      </c>
      <c r="D39" s="613">
        <v>26634.542290729998</v>
      </c>
      <c r="E39" s="613">
        <v>31525.830106189998</v>
      </c>
      <c r="F39" s="613">
        <v>19192.169671700001</v>
      </c>
      <c r="G39" s="613">
        <v>30406.6989469</v>
      </c>
      <c r="H39" s="613">
        <v>30595.641747129997</v>
      </c>
      <c r="I39" s="613">
        <v>31451.946758909999</v>
      </c>
      <c r="J39" s="613">
        <v>37412.066812509998</v>
      </c>
      <c r="K39" s="613">
        <v>41552.980038840004</v>
      </c>
    </row>
    <row r="41" spans="1:11">
      <c r="A41" s="616" t="s">
        <v>1662</v>
      </c>
      <c r="B41" s="616" t="s">
        <v>1663</v>
      </c>
      <c r="C41" s="617">
        <v>765537.81486553012</v>
      </c>
      <c r="D41" s="617">
        <v>769171.68494423002</v>
      </c>
      <c r="E41" s="617">
        <v>790263.21663899987</v>
      </c>
      <c r="F41" s="617">
        <v>781269.70637239027</v>
      </c>
      <c r="G41" s="617">
        <v>786388.76163421979</v>
      </c>
      <c r="H41" s="617">
        <v>801478.15613788995</v>
      </c>
      <c r="I41" s="617">
        <v>811087.56463528995</v>
      </c>
      <c r="J41" s="617">
        <v>827388.15192382014</v>
      </c>
      <c r="K41" s="617">
        <v>840871.73652930011</v>
      </c>
    </row>
    <row r="42" spans="1:11">
      <c r="A42" s="616" t="s">
        <v>1664</v>
      </c>
      <c r="B42" s="616" t="s">
        <v>1665</v>
      </c>
      <c r="C42" s="617">
        <v>716065.53611445008</v>
      </c>
      <c r="D42" s="617">
        <v>721916.92874656001</v>
      </c>
      <c r="E42" s="617">
        <v>742057.41471153987</v>
      </c>
      <c r="F42" s="617">
        <v>744807.17131578026</v>
      </c>
      <c r="G42" s="617">
        <v>763027.56702013977</v>
      </c>
      <c r="H42" s="617">
        <v>766986.8970666799</v>
      </c>
      <c r="I42" s="617">
        <v>783706.48527716997</v>
      </c>
      <c r="J42" s="617">
        <v>810613.92185973015</v>
      </c>
      <c r="K42" s="617">
        <v>837546.24071240006</v>
      </c>
    </row>
    <row r="44" spans="1:11">
      <c r="B44" s="203" t="s">
        <v>352</v>
      </c>
      <c r="C44" s="613">
        <v>-1097.5907863899999</v>
      </c>
      <c r="D44" s="613">
        <v>-4325.4313354099995</v>
      </c>
      <c r="E44" s="613">
        <v>3713.2572239700003</v>
      </c>
      <c r="F44" s="613">
        <v>-270.03911391999998</v>
      </c>
      <c r="G44" s="613">
        <v>3408.6484788500002</v>
      </c>
      <c r="H44" s="613">
        <v>1537.1999318999999</v>
      </c>
      <c r="I44" s="613">
        <v>383.70346454999998</v>
      </c>
      <c r="J44" s="613">
        <v>-2205.2979343100001</v>
      </c>
      <c r="K44" s="613">
        <v>-491.42560503999999</v>
      </c>
    </row>
    <row r="45" spans="1:11">
      <c r="B45" s="203" t="s">
        <v>331</v>
      </c>
      <c r="C45" s="613">
        <v>27501.569999790001</v>
      </c>
      <c r="D45" s="613">
        <v>-4339.6856870000001</v>
      </c>
      <c r="E45" s="613">
        <v>-27900.737188999999</v>
      </c>
      <c r="F45" s="613">
        <v>104673.530656</v>
      </c>
      <c r="G45" s="613">
        <v>-9224.6739429999998</v>
      </c>
      <c r="H45" s="613">
        <v>1600.421777</v>
      </c>
      <c r="I45" s="613">
        <v>1009.1734838799999</v>
      </c>
      <c r="J45" s="613">
        <v>96225.081940160002</v>
      </c>
      <c r="K45" s="613">
        <v>22023.3574653</v>
      </c>
    </row>
    <row r="46" spans="1:11">
      <c r="B46" s="203"/>
    </row>
    <row r="47" spans="1:11">
      <c r="A47" s="616" t="s">
        <v>1666</v>
      </c>
      <c r="B47" s="616" t="s">
        <v>1667</v>
      </c>
      <c r="C47" s="617">
        <v>791941.79407893016</v>
      </c>
      <c r="D47" s="617">
        <v>760506.56792181998</v>
      </c>
      <c r="E47" s="617">
        <v>766075.73667396989</v>
      </c>
      <c r="F47" s="617">
        <v>885673.19791447034</v>
      </c>
      <c r="G47" s="617">
        <v>780572.73617006978</v>
      </c>
      <c r="H47" s="617">
        <v>804615.77784678992</v>
      </c>
      <c r="I47" s="617">
        <v>812480.44158371992</v>
      </c>
      <c r="J47" s="617">
        <v>921407.93592967023</v>
      </c>
      <c r="K47" s="617">
        <v>862403.66838956007</v>
      </c>
    </row>
    <row r="48" spans="1:11">
      <c r="A48" s="616"/>
      <c r="B48" s="616"/>
    </row>
    <row r="49" spans="1:12">
      <c r="A49" s="611" t="str">
        <f>T("93")</f>
        <v>93</v>
      </c>
      <c r="B49" s="611" t="s">
        <v>1747</v>
      </c>
      <c r="C49" s="613">
        <v>179137.849991</v>
      </c>
      <c r="D49" s="613">
        <v>188226.99978799999</v>
      </c>
      <c r="E49" s="613">
        <v>201385.88454699999</v>
      </c>
      <c r="F49" s="613">
        <v>219801.703759</v>
      </c>
      <c r="G49" s="613">
        <v>222897.09949299999</v>
      </c>
      <c r="H49" s="613">
        <v>222003.445806</v>
      </c>
      <c r="I49" s="613">
        <v>238478.17521799999</v>
      </c>
      <c r="J49" s="613">
        <v>256702.63902911003</v>
      </c>
      <c r="K49" s="613">
        <v>257987.76007332001</v>
      </c>
    </row>
    <row r="50" spans="1:12">
      <c r="A50" s="611"/>
      <c r="B50" s="611"/>
    </row>
    <row r="51" spans="1:12">
      <c r="A51" s="616" t="s">
        <v>1668</v>
      </c>
      <c r="B51" s="616" t="s">
        <v>1748</v>
      </c>
      <c r="C51" s="617">
        <v>895203.3861054501</v>
      </c>
      <c r="D51" s="617">
        <v>910143.92853456002</v>
      </c>
      <c r="E51" s="617">
        <v>943443.29925853992</v>
      </c>
      <c r="F51" s="617">
        <v>964608.8750747802</v>
      </c>
      <c r="G51" s="617">
        <v>985924.66651313985</v>
      </c>
      <c r="H51" s="617">
        <v>988990.34287267993</v>
      </c>
      <c r="I51" s="617">
        <v>1022184.6604951699</v>
      </c>
      <c r="J51" s="617">
        <v>1067316.5608888401</v>
      </c>
      <c r="K51" s="617">
        <v>1095534.0007857201</v>
      </c>
    </row>
    <row r="52" spans="1:12">
      <c r="A52" s="611"/>
      <c r="B52" s="611"/>
      <c r="C52" s="613"/>
      <c r="D52" s="613"/>
      <c r="E52" s="613"/>
      <c r="F52" s="613"/>
      <c r="G52" s="613"/>
      <c r="H52" s="613"/>
      <c r="I52" s="613"/>
      <c r="J52" s="613"/>
      <c r="K52" s="613"/>
    </row>
    <row r="53" spans="1:12">
      <c r="A53" s="616" t="s">
        <v>1670</v>
      </c>
      <c r="B53" s="619" t="s">
        <v>201</v>
      </c>
      <c r="C53" s="617">
        <v>907000</v>
      </c>
      <c r="D53" s="617">
        <v>938000</v>
      </c>
      <c r="E53" s="617">
        <v>957000</v>
      </c>
      <c r="F53" s="617">
        <v>989000</v>
      </c>
      <c r="G53" s="617">
        <v>1024000</v>
      </c>
      <c r="H53" s="617">
        <v>1063000</v>
      </c>
      <c r="I53" s="617">
        <v>1084000</v>
      </c>
      <c r="J53" s="617">
        <v>1095000</v>
      </c>
      <c r="K53" s="617">
        <v>1107000</v>
      </c>
    </row>
    <row r="54" spans="1:12">
      <c r="A54" s="606"/>
      <c r="B54" s="616"/>
      <c r="C54" s="613"/>
      <c r="D54" s="613"/>
      <c r="E54" s="613"/>
      <c r="F54" s="613"/>
      <c r="G54" s="613"/>
      <c r="H54" s="613"/>
      <c r="I54" s="613"/>
      <c r="J54" s="613"/>
      <c r="K54" s="613"/>
    </row>
    <row r="55" spans="1:12" ht="13.5" thickBot="1">
      <c r="A55" s="634"/>
      <c r="B55" s="624" t="s">
        <v>1671</v>
      </c>
      <c r="C55" s="635">
        <v>11796.613894549846</v>
      </c>
      <c r="D55" s="635">
        <v>27856.071465440036</v>
      </c>
      <c r="E55" s="635">
        <v>13556.700741460085</v>
      </c>
      <c r="F55" s="635">
        <v>24391.124925219774</v>
      </c>
      <c r="G55" s="635">
        <v>38075.33348686016</v>
      </c>
      <c r="H55" s="635">
        <v>74009.657127320053</v>
      </c>
      <c r="I55" s="635">
        <v>61815.339504830124</v>
      </c>
      <c r="J55" s="635">
        <v>27683.439111159802</v>
      </c>
      <c r="K55" s="635">
        <v>11465.999214279889</v>
      </c>
      <c r="L55" s="636"/>
    </row>
    <row r="56" spans="1:12">
      <c r="A56" s="629" t="s">
        <v>179</v>
      </c>
    </row>
    <row r="57" spans="1:12" ht="4.5" customHeight="1">
      <c r="B57" s="629"/>
    </row>
    <row r="58" spans="1:12">
      <c r="A58" s="203" t="s">
        <v>1983</v>
      </c>
      <c r="B58" s="203"/>
    </row>
    <row r="59" spans="1:12">
      <c r="A59" s="203" t="s">
        <v>334</v>
      </c>
      <c r="B59" s="203"/>
    </row>
    <row r="60" spans="1:12">
      <c r="A60" s="630" t="s">
        <v>1325</v>
      </c>
    </row>
  </sheetData>
  <pageMargins left="0.70866141732283472" right="0.51181102362204722" top="0.55118110236220474" bottom="0.55118110236220474" header="0.31496062992125984" footer="0.31496062992125984"/>
  <pageSetup paperSize="9" scale="6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32"/>
  <sheetViews>
    <sheetView zoomScaleNormal="100" zoomScaleSheetLayoutView="75" workbookViewId="0">
      <selection activeCell="F49" sqref="F49"/>
    </sheetView>
  </sheetViews>
  <sheetFormatPr defaultRowHeight="12.75"/>
  <cols>
    <col min="1" max="1" width="5.33203125" style="429" customWidth="1"/>
    <col min="2" max="2" width="12.6640625" style="429" bestFit="1" customWidth="1"/>
    <col min="3" max="3" width="59" style="637" customWidth="1"/>
    <col min="4" max="12" width="11.1640625" style="428" bestFit="1" customWidth="1"/>
  </cols>
  <sheetData>
    <row r="1" spans="1:12">
      <c r="A1" s="91" t="s">
        <v>1785</v>
      </c>
      <c r="B1" s="4"/>
      <c r="C1" s="467"/>
      <c r="D1" s="4"/>
      <c r="E1" s="4"/>
      <c r="F1" s="4"/>
      <c r="G1" s="4"/>
      <c r="H1" s="4"/>
      <c r="I1" s="4"/>
      <c r="J1" s="4"/>
    </row>
    <row r="2" spans="1:12">
      <c r="A2" s="91" t="s">
        <v>1984</v>
      </c>
      <c r="B2" s="4"/>
      <c r="C2" s="467"/>
      <c r="D2" s="4"/>
      <c r="E2" s="4"/>
      <c r="F2" s="4"/>
      <c r="G2" s="4"/>
      <c r="H2" s="4"/>
      <c r="I2" s="4"/>
      <c r="J2" s="4"/>
    </row>
    <row r="3" spans="1:12">
      <c r="A3" s="92" t="s">
        <v>1985</v>
      </c>
      <c r="B3" s="4"/>
      <c r="C3" s="467"/>
      <c r="D3" s="4"/>
      <c r="E3" s="4"/>
      <c r="F3" s="4"/>
      <c r="G3" s="4"/>
      <c r="H3" s="4"/>
      <c r="I3" s="4"/>
      <c r="J3" s="4"/>
    </row>
    <row r="4" spans="1:12">
      <c r="A4" s="92"/>
      <c r="B4" s="4"/>
      <c r="C4" s="467"/>
      <c r="D4" s="4"/>
      <c r="E4" s="4"/>
      <c r="F4" s="4"/>
      <c r="G4" s="4"/>
      <c r="H4" s="4"/>
      <c r="I4" s="4"/>
      <c r="J4" s="4"/>
    </row>
    <row r="5" spans="1:12" ht="13.5" thickBot="1">
      <c r="A5" s="715" t="s">
        <v>1633</v>
      </c>
      <c r="B5" s="715" t="s">
        <v>1080</v>
      </c>
      <c r="C5" s="715" t="s">
        <v>1634</v>
      </c>
      <c r="D5" s="715">
        <v>1997</v>
      </c>
      <c r="E5" s="715">
        <v>1998</v>
      </c>
      <c r="F5" s="715">
        <v>1999</v>
      </c>
      <c r="G5" s="715">
        <v>2000</v>
      </c>
      <c r="H5" s="715">
        <v>2001</v>
      </c>
      <c r="I5" s="715">
        <v>2002</v>
      </c>
      <c r="J5" s="715">
        <v>2003</v>
      </c>
      <c r="K5" s="715">
        <v>2004</v>
      </c>
      <c r="L5" s="715">
        <v>2005</v>
      </c>
    </row>
    <row r="6" spans="1:12">
      <c r="A6" s="429" t="str">
        <f t="shared" ref="A6:A38" si="0">T("01")</f>
        <v>01</v>
      </c>
      <c r="B6" s="429" t="str">
        <f>T("0101001")</f>
        <v>0101001</v>
      </c>
      <c r="C6" s="637" t="str">
        <f>T("Kungliga hov- och slottsstaten")</f>
        <v>Kungliga hov- och slottsstaten</v>
      </c>
      <c r="D6" s="428">
        <v>73726</v>
      </c>
      <c r="E6" s="428">
        <v>70440.692679999993</v>
      </c>
      <c r="F6" s="428">
        <v>79352.682329999996</v>
      </c>
      <c r="G6" s="428">
        <v>79574.234559999997</v>
      </c>
      <c r="H6" s="428">
        <v>85809.390429999999</v>
      </c>
      <c r="I6" s="428">
        <v>85354.345650000003</v>
      </c>
      <c r="J6" s="428">
        <v>91966.640530000004</v>
      </c>
      <c r="K6" s="428">
        <v>96140.013819999993</v>
      </c>
      <c r="L6" s="428">
        <v>95585</v>
      </c>
    </row>
    <row r="7" spans="1:12">
      <c r="A7" s="429" t="str">
        <f t="shared" si="0"/>
        <v>01</v>
      </c>
      <c r="B7" s="429" t="str">
        <f>T("0102001")</f>
        <v>0102001</v>
      </c>
      <c r="C7" s="637" t="str">
        <f>T("Riksdagens ledamöter och partier m.m.")</f>
        <v>Riksdagens ledamöter och partier m.m.</v>
      </c>
      <c r="D7" s="428">
        <v>420033.20694</v>
      </c>
      <c r="E7" s="428">
        <v>432223.10735000001</v>
      </c>
      <c r="F7" s="428">
        <v>490713.47032000002</v>
      </c>
      <c r="G7" s="428">
        <v>519497.23950999998</v>
      </c>
      <c r="H7" s="428">
        <v>547573.55530000001</v>
      </c>
      <c r="I7" s="428">
        <v>594457.84739999997</v>
      </c>
      <c r="J7" s="428">
        <v>633479.06324000005</v>
      </c>
      <c r="K7" s="428">
        <v>640618.16978</v>
      </c>
      <c r="L7" s="428">
        <v>703193.96493000002</v>
      </c>
    </row>
    <row r="8" spans="1:12">
      <c r="A8" s="429" t="str">
        <f t="shared" si="0"/>
        <v>01</v>
      </c>
      <c r="B8" s="429" t="str">
        <f>T("0102002")</f>
        <v>0102002</v>
      </c>
      <c r="C8" s="637" t="str">
        <f>T("Riksdagens förvaltningsanslag")</f>
        <v>Riksdagens förvaltningsanslag</v>
      </c>
      <c r="D8" s="428">
        <v>359147.67963999999</v>
      </c>
      <c r="E8" s="428">
        <v>438909.78461999999</v>
      </c>
      <c r="F8" s="428">
        <v>430373.19342000003</v>
      </c>
      <c r="G8" s="428">
        <v>440615.22655999998</v>
      </c>
      <c r="H8" s="428">
        <v>472898.82389</v>
      </c>
      <c r="I8" s="428">
        <v>486487.68382999999</v>
      </c>
      <c r="J8" s="428">
        <v>487754.67512999999</v>
      </c>
      <c r="K8" s="428">
        <v>516598.40023999999</v>
      </c>
      <c r="L8" s="428">
        <v>554569.57729000004</v>
      </c>
    </row>
    <row r="9" spans="1:12">
      <c r="A9" s="429" t="str">
        <f t="shared" si="0"/>
        <v>01</v>
      </c>
      <c r="B9" s="429" t="str">
        <f>T("0102003")</f>
        <v>0102003</v>
      </c>
      <c r="C9" s="637" t="str">
        <f>T("Riksdagens fastighetsanslag")</f>
        <v>Riksdagens fastighetsanslag</v>
      </c>
    </row>
    <row r="10" spans="1:12">
      <c r="A10" s="429" t="str">
        <f t="shared" si="0"/>
        <v>01</v>
      </c>
      <c r="B10" s="429" t="str">
        <f>T("0102004")</f>
        <v>0102004</v>
      </c>
      <c r="C10" s="637" t="str">
        <f>T("Riksdagens ombudsmän (JO)")</f>
        <v>Riksdagens ombudsmän (JO)</v>
      </c>
      <c r="D10" s="428">
        <v>35166.54262</v>
      </c>
      <c r="E10" s="428">
        <v>37380.753729999997</v>
      </c>
      <c r="F10" s="428">
        <v>38985.959730000002</v>
      </c>
      <c r="G10" s="428">
        <v>44570.436670000003</v>
      </c>
      <c r="H10" s="428">
        <v>46031.600400000003</v>
      </c>
      <c r="I10" s="428">
        <v>53677.928500000002</v>
      </c>
      <c r="J10" s="428">
        <v>52885.606610000003</v>
      </c>
      <c r="K10" s="428">
        <v>57639.337570000003</v>
      </c>
      <c r="L10" s="428">
        <v>56714.720789999999</v>
      </c>
    </row>
    <row r="11" spans="1:12">
      <c r="A11" s="429" t="str">
        <f t="shared" si="0"/>
        <v>01</v>
      </c>
      <c r="B11" s="429" t="str">
        <f>T("0103001")</f>
        <v>0103001</v>
      </c>
      <c r="C11" s="637" t="str">
        <f>T("Sametinget")</f>
        <v>Sametinget</v>
      </c>
      <c r="D11" s="428">
        <v>14306.40929</v>
      </c>
      <c r="E11" s="428">
        <v>12165.527889999999</v>
      </c>
      <c r="F11" s="428">
        <v>12095.94613</v>
      </c>
      <c r="G11" s="428">
        <v>16119.655059999999</v>
      </c>
      <c r="H11" s="428">
        <v>17694.54334</v>
      </c>
      <c r="I11" s="428">
        <v>16153.001819999999</v>
      </c>
      <c r="J11" s="428">
        <v>17702.507549999998</v>
      </c>
      <c r="K11" s="428">
        <v>18348.69886</v>
      </c>
      <c r="L11" s="428">
        <v>22589.489890000001</v>
      </c>
    </row>
    <row r="12" spans="1:12">
      <c r="A12" s="429" t="str">
        <f t="shared" si="0"/>
        <v>01</v>
      </c>
      <c r="B12" s="429" t="str">
        <f>T("0104001")</f>
        <v>0104001</v>
      </c>
      <c r="C12" s="637" t="str">
        <f>T("Regeringskansliet m.m.")</f>
        <v>Regeringskansliet m.m.</v>
      </c>
      <c r="D12" s="428">
        <v>2093988.65961</v>
      </c>
      <c r="E12" s="428">
        <v>2122641.9979699999</v>
      </c>
      <c r="F12" s="428">
        <v>2329385.8617400001</v>
      </c>
      <c r="G12" s="428">
        <v>2671556.27911</v>
      </c>
      <c r="H12" s="428">
        <v>3253439.1907899999</v>
      </c>
      <c r="I12" s="428">
        <v>4802625.6505300002</v>
      </c>
      <c r="J12" s="428">
        <v>5032673.0225600004</v>
      </c>
      <c r="K12" s="428">
        <v>5132609.0985399997</v>
      </c>
      <c r="L12" s="428">
        <v>5325719.8174299998</v>
      </c>
    </row>
    <row r="13" spans="1:12">
      <c r="A13" s="429" t="str">
        <f t="shared" si="0"/>
        <v>01</v>
      </c>
      <c r="B13" s="429" t="str">
        <f>T("0105001")</f>
        <v>0105001</v>
      </c>
      <c r="C13" s="637" t="str">
        <f>T("Länsstyrelserna m.m.")</f>
        <v>Länsstyrelserna m.m.</v>
      </c>
      <c r="D13" s="428">
        <v>1778247.8605</v>
      </c>
      <c r="E13" s="428">
        <v>1683691.89928</v>
      </c>
      <c r="F13" s="428">
        <v>1798610.3770699999</v>
      </c>
      <c r="G13" s="428">
        <v>1795230.6130900001</v>
      </c>
      <c r="H13" s="428">
        <v>1865582.1795300001</v>
      </c>
      <c r="I13" s="428">
        <v>1960464.80788</v>
      </c>
      <c r="J13" s="428">
        <v>2057109.3676100001</v>
      </c>
      <c r="K13" s="428">
        <v>2184832.37628</v>
      </c>
      <c r="L13" s="428">
        <v>2153294.89696</v>
      </c>
    </row>
    <row r="14" spans="1:12">
      <c r="A14" s="429" t="str">
        <f t="shared" si="0"/>
        <v>01</v>
      </c>
      <c r="B14" s="429" t="str">
        <f>T("0106001")</f>
        <v>0106001</v>
      </c>
      <c r="C14" s="637" t="str">
        <f>T("Allmänna val och demokrati")</f>
        <v>Allmänna val och demokrati</v>
      </c>
      <c r="D14" s="428">
        <v>24126.251209999999</v>
      </c>
      <c r="E14" s="428">
        <v>175962.86825999999</v>
      </c>
      <c r="F14" s="428">
        <v>103531.89135999999</v>
      </c>
      <c r="G14" s="428">
        <v>17699.777979999999</v>
      </c>
      <c r="H14" s="428">
        <v>29421.892909999999</v>
      </c>
      <c r="I14" s="428">
        <v>261237.85128999999</v>
      </c>
      <c r="J14" s="428">
        <v>29160.480169999999</v>
      </c>
      <c r="K14" s="428">
        <v>164920.11606</v>
      </c>
      <c r="L14" s="428">
        <v>17875.791829999998</v>
      </c>
    </row>
    <row r="15" spans="1:12">
      <c r="A15" s="429" t="str">
        <f t="shared" si="0"/>
        <v>01</v>
      </c>
      <c r="B15" s="429" t="str">
        <f>T("0106002")</f>
        <v>0106002</v>
      </c>
      <c r="C15" s="637" t="str">
        <f>T("Justitiekanslern")</f>
        <v>Justitiekanslern</v>
      </c>
      <c r="D15" s="428">
        <v>8290.4812199999997</v>
      </c>
      <c r="E15" s="428">
        <v>9803.4273599999997</v>
      </c>
      <c r="F15" s="428">
        <v>10829.421700000001</v>
      </c>
      <c r="G15" s="428">
        <v>12493.398230000001</v>
      </c>
      <c r="H15" s="428">
        <v>14249.24777</v>
      </c>
      <c r="I15" s="428">
        <v>15986.082469999999</v>
      </c>
      <c r="J15" s="428">
        <v>15776.88285</v>
      </c>
      <c r="K15" s="428">
        <v>17774.028490000001</v>
      </c>
      <c r="L15" s="428">
        <v>19660.501199999999</v>
      </c>
    </row>
    <row r="16" spans="1:12">
      <c r="A16" s="429" t="str">
        <f t="shared" si="0"/>
        <v>01</v>
      </c>
      <c r="B16" s="429" t="str">
        <f>T("0106003")</f>
        <v>0106003</v>
      </c>
      <c r="C16" s="637" t="str">
        <f>T("Datainspektionen")</f>
        <v>Datainspektionen</v>
      </c>
      <c r="D16" s="428">
        <v>23216.917280000001</v>
      </c>
      <c r="E16" s="428">
        <v>23660.07115</v>
      </c>
      <c r="F16" s="428">
        <v>25639.805619999999</v>
      </c>
      <c r="G16" s="428">
        <v>27412.319589999999</v>
      </c>
      <c r="H16" s="428">
        <v>29492.59967</v>
      </c>
      <c r="I16" s="428">
        <v>32802.730689999997</v>
      </c>
      <c r="J16" s="428">
        <v>29357.809069999999</v>
      </c>
      <c r="K16" s="428">
        <v>30276.19628</v>
      </c>
      <c r="L16" s="428">
        <v>29450.405119999999</v>
      </c>
    </row>
    <row r="17" spans="1:12">
      <c r="A17" s="429" t="str">
        <f t="shared" si="0"/>
        <v>01</v>
      </c>
      <c r="B17" s="429" t="str">
        <f>T("0106004")</f>
        <v>0106004</v>
      </c>
      <c r="C17" s="637" t="str">
        <f>T("Svensk författningssamling")</f>
        <v>Svensk författningssamling</v>
      </c>
      <c r="D17" s="428">
        <v>956.25</v>
      </c>
      <c r="E17" s="428">
        <v>789.05399999999997</v>
      </c>
      <c r="F17" s="428">
        <v>697.16</v>
      </c>
      <c r="G17" s="428">
        <v>705.86874</v>
      </c>
      <c r="H17" s="428">
        <v>687.35199999999998</v>
      </c>
      <c r="I17" s="428">
        <v>735.67168000000004</v>
      </c>
      <c r="J17" s="428">
        <v>689.76268000000005</v>
      </c>
      <c r="K17" s="428">
        <v>697.42046000000005</v>
      </c>
      <c r="L17" s="428">
        <v>762.12260000000003</v>
      </c>
    </row>
    <row r="18" spans="1:12">
      <c r="A18" s="429" t="str">
        <f t="shared" si="0"/>
        <v>01</v>
      </c>
      <c r="B18" s="429" t="str">
        <f>T("0106005")</f>
        <v>0106005</v>
      </c>
      <c r="C18" s="637" t="str">
        <f>T("Valmyndigheten")</f>
        <v>Valmyndigheten</v>
      </c>
      <c r="H18" s="428">
        <v>4893.9190200000003</v>
      </c>
      <c r="I18" s="428">
        <v>9687.98567</v>
      </c>
      <c r="J18" s="428">
        <v>10601.405000000001</v>
      </c>
      <c r="K18" s="428">
        <v>12355.6286</v>
      </c>
      <c r="L18" s="428">
        <v>12900.120510000001</v>
      </c>
    </row>
    <row r="19" spans="1:12">
      <c r="A19" s="429" t="str">
        <f t="shared" si="0"/>
        <v>01</v>
      </c>
      <c r="B19" s="429" t="str">
        <f>T("0106006")</f>
        <v>0106006</v>
      </c>
      <c r="C19" s="637" t="str">
        <f>T("Stöd till politiska partier")</f>
        <v>Stöd till politiska partier</v>
      </c>
      <c r="D19" s="428">
        <v>105524.25199999999</v>
      </c>
      <c r="E19" s="428">
        <v>140512.601</v>
      </c>
      <c r="F19" s="428">
        <v>139953.4</v>
      </c>
      <c r="G19" s="428">
        <v>139953.4</v>
      </c>
      <c r="H19" s="428">
        <v>139953.4</v>
      </c>
      <c r="I19" s="428">
        <v>139860.6875</v>
      </c>
      <c r="J19" s="428">
        <v>139723.77499999999</v>
      </c>
      <c r="K19" s="428">
        <v>171396.36249999999</v>
      </c>
      <c r="L19" s="428">
        <v>164613.29999999999</v>
      </c>
    </row>
    <row r="20" spans="1:12">
      <c r="A20" s="429" t="str">
        <f t="shared" si="0"/>
        <v>01</v>
      </c>
      <c r="B20" s="429" t="str">
        <f>T("0107001")</f>
        <v>0107001</v>
      </c>
      <c r="C20" s="637" t="str">
        <f>T("Åtgärder för nationella minoriteter")</f>
        <v>Åtgärder för nationella minoriteter</v>
      </c>
      <c r="G20" s="428">
        <v>7563.8159599999999</v>
      </c>
      <c r="H20" s="428">
        <v>8150.18372</v>
      </c>
      <c r="I20" s="428">
        <v>8235.0003199999992</v>
      </c>
      <c r="J20" s="428">
        <v>7741.9483099999998</v>
      </c>
      <c r="K20" s="428">
        <v>8043.4259899999997</v>
      </c>
      <c r="L20" s="428">
        <v>10421.08956</v>
      </c>
    </row>
    <row r="21" spans="1:12">
      <c r="A21" s="429" t="str">
        <f t="shared" si="0"/>
        <v>01</v>
      </c>
      <c r="B21" s="429" t="str">
        <f>T("0107002")</f>
        <v>0107002</v>
      </c>
      <c r="C21" s="637" t="str">
        <f>T("Åtgärder för den nationella minoriteten romer")</f>
        <v>Åtgärder för den nationella minoriteten romer</v>
      </c>
    </row>
    <row r="22" spans="1:12">
      <c r="A22" s="429" t="str">
        <f t="shared" si="0"/>
        <v>01</v>
      </c>
      <c r="B22" s="429" t="str">
        <f>T("0108001")</f>
        <v>0108001</v>
      </c>
      <c r="C22" s="637" t="str">
        <f>T("Presstödsnämnden")</f>
        <v>Presstödsnämnden</v>
      </c>
      <c r="D22" s="428">
        <v>4797.8895899999998</v>
      </c>
      <c r="E22" s="428">
        <v>4600.5505899999998</v>
      </c>
      <c r="F22" s="428">
        <v>5082.29223</v>
      </c>
      <c r="G22" s="428">
        <v>5811.3082299999996</v>
      </c>
      <c r="H22" s="428">
        <v>5861.1015399999997</v>
      </c>
      <c r="I22" s="428">
        <v>6346.1162599999998</v>
      </c>
      <c r="J22" s="428">
        <v>5541.2741500000002</v>
      </c>
      <c r="K22" s="428">
        <v>5877.5130600000002</v>
      </c>
      <c r="L22" s="428">
        <v>5600.1377599999996</v>
      </c>
    </row>
    <row r="23" spans="1:12">
      <c r="A23" s="429" t="str">
        <f t="shared" si="0"/>
        <v>01</v>
      </c>
      <c r="B23" s="429" t="str">
        <f>T("0108002")</f>
        <v>0108002</v>
      </c>
      <c r="C23" s="637" t="str">
        <f>T("Presstöd")</f>
        <v>Presstöd</v>
      </c>
      <c r="D23" s="428">
        <v>535850.63699999999</v>
      </c>
      <c r="E23" s="428">
        <v>543041.34100000001</v>
      </c>
      <c r="F23" s="428">
        <v>527258.60199999996</v>
      </c>
      <c r="G23" s="428">
        <v>513797.80300000001</v>
      </c>
      <c r="H23" s="428">
        <v>496954.42099999997</v>
      </c>
      <c r="I23" s="428">
        <v>486197.766</v>
      </c>
      <c r="J23" s="428">
        <v>510400.59399999998</v>
      </c>
      <c r="K23" s="428">
        <v>517853.95500000002</v>
      </c>
      <c r="L23" s="428">
        <v>505222.47899999999</v>
      </c>
    </row>
    <row r="24" spans="1:12">
      <c r="A24" s="429" t="str">
        <f t="shared" si="0"/>
        <v>01</v>
      </c>
      <c r="B24" s="429" t="str">
        <f>T("0108003")</f>
        <v>0108003</v>
      </c>
      <c r="C24" s="637" t="str">
        <f>T("Myndigheten för radio och tv")</f>
        <v>Myndigheten för radio och tv</v>
      </c>
    </row>
    <row r="25" spans="1:12">
      <c r="A25" s="429" t="str">
        <f t="shared" si="0"/>
        <v>01</v>
      </c>
      <c r="B25" s="429" t="str">
        <f>T("0108003 2010")</f>
        <v>0108003 2010</v>
      </c>
      <c r="C25" s="637" t="str">
        <f>T("Stöd till radio- och kassettidningar")</f>
        <v>Stöd till radio- och kassettidningar</v>
      </c>
      <c r="D25" s="428">
        <v>107260.84110000001</v>
      </c>
      <c r="E25" s="428">
        <v>121185.412</v>
      </c>
      <c r="F25" s="428">
        <v>123538.04104</v>
      </c>
      <c r="G25" s="428">
        <v>123386.493</v>
      </c>
      <c r="H25" s="428">
        <v>118129.33199999999</v>
      </c>
      <c r="I25" s="428">
        <v>122893.0974</v>
      </c>
      <c r="J25" s="428">
        <v>133462.30723000001</v>
      </c>
      <c r="K25" s="428">
        <v>122821.12342</v>
      </c>
      <c r="L25" s="428">
        <v>125512.85784</v>
      </c>
    </row>
    <row r="26" spans="1:12">
      <c r="A26" s="429" t="str">
        <f t="shared" si="0"/>
        <v>01</v>
      </c>
      <c r="B26" s="429" t="str">
        <f>T("0108004 2010")</f>
        <v>0108004 2010</v>
      </c>
      <c r="C26" s="637" t="str">
        <f>T("Radio- och TV-verket")</f>
        <v>Radio- och TV-verket</v>
      </c>
      <c r="D26" s="428">
        <v>6885.4072299999998</v>
      </c>
      <c r="E26" s="428">
        <v>8384.3945399999993</v>
      </c>
      <c r="F26" s="428">
        <v>10732.91015</v>
      </c>
      <c r="G26" s="428">
        <v>8067.7874499999998</v>
      </c>
      <c r="H26" s="428">
        <v>11121.59971</v>
      </c>
      <c r="I26" s="428">
        <v>11672.92267</v>
      </c>
      <c r="J26" s="428">
        <v>12685.142089999999</v>
      </c>
      <c r="K26" s="428">
        <v>13158.734539999999</v>
      </c>
      <c r="L26" s="428">
        <v>11080.01374</v>
      </c>
    </row>
    <row r="27" spans="1:12">
      <c r="A27" s="429" t="str">
        <f t="shared" si="0"/>
        <v>01</v>
      </c>
      <c r="B27" s="429" t="str">
        <f>T("0108005 2010")</f>
        <v>0108005 2010</v>
      </c>
      <c r="C27" s="637" t="str">
        <f>T("Granskningsnämnden för radio och TV")</f>
        <v>Granskningsnämnden för radio och TV</v>
      </c>
      <c r="D27" s="428">
        <v>6935.0257600000004</v>
      </c>
      <c r="E27" s="428">
        <v>6765.98747</v>
      </c>
      <c r="F27" s="428">
        <v>7030.5245000000004</v>
      </c>
      <c r="G27" s="428">
        <v>8131.8381499999996</v>
      </c>
      <c r="H27" s="428">
        <v>8743.2642699999997</v>
      </c>
      <c r="I27" s="428">
        <v>8826.9642199999998</v>
      </c>
      <c r="J27" s="428">
        <v>9303.5488999999998</v>
      </c>
      <c r="K27" s="428">
        <v>10069.54731</v>
      </c>
      <c r="L27" s="428">
        <v>9096.3305500000006</v>
      </c>
    </row>
    <row r="28" spans="1:12">
      <c r="A28" s="429" t="str">
        <f t="shared" si="0"/>
        <v>01</v>
      </c>
      <c r="B28" s="429" t="str">
        <f>T("0109001")</f>
        <v>0109001</v>
      </c>
      <c r="C28" s="637" t="str">
        <f>T("Svenska institutet för europapolitiska studier samt EU-information")</f>
        <v>Svenska institutet för europapolitiska studier samt EU-information</v>
      </c>
      <c r="I28" s="428">
        <v>8242.2644600000003</v>
      </c>
      <c r="J28" s="428">
        <v>10160.980879999999</v>
      </c>
      <c r="K28" s="428">
        <v>10244.476860000001</v>
      </c>
      <c r="L28" s="428">
        <v>12682.204159999999</v>
      </c>
    </row>
    <row r="29" spans="1:12">
      <c r="A29" s="429" t="str">
        <f t="shared" si="0"/>
        <v>01</v>
      </c>
      <c r="B29" s="429" t="str">
        <f>T("013202 2007")</f>
        <v>013202 2007</v>
      </c>
      <c r="C29" s="637" t="str">
        <f>T("Kommunala samverkansorgan m.m.")</f>
        <v>Kommunala samverkansorgan m.m.</v>
      </c>
      <c r="E29" s="428">
        <v>12680</v>
      </c>
      <c r="F29" s="428">
        <v>20466</v>
      </c>
      <c r="G29" s="428">
        <v>21072</v>
      </c>
      <c r="H29" s="428">
        <v>25138</v>
      </c>
      <c r="I29" s="428">
        <v>25297</v>
      </c>
      <c r="J29" s="428">
        <v>25297</v>
      </c>
      <c r="K29" s="428">
        <v>34897</v>
      </c>
      <c r="L29" s="428">
        <v>36476</v>
      </c>
    </row>
    <row r="30" spans="1:12">
      <c r="A30" s="429" t="str">
        <f t="shared" si="0"/>
        <v>01</v>
      </c>
      <c r="B30" s="429" t="str">
        <f>T("014606 2003")</f>
        <v>014606 2003</v>
      </c>
      <c r="C30" s="637" t="str">
        <f>T("Folkomröstning om införande av euron")</f>
        <v>Folkomröstning om införande av euron</v>
      </c>
      <c r="J30" s="428">
        <v>161230.61103999999</v>
      </c>
    </row>
    <row r="31" spans="1:12">
      <c r="A31" s="429" t="str">
        <f t="shared" si="0"/>
        <v>01</v>
      </c>
      <c r="B31" s="429" t="str">
        <f>T("019008 2003")</f>
        <v>019008 2003</v>
      </c>
      <c r="C31" s="637" t="str">
        <f>T("Kampanjkostnader m.m. för folkomröstning om införande av euron")</f>
        <v>Kampanjkostnader m.m. för folkomröstning om införande av euron</v>
      </c>
      <c r="J31" s="428">
        <v>120000</v>
      </c>
    </row>
    <row r="32" spans="1:12">
      <c r="A32" s="429" t="str">
        <f t="shared" si="0"/>
        <v>01</v>
      </c>
      <c r="B32" s="429" t="str">
        <f>T("01B002 9596")</f>
        <v>01B002 9596</v>
      </c>
      <c r="C32" s="637" t="str">
        <f>T("Samarbete och utveckling inom Östersjöregionen")</f>
        <v>Samarbete och utveckling inom Östersjöregionen</v>
      </c>
      <c r="D32" s="428">
        <v>76564.571790000002</v>
      </c>
      <c r="E32" s="428">
        <v>175218.15135999999</v>
      </c>
      <c r="F32" s="428">
        <v>185295.31412</v>
      </c>
      <c r="G32" s="428">
        <v>0</v>
      </c>
    </row>
    <row r="33" spans="1:12">
      <c r="A33" s="429" t="str">
        <f t="shared" si="0"/>
        <v>01</v>
      </c>
      <c r="B33" s="429" t="str">
        <f>T("01F001 1999")</f>
        <v>01F001 1999</v>
      </c>
      <c r="C33" s="637" t="str">
        <f>T("Samarbete och utveckling inom Östersjöregionen")</f>
        <v>Samarbete och utveckling inom Östersjöregionen</v>
      </c>
      <c r="G33" s="428">
        <v>190575.54612000001</v>
      </c>
      <c r="H33" s="428">
        <v>129784.04064000001</v>
      </c>
      <c r="I33" s="428">
        <v>189959.14060000001</v>
      </c>
    </row>
    <row r="34" spans="1:12">
      <c r="A34" s="429" t="str">
        <f t="shared" si="0"/>
        <v>01</v>
      </c>
      <c r="B34" s="429" t="str">
        <f>T("050501 2001")</f>
        <v>050501 2001</v>
      </c>
      <c r="C34" s="637" t="str">
        <f>T("Utrikesförvaltningen")</f>
        <v>Utrikesförvaltningen</v>
      </c>
      <c r="D34" s="428">
        <v>1654678.7333200001</v>
      </c>
      <c r="E34" s="428">
        <v>1807446.8551099999</v>
      </c>
      <c r="F34" s="428">
        <v>1908936.58604</v>
      </c>
      <c r="G34" s="428">
        <v>1891486.0866</v>
      </c>
      <c r="H34" s="428">
        <v>1854799.5451199999</v>
      </c>
    </row>
    <row r="35" spans="1:12">
      <c r="A35" s="429" t="str">
        <f t="shared" si="0"/>
        <v>01</v>
      </c>
      <c r="B35" s="429" t="str">
        <f>T("11C034 9596")</f>
        <v>11C034 9596</v>
      </c>
      <c r="C35" s="637" t="str">
        <f>T("Utvecklingsstöd till dagspressen")</f>
        <v>Utvecklingsstöd till dagspressen</v>
      </c>
      <c r="D35" s="428">
        <v>526.67999999999995</v>
      </c>
      <c r="F35" s="428">
        <v>-50</v>
      </c>
    </row>
    <row r="36" spans="1:12">
      <c r="A36" s="429" t="str">
        <f t="shared" si="0"/>
        <v>01</v>
      </c>
      <c r="B36" s="429" t="str">
        <f>T("11C037 9596")</f>
        <v>11C037 9596</v>
      </c>
      <c r="C36" s="637" t="str">
        <f>T("Stöd till radio- och kassettidningar")</f>
        <v>Stöd till radio- och kassettidningar</v>
      </c>
      <c r="D36" s="428">
        <v>4340.5919000000004</v>
      </c>
    </row>
    <row r="37" spans="1:12">
      <c r="A37" s="429" t="str">
        <f t="shared" si="0"/>
        <v>01</v>
      </c>
      <c r="B37" s="429" t="str">
        <f>T("15A002 9596")</f>
        <v>15A002 9596</v>
      </c>
      <c r="C37" s="637" t="str">
        <f>T("Riksdagsutskottens resor utom Sverige")</f>
        <v>Riksdagsutskottens resor utom Sverige</v>
      </c>
      <c r="D37" s="428">
        <v>4610.9227600000004</v>
      </c>
      <c r="E37" s="428">
        <v>1901.4652100000001</v>
      </c>
    </row>
    <row r="38" spans="1:12">
      <c r="A38" s="429" t="str">
        <f t="shared" si="0"/>
        <v>01</v>
      </c>
      <c r="B38" s="429" t="str">
        <f>T("15A004 9596")</f>
        <v>15A004 9596</v>
      </c>
      <c r="C38" s="637" t="str">
        <f>T("Riksdagens byggnader m.m")</f>
        <v>Riksdagens byggnader m.m</v>
      </c>
      <c r="D38" s="428">
        <v>3821.3141999999998</v>
      </c>
      <c r="E38" s="428">
        <v>2693.3240300000002</v>
      </c>
      <c r="F38" s="428">
        <v>20883.342649999999</v>
      </c>
    </row>
    <row r="39" spans="1:12">
      <c r="A39" s="430" t="s">
        <v>1635</v>
      </c>
      <c r="B39" s="430"/>
      <c r="C39" s="430" t="str">
        <f>T("Rikets styrelse")</f>
        <v>Rikets styrelse</v>
      </c>
      <c r="D39" s="431">
        <v>7343003.1249599997</v>
      </c>
      <c r="E39" s="431">
        <v>7832099.2665999997</v>
      </c>
      <c r="F39" s="431">
        <v>8269342.7821500003</v>
      </c>
      <c r="G39" s="431">
        <v>8535321.1276099999</v>
      </c>
      <c r="H39" s="431">
        <v>9166409.1830499992</v>
      </c>
      <c r="I39" s="431">
        <v>9327202.5468400009</v>
      </c>
      <c r="J39" s="431">
        <v>9594704.4046</v>
      </c>
      <c r="K39" s="431">
        <v>9767171.62366</v>
      </c>
      <c r="L39" s="431">
        <v>9873020.8211599998</v>
      </c>
    </row>
    <row r="40" spans="1:12">
      <c r="A40" s="429" t="str">
        <f t="shared" ref="A40:A94" si="1">T("02")</f>
        <v>02</v>
      </c>
      <c r="B40" s="429" t="str">
        <f>T("0201001")</f>
        <v>0201001</v>
      </c>
      <c r="C40" s="637" t="str">
        <f>T("Statskontoret")</f>
        <v>Statskontoret</v>
      </c>
      <c r="D40" s="428">
        <v>61221.739459999997</v>
      </c>
      <c r="E40" s="428">
        <v>66960.211869999999</v>
      </c>
      <c r="F40" s="428">
        <v>66916.707899999994</v>
      </c>
      <c r="G40" s="428">
        <v>69205.055999999997</v>
      </c>
      <c r="H40" s="428">
        <v>73860.069640000002</v>
      </c>
      <c r="I40" s="428">
        <v>71567.229330000002</v>
      </c>
      <c r="J40" s="428">
        <v>81784.951190000007</v>
      </c>
      <c r="K40" s="428">
        <v>89566.545979999995</v>
      </c>
      <c r="L40" s="428">
        <v>85979.222640000007</v>
      </c>
    </row>
    <row r="41" spans="1:12">
      <c r="A41" s="429" t="str">
        <f t="shared" si="1"/>
        <v>02</v>
      </c>
      <c r="B41" s="429" t="str">
        <f>T("0201002")</f>
        <v>0201002</v>
      </c>
      <c r="C41" s="637" t="str">
        <f>T("Kammarkollegiet")</f>
        <v>Kammarkollegiet</v>
      </c>
      <c r="D41" s="428">
        <v>22985.978149999999</v>
      </c>
      <c r="E41" s="428">
        <v>24950.65467</v>
      </c>
      <c r="F41" s="428">
        <v>26534.359960000002</v>
      </c>
      <c r="G41" s="428">
        <v>27814.639309999999</v>
      </c>
      <c r="H41" s="428">
        <v>24819.49497</v>
      </c>
      <c r="I41" s="428">
        <v>25170.423409999999</v>
      </c>
      <c r="J41" s="428">
        <v>81215.66721</v>
      </c>
      <c r="K41" s="428">
        <v>26772.51453</v>
      </c>
      <c r="L41" s="428">
        <v>25924.69901</v>
      </c>
    </row>
    <row r="42" spans="1:12">
      <c r="A42" s="429" t="str">
        <f t="shared" si="1"/>
        <v>02</v>
      </c>
      <c r="B42" s="429" t="str">
        <f>T("0201003")</f>
        <v>0201003</v>
      </c>
      <c r="C42" s="637" t="str">
        <f>T("Verksamhetsstöd för den statliga budgetprocessen")</f>
        <v>Verksamhetsstöd för den statliga budgetprocessen</v>
      </c>
    </row>
    <row r="43" spans="1:12">
      <c r="A43" s="429" t="str">
        <f t="shared" si="1"/>
        <v>02</v>
      </c>
      <c r="B43" s="429" t="str">
        <f>T("0201003 2010")</f>
        <v>0201003 2010</v>
      </c>
      <c r="C43" s="637" t="str">
        <f>T("Avveckling av Verket för förvaltningsutveckling")</f>
        <v>Avveckling av Verket för förvaltningsutveckling</v>
      </c>
    </row>
    <row r="44" spans="1:12">
      <c r="A44" s="429" t="str">
        <f t="shared" si="1"/>
        <v>02</v>
      </c>
      <c r="B44" s="429" t="str">
        <f>T("0201004")</f>
        <v>0201004</v>
      </c>
      <c r="C44" s="637" t="str">
        <f>T("Arbetsgivarpolitiska frågor")</f>
        <v>Arbetsgivarpolitiska frågor</v>
      </c>
      <c r="D44" s="428">
        <v>1049.48956</v>
      </c>
      <c r="E44" s="428">
        <v>1253.1548</v>
      </c>
      <c r="F44" s="428">
        <v>1663.663</v>
      </c>
      <c r="G44" s="428">
        <v>1311.903</v>
      </c>
      <c r="H44" s="428">
        <v>1817.31468</v>
      </c>
      <c r="I44" s="428">
        <v>1790.7624000000001</v>
      </c>
      <c r="J44" s="428">
        <v>1449.46155</v>
      </c>
      <c r="K44" s="428">
        <v>4567.9302399999997</v>
      </c>
      <c r="L44" s="428">
        <v>2205.2155499999999</v>
      </c>
    </row>
    <row r="45" spans="1:12">
      <c r="A45" s="429" t="str">
        <f t="shared" si="1"/>
        <v>02</v>
      </c>
      <c r="B45" s="429" t="str">
        <f>T("0201005")</f>
        <v>0201005</v>
      </c>
      <c r="C45" s="637" t="str">
        <f>T("Statliga tjänstepensioner m.m.")</f>
        <v>Statliga tjänstepensioner m.m.</v>
      </c>
      <c r="D45" s="428">
        <v>8144196.2260199999</v>
      </c>
      <c r="E45" s="428">
        <v>8046193.0033099996</v>
      </c>
      <c r="F45" s="428">
        <v>7568574.1330700004</v>
      </c>
      <c r="G45" s="428">
        <v>7408968.6177700004</v>
      </c>
      <c r="H45" s="428">
        <v>7458447.5199800003</v>
      </c>
      <c r="I45" s="428">
        <v>7471914.8590000002</v>
      </c>
      <c r="J45" s="428">
        <v>7472721.9102999996</v>
      </c>
      <c r="K45" s="428">
        <v>7709017.8035300002</v>
      </c>
      <c r="L45" s="428">
        <v>8209177.9607499996</v>
      </c>
    </row>
    <row r="46" spans="1:12">
      <c r="A46" s="429" t="str">
        <f t="shared" si="1"/>
        <v>02</v>
      </c>
      <c r="B46" s="429" t="str">
        <f>T("0201006")</f>
        <v>0201006</v>
      </c>
      <c r="C46" s="637" t="str">
        <f>T("Finanspolitiska rådet")</f>
        <v>Finanspolitiska rådet</v>
      </c>
    </row>
    <row r="47" spans="1:12">
      <c r="A47" s="429" t="str">
        <f t="shared" si="1"/>
        <v>02</v>
      </c>
      <c r="B47" s="429" t="str">
        <f>T("0201007")</f>
        <v>0201007</v>
      </c>
      <c r="C47" s="637" t="str">
        <f>T("Konjunkturinstitutet")</f>
        <v>Konjunkturinstitutet</v>
      </c>
      <c r="D47" s="428">
        <v>29754.725480000001</v>
      </c>
      <c r="E47" s="428">
        <v>35811.83036</v>
      </c>
      <c r="F47" s="428">
        <v>38880.414080000002</v>
      </c>
      <c r="G47" s="428">
        <v>40294.496930000001</v>
      </c>
      <c r="H47" s="428">
        <v>42131.510219999996</v>
      </c>
      <c r="I47" s="428">
        <v>44361.024259999998</v>
      </c>
      <c r="J47" s="428">
        <v>46874.450830000002</v>
      </c>
      <c r="K47" s="428">
        <v>46079.872620000002</v>
      </c>
      <c r="L47" s="428">
        <v>45533.244140000003</v>
      </c>
    </row>
    <row r="48" spans="1:12">
      <c r="A48" s="429" t="str">
        <f t="shared" si="1"/>
        <v>02</v>
      </c>
      <c r="B48" s="429" t="str">
        <f>T("0201008")</f>
        <v>0201008</v>
      </c>
      <c r="C48" s="637" t="str">
        <f>T("Ekonomistyrningsverket")</f>
        <v>Ekonomistyrningsverket</v>
      </c>
      <c r="E48" s="428">
        <v>22076.495930000001</v>
      </c>
      <c r="F48" s="428">
        <v>52605.383249999999</v>
      </c>
      <c r="G48" s="428">
        <v>52488.166649999999</v>
      </c>
      <c r="H48" s="428">
        <v>59335.88349</v>
      </c>
      <c r="I48" s="428">
        <v>66642.911890000003</v>
      </c>
      <c r="J48" s="428">
        <v>58132.594140000001</v>
      </c>
      <c r="K48" s="428">
        <v>80980.886499999993</v>
      </c>
      <c r="L48" s="428">
        <v>93150.234939999995</v>
      </c>
    </row>
    <row r="49" spans="1:12">
      <c r="A49" s="429" t="str">
        <f t="shared" si="1"/>
        <v>02</v>
      </c>
      <c r="B49" s="429" t="str">
        <f>T("0201009")</f>
        <v>0201009</v>
      </c>
      <c r="C49" s="637" t="str">
        <f>T("Statistiska centralbyrån")</f>
        <v>Statistiska centralbyrån</v>
      </c>
      <c r="D49" s="428">
        <v>325330.81287000002</v>
      </c>
      <c r="E49" s="428">
        <v>329453.52902999998</v>
      </c>
      <c r="F49" s="428">
        <v>364001.48851</v>
      </c>
      <c r="G49" s="428">
        <v>369303.66956000001</v>
      </c>
      <c r="H49" s="428">
        <v>364687.28561999998</v>
      </c>
      <c r="I49" s="428">
        <v>390084.03010999999</v>
      </c>
      <c r="J49" s="428">
        <v>420161.93833999999</v>
      </c>
      <c r="K49" s="428">
        <v>433018.53058000002</v>
      </c>
      <c r="L49" s="428">
        <v>429440.64613000001</v>
      </c>
    </row>
    <row r="50" spans="1:12">
      <c r="A50" s="429" t="str">
        <f t="shared" si="1"/>
        <v>02</v>
      </c>
      <c r="B50" s="429" t="str">
        <f>T("0201010")</f>
        <v>0201010</v>
      </c>
      <c r="C50" s="637" t="str">
        <f>T("Bidragsfastigheter")</f>
        <v>Bidragsfastigheter</v>
      </c>
    </row>
    <row r="51" spans="1:12">
      <c r="A51" s="429" t="str">
        <f t="shared" si="1"/>
        <v>02</v>
      </c>
      <c r="B51" s="429" t="str">
        <f>T("0201011")</f>
        <v>0201011</v>
      </c>
      <c r="C51" s="637" t="str">
        <f>T("Finansinspektionen")</f>
        <v>Finansinspektionen</v>
      </c>
      <c r="D51" s="428">
        <v>104476.71561</v>
      </c>
      <c r="E51" s="428">
        <v>111950.74894</v>
      </c>
      <c r="F51" s="428">
        <v>123700.90816000001</v>
      </c>
      <c r="G51" s="428">
        <v>129896.83791</v>
      </c>
      <c r="H51" s="428">
        <v>135741.84521999999</v>
      </c>
      <c r="I51" s="428">
        <v>146968.09258</v>
      </c>
      <c r="J51" s="428">
        <v>173230.90664</v>
      </c>
      <c r="K51" s="428">
        <v>180272.08579000001</v>
      </c>
      <c r="L51" s="428">
        <v>164146.58658999999</v>
      </c>
    </row>
    <row r="52" spans="1:12">
      <c r="A52" s="429" t="str">
        <f t="shared" si="1"/>
        <v>02</v>
      </c>
      <c r="B52" s="429" t="str">
        <f>T("0201012")</f>
        <v>0201012</v>
      </c>
      <c r="C52" s="637" t="str">
        <f>T("Riksgäldskontoret")</f>
        <v>Riksgäldskontoret</v>
      </c>
      <c r="D52" s="428">
        <v>71973.195129999993</v>
      </c>
      <c r="E52" s="428">
        <v>71044.743700000006</v>
      </c>
      <c r="F52" s="428">
        <v>79858.727310000002</v>
      </c>
      <c r="G52" s="428">
        <v>74967.343609999996</v>
      </c>
      <c r="H52" s="428">
        <v>219481.71642000001</v>
      </c>
      <c r="I52" s="428">
        <v>244289.73707999999</v>
      </c>
      <c r="J52" s="428">
        <v>263274.53456</v>
      </c>
      <c r="K52" s="428">
        <v>266846.17379999999</v>
      </c>
      <c r="L52" s="428">
        <v>262942.40873000002</v>
      </c>
    </row>
    <row r="53" spans="1:12">
      <c r="A53" s="429" t="str">
        <f t="shared" si="1"/>
        <v>02</v>
      </c>
      <c r="B53" s="429" t="str">
        <f>T("0201013")</f>
        <v>0201013</v>
      </c>
      <c r="C53" s="637" t="str">
        <f>T("Bokföringsnämnden")</f>
        <v>Bokföringsnämnden</v>
      </c>
      <c r="D53" s="428">
        <v>4237.223</v>
      </c>
      <c r="E53" s="428">
        <v>4672.5734400000001</v>
      </c>
      <c r="F53" s="428">
        <v>5737.7196800000002</v>
      </c>
      <c r="G53" s="428">
        <v>7423.6211599999997</v>
      </c>
      <c r="H53" s="428">
        <v>7515.4780700000001</v>
      </c>
      <c r="I53" s="428">
        <v>9445.9322400000001</v>
      </c>
      <c r="J53" s="428">
        <v>8927.0540700000001</v>
      </c>
      <c r="K53" s="428">
        <v>7160.59897</v>
      </c>
      <c r="L53" s="428">
        <v>7620.2148800000004</v>
      </c>
    </row>
    <row r="54" spans="1:12">
      <c r="A54" s="429" t="str">
        <f t="shared" si="1"/>
        <v>02</v>
      </c>
      <c r="B54" s="429" t="str">
        <f>T("0201014")</f>
        <v>0201014</v>
      </c>
      <c r="C54" s="637" t="str">
        <f>T("Vissa garanti- och medlemsavgifter")</f>
        <v>Vissa garanti- och medlemsavgifter</v>
      </c>
      <c r="H54" s="428">
        <v>501400</v>
      </c>
      <c r="J54" s="428">
        <v>1400</v>
      </c>
      <c r="K54" s="428">
        <v>1400</v>
      </c>
      <c r="L54" s="428">
        <v>1392</v>
      </c>
    </row>
    <row r="55" spans="1:12">
      <c r="A55" s="429" t="str">
        <f t="shared" si="1"/>
        <v>02</v>
      </c>
      <c r="B55" s="429" t="str">
        <f>T("0201015")</f>
        <v>0201015</v>
      </c>
      <c r="C55" s="637" t="str">
        <f>T("Riksrevisionen")</f>
        <v>Riksrevisionen</v>
      </c>
      <c r="J55" s="428">
        <v>106906.07414</v>
      </c>
      <c r="K55" s="428">
        <v>258161.21489</v>
      </c>
      <c r="L55" s="428">
        <v>266927.51150000002</v>
      </c>
    </row>
    <row r="56" spans="1:12">
      <c r="A56" s="429" t="str">
        <f t="shared" si="1"/>
        <v>02</v>
      </c>
      <c r="B56" s="429" t="str">
        <f>T("0201016")</f>
        <v>0201016</v>
      </c>
      <c r="C56" s="637" t="str">
        <f>T("Finansmarknadsforskning")</f>
        <v>Finansmarknadsforskning</v>
      </c>
    </row>
    <row r="57" spans="1:12">
      <c r="A57" s="429" t="str">
        <f t="shared" si="1"/>
        <v>02</v>
      </c>
      <c r="B57" s="429" t="str">
        <f>T("0201017")</f>
        <v>0201017</v>
      </c>
      <c r="C57" s="637" t="str">
        <f>T("Finansinspektionens avgifter till EU:s tillsynsmyndigheter")</f>
        <v>Finansinspektionens avgifter till EU:s tillsynsmyndigheter</v>
      </c>
    </row>
    <row r="58" spans="1:12">
      <c r="A58" s="429" t="str">
        <f t="shared" si="1"/>
        <v>02</v>
      </c>
      <c r="B58" s="429" t="str">
        <f>T("0201018 2013")</f>
        <v>0201018 2013</v>
      </c>
      <c r="C58" s="637" t="str">
        <f>T("Kapitalhöjning i Europeiska investeringsbanken")</f>
        <v>Kapitalhöjning i Europeiska investeringsbanken</v>
      </c>
    </row>
    <row r="59" spans="1:12">
      <c r="A59" s="429" t="str">
        <f t="shared" si="1"/>
        <v>02</v>
      </c>
      <c r="B59" s="429" t="str">
        <f>T("020104 2008")</f>
        <v>020104 2008</v>
      </c>
      <c r="C59" s="637" t="str">
        <f>T("Täckning av merkostnader för lokaler")</f>
        <v>Täckning av merkostnader för lokaler</v>
      </c>
      <c r="D59" s="428">
        <v>16026.576719999999</v>
      </c>
      <c r="E59" s="428">
        <v>16698.873759999999</v>
      </c>
      <c r="F59" s="428">
        <v>16031.384040000001</v>
      </c>
      <c r="G59" s="428">
        <v>11391.927250000001</v>
      </c>
      <c r="H59" s="428">
        <v>6078.2079999999996</v>
      </c>
      <c r="I59" s="428">
        <v>535.28499999999997</v>
      </c>
      <c r="J59" s="428">
        <v>562.79999999999995</v>
      </c>
      <c r="K59" s="428">
        <v>568.16</v>
      </c>
      <c r="L59" s="428">
        <v>573.51900000000001</v>
      </c>
    </row>
    <row r="60" spans="1:12">
      <c r="A60" s="429" t="str">
        <f t="shared" si="1"/>
        <v>02</v>
      </c>
      <c r="B60" s="429" t="str">
        <f>T("020106 2003")</f>
        <v>020106 2003</v>
      </c>
      <c r="C60" s="637" t="str">
        <f>T("Folk- och bostadsstatistik")</f>
        <v>Folk- och bostadsstatistik</v>
      </c>
      <c r="D60" s="428">
        <v>22247.225460000001</v>
      </c>
      <c r="E60" s="428">
        <v>21490.57893</v>
      </c>
      <c r="F60" s="428">
        <v>5428.4345199999998</v>
      </c>
      <c r="G60" s="428">
        <v>9663.1058900000007</v>
      </c>
      <c r="H60" s="428">
        <v>20889.060710000002</v>
      </c>
      <c r="I60" s="428">
        <v>18584.406330000002</v>
      </c>
      <c r="J60" s="428">
        <v>15128.42519</v>
      </c>
      <c r="K60" s="428">
        <v>14483.39394</v>
      </c>
      <c r="L60" s="428">
        <v>12972.311400000001</v>
      </c>
    </row>
    <row r="61" spans="1:12">
      <c r="A61" s="429" t="str">
        <f t="shared" si="1"/>
        <v>02</v>
      </c>
      <c r="B61" s="429" t="str">
        <f>T("020107 2007")</f>
        <v>020107 2007</v>
      </c>
      <c r="C61" s="637" t="str">
        <f>T("Nämnden för offentlig upphandling")</f>
        <v>Nämnden för offentlig upphandling</v>
      </c>
      <c r="D61" s="428">
        <v>8252.9133000000002</v>
      </c>
      <c r="E61" s="428">
        <v>8149.5622199999998</v>
      </c>
      <c r="F61" s="428">
        <v>7129.5441600000004</v>
      </c>
      <c r="G61" s="428">
        <v>7654.5384599999998</v>
      </c>
      <c r="H61" s="428">
        <v>7805.7388700000001</v>
      </c>
      <c r="I61" s="428">
        <v>6774.2946199999997</v>
      </c>
      <c r="J61" s="428">
        <v>7790.6597199999997</v>
      </c>
      <c r="K61" s="428">
        <v>8045.7646500000001</v>
      </c>
      <c r="L61" s="428">
        <v>7599.4349700000002</v>
      </c>
    </row>
    <row r="62" spans="1:12">
      <c r="A62" s="429" t="str">
        <f t="shared" si="1"/>
        <v>02</v>
      </c>
      <c r="B62" s="429" t="str">
        <f>T("020108 2005")</f>
        <v>020108 2005</v>
      </c>
      <c r="C62" s="637" t="str">
        <f>T("Statens kvalitets- och kompetensråd")</f>
        <v>Statens kvalitets- och kompetensråd</v>
      </c>
      <c r="F62" s="428">
        <v>7918.7926699999998</v>
      </c>
      <c r="G62" s="428">
        <v>10211.99077</v>
      </c>
      <c r="H62" s="428">
        <v>12768.161260000001</v>
      </c>
      <c r="I62" s="428">
        <v>12153.56381</v>
      </c>
      <c r="J62" s="428">
        <v>12388.66012</v>
      </c>
      <c r="K62" s="428">
        <v>13653.1057</v>
      </c>
      <c r="L62" s="428">
        <v>11836.89639</v>
      </c>
    </row>
    <row r="63" spans="1:12">
      <c r="A63" s="429" t="str">
        <f t="shared" si="1"/>
        <v>02</v>
      </c>
      <c r="B63" s="429" t="str">
        <f>T("020109 2007")</f>
        <v>020109 2007</v>
      </c>
      <c r="C63" s="637" t="str">
        <f>T("Ekonomiska rådet")</f>
        <v>Ekonomiska rådet</v>
      </c>
      <c r="D63" s="428">
        <v>1414.11979</v>
      </c>
      <c r="E63" s="428">
        <v>1492.3162600000001</v>
      </c>
      <c r="F63" s="428">
        <v>1831.56773</v>
      </c>
      <c r="G63" s="428">
        <v>1777.53964</v>
      </c>
      <c r="H63" s="428">
        <v>1490.40362</v>
      </c>
      <c r="I63" s="428">
        <v>2098.4012400000001</v>
      </c>
      <c r="J63" s="428">
        <v>1907.5024900000001</v>
      </c>
      <c r="K63" s="428">
        <v>2905.0485800000001</v>
      </c>
      <c r="L63" s="428">
        <v>1334.42488</v>
      </c>
    </row>
    <row r="64" spans="1:12">
      <c r="A64" s="429" t="str">
        <f t="shared" si="1"/>
        <v>02</v>
      </c>
      <c r="B64" s="429" t="str">
        <f>T("020111 2003")</f>
        <v>020111 2003</v>
      </c>
      <c r="C64" s="637" t="str">
        <f>T("Utvecklingsarbete")</f>
        <v>Utvecklingsarbete</v>
      </c>
      <c r="D64" s="428">
        <v>26113.85194</v>
      </c>
      <c r="E64" s="428">
        <v>18291.97753</v>
      </c>
      <c r="F64" s="428">
        <v>24615.920440000002</v>
      </c>
      <c r="G64" s="428">
        <v>50137.156719999999</v>
      </c>
      <c r="H64" s="428">
        <v>29622.828310000001</v>
      </c>
      <c r="I64" s="428">
        <v>24103.079290000001</v>
      </c>
      <c r="J64" s="428">
        <v>13900.28836</v>
      </c>
      <c r="K64" s="428">
        <v>1660.855</v>
      </c>
    </row>
    <row r="65" spans="1:12">
      <c r="A65" s="429" t="str">
        <f t="shared" si="1"/>
        <v>02</v>
      </c>
      <c r="B65" s="429" t="str">
        <f>T("020111 2008")</f>
        <v>020111 2008</v>
      </c>
      <c r="C65" s="637" t="str">
        <f>T("E-legitimationer")</f>
        <v>E-legitimationer</v>
      </c>
    </row>
    <row r="66" spans="1:12">
      <c r="A66" s="429" t="str">
        <f t="shared" si="1"/>
        <v>02</v>
      </c>
      <c r="B66" s="429" t="str">
        <f>T("020112 2004")</f>
        <v>020112 2004</v>
      </c>
      <c r="C66" s="637" t="str">
        <f>T("Utveckling av 24-timmarsmyndigheten")</f>
        <v>Utveckling av 24-timmarsmyndigheten</v>
      </c>
      <c r="K66" s="428">
        <v>2350</v>
      </c>
      <c r="L66" s="428">
        <v>3767.0317700000001</v>
      </c>
    </row>
    <row r="67" spans="1:12">
      <c r="A67" s="429" t="str">
        <f t="shared" si="1"/>
        <v>02</v>
      </c>
      <c r="B67" s="429" t="str">
        <f>T("020112 2007")</f>
        <v>020112 2007</v>
      </c>
      <c r="C67" s="637" t="str">
        <f>T("Statliga kompetensöverföringsjobb")</f>
        <v>Statliga kompetensöverföringsjobb</v>
      </c>
      <c r="L67" s="428">
        <v>408.12365</v>
      </c>
    </row>
    <row r="68" spans="1:12">
      <c r="A68" s="429" t="str">
        <f t="shared" si="1"/>
        <v>02</v>
      </c>
      <c r="B68" s="429" t="str">
        <f>T("020113 2006")</f>
        <v>020113 2006</v>
      </c>
      <c r="C68" s="637" t="str">
        <f>T("Statens kvalitets- och kompetensråd: Avvecklingskostnader")</f>
        <v>Statens kvalitets- och kompetensråd: Avvecklingskostnader</v>
      </c>
    </row>
    <row r="69" spans="1:12">
      <c r="A69" s="429" t="str">
        <f t="shared" si="1"/>
        <v>02</v>
      </c>
      <c r="B69" s="429" t="str">
        <f>T("020114 2003")</f>
        <v>020114 2003</v>
      </c>
      <c r="C69" s="637" t="str">
        <f>T("Riksrevisionsverket")</f>
        <v>Riksrevisionsverket</v>
      </c>
      <c r="D69" s="428">
        <v>159370.33582000001</v>
      </c>
      <c r="E69" s="428">
        <v>153181.01534000001</v>
      </c>
      <c r="F69" s="428">
        <v>139491.11773</v>
      </c>
      <c r="G69" s="428">
        <v>154842.77606999999</v>
      </c>
      <c r="H69" s="428">
        <v>154701.62612999999</v>
      </c>
      <c r="I69" s="428">
        <v>154353.58027000001</v>
      </c>
      <c r="J69" s="428">
        <v>85689.461920000002</v>
      </c>
      <c r="K69" s="428">
        <v>59.147509999999997</v>
      </c>
    </row>
    <row r="70" spans="1:12">
      <c r="A70" s="429" t="str">
        <f t="shared" si="1"/>
        <v>02</v>
      </c>
      <c r="B70" s="429" t="str">
        <f>T("020115 2003")</f>
        <v>020115 2003</v>
      </c>
      <c r="C70" s="637" t="str">
        <f>T("Riksrevisionsverket: Avvecklingskostnader")</f>
        <v>Riksrevisionsverket: Avvecklingskostnader</v>
      </c>
      <c r="J70" s="428">
        <v>13325.47493</v>
      </c>
      <c r="K70" s="428">
        <v>4048.76377</v>
      </c>
    </row>
    <row r="71" spans="1:12">
      <c r="A71" s="429" t="str">
        <f t="shared" si="1"/>
        <v>02</v>
      </c>
      <c r="B71" s="429" t="str">
        <f>T("020201 2001")</f>
        <v>020201 2001</v>
      </c>
      <c r="C71" s="637" t="str">
        <f>T("Riksgäldskontoret: Garantiverksamhet")</f>
        <v>Riksgäldskontoret: Garantiverksamhet</v>
      </c>
      <c r="E71" s="428">
        <v>0</v>
      </c>
      <c r="F71" s="428">
        <v>0</v>
      </c>
      <c r="G71" s="428">
        <v>0</v>
      </c>
      <c r="H71" s="428">
        <v>0</v>
      </c>
    </row>
    <row r="72" spans="1:12">
      <c r="A72" s="429" t="str">
        <f t="shared" si="1"/>
        <v>02</v>
      </c>
      <c r="B72" s="429" t="str">
        <f>T("020202 2007")</f>
        <v>020202 2007</v>
      </c>
      <c r="C72" s="637" t="str">
        <f>T("Insättningsgarantinämnden")</f>
        <v>Insättningsgarantinämnden</v>
      </c>
      <c r="D72" s="428">
        <v>1590.3145</v>
      </c>
      <c r="E72" s="428">
        <v>3290.0956200000001</v>
      </c>
      <c r="F72" s="428">
        <v>6290.6002600000002</v>
      </c>
      <c r="G72" s="428">
        <v>5519.1389900000004</v>
      </c>
      <c r="H72" s="428">
        <v>7523.3294400000004</v>
      </c>
      <c r="I72" s="428">
        <v>6784.1795700000002</v>
      </c>
      <c r="J72" s="428">
        <v>6548.3301700000002</v>
      </c>
      <c r="K72" s="428">
        <v>6445.17994</v>
      </c>
      <c r="L72" s="428">
        <v>7435.0062200000002</v>
      </c>
    </row>
    <row r="73" spans="1:12">
      <c r="A73" s="429" t="str">
        <f t="shared" si="1"/>
        <v>02</v>
      </c>
      <c r="B73" s="429" t="str">
        <f>T("020205")</f>
        <v>020205</v>
      </c>
      <c r="C73" s="637" t="str">
        <f>T("Avgift för Stadshypotekskassans grundfond")</f>
        <v>Avgift för Stadshypotekskassans grundfond</v>
      </c>
      <c r="D73" s="428">
        <v>19604.852360000001</v>
      </c>
      <c r="E73" s="428">
        <v>80000</v>
      </c>
      <c r="F73" s="428">
        <v>50000</v>
      </c>
      <c r="G73" s="428">
        <v>12637.30811</v>
      </c>
      <c r="H73" s="428">
        <v>6412.692</v>
      </c>
      <c r="I73" s="428">
        <v>2350</v>
      </c>
    </row>
    <row r="74" spans="1:12">
      <c r="A74" s="429" t="str">
        <f t="shared" si="1"/>
        <v>02</v>
      </c>
      <c r="B74" s="429" t="str">
        <f>T("020205 2005")</f>
        <v>020205 2005</v>
      </c>
      <c r="C74" s="637" t="str">
        <f>T("Insatser i internationella finansiella institutioner")</f>
        <v>Insatser i internationella finansiella institutioner</v>
      </c>
      <c r="G74" s="428">
        <v>53124.356249999997</v>
      </c>
      <c r="H74" s="428">
        <v>59021.018700000001</v>
      </c>
      <c r="I74" s="428">
        <v>58747.133560000002</v>
      </c>
      <c r="J74" s="428">
        <v>58928.713929999998</v>
      </c>
      <c r="K74" s="428">
        <v>58748.640420000003</v>
      </c>
      <c r="L74" s="428">
        <v>57612.077310000001</v>
      </c>
    </row>
    <row r="75" spans="1:12">
      <c r="A75" s="429" t="str">
        <f t="shared" si="1"/>
        <v>02</v>
      </c>
      <c r="B75" s="429" t="str">
        <f>T("020208 2001")</f>
        <v>020208 2001</v>
      </c>
      <c r="C75" s="637" t="str">
        <f>T("Kapitalhöjning i  Nordiska investeringsbanken")</f>
        <v>Kapitalhöjning i  Nordiska investeringsbanken</v>
      </c>
      <c r="F75" s="428">
        <v>18483.58311</v>
      </c>
      <c r="G75" s="428">
        <v>17300.46774</v>
      </c>
      <c r="H75" s="428">
        <v>334038.81706999999</v>
      </c>
      <c r="I75" s="428">
        <v>0.13208</v>
      </c>
    </row>
    <row r="76" spans="1:12">
      <c r="A76" s="429" t="str">
        <f t="shared" si="1"/>
        <v>02</v>
      </c>
      <c r="B76" s="429" t="str">
        <f>T("029002 2003")</f>
        <v>029002 2003</v>
      </c>
      <c r="C76" s="637" t="str">
        <f>T("Riksdagens revisorer")</f>
        <v>Riksdagens revisorer</v>
      </c>
      <c r="D76" s="428">
        <v>16816.38767</v>
      </c>
      <c r="E76" s="428">
        <v>15145.67015</v>
      </c>
      <c r="F76" s="428">
        <v>19217.597900000001</v>
      </c>
      <c r="G76" s="428">
        <v>23775.37039</v>
      </c>
      <c r="H76" s="428">
        <v>24940.96531</v>
      </c>
      <c r="I76" s="428">
        <v>28315.192719999999</v>
      </c>
      <c r="J76" s="428">
        <v>14412</v>
      </c>
      <c r="K76" s="428">
        <v>520</v>
      </c>
    </row>
    <row r="77" spans="1:12">
      <c r="A77" s="429" t="str">
        <f t="shared" si="1"/>
        <v>02</v>
      </c>
      <c r="B77" s="429" t="str">
        <f>T("029002 2007")</f>
        <v>029002 2007</v>
      </c>
      <c r="C77" s="637" t="str">
        <f>T("Försök med trängselskatt i Stockholm")</f>
        <v>Försök med trängselskatt i Stockholm</v>
      </c>
      <c r="L77" s="428">
        <v>1264534.49055</v>
      </c>
    </row>
    <row r="78" spans="1:12">
      <c r="A78" s="429" t="str">
        <f t="shared" si="1"/>
        <v>02</v>
      </c>
      <c r="B78" s="429" t="str">
        <f>T("029003 2003")</f>
        <v>029003 2003</v>
      </c>
      <c r="C78" s="637" t="str">
        <f>T("Riksdagens revisorer: Avvecklingskostnader")</f>
        <v>Riksdagens revisorer: Avvecklingskostnader</v>
      </c>
      <c r="J78" s="428">
        <v>326.51736</v>
      </c>
      <c r="K78" s="428">
        <v>-64.619470000000007</v>
      </c>
      <c r="L78" s="428">
        <v>738.10211000000004</v>
      </c>
    </row>
    <row r="79" spans="1:12">
      <c r="A79" s="429" t="str">
        <f t="shared" si="1"/>
        <v>02</v>
      </c>
      <c r="B79" s="429" t="str">
        <f>T("02A011 1997")</f>
        <v>02A011 1997</v>
      </c>
      <c r="C79" s="637" t="str">
        <f>T("Statens lokalförsörjningsverk")</f>
        <v>Statens lokalförsörjningsverk</v>
      </c>
      <c r="D79" s="428">
        <v>20340.92182</v>
      </c>
    </row>
    <row r="80" spans="1:12">
      <c r="A80" s="429" t="str">
        <f t="shared" si="1"/>
        <v>02</v>
      </c>
      <c r="B80" s="429" t="str">
        <f>T("02A011 1998")</f>
        <v>02A011 1998</v>
      </c>
      <c r="C80" s="637" t="str">
        <f>T("Statens lokalförsörjningsverk: Avvecklingskostnader")</f>
        <v>Statens lokalförsörjningsverk: Avvecklingskostnader</v>
      </c>
      <c r="E80" s="428">
        <v>9603.4000400000004</v>
      </c>
      <c r="F80" s="428">
        <v>0</v>
      </c>
    </row>
    <row r="81" spans="1:12">
      <c r="A81" s="429" t="str">
        <f t="shared" si="1"/>
        <v>02</v>
      </c>
      <c r="B81" s="429" t="str">
        <f>T("02A011 2000")</f>
        <v>02A011 2000</v>
      </c>
      <c r="C81" s="637" t="str">
        <f>T("Vissa nämnder m.m.")</f>
        <v>Vissa nämnder m.m.</v>
      </c>
      <c r="D81" s="428">
        <v>1255.20345</v>
      </c>
      <c r="E81" s="428">
        <v>1285.82411</v>
      </c>
      <c r="F81" s="428">
        <v>1173.4867899999999</v>
      </c>
      <c r="G81" s="428">
        <v>878.78363000000002</v>
      </c>
      <c r="H81" s="428">
        <v>0</v>
      </c>
    </row>
    <row r="82" spans="1:12">
      <c r="A82" s="429" t="str">
        <f t="shared" si="1"/>
        <v>02</v>
      </c>
      <c r="B82" s="429" t="str">
        <f>T("02A014 1999")</f>
        <v>02A014 1999</v>
      </c>
      <c r="C82" s="637" t="str">
        <f>T("Kontrollfunktionen i staten")</f>
        <v>Kontrollfunktionen i staten</v>
      </c>
      <c r="D82" s="428">
        <v>25652</v>
      </c>
      <c r="E82" s="428">
        <v>75749.983389999994</v>
      </c>
      <c r="F82" s="428">
        <v>72331.98762</v>
      </c>
      <c r="G82" s="428">
        <v>35816.024740000001</v>
      </c>
      <c r="H82" s="428">
        <v>24890.982680000001</v>
      </c>
      <c r="I82" s="428">
        <v>44896.23</v>
      </c>
    </row>
    <row r="83" spans="1:12">
      <c r="A83" s="429" t="str">
        <f t="shared" si="1"/>
        <v>02</v>
      </c>
      <c r="B83" s="429" t="str">
        <f>T("02A016 1999")</f>
        <v>02A016 1999</v>
      </c>
      <c r="C83" s="637" t="str">
        <f>T("SLOK: Avvecklingskostnader")</f>
        <v>SLOK: Avvecklingskostnader</v>
      </c>
      <c r="F83" s="428">
        <v>3960.6516999999999</v>
      </c>
    </row>
    <row r="84" spans="1:12">
      <c r="A84" s="429" t="str">
        <f t="shared" si="1"/>
        <v>02</v>
      </c>
      <c r="B84" s="429" t="str">
        <f>T("02A017")</f>
        <v>02A017</v>
      </c>
      <c r="C84" s="637" t="str">
        <f>T("Bidrag till Stiftelsen för utvecklande av god redovisningssed")</f>
        <v>Bidrag till Stiftelsen för utvecklande av god redovisningssed</v>
      </c>
      <c r="D84" s="428">
        <v>800</v>
      </c>
    </row>
    <row r="85" spans="1:12">
      <c r="A85" s="429" t="str">
        <f t="shared" si="1"/>
        <v>02</v>
      </c>
      <c r="B85" s="429" t="str">
        <f>T("02B001 1998")</f>
        <v>02B001 1998</v>
      </c>
      <c r="C85" s="637" t="str">
        <f>T("Åtgätder för att stärks det finansiella systemet")</f>
        <v>Åtgätder för att stärks det finansiella systemet</v>
      </c>
      <c r="D85" s="428">
        <v>55210</v>
      </c>
      <c r="E85" s="428">
        <v>18577.059000000001</v>
      </c>
    </row>
    <row r="86" spans="1:12">
      <c r="A86" s="429" t="str">
        <f t="shared" si="1"/>
        <v>02</v>
      </c>
      <c r="B86" s="429" t="str">
        <f>T("02B003")</f>
        <v>02B003</v>
      </c>
      <c r="C86" s="637" t="str">
        <f>T("Bidrag till kapitalet i Europeiska investeringsbanken")</f>
        <v>Bidrag till kapitalet i Europeiska investeringsbanken</v>
      </c>
      <c r="D86" s="428">
        <v>875870.55049000005</v>
      </c>
    </row>
    <row r="87" spans="1:12">
      <c r="A87" s="429" t="str">
        <f t="shared" si="1"/>
        <v>02</v>
      </c>
      <c r="B87" s="429" t="str">
        <f>T("02B003 1997")</f>
        <v>02B003 1997</v>
      </c>
      <c r="C87" s="637" t="str">
        <f>T("Statliga ägarinsatser m.m i Nordbanken")</f>
        <v>Statliga ägarinsatser m.m i Nordbanken</v>
      </c>
      <c r="D87" s="428">
        <v>31561.640920000002</v>
      </c>
      <c r="E87" s="428">
        <v>20437.40007</v>
      </c>
      <c r="F87" s="428">
        <v>588.84144000000003</v>
      </c>
    </row>
    <row r="88" spans="1:12">
      <c r="A88" s="429" t="str">
        <f t="shared" si="1"/>
        <v>02</v>
      </c>
      <c r="B88" s="429" t="str">
        <f>T("02B004 2000")</f>
        <v>02B004 2000</v>
      </c>
      <c r="C88" s="637" t="str">
        <f>T("Riksgäldskontoret: Vissa kostnader för upplåning och låneförvaltning, 2000")</f>
        <v>Riksgäldskontoret: Vissa kostnader för upplåning och låneförvaltning, 2000</v>
      </c>
      <c r="D88" s="428">
        <v>590357.79469000001</v>
      </c>
      <c r="E88" s="428">
        <v>415890.22635000001</v>
      </c>
      <c r="F88" s="428">
        <v>376244.19154999999</v>
      </c>
      <c r="G88" s="428">
        <v>285285.67439</v>
      </c>
      <c r="H88" s="428">
        <v>0</v>
      </c>
    </row>
    <row r="89" spans="1:12">
      <c r="A89" s="429" t="str">
        <f t="shared" si="1"/>
        <v>02</v>
      </c>
      <c r="B89" s="429" t="str">
        <f>T("02B006 1997")</f>
        <v>02B006 1997</v>
      </c>
      <c r="C89" s="637" t="str">
        <f>T("Värdering m.m av aktier i VPC AB")</f>
        <v>Värdering m.m av aktier i VPC AB</v>
      </c>
      <c r="D89" s="428">
        <v>433.351</v>
      </c>
      <c r="E89" s="428">
        <v>3748.9689499999999</v>
      </c>
      <c r="F89" s="428">
        <v>1023.94497</v>
      </c>
    </row>
    <row r="90" spans="1:12">
      <c r="A90" s="429" t="str">
        <f t="shared" si="1"/>
        <v>02</v>
      </c>
      <c r="B90" s="429" t="str">
        <f>T("02B007 1997")</f>
        <v>02B007 1997</v>
      </c>
      <c r="C90" s="637" t="str">
        <f>T("Investeringar i infrastrukturen på den svenska finansmarkanden")</f>
        <v>Investeringar i infrastrukturen på den svenska finansmarkanden</v>
      </c>
      <c r="E90" s="428">
        <v>450292.34499999997</v>
      </c>
      <c r="G90" s="428">
        <v>48999.925000000003</v>
      </c>
    </row>
    <row r="91" spans="1:12">
      <c r="A91" s="429" t="str">
        <f t="shared" si="1"/>
        <v>02</v>
      </c>
      <c r="B91" s="429" t="str">
        <f>T("07C006 9394")</f>
        <v>07C006 9394</v>
      </c>
      <c r="C91" s="637" t="str">
        <f>T("Vissa investeringar m.m.")</f>
        <v>Vissa investeringar m.m.</v>
      </c>
      <c r="D91" s="428">
        <v>11396.56357</v>
      </c>
    </row>
    <row r="92" spans="1:12">
      <c r="A92" s="429" t="str">
        <f t="shared" si="1"/>
        <v>02</v>
      </c>
      <c r="B92" s="429" t="str">
        <f>T("07E006 9596")</f>
        <v>07E006 9596</v>
      </c>
      <c r="C92" s="637" t="str">
        <f>T("Bidrag till förnyelsefonder på det staligt reglerade området")</f>
        <v>Bidrag till förnyelsefonder på det staligt reglerade området</v>
      </c>
      <c r="D92" s="428">
        <v>15853.18694</v>
      </c>
      <c r="E92" s="428">
        <v>0</v>
      </c>
    </row>
    <row r="93" spans="1:12">
      <c r="A93" s="429" t="str">
        <f t="shared" si="1"/>
        <v>02</v>
      </c>
      <c r="B93" s="429" t="str">
        <f>T("07I008 9596")</f>
        <v>07I008 9596</v>
      </c>
      <c r="C93" s="637" t="str">
        <f>T("Ekonomiska rådet")</f>
        <v>Ekonomiska rådet</v>
      </c>
      <c r="D93" s="428">
        <v>67.868719999999996</v>
      </c>
      <c r="E93" s="428">
        <v>491.69524000000001</v>
      </c>
      <c r="F93" s="428">
        <v>0</v>
      </c>
    </row>
    <row r="94" spans="1:12">
      <c r="A94" s="429" t="str">
        <f t="shared" si="1"/>
        <v>02</v>
      </c>
      <c r="B94" s="429" t="str">
        <f>T("14D003 1998")</f>
        <v>14D003 1998</v>
      </c>
      <c r="C94" s="637" t="str">
        <f>T("Bidrag till förnyelsefonder på det statligt reglerade området")</f>
        <v>Bidrag till förnyelsefonder på det statligt reglerade området</v>
      </c>
      <c r="D94" s="428">
        <v>0</v>
      </c>
      <c r="E94" s="428">
        <v>11086.311079999999</v>
      </c>
      <c r="F94" s="428">
        <v>4731.1925499999998</v>
      </c>
      <c r="G94" s="428">
        <v>2140.4018299999998</v>
      </c>
      <c r="H94" s="428">
        <v>2573.9251399999998</v>
      </c>
      <c r="I94" s="428">
        <v>5991.9944599999999</v>
      </c>
      <c r="J94" s="428">
        <v>9781.9494300000006</v>
      </c>
      <c r="K94" s="428">
        <v>3791.14687</v>
      </c>
      <c r="L94" s="428">
        <v>8583.1967499999992</v>
      </c>
    </row>
    <row r="95" spans="1:12">
      <c r="A95" s="430" t="s">
        <v>1636</v>
      </c>
      <c r="B95" s="430"/>
      <c r="C95" s="430" t="str">
        <f>T("Samhällsekonomi och finansförvaltning")</f>
        <v>Samhällsekonomi och finansförvaltning</v>
      </c>
      <c r="D95" s="431">
        <v>10665461.76444</v>
      </c>
      <c r="E95" s="431">
        <v>10039270.249089999</v>
      </c>
      <c r="F95" s="431">
        <v>9084966.3441000003</v>
      </c>
      <c r="G95" s="431">
        <v>8912830.8377700001</v>
      </c>
      <c r="H95" s="431">
        <v>9581995.87555</v>
      </c>
      <c r="I95" s="431">
        <v>8837922.4752500001</v>
      </c>
      <c r="J95" s="431">
        <v>8956770.3265899997</v>
      </c>
      <c r="K95" s="431">
        <v>9221058.7443400007</v>
      </c>
      <c r="L95" s="431">
        <v>10971834.55986</v>
      </c>
    </row>
    <row r="96" spans="1:12">
      <c r="A96" s="429" t="str">
        <f>T("03")</f>
        <v>03</v>
      </c>
      <c r="B96" s="429" t="str">
        <f>T("0301001")</f>
        <v>0301001</v>
      </c>
      <c r="C96" s="637" t="str">
        <f>T("Skatteverket")</f>
        <v>Skatteverket</v>
      </c>
      <c r="K96" s="428">
        <v>5715548.12445</v>
      </c>
      <c r="L96" s="428">
        <v>5766731.1662299996</v>
      </c>
    </row>
    <row r="97" spans="1:12">
      <c r="A97" s="429" t="str">
        <f>T("03")</f>
        <v>03</v>
      </c>
      <c r="B97" s="429" t="str">
        <f>T("0301002")</f>
        <v>0301002</v>
      </c>
      <c r="C97" s="637" t="str">
        <f>T("Kronofogdemyndigheten")</f>
        <v>Kronofogdemyndigheten</v>
      </c>
      <c r="D97" s="428">
        <v>1270820.91393</v>
      </c>
      <c r="E97" s="428">
        <v>1303098.1927499999</v>
      </c>
      <c r="F97" s="428">
        <v>1346511.5594200001</v>
      </c>
      <c r="G97" s="428">
        <v>1396746.2196800001</v>
      </c>
      <c r="H97" s="428">
        <v>1392170.6584999999</v>
      </c>
      <c r="I97" s="428">
        <v>1386604.21499</v>
      </c>
      <c r="J97" s="428">
        <v>1466909.8556299999</v>
      </c>
      <c r="K97" s="428">
        <v>1504813.45628</v>
      </c>
      <c r="L97" s="428">
        <v>1465493.91753</v>
      </c>
    </row>
    <row r="98" spans="1:12">
      <c r="A98" s="429" t="str">
        <f>T("03")</f>
        <v>03</v>
      </c>
      <c r="B98" s="429" t="str">
        <f>T("0301003")</f>
        <v>0301003</v>
      </c>
      <c r="C98" s="637" t="str">
        <f>T("Tullverket")</f>
        <v>Tullverket</v>
      </c>
      <c r="D98" s="428">
        <v>1043666.8101999999</v>
      </c>
      <c r="E98" s="428">
        <v>1071244.2193499999</v>
      </c>
      <c r="F98" s="428">
        <v>1107046.8348999999</v>
      </c>
      <c r="G98" s="428">
        <v>1158911.92924</v>
      </c>
      <c r="H98" s="428">
        <v>1176602.4384300001</v>
      </c>
      <c r="I98" s="428">
        <v>1264530.7962199999</v>
      </c>
      <c r="J98" s="428">
        <v>1281068.0097099999</v>
      </c>
      <c r="K98" s="428">
        <v>1315602.75294</v>
      </c>
      <c r="L98" s="428">
        <v>1340164.8495700001</v>
      </c>
    </row>
    <row r="99" spans="1:12">
      <c r="A99" s="429" t="str">
        <f>T("03")</f>
        <v>03</v>
      </c>
      <c r="B99" s="429" t="str">
        <f>T("030301 2003")</f>
        <v>030301 2003</v>
      </c>
      <c r="C99" s="637" t="str">
        <f>T("Riksskatteverket")</f>
        <v>Riksskatteverket</v>
      </c>
      <c r="D99" s="428">
        <v>301785.29713000002</v>
      </c>
      <c r="E99" s="428">
        <v>421580.00160000002</v>
      </c>
      <c r="F99" s="428">
        <v>387643.88438</v>
      </c>
      <c r="G99" s="428">
        <v>448190.90999000001</v>
      </c>
      <c r="H99" s="428">
        <v>451436.27597999998</v>
      </c>
      <c r="I99" s="428">
        <v>489935.23083000001</v>
      </c>
      <c r="J99" s="428">
        <v>476716.89192999998</v>
      </c>
      <c r="K99" s="428">
        <v>18055.673879999998</v>
      </c>
    </row>
    <row r="100" spans="1:12">
      <c r="A100" s="429" t="str">
        <f>T("03")</f>
        <v>03</v>
      </c>
      <c r="B100" s="429" t="str">
        <f>T("030302 2003")</f>
        <v>030302 2003</v>
      </c>
      <c r="C100" s="637" t="str">
        <f>T("Skattemyndigheterna")</f>
        <v>Skattemyndigheterna</v>
      </c>
      <c r="D100" s="428">
        <v>4389491.0418299995</v>
      </c>
      <c r="E100" s="428">
        <v>4370886.4693999998</v>
      </c>
      <c r="F100" s="428">
        <v>4457877.8912199996</v>
      </c>
      <c r="G100" s="428">
        <v>4562976.2015899997</v>
      </c>
      <c r="H100" s="428">
        <v>4803714.8112399997</v>
      </c>
      <c r="I100" s="428">
        <v>4907979.1149800001</v>
      </c>
      <c r="J100" s="428">
        <v>5058945.2353800004</v>
      </c>
      <c r="K100" s="428">
        <v>15120.232889999999</v>
      </c>
    </row>
    <row r="101" spans="1:12">
      <c r="A101" s="430" t="s">
        <v>1637</v>
      </c>
      <c r="B101" s="430"/>
      <c r="C101" s="430" t="str">
        <f>T("Skatt, tull och exekution")</f>
        <v>Skatt, tull och exekution</v>
      </c>
      <c r="D101" s="431">
        <v>7005764.0630900003</v>
      </c>
      <c r="E101" s="431">
        <v>7166808.8831000002</v>
      </c>
      <c r="F101" s="431">
        <v>7299080.1699200002</v>
      </c>
      <c r="G101" s="431">
        <v>7566825.2604999999</v>
      </c>
      <c r="H101" s="431">
        <v>7823924.1841500001</v>
      </c>
      <c r="I101" s="431">
        <v>8049049.35702</v>
      </c>
      <c r="J101" s="431">
        <v>8283639.9926500004</v>
      </c>
      <c r="K101" s="431">
        <v>8569140.2404399998</v>
      </c>
      <c r="L101" s="431">
        <v>8572389.9333299994</v>
      </c>
    </row>
    <row r="102" spans="1:12">
      <c r="A102" s="429" t="str">
        <f t="shared" ref="A102:A121" si="2">T("04")</f>
        <v>04</v>
      </c>
      <c r="B102" s="429" t="str">
        <f>T("02A005 9596")</f>
        <v>02A005 9596</v>
      </c>
      <c r="C102" s="637" t="str">
        <f>T("Information och upplysning om ekonomisk brottslighet")</f>
        <v>Information och upplysning om ekonomisk brottslighet</v>
      </c>
      <c r="D102" s="428">
        <v>1290.21414</v>
      </c>
      <c r="F102" s="428">
        <v>2500</v>
      </c>
    </row>
    <row r="103" spans="1:12">
      <c r="A103" s="429" t="str">
        <f t="shared" si="2"/>
        <v>04</v>
      </c>
      <c r="B103" s="429" t="str">
        <f>T("02A006 9596")</f>
        <v>02A006 9596</v>
      </c>
      <c r="C103" s="637" t="str">
        <f>T("Bidrag till brottsförebyggande arbete")</f>
        <v>Bidrag till brottsförebyggande arbete</v>
      </c>
      <c r="D103" s="428">
        <v>0</v>
      </c>
      <c r="E103" s="428">
        <v>6671.6450000000004</v>
      </c>
    </row>
    <row r="104" spans="1:12">
      <c r="A104" s="429" t="str">
        <f t="shared" si="2"/>
        <v>04</v>
      </c>
      <c r="B104" s="429" t="str">
        <f>T("02B005 9596")</f>
        <v>02B005 9596</v>
      </c>
      <c r="C104" s="637" t="str">
        <f>T("Lokala polisorganisationen")</f>
        <v>Lokala polisorganisationen</v>
      </c>
      <c r="D104" s="428">
        <v>2000</v>
      </c>
    </row>
    <row r="105" spans="1:12">
      <c r="A105" s="429" t="str">
        <f t="shared" si="2"/>
        <v>04</v>
      </c>
      <c r="B105" s="429" t="str">
        <f>T("0401001")</f>
        <v>0401001</v>
      </c>
      <c r="C105" s="637" t="str">
        <f>T("Polisorganisationen")</f>
        <v>Polisorganisationen</v>
      </c>
      <c r="D105" s="428">
        <v>10876780.92506</v>
      </c>
      <c r="E105" s="428">
        <v>10759987.941090001</v>
      </c>
      <c r="F105" s="428">
        <v>11401566.981830001</v>
      </c>
      <c r="G105" s="428">
        <v>12016763.04879</v>
      </c>
      <c r="H105" s="428">
        <v>12461840.440300001</v>
      </c>
      <c r="I105" s="428">
        <v>13006234.55247</v>
      </c>
      <c r="J105" s="428">
        <v>13691246.708900001</v>
      </c>
      <c r="K105" s="428">
        <v>14194894.29349</v>
      </c>
      <c r="L105" s="428">
        <v>14629075.733519999</v>
      </c>
    </row>
    <row r="106" spans="1:12">
      <c r="A106" s="429" t="str">
        <f t="shared" si="2"/>
        <v>04</v>
      </c>
      <c r="B106" s="429" t="str">
        <f>T("0401002")</f>
        <v>0401002</v>
      </c>
      <c r="C106" s="637" t="str">
        <f>T("Säkerhetspolisen")</f>
        <v>Säkerhetspolisen</v>
      </c>
      <c r="D106" s="428">
        <v>458316.21386000002</v>
      </c>
      <c r="E106" s="428">
        <v>528949.77604000003</v>
      </c>
      <c r="F106" s="428">
        <v>512927.21399999998</v>
      </c>
      <c r="G106" s="428">
        <v>558719.82227999996</v>
      </c>
      <c r="H106" s="428">
        <v>538600.83285999997</v>
      </c>
      <c r="I106" s="428">
        <v>533517.26596999995</v>
      </c>
      <c r="J106" s="428">
        <v>575743.78668000002</v>
      </c>
      <c r="K106" s="428">
        <v>593784.40948000003</v>
      </c>
      <c r="L106" s="428">
        <v>637124.03717000003</v>
      </c>
    </row>
    <row r="107" spans="1:12">
      <c r="A107" s="429" t="str">
        <f t="shared" si="2"/>
        <v>04</v>
      </c>
      <c r="B107" s="429" t="str">
        <f>T("0401003")</f>
        <v>0401003</v>
      </c>
      <c r="C107" s="637" t="str">
        <f>T("Åklagarmyndigheten")</f>
        <v>Åklagarmyndigheten</v>
      </c>
      <c r="D107" s="428">
        <v>659515.62613999995</v>
      </c>
      <c r="E107" s="428">
        <v>583806.29709999997</v>
      </c>
      <c r="F107" s="428">
        <v>609032.84889999998</v>
      </c>
      <c r="G107" s="428">
        <v>712588.15281999996</v>
      </c>
      <c r="H107" s="428">
        <v>731860.88476000004</v>
      </c>
      <c r="I107" s="428">
        <v>766734.43180999998</v>
      </c>
      <c r="J107" s="428">
        <v>779551.07365000003</v>
      </c>
      <c r="K107" s="428">
        <v>812345.96935000003</v>
      </c>
      <c r="L107" s="428">
        <v>829873.45218999998</v>
      </c>
    </row>
    <row r="108" spans="1:12">
      <c r="A108" s="429" t="str">
        <f t="shared" si="2"/>
        <v>04</v>
      </c>
      <c r="B108" s="429" t="str">
        <f>T("0401004")</f>
        <v>0401004</v>
      </c>
      <c r="C108" s="637" t="str">
        <f>T("Ekobrottsmyndigheten")</f>
        <v>Ekobrottsmyndigheten</v>
      </c>
      <c r="E108" s="428">
        <v>156719.30499</v>
      </c>
      <c r="F108" s="428">
        <v>219764.49807</v>
      </c>
      <c r="G108" s="428">
        <v>280684.36897000001</v>
      </c>
      <c r="H108" s="428">
        <v>297061.54826000001</v>
      </c>
      <c r="I108" s="428">
        <v>303175.55851</v>
      </c>
      <c r="J108" s="428">
        <v>318507.55585</v>
      </c>
      <c r="K108" s="428">
        <v>341549.91767</v>
      </c>
      <c r="L108" s="428">
        <v>336755.32058</v>
      </c>
    </row>
    <row r="109" spans="1:12">
      <c r="A109" s="429" t="str">
        <f t="shared" si="2"/>
        <v>04</v>
      </c>
      <c r="B109" s="429" t="str">
        <f>T("0401005")</f>
        <v>0401005</v>
      </c>
      <c r="C109" s="637" t="str">
        <f>T("Sveriges Domstolar")</f>
        <v>Sveriges Domstolar</v>
      </c>
      <c r="D109" s="428">
        <v>2953626.3350999998</v>
      </c>
      <c r="E109" s="428">
        <v>3062962.1425899998</v>
      </c>
      <c r="F109" s="428">
        <v>3113140.1054199999</v>
      </c>
      <c r="G109" s="428">
        <v>3339121.6671199999</v>
      </c>
      <c r="H109" s="428">
        <v>3467539.07632</v>
      </c>
      <c r="I109" s="428">
        <v>3729746.7003100002</v>
      </c>
      <c r="J109" s="428">
        <v>3862195.3006000002</v>
      </c>
      <c r="K109" s="428">
        <v>3868042.3256399999</v>
      </c>
      <c r="L109" s="428">
        <v>3856385.82504</v>
      </c>
    </row>
    <row r="110" spans="1:12">
      <c r="A110" s="429" t="str">
        <f t="shared" si="2"/>
        <v>04</v>
      </c>
      <c r="B110" s="429" t="str">
        <f>T("0401006")</f>
        <v>0401006</v>
      </c>
      <c r="C110" s="637" t="str">
        <f>T("Kriminalvården")</f>
        <v>Kriminalvården</v>
      </c>
      <c r="D110" s="428">
        <v>3816384.8212299999</v>
      </c>
      <c r="E110" s="428">
        <v>3866214.6637300001</v>
      </c>
      <c r="F110" s="428">
        <v>3957390.0638700002</v>
      </c>
      <c r="G110" s="428">
        <v>3883368.8251899998</v>
      </c>
      <c r="H110" s="428">
        <v>4073358.4031699998</v>
      </c>
      <c r="I110" s="428">
        <v>4448302.4086499996</v>
      </c>
      <c r="J110" s="428">
        <v>4938997.6991600003</v>
      </c>
      <c r="K110" s="428">
        <v>5072344.6639799997</v>
      </c>
      <c r="L110" s="428">
        <v>5217941.8953900002</v>
      </c>
    </row>
    <row r="111" spans="1:12">
      <c r="A111" s="429" t="str">
        <f t="shared" si="2"/>
        <v>04</v>
      </c>
      <c r="B111" s="429" t="str">
        <f>T("0401007")</f>
        <v>0401007</v>
      </c>
      <c r="C111" s="637" t="str">
        <f>T("Brottsförebyggande rådet")</f>
        <v>Brottsförebyggande rådet</v>
      </c>
      <c r="D111" s="428">
        <v>36277.46572</v>
      </c>
      <c r="E111" s="428">
        <v>38866.42022</v>
      </c>
      <c r="F111" s="428">
        <v>44008.487359999999</v>
      </c>
      <c r="G111" s="428">
        <v>50409.606590000003</v>
      </c>
      <c r="H111" s="428">
        <v>57804.410530000001</v>
      </c>
      <c r="I111" s="428">
        <v>51100.910600000003</v>
      </c>
      <c r="J111" s="428">
        <v>53437.60153</v>
      </c>
      <c r="K111" s="428">
        <v>63928.277309999998</v>
      </c>
      <c r="L111" s="428">
        <v>57628.091390000001</v>
      </c>
    </row>
    <row r="112" spans="1:12">
      <c r="A112" s="429" t="str">
        <f t="shared" si="2"/>
        <v>04</v>
      </c>
      <c r="B112" s="429" t="str">
        <f>T("0401008")</f>
        <v>0401008</v>
      </c>
      <c r="C112" s="637" t="str">
        <f>T("Rättsmedicinalverket")</f>
        <v>Rättsmedicinalverket</v>
      </c>
      <c r="D112" s="428">
        <v>175581.79605</v>
      </c>
      <c r="E112" s="428">
        <v>171972.61623000001</v>
      </c>
      <c r="F112" s="428">
        <v>169715.98358999999</v>
      </c>
      <c r="G112" s="428">
        <v>185422.03227</v>
      </c>
      <c r="H112" s="428">
        <v>197159.92052000001</v>
      </c>
      <c r="I112" s="428">
        <v>209010.02372999999</v>
      </c>
      <c r="J112" s="428">
        <v>214525.27187</v>
      </c>
      <c r="K112" s="428">
        <v>216506.25169999999</v>
      </c>
      <c r="L112" s="428">
        <v>221411.95306</v>
      </c>
    </row>
    <row r="113" spans="1:12">
      <c r="A113" s="429" t="str">
        <f t="shared" si="2"/>
        <v>04</v>
      </c>
      <c r="B113" s="429" t="str">
        <f>T("0401009")</f>
        <v>0401009</v>
      </c>
      <c r="C113" s="637" t="str">
        <f>T("Gentekniknämnden")</f>
        <v>Gentekniknämnden</v>
      </c>
      <c r="D113" s="428">
        <v>2650.0531999999998</v>
      </c>
      <c r="E113" s="428">
        <v>2700.4450999999999</v>
      </c>
      <c r="F113" s="428">
        <v>2397.7914900000001</v>
      </c>
      <c r="G113" s="428">
        <v>2911.9191599999999</v>
      </c>
      <c r="H113" s="428">
        <v>2876.1872199999998</v>
      </c>
      <c r="I113" s="428">
        <v>3209.2403300000001</v>
      </c>
      <c r="J113" s="428">
        <v>2970.0792700000002</v>
      </c>
      <c r="K113" s="428">
        <v>2916.3114099999998</v>
      </c>
      <c r="L113" s="428">
        <v>3007.4663300000002</v>
      </c>
    </row>
    <row r="114" spans="1:12">
      <c r="A114" s="429" t="str">
        <f t="shared" si="2"/>
        <v>04</v>
      </c>
      <c r="B114" s="429" t="str">
        <f>T("0401010")</f>
        <v>0401010</v>
      </c>
      <c r="C114" s="637" t="str">
        <f>T("Brottsoffermyndigheten")</f>
        <v>Brottsoffermyndigheten</v>
      </c>
      <c r="D114" s="428">
        <v>9880.2419300000001</v>
      </c>
      <c r="E114" s="428">
        <v>10854.77471</v>
      </c>
      <c r="F114" s="428">
        <v>14300.394060000001</v>
      </c>
      <c r="G114" s="428">
        <v>15541.698</v>
      </c>
      <c r="H114" s="428">
        <v>18975.376100000001</v>
      </c>
      <c r="I114" s="428">
        <v>22984.714260000001</v>
      </c>
      <c r="J114" s="428">
        <v>22613.596890000001</v>
      </c>
      <c r="K114" s="428">
        <v>22146.63967</v>
      </c>
      <c r="L114" s="428">
        <v>25870.055130000001</v>
      </c>
    </row>
    <row r="115" spans="1:12">
      <c r="A115" s="429" t="str">
        <f t="shared" si="2"/>
        <v>04</v>
      </c>
      <c r="B115" s="429" t="str">
        <f>T("0401011")</f>
        <v>0401011</v>
      </c>
      <c r="C115" s="637" t="str">
        <f>T("Ersättning för skador på grund av brott")</f>
        <v>Ersättning för skador på grund av brott</v>
      </c>
      <c r="D115" s="428">
        <v>61337.210780000001</v>
      </c>
      <c r="E115" s="428">
        <v>48252.286039999999</v>
      </c>
      <c r="F115" s="428">
        <v>64356.795660000003</v>
      </c>
      <c r="G115" s="428">
        <v>64139.977250000004</v>
      </c>
      <c r="H115" s="428">
        <v>75013.147289999994</v>
      </c>
      <c r="I115" s="428">
        <v>78515.22812</v>
      </c>
      <c r="J115" s="428">
        <v>75773.807530000005</v>
      </c>
      <c r="K115" s="428">
        <v>84122.955830000006</v>
      </c>
      <c r="L115" s="428">
        <v>74377.822740000003</v>
      </c>
    </row>
    <row r="116" spans="1:12">
      <c r="A116" s="429" t="str">
        <f t="shared" si="2"/>
        <v>04</v>
      </c>
      <c r="B116" s="429" t="str">
        <f>T("0401012")</f>
        <v>0401012</v>
      </c>
      <c r="C116" s="637" t="str">
        <f>T("Rättsliga biträden m.m.")</f>
        <v>Rättsliga biträden m.m.</v>
      </c>
      <c r="D116" s="428">
        <v>802816.84860999999</v>
      </c>
      <c r="E116" s="428">
        <v>831200.73742000002</v>
      </c>
      <c r="F116" s="428">
        <v>755369.71524000005</v>
      </c>
      <c r="G116" s="428">
        <v>784374.42192999995</v>
      </c>
      <c r="H116" s="428">
        <v>804755.25662</v>
      </c>
      <c r="I116" s="428">
        <v>861782.25026999996</v>
      </c>
      <c r="J116" s="428">
        <v>933785.45782000001</v>
      </c>
      <c r="K116" s="428">
        <v>1004798.72149</v>
      </c>
      <c r="L116" s="428">
        <v>1094318.7170299999</v>
      </c>
    </row>
    <row r="117" spans="1:12">
      <c r="A117" s="429" t="str">
        <f t="shared" si="2"/>
        <v>04</v>
      </c>
      <c r="B117" s="429" t="str">
        <f>T("0401013")</f>
        <v>0401013</v>
      </c>
      <c r="C117" s="637" t="str">
        <f>T("Kostnader för vissa skaderegleringar m.m.")</f>
        <v>Kostnader för vissa skaderegleringar m.m.</v>
      </c>
      <c r="D117" s="428">
        <v>26819.880160000001</v>
      </c>
      <c r="E117" s="428">
        <v>25039.526239999999</v>
      </c>
      <c r="F117" s="428">
        <v>28460.089469999999</v>
      </c>
      <c r="G117" s="428">
        <v>14684.71866</v>
      </c>
      <c r="H117" s="428">
        <v>15948.222390000001</v>
      </c>
      <c r="I117" s="428">
        <v>22173.23588</v>
      </c>
      <c r="J117" s="428">
        <v>29261.75373</v>
      </c>
      <c r="K117" s="428">
        <v>22244.469779999999</v>
      </c>
      <c r="L117" s="428">
        <v>30863.905460000002</v>
      </c>
    </row>
    <row r="118" spans="1:12">
      <c r="A118" s="429" t="str">
        <f t="shared" si="2"/>
        <v>04</v>
      </c>
      <c r="B118" s="429" t="str">
        <f>T("0401014")</f>
        <v>0401014</v>
      </c>
      <c r="C118" s="637" t="str">
        <f>T("Avgifter till vissa internationella sammanslutningar")</f>
        <v>Avgifter till vissa internationella sammanslutningar</v>
      </c>
      <c r="D118" s="428">
        <v>1480.24413</v>
      </c>
      <c r="E118" s="428">
        <v>8349.1454599999997</v>
      </c>
      <c r="F118" s="428">
        <v>6409.8147799999997</v>
      </c>
      <c r="G118" s="428">
        <v>2002.41659</v>
      </c>
      <c r="H118" s="428">
        <v>6854.2518300000002</v>
      </c>
      <c r="I118" s="428">
        <v>7564.7572300000002</v>
      </c>
      <c r="J118" s="428">
        <v>8419.2012400000003</v>
      </c>
      <c r="K118" s="428">
        <v>8192.7621299999992</v>
      </c>
      <c r="L118" s="428">
        <v>3839.9678899999999</v>
      </c>
    </row>
    <row r="119" spans="1:12">
      <c r="A119" s="429" t="str">
        <f t="shared" si="2"/>
        <v>04</v>
      </c>
      <c r="B119" s="429" t="str">
        <f>T("0401015")</f>
        <v>0401015</v>
      </c>
      <c r="C119" s="637" t="str">
        <f>T("Bidrag till lokalt brottsförebyggande arbete")</f>
        <v>Bidrag till lokalt brottsförebyggande arbete</v>
      </c>
      <c r="D119" s="428">
        <v>4128.3549999999996</v>
      </c>
      <c r="E119" s="428">
        <v>6943.9332999999997</v>
      </c>
      <c r="F119" s="428">
        <v>14108.63228</v>
      </c>
      <c r="G119" s="428">
        <v>9316.2104899999995</v>
      </c>
      <c r="H119" s="428">
        <v>6957.3242</v>
      </c>
      <c r="I119" s="428">
        <v>7807.3475699999999</v>
      </c>
      <c r="J119" s="428">
        <v>5828.5674099999997</v>
      </c>
      <c r="K119" s="428">
        <v>9969.3797799999993</v>
      </c>
      <c r="L119" s="428">
        <v>6481.4413699999996</v>
      </c>
    </row>
    <row r="120" spans="1:12">
      <c r="A120" s="429" t="str">
        <f t="shared" si="2"/>
        <v>04</v>
      </c>
      <c r="B120" s="429" t="str">
        <f>T("0401016")</f>
        <v>0401016</v>
      </c>
      <c r="C120" s="637" t="str">
        <f>T("Säkerhets- och integritetsskyddsnämnden")</f>
        <v>Säkerhets- och integritetsskyddsnämnden</v>
      </c>
    </row>
    <row r="121" spans="1:12">
      <c r="A121" s="429" t="str">
        <f t="shared" si="2"/>
        <v>04</v>
      </c>
      <c r="B121" s="429" t="str">
        <f>T("0401017")</f>
        <v>0401017</v>
      </c>
      <c r="C121" s="637" t="str">
        <f>T("Domarnämnden")</f>
        <v>Domarnämnden</v>
      </c>
    </row>
    <row r="122" spans="1:12">
      <c r="A122" s="430" t="s">
        <v>1638</v>
      </c>
      <c r="B122" s="430"/>
      <c r="C122" s="430" t="str">
        <f>T("Rättsväsendet")</f>
        <v>Rättsväsendet</v>
      </c>
      <c r="D122" s="431">
        <v>19888886.231109999</v>
      </c>
      <c r="E122" s="431">
        <v>20109491.65526</v>
      </c>
      <c r="F122" s="431">
        <v>20915449.416019998</v>
      </c>
      <c r="G122" s="431">
        <v>21920048.88611</v>
      </c>
      <c r="H122" s="431">
        <v>22756605.282370001</v>
      </c>
      <c r="I122" s="431">
        <v>24051858.625709999</v>
      </c>
      <c r="J122" s="431">
        <v>25512857.462129999</v>
      </c>
      <c r="K122" s="431">
        <v>26317787.348710001</v>
      </c>
      <c r="L122" s="431">
        <v>27024955.684289999</v>
      </c>
    </row>
    <row r="123" spans="1:12">
      <c r="A123" s="429" t="str">
        <f t="shared" ref="A123:A154" si="3">T("05")</f>
        <v>05</v>
      </c>
      <c r="B123" s="429" t="str">
        <f>T("03A005 9596")</f>
        <v>03A005 9596</v>
      </c>
      <c r="C123" s="637" t="str">
        <f>T("Utredningar m.m. ")</f>
        <v xml:space="preserve">Utredningar m.m. </v>
      </c>
      <c r="D123" s="428">
        <v>3564.8689599999998</v>
      </c>
      <c r="E123" s="428">
        <v>10219.110259999999</v>
      </c>
      <c r="F123" s="428">
        <v>1262.0534600000001</v>
      </c>
    </row>
    <row r="124" spans="1:12">
      <c r="A124" s="429" t="str">
        <f t="shared" si="3"/>
        <v>05</v>
      </c>
      <c r="B124" s="429" t="str">
        <f>T("03B009 9596")</f>
        <v>03B009 9596</v>
      </c>
      <c r="C124" s="637" t="str">
        <f>T("Fredsbevarande verksamhet")</f>
        <v>Fredsbevarande verksamhet</v>
      </c>
      <c r="D124" s="428">
        <v>2626.8243400000001</v>
      </c>
      <c r="E124" s="428">
        <v>47877.12919</v>
      </c>
      <c r="F124" s="428">
        <v>52000</v>
      </c>
    </row>
    <row r="125" spans="1:12">
      <c r="A125" s="429" t="str">
        <f t="shared" si="3"/>
        <v>05</v>
      </c>
      <c r="B125" s="429" t="str">
        <f>T("03D001 9596")</f>
        <v>03D001 9596</v>
      </c>
      <c r="C125" s="637" t="str">
        <f>T("Svenska institutet")</f>
        <v>Svenska institutet</v>
      </c>
      <c r="D125" s="428">
        <v>1620.6361300000001</v>
      </c>
    </row>
    <row r="126" spans="1:12">
      <c r="A126" s="429" t="str">
        <f t="shared" si="3"/>
        <v>05</v>
      </c>
      <c r="B126" s="429" t="str">
        <f>T("03D002 9596")</f>
        <v>03D002 9596</v>
      </c>
      <c r="C126" s="637" t="str">
        <f>T("Övrig information om Sverige i utlandet")</f>
        <v>Övrig information om Sverige i utlandet</v>
      </c>
      <c r="D126" s="428">
        <v>2369.9904999999999</v>
      </c>
      <c r="E126" s="428">
        <v>1903.7224100000001</v>
      </c>
      <c r="F126" s="428">
        <v>56.98151</v>
      </c>
    </row>
    <row r="127" spans="1:12">
      <c r="A127" s="429" t="str">
        <f t="shared" si="3"/>
        <v>05</v>
      </c>
      <c r="B127" s="429" t="str">
        <f>T("03E006 9495")</f>
        <v>03E006 9495</v>
      </c>
      <c r="C127" s="637" t="str">
        <f>T("Medel för översättning av EG:s regelverk")</f>
        <v>Medel för översättning av EG:s regelverk</v>
      </c>
      <c r="D127" s="428">
        <v>672.74</v>
      </c>
    </row>
    <row r="128" spans="1:12">
      <c r="A128" s="429" t="str">
        <f t="shared" si="3"/>
        <v>05</v>
      </c>
      <c r="B128" s="429" t="str">
        <f>T("03E006 9596")</f>
        <v>03E006 9596</v>
      </c>
      <c r="C128" s="637" t="str">
        <f>T("Europainformation m.m")</f>
        <v>Europainformation m.m</v>
      </c>
      <c r="D128" s="428">
        <v>5925.4739099999997</v>
      </c>
      <c r="E128" s="428">
        <v>2018.9215899999999</v>
      </c>
      <c r="F128" s="428">
        <v>4831.4604099999997</v>
      </c>
    </row>
    <row r="129" spans="1:12">
      <c r="A129" s="429" t="str">
        <f t="shared" si="3"/>
        <v>05</v>
      </c>
      <c r="B129" s="429" t="str">
        <f>T("03F001 9596")</f>
        <v>03F001 9596</v>
      </c>
      <c r="C129" s="637" t="str">
        <f>T("Utredningar och andra insatser på det utrikespolitiska områd")</f>
        <v>Utredningar och andra insatser på det utrikespolitiska områd</v>
      </c>
      <c r="D129" s="428">
        <v>597.01847999999995</v>
      </c>
      <c r="E129" s="428">
        <v>665.50820999999996</v>
      </c>
    </row>
    <row r="130" spans="1:12">
      <c r="A130" s="429" t="str">
        <f t="shared" si="3"/>
        <v>05</v>
      </c>
      <c r="B130" s="429" t="str">
        <f>T("03F002 9596")</f>
        <v>03F002 9596</v>
      </c>
      <c r="C130" s="637" t="str">
        <f>T("Information och studier om säkerhetspolitik")</f>
        <v>Information och studier om säkerhetspolitik</v>
      </c>
      <c r="D130" s="428">
        <v>-53.138730000000002</v>
      </c>
      <c r="E130" s="428">
        <v>136.52385000000001</v>
      </c>
    </row>
    <row r="131" spans="1:12">
      <c r="A131" s="429" t="str">
        <f t="shared" si="3"/>
        <v>05</v>
      </c>
      <c r="B131" s="429" t="str">
        <f>T("03F006 9596")</f>
        <v>03F006 9596</v>
      </c>
      <c r="C131" s="637" t="str">
        <f>T("Forskningsverksamhet av särskild utrikes o säkerhetspolitisk")</f>
        <v>Forskningsverksamhet av särskild utrikes o säkerhetspolitisk</v>
      </c>
      <c r="D131" s="428">
        <v>243</v>
      </c>
    </row>
    <row r="132" spans="1:12">
      <c r="A132" s="429" t="str">
        <f t="shared" si="3"/>
        <v>05</v>
      </c>
      <c r="B132" s="429" t="str">
        <f>T("0501001")</f>
        <v>0501001</v>
      </c>
      <c r="C132" s="637" t="str">
        <f>T("Avgifter till internationella organisationer")</f>
        <v>Avgifter till internationella organisationer</v>
      </c>
    </row>
    <row r="133" spans="1:12">
      <c r="A133" s="429" t="str">
        <f t="shared" si="3"/>
        <v>05</v>
      </c>
      <c r="B133" s="429" t="str">
        <f>T("0501001 2010")</f>
        <v>0501001 2010</v>
      </c>
      <c r="C133" s="637" t="str">
        <f>T("Bidrag till vissa internationella organisationer")</f>
        <v>Bidrag till vissa internationella organisationer</v>
      </c>
      <c r="D133" s="428">
        <v>267854.28917</v>
      </c>
      <c r="E133" s="428">
        <v>268862.37365000002</v>
      </c>
      <c r="F133" s="428">
        <v>279429.41278999997</v>
      </c>
      <c r="G133" s="428">
        <v>421687.76737999998</v>
      </c>
      <c r="H133" s="428">
        <v>540714.18617</v>
      </c>
      <c r="I133" s="428">
        <v>476449.71675000002</v>
      </c>
      <c r="J133" s="428">
        <v>438334.70218000002</v>
      </c>
      <c r="K133" s="428">
        <v>941635.80354999995</v>
      </c>
      <c r="L133" s="428">
        <v>902906.00983999996</v>
      </c>
    </row>
    <row r="134" spans="1:12">
      <c r="A134" s="429" t="str">
        <f t="shared" si="3"/>
        <v>05</v>
      </c>
      <c r="B134" s="429" t="str">
        <f>T("0501002")</f>
        <v>0501002</v>
      </c>
      <c r="C134" s="637" t="str">
        <f>T("Freds- och säkerhetsfrämjande verksamhet")</f>
        <v>Freds- och säkerhetsfrämjande verksamhet</v>
      </c>
      <c r="D134" s="428">
        <v>94749.635920000001</v>
      </c>
      <c r="E134" s="428">
        <v>74822.855490000002</v>
      </c>
      <c r="F134" s="428">
        <v>173061.47138</v>
      </c>
      <c r="G134" s="428">
        <v>202249.30337000001</v>
      </c>
      <c r="H134" s="428">
        <v>119477.50461</v>
      </c>
      <c r="I134" s="428">
        <v>128516.95796</v>
      </c>
      <c r="J134" s="428">
        <v>130884.26995</v>
      </c>
      <c r="K134" s="428">
        <v>129505.37843</v>
      </c>
      <c r="L134" s="428">
        <v>97605.816179999994</v>
      </c>
    </row>
    <row r="135" spans="1:12">
      <c r="A135" s="429" t="str">
        <f t="shared" si="3"/>
        <v>05</v>
      </c>
      <c r="B135" s="429" t="str">
        <f>T("0501003")</f>
        <v>0501003</v>
      </c>
      <c r="C135" s="637" t="str">
        <f>T("Nordiskt samarbete")</f>
        <v>Nordiskt samarbete</v>
      </c>
      <c r="D135" s="428">
        <v>1050.89699</v>
      </c>
      <c r="E135" s="428">
        <v>1587.86286</v>
      </c>
      <c r="F135" s="428">
        <v>1368.8582100000001</v>
      </c>
      <c r="G135" s="428">
        <v>961.36546999999996</v>
      </c>
      <c r="H135" s="428">
        <v>950.38894000000005</v>
      </c>
      <c r="I135" s="428">
        <v>1331.80349</v>
      </c>
      <c r="J135" s="428">
        <v>1647.5738699999999</v>
      </c>
      <c r="K135" s="428">
        <v>12070.40942</v>
      </c>
      <c r="L135" s="428">
        <v>22552.770380000002</v>
      </c>
    </row>
    <row r="136" spans="1:12">
      <c r="A136" s="429" t="str">
        <f t="shared" si="3"/>
        <v>05</v>
      </c>
      <c r="B136" s="429" t="str">
        <f>T("0501004")</f>
        <v>0501004</v>
      </c>
      <c r="C136" s="637" t="str">
        <f>T("Ekonomiskt bistånd till enskilda utomlands samt diverse kostnader för rättsväsendet")</f>
        <v>Ekonomiskt bistånd till enskilda utomlands samt diverse kostnader för rättsväsendet</v>
      </c>
      <c r="D136" s="428">
        <v>2453.4601600000001</v>
      </c>
      <c r="E136" s="428">
        <v>1666.5677700000001</v>
      </c>
      <c r="F136" s="428">
        <v>2477.1273900000001</v>
      </c>
      <c r="G136" s="428">
        <v>4365.3850499999999</v>
      </c>
      <c r="H136" s="428">
        <v>2881.11915</v>
      </c>
      <c r="I136" s="428">
        <v>2392.0765799999999</v>
      </c>
      <c r="J136" s="428">
        <v>2423.2163</v>
      </c>
      <c r="K136" s="428">
        <v>6232.8864400000002</v>
      </c>
      <c r="L136" s="428">
        <v>160684.31307999999</v>
      </c>
    </row>
    <row r="137" spans="1:12">
      <c r="A137" s="429" t="str">
        <f t="shared" si="3"/>
        <v>05</v>
      </c>
      <c r="B137" s="429" t="str">
        <f>T("0501005")</f>
        <v>0501005</v>
      </c>
      <c r="C137" s="637" t="str">
        <f>T("Inspektionen för strategiska produkter")</f>
        <v>Inspektionen för strategiska produkter</v>
      </c>
      <c r="D137" s="428">
        <v>13696.542439999999</v>
      </c>
      <c r="E137" s="428">
        <v>14593.748509999999</v>
      </c>
      <c r="F137" s="428">
        <v>16078.41876</v>
      </c>
      <c r="G137" s="428">
        <v>18080.105599999999</v>
      </c>
      <c r="H137" s="428">
        <v>18277.464349999998</v>
      </c>
      <c r="I137" s="428">
        <v>20309.767609999999</v>
      </c>
      <c r="J137" s="428">
        <v>20868.4133</v>
      </c>
      <c r="K137" s="428">
        <v>22697.199929999999</v>
      </c>
      <c r="L137" s="428">
        <v>21400.11995</v>
      </c>
    </row>
    <row r="138" spans="1:12">
      <c r="A138" s="429" t="str">
        <f t="shared" si="3"/>
        <v>05</v>
      </c>
      <c r="B138" s="429" t="str">
        <f>T("0501006")</f>
        <v>0501006</v>
      </c>
      <c r="C138" s="637" t="str">
        <f>T("Forskning, utredningar och andra insatser rörande säkerhetspolitik, nedrustning och icke-spridning")</f>
        <v>Forskning, utredningar och andra insatser rörande säkerhetspolitik, nedrustning och icke-spridning</v>
      </c>
      <c r="K138" s="428">
        <v>27551.616030000001</v>
      </c>
      <c r="L138" s="428">
        <v>28155.05572</v>
      </c>
    </row>
    <row r="139" spans="1:12">
      <c r="A139" s="429" t="str">
        <f t="shared" si="3"/>
        <v>05</v>
      </c>
      <c r="B139" s="429" t="str">
        <f>T("0501007")</f>
        <v>0501007</v>
      </c>
      <c r="C139" s="637" t="str">
        <f>T("Bidrag till Stockholms internationella fredsforskningsinstitut (SIPRI)")</f>
        <v>Bidrag till Stockholms internationella fredsforskningsinstitut (SIPRI)</v>
      </c>
      <c r="D139" s="428">
        <v>20571</v>
      </c>
      <c r="E139" s="428">
        <v>20324</v>
      </c>
      <c r="F139" s="428">
        <v>20755</v>
      </c>
      <c r="G139" s="428">
        <v>20948</v>
      </c>
      <c r="H139" s="428">
        <v>21373</v>
      </c>
      <c r="I139" s="428">
        <v>22016</v>
      </c>
      <c r="J139" s="428">
        <v>26052.995999999999</v>
      </c>
      <c r="K139" s="428">
        <v>26465</v>
      </c>
      <c r="L139" s="428">
        <v>26567</v>
      </c>
    </row>
    <row r="140" spans="1:12">
      <c r="A140" s="429" t="str">
        <f t="shared" si="3"/>
        <v>05</v>
      </c>
      <c r="B140" s="429" t="str">
        <f>T("0501008")</f>
        <v>0501008</v>
      </c>
      <c r="C140" s="637" t="str">
        <f>T("Bidrag till Utrikespolitiska institutet (UI)")</f>
        <v>Bidrag till Utrikespolitiska institutet (UI)</v>
      </c>
      <c r="D140" s="428">
        <v>10112</v>
      </c>
      <c r="E140" s="428">
        <v>10004</v>
      </c>
      <c r="F140" s="428">
        <v>10216</v>
      </c>
      <c r="G140" s="428">
        <v>11293.833000000001</v>
      </c>
      <c r="H140" s="428">
        <v>11710</v>
      </c>
      <c r="I140" s="428">
        <v>10826</v>
      </c>
      <c r="J140" s="428">
        <v>13489.99992</v>
      </c>
      <c r="K140" s="428">
        <v>11265</v>
      </c>
      <c r="L140" s="428">
        <v>12104</v>
      </c>
    </row>
    <row r="141" spans="1:12">
      <c r="A141" s="429" t="str">
        <f t="shared" si="3"/>
        <v>05</v>
      </c>
      <c r="B141" s="429" t="str">
        <f>T("0501009")</f>
        <v>0501009</v>
      </c>
      <c r="C141" s="637" t="str">
        <f>T("Svenska institutet")</f>
        <v>Svenska institutet</v>
      </c>
      <c r="D141" s="428">
        <v>55113.184390000002</v>
      </c>
      <c r="E141" s="428">
        <v>49444.644760000003</v>
      </c>
      <c r="F141" s="428">
        <v>52323.919040000001</v>
      </c>
      <c r="G141" s="428">
        <v>54579.091269999997</v>
      </c>
      <c r="H141" s="428">
        <v>57111.24005</v>
      </c>
      <c r="I141" s="428">
        <v>65027.035920000002</v>
      </c>
      <c r="J141" s="428">
        <v>67526.761369999993</v>
      </c>
      <c r="K141" s="428">
        <v>72332.217170000004</v>
      </c>
      <c r="L141" s="428">
        <v>74846</v>
      </c>
    </row>
    <row r="142" spans="1:12">
      <c r="A142" s="429" t="str">
        <f t="shared" si="3"/>
        <v>05</v>
      </c>
      <c r="B142" s="429" t="str">
        <f>T("0501010")</f>
        <v>0501010</v>
      </c>
      <c r="C142" s="637" t="str">
        <f>T("Information om Sverige i utlandet")</f>
        <v>Information om Sverige i utlandet</v>
      </c>
      <c r="D142" s="428">
        <v>10137.799230000001</v>
      </c>
      <c r="E142" s="428">
        <v>9679.46767</v>
      </c>
      <c r="F142" s="428">
        <v>12754.480009999999</v>
      </c>
      <c r="G142" s="428">
        <v>14107.89393</v>
      </c>
      <c r="H142" s="428">
        <v>14909.869199999999</v>
      </c>
      <c r="I142" s="428">
        <v>10880.162420000001</v>
      </c>
      <c r="J142" s="428">
        <v>9326.3323500000006</v>
      </c>
      <c r="K142" s="428">
        <v>15890.87506</v>
      </c>
      <c r="L142" s="428">
        <v>10546.80011</v>
      </c>
    </row>
    <row r="143" spans="1:12">
      <c r="A143" s="429" t="str">
        <f t="shared" si="3"/>
        <v>05</v>
      </c>
      <c r="B143" s="429" t="str">
        <f>T("0501011")</f>
        <v>0501011</v>
      </c>
      <c r="C143" s="637" t="str">
        <f>T("Samarbete inom Östersjöregionen")</f>
        <v>Samarbete inom Östersjöregionen</v>
      </c>
      <c r="L143" s="428">
        <v>7559.4746400000004</v>
      </c>
    </row>
    <row r="144" spans="1:12">
      <c r="A144" s="429" t="str">
        <f t="shared" si="3"/>
        <v>05</v>
      </c>
      <c r="B144" s="429" t="str">
        <f>T("050504 2003")</f>
        <v>050504 2003</v>
      </c>
      <c r="C144" s="637" t="str">
        <f>T("Nordiska ministerrådet")</f>
        <v>Nordiska ministerrådet</v>
      </c>
      <c r="D144" s="428">
        <v>267933.17580000003</v>
      </c>
      <c r="E144" s="428">
        <v>267744.52379000001</v>
      </c>
      <c r="F144" s="428">
        <v>268776.69065</v>
      </c>
      <c r="G144" s="428">
        <v>261204.21507999999</v>
      </c>
      <c r="H144" s="428">
        <v>292405.45240000001</v>
      </c>
      <c r="I144" s="428">
        <v>317485.59013999999</v>
      </c>
      <c r="J144" s="428">
        <v>325341.76873000001</v>
      </c>
    </row>
    <row r="145" spans="1:12">
      <c r="A145" s="429" t="str">
        <f t="shared" si="3"/>
        <v>05</v>
      </c>
      <c r="B145" s="429" t="str">
        <f>T("050505 2003")</f>
        <v>050505 2003</v>
      </c>
      <c r="C145" s="637" t="str">
        <f>T("Organisationen för ekonomiskt samarbete och utveckling (OECD)")</f>
        <v>Organisationen för ekonomiskt samarbete och utveckling (OECD)</v>
      </c>
      <c r="D145" s="428">
        <v>18512.493180000001</v>
      </c>
      <c r="E145" s="428">
        <v>20051.969519999999</v>
      </c>
      <c r="F145" s="428">
        <v>21136.071840000001</v>
      </c>
      <c r="G145" s="428">
        <v>19852.017660000001</v>
      </c>
      <c r="H145" s="428">
        <v>25673.288850000001</v>
      </c>
      <c r="I145" s="428">
        <v>28637.04739</v>
      </c>
      <c r="J145" s="428">
        <v>27555.595109999998</v>
      </c>
    </row>
    <row r="146" spans="1:12">
      <c r="A146" s="429" t="str">
        <f t="shared" si="3"/>
        <v>05</v>
      </c>
      <c r="B146" s="429" t="str">
        <f>T("050509 2003")</f>
        <v>050509 2003</v>
      </c>
      <c r="C146" s="637" t="str">
        <f>T("Utredningar och andra insatser på det utrikespolitiska området")</f>
        <v>Utredningar och andra insatser på det utrikespolitiska området</v>
      </c>
      <c r="D146" s="428">
        <v>141.46205</v>
      </c>
      <c r="E146" s="428">
        <v>1752.07448</v>
      </c>
      <c r="F146" s="428">
        <v>916.10532000000001</v>
      </c>
      <c r="G146" s="428">
        <v>2556.5424899999998</v>
      </c>
      <c r="H146" s="428">
        <v>2375.1329099999998</v>
      </c>
      <c r="I146" s="428">
        <v>2702.8276700000001</v>
      </c>
      <c r="J146" s="428">
        <v>2199.3139000000001</v>
      </c>
      <c r="K146" s="428">
        <v>75.522999999999996</v>
      </c>
    </row>
    <row r="147" spans="1:12">
      <c r="A147" s="429" t="str">
        <f t="shared" si="3"/>
        <v>05</v>
      </c>
      <c r="B147" s="429" t="str">
        <f>T("050510 2003")</f>
        <v>050510 2003</v>
      </c>
      <c r="C147" s="637" t="str">
        <f>T("Information och studier om säkerhetspolitik och fredsfrämjande utveckling")</f>
        <v>Information och studier om säkerhetspolitik och fredsfrämjande utveckling</v>
      </c>
      <c r="D147" s="428">
        <v>8859.7694599999995</v>
      </c>
      <c r="E147" s="428">
        <v>8685.9490399999995</v>
      </c>
      <c r="F147" s="428">
        <v>8267.9990699999998</v>
      </c>
      <c r="G147" s="428">
        <v>10297.461219999999</v>
      </c>
      <c r="H147" s="428">
        <v>8700.1860400000005</v>
      </c>
      <c r="I147" s="428">
        <v>9152.5834200000008</v>
      </c>
      <c r="J147" s="428">
        <v>9147.9226899999994</v>
      </c>
    </row>
    <row r="148" spans="1:12">
      <c r="A148" s="429" t="str">
        <f t="shared" si="3"/>
        <v>05</v>
      </c>
      <c r="B148" s="429" t="str">
        <f>T("050512 2003")</f>
        <v>050512 2003</v>
      </c>
      <c r="C148" s="637" t="str">
        <f>T("Forskning till stöd för nedrustning och internationell säkerhet")</f>
        <v>Forskning till stöd för nedrustning och internationell säkerhet</v>
      </c>
      <c r="D148" s="428">
        <v>12002.056140000001</v>
      </c>
      <c r="E148" s="428">
        <v>10392.99409</v>
      </c>
      <c r="F148" s="428">
        <v>11593.39294</v>
      </c>
      <c r="G148" s="428">
        <v>10823.140789999999</v>
      </c>
      <c r="H148" s="428">
        <v>9976.0641799999994</v>
      </c>
      <c r="I148" s="428">
        <v>13117.046039999999</v>
      </c>
      <c r="J148" s="428">
        <v>12890.619849999999</v>
      </c>
      <c r="K148" s="428">
        <v>-304.31207000000001</v>
      </c>
    </row>
    <row r="149" spans="1:12">
      <c r="A149" s="429" t="str">
        <f t="shared" si="3"/>
        <v>05</v>
      </c>
      <c r="B149" s="429" t="str">
        <f>T("050514 2003")</f>
        <v>050514 2003</v>
      </c>
      <c r="C149" s="637" t="str">
        <f>T("Forskningsverksamhet av särskild utrikes- och säkerhetspolitisk betydelse")</f>
        <v>Forskningsverksamhet av särskild utrikes- och säkerhetspolitisk betydelse</v>
      </c>
      <c r="D149" s="428">
        <v>3477</v>
      </c>
      <c r="E149" s="428">
        <v>5094.3</v>
      </c>
      <c r="F149" s="428">
        <v>4924.9625999999998</v>
      </c>
      <c r="G149" s="428">
        <v>5247.0510000000004</v>
      </c>
      <c r="H149" s="428">
        <v>4301.3549999999996</v>
      </c>
      <c r="I149" s="428">
        <v>4903.6660000000002</v>
      </c>
      <c r="J149" s="428">
        <v>4418.8769199999997</v>
      </c>
      <c r="K149" s="428">
        <v>300</v>
      </c>
    </row>
    <row r="150" spans="1:12">
      <c r="A150" s="429" t="str">
        <f t="shared" si="3"/>
        <v>05</v>
      </c>
      <c r="B150" s="429" t="str">
        <f>T("050516 2003")</f>
        <v>050516 2003</v>
      </c>
      <c r="C150" s="637" t="str">
        <f>T("Europainformation m.m.")</f>
        <v>Europainformation m.m.</v>
      </c>
      <c r="D150" s="428">
        <v>8395.6441900000009</v>
      </c>
      <c r="E150" s="428">
        <v>2984.02855</v>
      </c>
      <c r="F150" s="428">
        <v>18263.33857</v>
      </c>
      <c r="G150" s="428">
        <v>27122.37168</v>
      </c>
      <c r="H150" s="428">
        <v>22503.895270000001</v>
      </c>
      <c r="I150" s="428">
        <v>16049.217930000001</v>
      </c>
      <c r="J150" s="428">
        <v>14976.12638</v>
      </c>
      <c r="K150" s="428">
        <v>1163.84736</v>
      </c>
    </row>
    <row r="151" spans="1:12">
      <c r="A151" s="429" t="str">
        <f t="shared" si="3"/>
        <v>05</v>
      </c>
      <c r="B151" s="429" t="str">
        <f>T("050517 2003")</f>
        <v>050517 2003</v>
      </c>
      <c r="C151" s="637" t="str">
        <f>T("Föreningen Norden")</f>
        <v>Föreningen Norden</v>
      </c>
      <c r="F151" s="428">
        <v>7128</v>
      </c>
      <c r="G151" s="428">
        <v>7128</v>
      </c>
      <c r="H151" s="428">
        <v>7128</v>
      </c>
      <c r="I151" s="428">
        <v>7128</v>
      </c>
      <c r="J151" s="428">
        <v>7528</v>
      </c>
    </row>
    <row r="152" spans="1:12">
      <c r="A152" s="429" t="str">
        <f t="shared" si="3"/>
        <v>05</v>
      </c>
      <c r="B152" s="429" t="str">
        <f>T("05E002 1997")</f>
        <v>05E002 1997</v>
      </c>
      <c r="C152" s="637" t="str">
        <f>T("Bidrag till Stiftelsen Östekonomiska institutet")</f>
        <v>Bidrag till Stiftelsen Östekonomiska institutet</v>
      </c>
      <c r="D152" s="428">
        <v>4636</v>
      </c>
    </row>
    <row r="153" spans="1:12">
      <c r="A153" s="429" t="str">
        <f t="shared" si="3"/>
        <v>05</v>
      </c>
      <c r="B153" s="429" t="str">
        <f>T("05E004 1997")</f>
        <v>05E004 1997</v>
      </c>
      <c r="C153" s="637" t="str">
        <f>T("Bidrag till organisationer för mänskliga rättigheter och fol")</f>
        <v>Bidrag till organisationer för mänskliga rättigheter och fol</v>
      </c>
      <c r="D153" s="428">
        <v>2512.375</v>
      </c>
    </row>
    <row r="154" spans="1:12">
      <c r="A154" s="429" t="str">
        <f t="shared" si="3"/>
        <v>05</v>
      </c>
      <c r="B154" s="429" t="str">
        <f>T("05E005 1997")</f>
        <v>05E005 1997</v>
      </c>
      <c r="C154" s="637" t="str">
        <f>T("Delegationen för översättning av EG:s regelverk")</f>
        <v>Delegationen för översättning av EG:s regelverk</v>
      </c>
      <c r="D154" s="428">
        <v>2000</v>
      </c>
    </row>
    <row r="155" spans="1:12">
      <c r="A155" s="430" t="s">
        <v>1639</v>
      </c>
      <c r="B155" s="430"/>
      <c r="C155" s="430" t="str">
        <f>T("Internationell samverkan")</f>
        <v>Internationell samverkan</v>
      </c>
      <c r="D155" s="431">
        <v>821776.19770999998</v>
      </c>
      <c r="E155" s="431">
        <v>830512.27569000004</v>
      </c>
      <c r="F155" s="431">
        <v>967621.74395000003</v>
      </c>
      <c r="G155" s="431">
        <v>1092503.5449900001</v>
      </c>
      <c r="H155" s="431">
        <v>1160468.1471200001</v>
      </c>
      <c r="I155" s="431">
        <v>1136925.4993199999</v>
      </c>
      <c r="J155" s="431">
        <v>1114612.4888200001</v>
      </c>
      <c r="K155" s="431">
        <v>1266881.44432</v>
      </c>
      <c r="L155" s="431">
        <v>1364927.3599</v>
      </c>
    </row>
    <row r="156" spans="1:12">
      <c r="A156" s="429" t="str">
        <f t="shared" ref="A156:A217" si="4">T("06")</f>
        <v>06</v>
      </c>
      <c r="B156" s="429" t="str">
        <f>T("04C002 9596")</f>
        <v>04C002 9596</v>
      </c>
      <c r="C156" s="637" t="str">
        <f>T("Tekniska åtgärder i ledningssystemet m m")</f>
        <v>Tekniska åtgärder i ledningssystemet m m</v>
      </c>
      <c r="D156" s="428">
        <v>35645.821000000004</v>
      </c>
    </row>
    <row r="157" spans="1:12">
      <c r="A157" s="429" t="str">
        <f t="shared" si="4"/>
        <v>06</v>
      </c>
      <c r="B157" s="429" t="str">
        <f>T("04C003 9596")</f>
        <v>04C003 9596</v>
      </c>
      <c r="C157" s="637" t="str">
        <f>T("Civilbefälhavarna")</f>
        <v>Civilbefälhavarna</v>
      </c>
      <c r="D157" s="428">
        <v>12088.07511</v>
      </c>
      <c r="E157" s="428">
        <v>0</v>
      </c>
    </row>
    <row r="158" spans="1:12">
      <c r="A158" s="429" t="str">
        <f t="shared" si="4"/>
        <v>06</v>
      </c>
      <c r="B158" s="429" t="str">
        <f>T("04C004 9596")</f>
        <v>04C004 9596</v>
      </c>
      <c r="C158" s="637" t="str">
        <f>T("Kompetensutveckling och stöd till länsstyrelserna")</f>
        <v>Kompetensutveckling och stöd till länsstyrelserna</v>
      </c>
      <c r="D158" s="428">
        <v>0</v>
      </c>
    </row>
    <row r="159" spans="1:12">
      <c r="A159" s="429" t="str">
        <f t="shared" si="4"/>
        <v>06</v>
      </c>
      <c r="B159" s="429" t="str">
        <f>T("04F001 9596")</f>
        <v>04F001 9596</v>
      </c>
      <c r="C159" s="637" t="str">
        <f>T("Överstyrelsen för civil beredskap: Försörjning med industrivaror")</f>
        <v>Överstyrelsen för civil beredskap: Försörjning med industrivaror</v>
      </c>
      <c r="D159" s="428">
        <v>0</v>
      </c>
    </row>
    <row r="160" spans="1:12">
      <c r="A160" s="429" t="str">
        <f t="shared" si="4"/>
        <v>06</v>
      </c>
      <c r="B160" s="429" t="str">
        <f>T("04F002 9596")</f>
        <v>04F002 9596</v>
      </c>
      <c r="C160" s="637" t="str">
        <f>T("ÖCB: Industriella åtgärder")</f>
        <v>ÖCB: Industriella åtgärder</v>
      </c>
      <c r="D160" s="428">
        <v>58076.597269999998</v>
      </c>
    </row>
    <row r="161" spans="1:12">
      <c r="A161" s="429" t="str">
        <f t="shared" si="4"/>
        <v>06</v>
      </c>
      <c r="B161" s="429" t="str">
        <f>T("04G011 9596")</f>
        <v>04G011 9596</v>
      </c>
      <c r="C161" s="637" t="str">
        <f>T("Överklagandenämnden för totalförsvaret")</f>
        <v>Överklagandenämnden för totalförsvaret</v>
      </c>
      <c r="D161" s="428">
        <v>1169.37446</v>
      </c>
    </row>
    <row r="162" spans="1:12">
      <c r="A162" s="429" t="str">
        <f t="shared" si="4"/>
        <v>06</v>
      </c>
      <c r="B162" s="429" t="str">
        <f>T("0601001")</f>
        <v>0601001</v>
      </c>
      <c r="C162" s="637" t="str">
        <f>T("Förbandsverksamhet och beredskap")</f>
        <v>Förbandsverksamhet och beredskap</v>
      </c>
      <c r="F162" s="428">
        <v>18410015.409600001</v>
      </c>
      <c r="G162" s="428">
        <v>20123368.657570001</v>
      </c>
      <c r="H162" s="428">
        <v>18531243.43792</v>
      </c>
      <c r="I162" s="428">
        <v>20015736.61355</v>
      </c>
      <c r="J162" s="428">
        <v>21598579.811069999</v>
      </c>
      <c r="K162" s="428">
        <v>21412009.377179999</v>
      </c>
      <c r="L162" s="428">
        <v>21166703.129670002</v>
      </c>
    </row>
    <row r="163" spans="1:12">
      <c r="A163" s="429" t="str">
        <f t="shared" si="4"/>
        <v>06</v>
      </c>
      <c r="B163" s="429" t="str">
        <f>T("0601002")</f>
        <v>0601002</v>
      </c>
      <c r="C163" s="637" t="str">
        <f>T("Försvarsmaktens insatser internationellt")</f>
        <v>Försvarsmaktens insatser internationellt</v>
      </c>
    </row>
    <row r="164" spans="1:12">
      <c r="A164" s="429" t="str">
        <f t="shared" si="4"/>
        <v>06</v>
      </c>
      <c r="B164" s="429" t="str">
        <f>T("0601003")</f>
        <v>0601003</v>
      </c>
      <c r="C164" s="637" t="str">
        <f>T("Anskaffning av materiel och anläggningar")</f>
        <v>Anskaffning av materiel och anläggningar</v>
      </c>
    </row>
    <row r="165" spans="1:12">
      <c r="A165" s="429" t="str">
        <f t="shared" si="4"/>
        <v>06</v>
      </c>
      <c r="B165" s="429" t="str">
        <f>T("0601004")</f>
        <v>0601004</v>
      </c>
      <c r="C165" s="637" t="str">
        <f>T("Vidmakthållande, avveckling m.m. av materiel och anläggningar")</f>
        <v>Vidmakthållande, avveckling m.m. av materiel och anläggningar</v>
      </c>
    </row>
    <row r="166" spans="1:12">
      <c r="A166" s="429" t="str">
        <f t="shared" si="4"/>
        <v>06</v>
      </c>
      <c r="B166" s="429" t="str">
        <f>T("0601005")</f>
        <v>0601005</v>
      </c>
      <c r="C166" s="637" t="str">
        <f>T("Forskning och teknikutveckling")</f>
        <v>Forskning och teknikutveckling</v>
      </c>
    </row>
    <row r="167" spans="1:12">
      <c r="A167" s="429" t="str">
        <f t="shared" si="4"/>
        <v>06</v>
      </c>
      <c r="B167" s="429" t="str">
        <f>T("0601006")</f>
        <v>0601006</v>
      </c>
      <c r="C167" s="637" t="str">
        <f>T("Totalförsvarets rekryteringsmyndighet")</f>
        <v>Totalförsvarets rekryteringsmyndighet</v>
      </c>
      <c r="D167" s="428">
        <v>233661.40752000001</v>
      </c>
      <c r="E167" s="428">
        <v>244586.28352999999</v>
      </c>
      <c r="F167" s="428">
        <v>239434.94842999999</v>
      </c>
      <c r="G167" s="428">
        <v>241643.66779000001</v>
      </c>
      <c r="H167" s="428">
        <v>228771.09804000001</v>
      </c>
      <c r="I167" s="428">
        <v>223100.05395</v>
      </c>
      <c r="J167" s="428">
        <v>233320.30652000001</v>
      </c>
      <c r="K167" s="428">
        <v>235778.80739999999</v>
      </c>
      <c r="L167" s="428">
        <v>229200.18080999999</v>
      </c>
    </row>
    <row r="168" spans="1:12">
      <c r="A168" s="429" t="str">
        <f t="shared" si="4"/>
        <v>06</v>
      </c>
      <c r="B168" s="429" t="str">
        <f>T("0601007")</f>
        <v>0601007</v>
      </c>
      <c r="C168" s="637" t="str">
        <f>T("Officersutbildning m.m.")</f>
        <v>Officersutbildning m.m.</v>
      </c>
      <c r="D168" s="428">
        <v>24882.341230000002</v>
      </c>
      <c r="E168" s="428">
        <v>30764.930530000001</v>
      </c>
      <c r="F168" s="428">
        <v>24462.525689999999</v>
      </c>
      <c r="G168" s="428">
        <v>27600.542000000001</v>
      </c>
      <c r="H168" s="428">
        <v>31596.294000000002</v>
      </c>
      <c r="I168" s="428">
        <v>32355.416509999999</v>
      </c>
      <c r="J168" s="428">
        <v>31721.374390000001</v>
      </c>
      <c r="K168" s="428">
        <v>28197.437000000002</v>
      </c>
      <c r="L168" s="428">
        <v>29816.161</v>
      </c>
    </row>
    <row r="169" spans="1:12">
      <c r="A169" s="429" t="str">
        <f t="shared" si="4"/>
        <v>06</v>
      </c>
      <c r="B169" s="429" t="str">
        <f>T("0601008")</f>
        <v>0601008</v>
      </c>
      <c r="C169" s="637" t="str">
        <f>T("Försvarets radioanstalt")</f>
        <v>Försvarets radioanstalt</v>
      </c>
      <c r="D169" s="428">
        <v>424072.36128000001</v>
      </c>
      <c r="E169" s="428">
        <v>427257.83354999998</v>
      </c>
      <c r="F169" s="428">
        <v>428113.99299</v>
      </c>
      <c r="G169" s="428">
        <v>451126.30212000001</v>
      </c>
      <c r="H169" s="428">
        <v>437828.83439999999</v>
      </c>
      <c r="I169" s="428">
        <v>469466.34622000001</v>
      </c>
      <c r="J169" s="428">
        <v>473293.54214999999</v>
      </c>
      <c r="K169" s="428">
        <v>407246.69608999998</v>
      </c>
      <c r="L169" s="428">
        <v>420379.10801000003</v>
      </c>
    </row>
    <row r="170" spans="1:12">
      <c r="A170" s="429" t="str">
        <f t="shared" si="4"/>
        <v>06</v>
      </c>
      <c r="B170" s="429" t="str">
        <f>T("0601009")</f>
        <v>0601009</v>
      </c>
      <c r="C170" s="637" t="str">
        <f>T("Totalförsvarets forskningsinstitut")</f>
        <v>Totalförsvarets forskningsinstitut</v>
      </c>
      <c r="H170" s="428">
        <v>182507.93621000001</v>
      </c>
      <c r="I170" s="428">
        <v>194244.9013</v>
      </c>
      <c r="J170" s="428">
        <v>188782.84267000001</v>
      </c>
      <c r="K170" s="428">
        <v>185091.85266999999</v>
      </c>
      <c r="L170" s="428">
        <v>188619.40985</v>
      </c>
    </row>
    <row r="171" spans="1:12">
      <c r="A171" s="429" t="str">
        <f t="shared" si="4"/>
        <v>06</v>
      </c>
      <c r="B171" s="429" t="str">
        <f>T("0601010")</f>
        <v>0601010</v>
      </c>
      <c r="C171" s="637" t="str">
        <f>T("Nämnder m.m.")</f>
        <v>Nämnder m.m.</v>
      </c>
      <c r="D171" s="428">
        <v>5019.9522800000004</v>
      </c>
      <c r="E171" s="428">
        <v>10054.722669999999</v>
      </c>
      <c r="F171" s="428">
        <v>9683.3285599999999</v>
      </c>
      <c r="G171" s="428">
        <v>10076.62919</v>
      </c>
      <c r="H171" s="428">
        <v>9779.38213</v>
      </c>
      <c r="I171" s="428">
        <v>9027.1638999999996</v>
      </c>
      <c r="J171" s="428">
        <v>6648.5991299999996</v>
      </c>
      <c r="K171" s="428">
        <v>5277.9200600000004</v>
      </c>
      <c r="L171" s="428">
        <v>5697.9357600000003</v>
      </c>
    </row>
    <row r="172" spans="1:12">
      <c r="A172" s="429" t="str">
        <f t="shared" si="4"/>
        <v>06</v>
      </c>
      <c r="B172" s="429" t="str">
        <f>T("0601010 2009")</f>
        <v>0601010 2009</v>
      </c>
      <c r="C172" s="637" t="str">
        <f>T("Stöd till frivilliga försvarsorganisationer inom totalförsvaret")</f>
        <v>Stöd till frivilliga försvarsorganisationer inom totalförsvaret</v>
      </c>
      <c r="D172" s="428">
        <v>98770.415999999997</v>
      </c>
      <c r="E172" s="428">
        <v>101969.416</v>
      </c>
      <c r="F172" s="428">
        <v>102395.416</v>
      </c>
      <c r="G172" s="428">
        <v>88265</v>
      </c>
      <c r="H172" s="428">
        <v>88265</v>
      </c>
      <c r="I172" s="428">
        <v>88265</v>
      </c>
      <c r="J172" s="428">
        <v>88175</v>
      </c>
      <c r="K172" s="428">
        <v>88265</v>
      </c>
      <c r="L172" s="428">
        <v>75211</v>
      </c>
    </row>
    <row r="173" spans="1:12">
      <c r="A173" s="429" t="str">
        <f t="shared" si="4"/>
        <v>06</v>
      </c>
      <c r="B173" s="429" t="str">
        <f>T("0601011")</f>
        <v>0601011</v>
      </c>
      <c r="C173" s="637" t="str">
        <f>T("Internationella materielsamarbeten, industrifrågor m.m.")</f>
        <v>Internationella materielsamarbeten, industrifrågor m.m.</v>
      </c>
    </row>
    <row r="174" spans="1:12">
      <c r="A174" s="429" t="str">
        <f t="shared" si="4"/>
        <v>06</v>
      </c>
      <c r="B174" s="429" t="str">
        <f>T("0601012")</f>
        <v>0601012</v>
      </c>
      <c r="C174" s="637" t="str">
        <f>T("Försvarsexportmyndigheten")</f>
        <v>Försvarsexportmyndigheten</v>
      </c>
    </row>
    <row r="175" spans="1:12">
      <c r="A175" s="429" t="str">
        <f t="shared" si="4"/>
        <v>06</v>
      </c>
      <c r="B175" s="429" t="str">
        <f>T("0601013")</f>
        <v>0601013</v>
      </c>
      <c r="C175" s="637" t="str">
        <f>T("Försvarsunderrättelsedomstolen")</f>
        <v>Försvarsunderrättelsedomstolen</v>
      </c>
    </row>
    <row r="176" spans="1:12">
      <c r="A176" s="429" t="str">
        <f t="shared" si="4"/>
        <v>06</v>
      </c>
      <c r="B176" s="429" t="str">
        <f>T("0601014")</f>
        <v>0601014</v>
      </c>
      <c r="C176" s="637" t="str">
        <f>T("Statens inspektion för försvarsunderrättelseverksamheten")</f>
        <v>Statens inspektion för försvarsunderrättelseverksamheten</v>
      </c>
    </row>
    <row r="177" spans="1:12">
      <c r="A177" s="429" t="str">
        <f t="shared" si="4"/>
        <v>06</v>
      </c>
      <c r="B177" s="429" t="str">
        <f>T("0602001")</f>
        <v>0602001</v>
      </c>
      <c r="C177" s="637" t="str">
        <f>T("Kustbevakningen")</f>
        <v>Kustbevakningen</v>
      </c>
      <c r="D177" s="428">
        <v>378780.7084</v>
      </c>
      <c r="E177" s="428">
        <v>385394.69633000001</v>
      </c>
      <c r="F177" s="428">
        <v>416488.28485</v>
      </c>
      <c r="G177" s="428">
        <v>457562.44931</v>
      </c>
      <c r="H177" s="428">
        <v>465430.98775999999</v>
      </c>
      <c r="I177" s="428">
        <v>520285.17255999998</v>
      </c>
      <c r="J177" s="428">
        <v>536304.34991999995</v>
      </c>
      <c r="K177" s="428">
        <v>594897.72115999996</v>
      </c>
      <c r="L177" s="428">
        <v>630791.25540000002</v>
      </c>
    </row>
    <row r="178" spans="1:12">
      <c r="A178" s="429" t="str">
        <f t="shared" si="4"/>
        <v>06</v>
      </c>
      <c r="B178" s="429" t="str">
        <f>T("0602002")</f>
        <v>0602002</v>
      </c>
      <c r="C178" s="637" t="str">
        <f>T("Förebyggande åtgärder mot jordskred och andra naturolyckor")</f>
        <v>Förebyggande åtgärder mot jordskred och andra naturolyckor</v>
      </c>
      <c r="D178" s="428">
        <v>15037.572</v>
      </c>
      <c r="E178" s="428">
        <v>28405.24</v>
      </c>
      <c r="F178" s="428">
        <v>20703.099999999999</v>
      </c>
      <c r="G178" s="428">
        <v>30326.3</v>
      </c>
      <c r="H178" s="428">
        <v>24684.3</v>
      </c>
      <c r="I178" s="428">
        <v>28943.375</v>
      </c>
      <c r="J178" s="428">
        <v>26900</v>
      </c>
      <c r="K178" s="428">
        <v>24960.006000000001</v>
      </c>
      <c r="L178" s="428">
        <v>24850</v>
      </c>
    </row>
    <row r="179" spans="1:12">
      <c r="A179" s="429" t="str">
        <f t="shared" si="4"/>
        <v>06</v>
      </c>
      <c r="B179" s="429" t="str">
        <f>T("0602003")</f>
        <v>0602003</v>
      </c>
      <c r="C179" s="637" t="str">
        <f>T("Ersättning för räddningstjänst m.m.")</f>
        <v>Ersättning för räddningstjänst m.m.</v>
      </c>
      <c r="D179" s="428">
        <v>17789.335449999999</v>
      </c>
      <c r="E179" s="428">
        <v>19246.337729999999</v>
      </c>
      <c r="F179" s="428">
        <v>9726.2797200000005</v>
      </c>
      <c r="G179" s="428">
        <v>11729.10507</v>
      </c>
      <c r="H179" s="428">
        <v>53245.109040000003</v>
      </c>
      <c r="I179" s="428">
        <v>30734.053889999999</v>
      </c>
      <c r="J179" s="428">
        <v>38318.613510000003</v>
      </c>
      <c r="K179" s="428">
        <v>21550.270059999999</v>
      </c>
      <c r="L179" s="428">
        <v>21823.271949999998</v>
      </c>
    </row>
    <row r="180" spans="1:12">
      <c r="A180" s="429" t="str">
        <f t="shared" si="4"/>
        <v>06</v>
      </c>
      <c r="B180" s="429" t="str">
        <f>T("0602004")</f>
        <v>0602004</v>
      </c>
      <c r="C180" s="637" t="str">
        <f>T("Krisberedskap")</f>
        <v>Krisberedskap</v>
      </c>
      <c r="I180" s="428">
        <v>755484.68056000001</v>
      </c>
      <c r="J180" s="428">
        <v>1729007.2414800001</v>
      </c>
      <c r="K180" s="428">
        <v>1657078.05751</v>
      </c>
      <c r="L180" s="428">
        <v>1550984.22282</v>
      </c>
    </row>
    <row r="181" spans="1:12">
      <c r="A181" s="429" t="str">
        <f t="shared" si="4"/>
        <v>06</v>
      </c>
      <c r="B181" s="429" t="str">
        <f>T("0602005")</f>
        <v>0602005</v>
      </c>
      <c r="C181" s="637" t="str">
        <f>T("Gemensam radiokommunikation för skydd och säkerhet")</f>
        <v>Gemensam radiokommunikation för skydd och säkerhet</v>
      </c>
    </row>
    <row r="182" spans="1:12">
      <c r="A182" s="429" t="str">
        <f t="shared" si="4"/>
        <v>06</v>
      </c>
      <c r="B182" s="429" t="str">
        <f>T("0602006")</f>
        <v>0602006</v>
      </c>
      <c r="C182" s="637" t="str">
        <f>T("Ersättning till SOS Alarm Sverige AB för alarmeringstjänst enligt avtal")</f>
        <v>Ersättning till SOS Alarm Sverige AB för alarmeringstjänst enligt avtal</v>
      </c>
      <c r="D182" s="428">
        <v>140000</v>
      </c>
      <c r="E182" s="428">
        <v>140000</v>
      </c>
      <c r="F182" s="428">
        <v>140000</v>
      </c>
      <c r="G182" s="428">
        <v>144000</v>
      </c>
      <c r="H182" s="428">
        <v>147000</v>
      </c>
      <c r="I182" s="428">
        <v>150000</v>
      </c>
      <c r="J182" s="428">
        <v>150000</v>
      </c>
      <c r="K182" s="428">
        <v>144000</v>
      </c>
      <c r="L182" s="428">
        <v>144000</v>
      </c>
    </row>
    <row r="183" spans="1:12">
      <c r="A183" s="429" t="str">
        <f t="shared" si="4"/>
        <v>06</v>
      </c>
      <c r="B183" s="429" t="str">
        <f>T("0602007")</f>
        <v>0602007</v>
      </c>
      <c r="C183" s="637" t="str">
        <f>T("Myndigheten för samhällsskydd och beredskap")</f>
        <v>Myndigheten för samhällsskydd och beredskap</v>
      </c>
    </row>
    <row r="184" spans="1:12">
      <c r="A184" s="429" t="str">
        <f t="shared" si="4"/>
        <v>06</v>
      </c>
      <c r="B184" s="429" t="str">
        <f>T("0602008")</f>
        <v>0602008</v>
      </c>
      <c r="C184" s="637" t="str">
        <f>T("Statens haverikommission")</f>
        <v>Statens haverikommission</v>
      </c>
    </row>
    <row r="185" spans="1:12">
      <c r="A185" s="429" t="str">
        <f t="shared" si="4"/>
        <v>06</v>
      </c>
      <c r="B185" s="429" t="str">
        <f>T("0602008 2011")</f>
        <v>0602008 2011</v>
      </c>
      <c r="C185" s="637" t="str">
        <f>T("Avvecklingsmyndigheten för SRV, KBM och SPF")</f>
        <v>Avvecklingsmyndigheten för SRV, KBM och SPF</v>
      </c>
    </row>
    <row r="186" spans="1:12">
      <c r="A186" s="429" t="str">
        <f t="shared" si="4"/>
        <v>06</v>
      </c>
      <c r="B186" s="429" t="str">
        <f>T("0603001")</f>
        <v>0603001</v>
      </c>
      <c r="C186" s="637" t="str">
        <f>T("Strålsäkerhetsmyndigheten")</f>
        <v>Strålsäkerhetsmyndigheten</v>
      </c>
    </row>
    <row r="187" spans="1:12">
      <c r="A187" s="429" t="str">
        <f t="shared" si="4"/>
        <v>06</v>
      </c>
      <c r="B187" s="429" t="str">
        <f>T("0603002 2009")</f>
        <v>0603002 2009</v>
      </c>
      <c r="C187" s="637" t="str">
        <f>T("Avvecklingsmyndigheten för SSI och SKI")</f>
        <v>Avvecklingsmyndigheten för SSI och SKI</v>
      </c>
    </row>
    <row r="188" spans="1:12">
      <c r="A188" s="429" t="str">
        <f t="shared" si="4"/>
        <v>06</v>
      </c>
      <c r="B188" s="429" t="str">
        <f>T("0604001")</f>
        <v>0604001</v>
      </c>
      <c r="C188" s="637" t="str">
        <f>T("Elsäkerhetsverket")</f>
        <v>Elsäkerhetsverket</v>
      </c>
      <c r="D188" s="428">
        <v>33879.60052</v>
      </c>
      <c r="E188" s="428">
        <v>38344.612560000001</v>
      </c>
      <c r="F188" s="428">
        <v>40165.168109999999</v>
      </c>
      <c r="G188" s="428">
        <v>37021.408170000002</v>
      </c>
      <c r="H188" s="428">
        <v>36258.490019999997</v>
      </c>
      <c r="I188" s="428">
        <v>38014.160080000001</v>
      </c>
      <c r="J188" s="428">
        <v>39542.348969999999</v>
      </c>
      <c r="K188" s="428">
        <v>39868.764150000003</v>
      </c>
      <c r="L188" s="428">
        <v>38985.39445</v>
      </c>
    </row>
    <row r="189" spans="1:12">
      <c r="A189" s="429" t="str">
        <f t="shared" si="4"/>
        <v>06</v>
      </c>
      <c r="B189" s="429" t="str">
        <f>T("060602 2001")</f>
        <v>060602 2001</v>
      </c>
      <c r="C189" s="637" t="str">
        <f>T("Fredsfrämjande truppinsatser")</f>
        <v>Fredsfrämjande truppinsatser</v>
      </c>
      <c r="D189" s="428">
        <v>451309.83081000001</v>
      </c>
      <c r="E189" s="428">
        <v>472161.82344000001</v>
      </c>
      <c r="F189" s="428">
        <v>675447.97557000001</v>
      </c>
      <c r="G189" s="428">
        <v>969310.15124000004</v>
      </c>
      <c r="H189" s="428">
        <v>1075167.7450300001</v>
      </c>
    </row>
    <row r="190" spans="1:12">
      <c r="A190" s="429" t="str">
        <f t="shared" si="4"/>
        <v>06</v>
      </c>
      <c r="B190" s="429" t="str">
        <f>T("060602 2008")</f>
        <v>060602 2008</v>
      </c>
      <c r="C190" s="637" t="str">
        <f>T("Materiel och anläggningar")</f>
        <v>Materiel och anläggningar</v>
      </c>
      <c r="F190" s="428">
        <v>21048022.559719998</v>
      </c>
      <c r="G190" s="428">
        <v>21019834.783580001</v>
      </c>
      <c r="H190" s="428">
        <v>21347464.597010002</v>
      </c>
      <c r="I190" s="428">
        <v>20535295.82982</v>
      </c>
      <c r="J190" s="428">
        <v>19350438.978379998</v>
      </c>
      <c r="K190" s="428">
        <v>17391942.297260001</v>
      </c>
      <c r="L190" s="428">
        <v>18349553.802370001</v>
      </c>
    </row>
    <row r="191" spans="1:12">
      <c r="A191" s="429" t="str">
        <f t="shared" si="4"/>
        <v>06</v>
      </c>
      <c r="B191" s="429" t="str">
        <f>T("060603 2002")</f>
        <v>060603 2002</v>
      </c>
      <c r="C191" s="637" t="str">
        <f>T("Funktionen Civil ledning")</f>
        <v>Funktionen Civil ledning</v>
      </c>
      <c r="D191" s="428">
        <v>330177.24676000001</v>
      </c>
      <c r="E191" s="428">
        <v>388747.79592</v>
      </c>
      <c r="F191" s="428">
        <v>508527.77797</v>
      </c>
      <c r="G191" s="428">
        <v>557974.40529999998</v>
      </c>
      <c r="H191" s="428">
        <v>529721.32441999996</v>
      </c>
      <c r="I191" s="428">
        <v>251025.67381000001</v>
      </c>
      <c r="J191" s="428">
        <v>1122.18109</v>
      </c>
      <c r="K191" s="428">
        <v>234.19200000000001</v>
      </c>
      <c r="L191" s="428">
        <v>156.52000000000001</v>
      </c>
    </row>
    <row r="192" spans="1:12">
      <c r="A192" s="429" t="str">
        <f t="shared" si="4"/>
        <v>06</v>
      </c>
      <c r="B192" s="429" t="str">
        <f>T("060604 2002")</f>
        <v>060604 2002</v>
      </c>
      <c r="C192" s="637" t="str">
        <f>T("Funktionen Försörjning med industrivaror")</f>
        <v>Funktionen Försörjning med industrivaror</v>
      </c>
      <c r="D192" s="428">
        <v>-22199.775259999999</v>
      </c>
      <c r="E192" s="428">
        <v>86086.018049999999</v>
      </c>
      <c r="F192" s="428">
        <v>82279.021640000006</v>
      </c>
      <c r="G192" s="428">
        <v>76257.576509999999</v>
      </c>
      <c r="H192" s="428">
        <v>62845.150419999998</v>
      </c>
      <c r="I192" s="428">
        <v>30869.688579999998</v>
      </c>
      <c r="J192" s="428">
        <v>940.49900000000002</v>
      </c>
    </row>
    <row r="193" spans="1:12">
      <c r="A193" s="429" t="str">
        <f t="shared" si="4"/>
        <v>06</v>
      </c>
      <c r="B193" s="429" t="str">
        <f>T("060605 2002")</f>
        <v>060605 2002</v>
      </c>
      <c r="C193" s="637" t="str">
        <f>T("Funktionen Befolkningsskydd och räddningstjänst")</f>
        <v>Funktionen Befolkningsskydd och räddningstjänst</v>
      </c>
      <c r="D193" s="428">
        <v>1122340.0329</v>
      </c>
      <c r="E193" s="428">
        <v>1246863.4705999999</v>
      </c>
      <c r="F193" s="428">
        <v>796484.29391999997</v>
      </c>
      <c r="G193" s="428">
        <v>601957.85190000001</v>
      </c>
      <c r="H193" s="428">
        <v>556543.36731999996</v>
      </c>
      <c r="I193" s="428">
        <v>307708.17450000002</v>
      </c>
    </row>
    <row r="194" spans="1:12">
      <c r="A194" s="429" t="str">
        <f t="shared" si="4"/>
        <v>06</v>
      </c>
      <c r="B194" s="429" t="str">
        <f>T("060606 2002")</f>
        <v>060606 2002</v>
      </c>
      <c r="C194" s="637" t="str">
        <f>T("Funktionen Psykologiskt försvar")</f>
        <v>Funktionen Psykologiskt försvar</v>
      </c>
      <c r="D194" s="428">
        <v>16437.61</v>
      </c>
      <c r="E194" s="428">
        <v>13243.917949999999</v>
      </c>
      <c r="F194" s="428">
        <v>19173.404780000001</v>
      </c>
      <c r="G194" s="428">
        <v>21175.913860000001</v>
      </c>
      <c r="H194" s="428">
        <v>23872.558679999998</v>
      </c>
      <c r="I194" s="428">
        <v>11665</v>
      </c>
      <c r="J194" s="428">
        <v>91.308300000000003</v>
      </c>
    </row>
    <row r="195" spans="1:12">
      <c r="A195" s="429" t="str">
        <f t="shared" si="4"/>
        <v>06</v>
      </c>
      <c r="B195" s="429" t="str">
        <f>T("060607 2002")</f>
        <v>060607 2002</v>
      </c>
      <c r="C195" s="637" t="str">
        <f>T("Funktionen Ordning och säkerhet")</f>
        <v>Funktionen Ordning och säkerhet</v>
      </c>
      <c r="D195" s="428">
        <v>-7978.3425900000002</v>
      </c>
      <c r="E195" s="428">
        <v>14776.373670000001</v>
      </c>
      <c r="F195" s="428">
        <v>37744.918519999999</v>
      </c>
      <c r="G195" s="428">
        <v>24496.419989999999</v>
      </c>
      <c r="H195" s="428">
        <v>22927.739839999998</v>
      </c>
      <c r="I195" s="428">
        <v>15511.16984</v>
      </c>
      <c r="J195" s="428">
        <v>363.72073</v>
      </c>
    </row>
    <row r="196" spans="1:12">
      <c r="A196" s="429" t="str">
        <f t="shared" si="4"/>
        <v>06</v>
      </c>
      <c r="B196" s="429" t="str">
        <f>T("060608 2002")</f>
        <v>060608 2002</v>
      </c>
      <c r="C196" s="637" t="str">
        <f>T("Funktionen Hälso- och sjukvård m.m.")</f>
        <v>Funktionen Hälso- och sjukvård m.m.</v>
      </c>
      <c r="D196" s="428">
        <v>128375.2809</v>
      </c>
      <c r="E196" s="428">
        <v>78630.320340000006</v>
      </c>
      <c r="F196" s="428">
        <v>186158.11348999999</v>
      </c>
      <c r="G196" s="428">
        <v>162703.17642999999</v>
      </c>
      <c r="H196" s="428">
        <v>133613.9166</v>
      </c>
      <c r="I196" s="428">
        <v>74176.273570000005</v>
      </c>
      <c r="J196" s="428">
        <v>0</v>
      </c>
      <c r="K196" s="428">
        <v>0</v>
      </c>
    </row>
    <row r="197" spans="1:12">
      <c r="A197" s="429" t="str">
        <f t="shared" si="4"/>
        <v>06</v>
      </c>
      <c r="B197" s="429" t="str">
        <f>T("060609 2002")</f>
        <v>060609 2002</v>
      </c>
      <c r="C197" s="637" t="str">
        <f>T("Funktionen Telekommunikationer m.m.")</f>
        <v>Funktionen Telekommunikationer m.m.</v>
      </c>
      <c r="D197" s="428">
        <v>154096.79994</v>
      </c>
      <c r="E197" s="428">
        <v>151805.29430000001</v>
      </c>
      <c r="F197" s="428">
        <v>249851.04973999999</v>
      </c>
      <c r="G197" s="428">
        <v>108665.18014</v>
      </c>
      <c r="H197" s="428">
        <v>79884.223429999998</v>
      </c>
      <c r="I197" s="428">
        <v>82673.306630000006</v>
      </c>
      <c r="J197" s="428">
        <v>81134.193520000001</v>
      </c>
      <c r="K197" s="428">
        <v>36589.952299999997</v>
      </c>
    </row>
    <row r="198" spans="1:12">
      <c r="A198" s="429" t="str">
        <f t="shared" si="4"/>
        <v>06</v>
      </c>
      <c r="B198" s="429" t="str">
        <f>T("060610 2002")</f>
        <v>060610 2002</v>
      </c>
      <c r="C198" s="637" t="str">
        <f>T("Funktionen Postbefordran")</f>
        <v>Funktionen Postbefordran</v>
      </c>
      <c r="D198" s="428">
        <v>21911.359280000001</v>
      </c>
      <c r="E198" s="428">
        <v>12990.392</v>
      </c>
      <c r="F198" s="428">
        <v>13808.213</v>
      </c>
      <c r="G198" s="428">
        <v>7098.6329999999998</v>
      </c>
      <c r="H198" s="428">
        <v>1095.8979999999999</v>
      </c>
    </row>
    <row r="199" spans="1:12">
      <c r="A199" s="429" t="str">
        <f t="shared" si="4"/>
        <v>06</v>
      </c>
      <c r="B199" s="429" t="str">
        <f>T("060611 2002")</f>
        <v>060611 2002</v>
      </c>
      <c r="C199" s="637" t="str">
        <f>T("Funktionen Transporter")</f>
        <v>Funktionen Transporter</v>
      </c>
      <c r="D199" s="428">
        <v>194504.10498</v>
      </c>
      <c r="E199" s="428">
        <v>195974.94635000001</v>
      </c>
      <c r="F199" s="428">
        <v>191484.44659000001</v>
      </c>
      <c r="G199" s="428">
        <v>154521.42319</v>
      </c>
      <c r="H199" s="428">
        <v>157175.19571999999</v>
      </c>
      <c r="I199" s="428">
        <v>88242.396210000006</v>
      </c>
    </row>
    <row r="200" spans="1:12">
      <c r="A200" s="429" t="str">
        <f t="shared" si="4"/>
        <v>06</v>
      </c>
      <c r="B200" s="429" t="str">
        <f>T("060612 2002")</f>
        <v>060612 2002</v>
      </c>
      <c r="C200" s="637" t="str">
        <f>T("Funktionen Energiförsörjning")</f>
        <v>Funktionen Energiförsörjning</v>
      </c>
      <c r="D200" s="428">
        <v>31803.627039999999</v>
      </c>
      <c r="E200" s="428">
        <v>171088.42600000001</v>
      </c>
      <c r="F200" s="428">
        <v>198740.34602</v>
      </c>
      <c r="G200" s="428">
        <v>285035.56676999998</v>
      </c>
      <c r="H200" s="428">
        <v>302008.13941</v>
      </c>
      <c r="I200" s="428">
        <v>149698.81534999999</v>
      </c>
    </row>
    <row r="201" spans="1:12">
      <c r="A201" s="429" t="str">
        <f t="shared" si="4"/>
        <v>06</v>
      </c>
      <c r="B201" s="429" t="str">
        <f>T("060704 2008")</f>
        <v>060704 2008</v>
      </c>
      <c r="C201" s="637" t="str">
        <f>T("Samhällets skydd mot olyckor")</f>
        <v>Samhällets skydd mot olyckor</v>
      </c>
      <c r="F201" s="428">
        <v>417760.75089999998</v>
      </c>
      <c r="G201" s="428">
        <v>553573.69567000004</v>
      </c>
      <c r="H201" s="428">
        <v>532523.71</v>
      </c>
      <c r="I201" s="428">
        <v>608380.46924000001</v>
      </c>
      <c r="J201" s="428">
        <v>602190.55854</v>
      </c>
      <c r="K201" s="428">
        <v>607313.88668999996</v>
      </c>
      <c r="L201" s="428">
        <v>728196.66156000004</v>
      </c>
    </row>
    <row r="202" spans="1:12">
      <c r="A202" s="429" t="str">
        <f t="shared" si="4"/>
        <v>06</v>
      </c>
      <c r="B202" s="429" t="str">
        <f>T("060705 2001")</f>
        <v>060705 2001</v>
      </c>
      <c r="C202" s="637" t="str">
        <f>T("Brandfarliga och explosiva varor")</f>
        <v>Brandfarliga och explosiva varor</v>
      </c>
      <c r="D202" s="428">
        <v>14425.962939999999</v>
      </c>
      <c r="E202" s="428">
        <v>14321.826160000001</v>
      </c>
      <c r="F202" s="428">
        <v>15931.93593</v>
      </c>
      <c r="G202" s="428">
        <v>15969.92974</v>
      </c>
      <c r="H202" s="428">
        <v>16689.554909999999</v>
      </c>
    </row>
    <row r="203" spans="1:12">
      <c r="A203" s="429" t="str">
        <f t="shared" si="4"/>
        <v>06</v>
      </c>
      <c r="B203" s="429" t="str">
        <f>T("060707 2008")</f>
        <v>060707 2008</v>
      </c>
      <c r="C203" s="637" t="str">
        <f>T("Krisberedskapsmyndigheten")</f>
        <v>Krisberedskapsmyndigheten</v>
      </c>
      <c r="I203" s="428">
        <v>60111.776239999999</v>
      </c>
      <c r="J203" s="428">
        <v>127028.68004000001</v>
      </c>
      <c r="K203" s="428">
        <v>134319.27553000001</v>
      </c>
      <c r="L203" s="428">
        <v>134217.69102999999</v>
      </c>
    </row>
    <row r="204" spans="1:12">
      <c r="A204" s="429" t="str">
        <f t="shared" si="4"/>
        <v>06</v>
      </c>
      <c r="B204" s="429" t="str">
        <f>T("060708 2008")</f>
        <v>060708 2008</v>
      </c>
      <c r="C204" s="637" t="str">
        <f>T("Styrelsen för psykologiskt försvar")</f>
        <v>Styrelsen för psykologiskt försvar</v>
      </c>
      <c r="I204" s="428">
        <v>5233.6993300000004</v>
      </c>
      <c r="J204" s="428">
        <v>14977.62666</v>
      </c>
      <c r="K204" s="428">
        <v>15515.06085</v>
      </c>
      <c r="L204" s="428">
        <v>34980.147089999999</v>
      </c>
    </row>
    <row r="205" spans="1:12">
      <c r="A205" s="429" t="str">
        <f t="shared" si="4"/>
        <v>06</v>
      </c>
      <c r="B205" s="429" t="str">
        <f>T("063401 2008")</f>
        <v>063401 2008</v>
      </c>
      <c r="C205" s="637" t="str">
        <f>T("Statens strålskyddsinstitut")</f>
        <v>Statens strålskyddsinstitut</v>
      </c>
      <c r="D205" s="428">
        <v>73554.377980000005</v>
      </c>
      <c r="E205" s="428">
        <v>77566.637229999993</v>
      </c>
      <c r="F205" s="428">
        <v>85125.306240000005</v>
      </c>
      <c r="G205" s="428">
        <v>84753.557230000006</v>
      </c>
      <c r="H205" s="428">
        <v>83933.932719999997</v>
      </c>
      <c r="I205" s="428">
        <v>107065.48982</v>
      </c>
      <c r="J205" s="428">
        <v>98616.936849999998</v>
      </c>
      <c r="K205" s="428">
        <v>110473.96868000001</v>
      </c>
      <c r="L205" s="428">
        <v>102391.53318</v>
      </c>
    </row>
    <row r="206" spans="1:12">
      <c r="A206" s="429" t="str">
        <f t="shared" si="4"/>
        <v>06</v>
      </c>
      <c r="B206" s="429" t="str">
        <f>T("063402 2008")</f>
        <v>063402 2008</v>
      </c>
      <c r="C206" s="637" t="str">
        <f>T("Statens kärnkraftinspektion: Förvaltningskostnader")</f>
        <v>Statens kärnkraftinspektion: Förvaltningskostnader</v>
      </c>
      <c r="D206" s="428">
        <v>65469.955280000002</v>
      </c>
      <c r="E206" s="428">
        <v>69058.590410000004</v>
      </c>
      <c r="F206" s="428">
        <v>77471.050029999999</v>
      </c>
      <c r="G206" s="428">
        <v>84345.332339999994</v>
      </c>
      <c r="H206" s="428">
        <v>83118.882400000002</v>
      </c>
      <c r="I206" s="428">
        <v>85692.74785</v>
      </c>
      <c r="J206" s="428">
        <v>84020.148090000002</v>
      </c>
      <c r="K206" s="428">
        <v>92673.274220000007</v>
      </c>
      <c r="L206" s="428">
        <v>93469.343940000006</v>
      </c>
    </row>
    <row r="207" spans="1:12">
      <c r="A207" s="429" t="str">
        <f t="shared" si="4"/>
        <v>06</v>
      </c>
      <c r="B207" s="429" t="str">
        <f>T("063403 2008")</f>
        <v>063403 2008</v>
      </c>
      <c r="C207" s="637" t="str">
        <f>T("Statens kärnkraftinspektion: Kärnsäkerhetsforskning")</f>
        <v>Statens kärnkraftinspektion: Kärnsäkerhetsforskning</v>
      </c>
      <c r="D207" s="428">
        <v>70605.846040000004</v>
      </c>
      <c r="E207" s="428">
        <v>67580.580679999999</v>
      </c>
      <c r="F207" s="428">
        <v>65929.677079999994</v>
      </c>
      <c r="G207" s="428">
        <v>64546.657149999999</v>
      </c>
      <c r="H207" s="428">
        <v>71978.168049999993</v>
      </c>
      <c r="I207" s="428">
        <v>67774.894969999994</v>
      </c>
      <c r="J207" s="428">
        <v>73785.594570000001</v>
      </c>
      <c r="K207" s="428">
        <v>71179.775689999995</v>
      </c>
      <c r="L207" s="428">
        <v>71413.211880000003</v>
      </c>
    </row>
    <row r="208" spans="1:12">
      <c r="A208" s="429" t="str">
        <f t="shared" si="4"/>
        <v>06</v>
      </c>
      <c r="B208" s="429" t="str">
        <f>T("06A001 1998")</f>
        <v>06A001 1998</v>
      </c>
      <c r="C208" s="637" t="str">
        <f>T("Försvarsmakten")</f>
        <v>Försvarsmakten</v>
      </c>
      <c r="D208" s="428">
        <v>36963988.754869998</v>
      </c>
      <c r="E208" s="428">
        <v>38093771.966969997</v>
      </c>
    </row>
    <row r="209" spans="1:12">
      <c r="A209" s="429" t="str">
        <f t="shared" si="4"/>
        <v>06</v>
      </c>
      <c r="B209" s="429" t="str">
        <f>T("06A006 9596")</f>
        <v>06A006 9596</v>
      </c>
      <c r="C209" s="637" t="str">
        <f>T("Vägverket: Försvarsuppgifter")</f>
        <v>Vägverket: Försvarsuppgifter</v>
      </c>
      <c r="D209" s="428">
        <v>9865.5045200000004</v>
      </c>
    </row>
    <row r="210" spans="1:12">
      <c r="A210" s="429" t="str">
        <f t="shared" si="4"/>
        <v>06</v>
      </c>
      <c r="B210" s="429" t="str">
        <f>T("06A014 9596")</f>
        <v>06A014 9596</v>
      </c>
      <c r="C210" s="637" t="str">
        <f>T("Banverket: Försvarsuppgifter")</f>
        <v>Banverket: Försvarsuppgifter</v>
      </c>
      <c r="D210" s="428">
        <v>7157.3688899999997</v>
      </c>
    </row>
    <row r="211" spans="1:12">
      <c r="A211" s="429" t="str">
        <f t="shared" si="4"/>
        <v>06</v>
      </c>
      <c r="B211" s="429" t="str">
        <f>T("06C001 9596")</f>
        <v>06C001 9596</v>
      </c>
      <c r="C211" s="637" t="str">
        <f>T("Beredskap för civil luftfart")</f>
        <v>Beredskap för civil luftfart</v>
      </c>
      <c r="D211" s="428">
        <v>0</v>
      </c>
      <c r="E211" s="428">
        <v>0</v>
      </c>
    </row>
    <row r="212" spans="1:12">
      <c r="A212" s="429" t="str">
        <f t="shared" si="4"/>
        <v>06</v>
      </c>
      <c r="B212" s="429" t="str">
        <f>T("06C003 1997")</f>
        <v>06C003 1997</v>
      </c>
      <c r="C212" s="637" t="str">
        <f>T("Utredning av allvarliga olyckor")</f>
        <v>Utredning av allvarliga olyckor</v>
      </c>
      <c r="D212" s="428">
        <v>1130.9993899999999</v>
      </c>
    </row>
    <row r="213" spans="1:12">
      <c r="A213" s="429" t="str">
        <f t="shared" si="4"/>
        <v>06</v>
      </c>
      <c r="B213" s="429" t="str">
        <f>T("06D004 2000")</f>
        <v>06D004 2000</v>
      </c>
      <c r="C213" s="637" t="str">
        <f>T("Försvarets forskningsanstalt")</f>
        <v>Försvarets forskningsanstalt</v>
      </c>
      <c r="D213" s="428">
        <v>123810.9385</v>
      </c>
      <c r="E213" s="428">
        <v>131355.53774</v>
      </c>
      <c r="F213" s="428">
        <v>130300.38589999999</v>
      </c>
      <c r="G213" s="428">
        <v>126968.67122</v>
      </c>
    </row>
    <row r="214" spans="1:12">
      <c r="A214" s="429" t="str">
        <f t="shared" si="4"/>
        <v>06</v>
      </c>
      <c r="B214" s="429" t="str">
        <f>T("06D005 2000")</f>
        <v>06D005 2000</v>
      </c>
      <c r="C214" s="637" t="str">
        <f>T("Flygtekniska försöksanstalten")</f>
        <v>Flygtekniska försöksanstalten</v>
      </c>
      <c r="D214" s="428">
        <v>26335.839</v>
      </c>
      <c r="E214" s="428">
        <v>29335.866000000002</v>
      </c>
      <c r="F214" s="428">
        <v>47094.207999999999</v>
      </c>
      <c r="G214" s="428">
        <v>37651.080999999998</v>
      </c>
    </row>
    <row r="215" spans="1:12">
      <c r="A215" s="429" t="str">
        <f t="shared" si="4"/>
        <v>06</v>
      </c>
      <c r="B215" s="429" t="str">
        <f>T("06E004 9596")</f>
        <v>06E004 9596</v>
      </c>
      <c r="C215" s="637" t="str">
        <f>T("Överstyrelsen för civil beredskap: Åtgärder inom den civila del")</f>
        <v>Överstyrelsen för civil beredskap: Åtgärder inom den civila del</v>
      </c>
      <c r="D215" s="428">
        <v>863.23383000000001</v>
      </c>
      <c r="E215" s="428">
        <v>948.57115999999996</v>
      </c>
    </row>
    <row r="216" spans="1:12">
      <c r="A216" s="429" t="str">
        <f t="shared" si="4"/>
        <v>06</v>
      </c>
      <c r="B216" s="429" t="str">
        <f>T("12E001 9596")</f>
        <v>12E001 9596</v>
      </c>
      <c r="C216" s="637" t="str">
        <f>T("Handlingsberedskap")</f>
        <v>Handlingsberedskap</v>
      </c>
      <c r="D216" s="428">
        <v>4942.46731</v>
      </c>
      <c r="E216" s="428">
        <v>4130.7264500000001</v>
      </c>
      <c r="F216" s="428">
        <v>-1.0000000000000001E-5</v>
      </c>
    </row>
    <row r="217" spans="1:12">
      <c r="A217" s="429" t="str">
        <f t="shared" si="4"/>
        <v>06</v>
      </c>
      <c r="B217" s="429" t="str">
        <f>T("12E002 9596")</f>
        <v>12E002 9596</v>
      </c>
      <c r="C217" s="637" t="str">
        <f>T("Åtgärder inom elförsörjningen")</f>
        <v>Åtgärder inom elförsörjningen</v>
      </c>
      <c r="D217" s="428">
        <v>54936.388570000003</v>
      </c>
      <c r="E217" s="428">
        <v>0</v>
      </c>
    </row>
    <row r="218" spans="1:12">
      <c r="A218" s="430" t="s">
        <v>1640</v>
      </c>
      <c r="B218" s="430"/>
      <c r="C218" s="430" t="str">
        <f>T("Försvar och samhällets krisberedskap")</f>
        <v>Försvar och samhällets krisberedskap</v>
      </c>
      <c r="D218" s="431">
        <v>41316738.974399999</v>
      </c>
      <c r="E218" s="431">
        <v>42746463.154320002</v>
      </c>
      <c r="F218" s="431">
        <v>44688523.888980001</v>
      </c>
      <c r="G218" s="431">
        <v>46579560.067479998</v>
      </c>
      <c r="H218" s="431">
        <v>45317174.973480001</v>
      </c>
      <c r="I218" s="431">
        <v>45036782.343280002</v>
      </c>
      <c r="J218" s="431">
        <v>45575304.455580004</v>
      </c>
      <c r="K218" s="431">
        <v>43304463.592500001</v>
      </c>
      <c r="L218" s="431">
        <v>44041439.980769999</v>
      </c>
    </row>
    <row r="219" spans="1:12">
      <c r="A219" s="429" t="str">
        <f t="shared" ref="A219:A234" si="5">T("07")</f>
        <v>07</v>
      </c>
      <c r="B219" s="429" t="str">
        <f>T("03C001 9596")</f>
        <v>03C001 9596</v>
      </c>
      <c r="C219" s="637" t="str">
        <f>T("Bidrag till internationella biståndsprogram")</f>
        <v>Bidrag till internationella biståndsprogram</v>
      </c>
      <c r="D219" s="428">
        <v>2.173</v>
      </c>
    </row>
    <row r="220" spans="1:12">
      <c r="A220" s="429" t="str">
        <f t="shared" si="5"/>
        <v>07</v>
      </c>
      <c r="B220" s="429" t="str">
        <f>T("03C002 9596")</f>
        <v>03C002 9596</v>
      </c>
      <c r="C220" s="637" t="str">
        <f>T("Utvecklingssamarbete genom Sida")</f>
        <v>Utvecklingssamarbete genom Sida</v>
      </c>
      <c r="D220" s="428">
        <v>7039.7394700000004</v>
      </c>
      <c r="E220" s="428">
        <v>0</v>
      </c>
    </row>
    <row r="221" spans="1:12">
      <c r="A221" s="429" t="str">
        <f t="shared" si="5"/>
        <v>07</v>
      </c>
      <c r="B221" s="429" t="str">
        <f>T("03C006 9596")</f>
        <v>03C006 9596</v>
      </c>
      <c r="C221" s="637" t="str">
        <f>T("Nordiska afrikainstitutet")</f>
        <v>Nordiska afrikainstitutet</v>
      </c>
      <c r="D221" s="428">
        <v>0</v>
      </c>
    </row>
    <row r="222" spans="1:12">
      <c r="A222" s="429" t="str">
        <f t="shared" si="5"/>
        <v>07</v>
      </c>
      <c r="B222" s="429" t="str">
        <f>T("03C007 9596")</f>
        <v>03C007 9596</v>
      </c>
      <c r="C222" s="637" t="str">
        <f>T("Övriga biståndsrelaterade insatser")</f>
        <v>Övriga biståndsrelaterade insatser</v>
      </c>
      <c r="D222" s="428">
        <v>0</v>
      </c>
    </row>
    <row r="223" spans="1:12">
      <c r="A223" s="429" t="str">
        <f t="shared" si="5"/>
        <v>07</v>
      </c>
      <c r="B223" s="429" t="str">
        <f>T("03C014 9495")</f>
        <v>03C014 9495</v>
      </c>
      <c r="C223" s="637" t="str">
        <f>T("Projektbistånd till vissa länder m.m. ")</f>
        <v xml:space="preserve">Projektbistånd till vissa länder m.m. </v>
      </c>
      <c r="D223" s="428">
        <v>0</v>
      </c>
    </row>
    <row r="224" spans="1:12">
      <c r="A224" s="429" t="str">
        <f t="shared" si="5"/>
        <v>07</v>
      </c>
      <c r="B224" s="429" t="str">
        <f>T("03G001 9596")</f>
        <v>03G001 9596</v>
      </c>
      <c r="C224" s="637" t="str">
        <f>T("Samarbete med Central- och Östeuropa genom SIDA ")</f>
        <v xml:space="preserve">Samarbete med Central- och Östeuropa genom SIDA </v>
      </c>
      <c r="D224" s="428">
        <v>13735.001060000001</v>
      </c>
      <c r="E224" s="428">
        <v>943.32587000000001</v>
      </c>
      <c r="F224" s="428">
        <v>0</v>
      </c>
    </row>
    <row r="225" spans="1:12">
      <c r="A225" s="429" t="str">
        <f t="shared" si="5"/>
        <v>07</v>
      </c>
      <c r="B225" s="429" t="str">
        <f>T("0701001")</f>
        <v>0701001</v>
      </c>
      <c r="C225" s="637" t="str">
        <f>T("Biståndsverksamhet")</f>
        <v>Biståndsverksamhet</v>
      </c>
      <c r="D225" s="428">
        <v>11048507.19318</v>
      </c>
      <c r="E225" s="428">
        <v>10373444.3028</v>
      </c>
      <c r="F225" s="428">
        <v>11165540.82889</v>
      </c>
      <c r="G225" s="428">
        <v>13930032.009509999</v>
      </c>
      <c r="H225" s="428">
        <v>15441413.25701</v>
      </c>
      <c r="I225" s="428">
        <v>14188921.015690001</v>
      </c>
      <c r="J225" s="428">
        <v>14597860.782090001</v>
      </c>
      <c r="K225" s="428">
        <v>18792261.110380001</v>
      </c>
      <c r="L225" s="428">
        <v>21558576.18575</v>
      </c>
    </row>
    <row r="226" spans="1:12">
      <c r="A226" s="429" t="str">
        <f t="shared" si="5"/>
        <v>07</v>
      </c>
      <c r="B226" s="429" t="str">
        <f>T("0701002")</f>
        <v>0701002</v>
      </c>
      <c r="C226" s="637" t="str">
        <f>T("Styrelsen för internationellt utvecklingssamarbete (Sida)")</f>
        <v>Styrelsen för internationellt utvecklingssamarbete (Sida)</v>
      </c>
      <c r="D226" s="428">
        <v>414079.32549999998</v>
      </c>
      <c r="E226" s="428">
        <v>416150.92411000002</v>
      </c>
      <c r="F226" s="428">
        <v>459159.02071000001</v>
      </c>
      <c r="G226" s="428">
        <v>438847.53837000002</v>
      </c>
      <c r="H226" s="428">
        <v>468009.0834</v>
      </c>
      <c r="I226" s="428">
        <v>465224.22490999999</v>
      </c>
      <c r="J226" s="428">
        <v>521270.79687000002</v>
      </c>
      <c r="K226" s="428">
        <v>542010.63940999995</v>
      </c>
      <c r="L226" s="428">
        <v>583809.23054999998</v>
      </c>
    </row>
    <row r="227" spans="1:12">
      <c r="A227" s="429" t="str">
        <f t="shared" si="5"/>
        <v>07</v>
      </c>
      <c r="B227" s="429" t="str">
        <f>T("0701003")</f>
        <v>0701003</v>
      </c>
      <c r="C227" s="637" t="str">
        <f>T("Nordiska Afrikainstitutet")</f>
        <v>Nordiska Afrikainstitutet</v>
      </c>
      <c r="G227" s="428">
        <v>12997.61742</v>
      </c>
      <c r="H227" s="428">
        <v>10995.96306</v>
      </c>
      <c r="I227" s="428">
        <v>11404.73179</v>
      </c>
      <c r="J227" s="428">
        <v>11381.75938</v>
      </c>
      <c r="K227" s="428">
        <v>12381.69282</v>
      </c>
      <c r="L227" s="428">
        <v>13514</v>
      </c>
    </row>
    <row r="228" spans="1:12">
      <c r="A228" s="429" t="str">
        <f t="shared" si="5"/>
        <v>07</v>
      </c>
      <c r="B228" s="429" t="str">
        <f>T("0701004")</f>
        <v>0701004</v>
      </c>
      <c r="C228" s="637" t="str">
        <f>T("Folke Bernadotteakademin")</f>
        <v>Folke Bernadotteakademin</v>
      </c>
      <c r="J228" s="428">
        <v>4216.8736200000003</v>
      </c>
      <c r="K228" s="428">
        <v>14979.670249999999</v>
      </c>
      <c r="L228" s="428">
        <v>20871.313750000001</v>
      </c>
    </row>
    <row r="229" spans="1:12">
      <c r="A229" s="429" t="str">
        <f t="shared" si="5"/>
        <v>07</v>
      </c>
      <c r="B229" s="429" t="str">
        <f>T("0701005")</f>
        <v>0701005</v>
      </c>
      <c r="C229" s="637" t="str">
        <f>T("Riksrevisionen: Internationellt utvecklingssamarbete")</f>
        <v>Riksrevisionen: Internationellt utvecklingssamarbete</v>
      </c>
      <c r="K229" s="428">
        <v>25377.846809999999</v>
      </c>
      <c r="L229" s="428">
        <v>31918.80673</v>
      </c>
    </row>
    <row r="230" spans="1:12">
      <c r="A230" s="429" t="str">
        <f t="shared" si="5"/>
        <v>07</v>
      </c>
      <c r="B230" s="429" t="str">
        <f>T("0701006")</f>
        <v>0701006</v>
      </c>
      <c r="C230" s="637" t="str">
        <f>T("Utvärdering av internationellt bistånd")</f>
        <v>Utvärdering av internationellt bistånd</v>
      </c>
    </row>
    <row r="231" spans="1:12">
      <c r="A231" s="429" t="str">
        <f t="shared" si="5"/>
        <v>07</v>
      </c>
      <c r="B231" s="429" t="str">
        <f>T("0701006 2012")</f>
        <v>0701006 2012</v>
      </c>
      <c r="C231" s="637" t="str">
        <f>T("Institutet för utvärdering av internationellt utvecklingssamarbete")</f>
        <v>Institutet för utvärdering av internationellt utvecklingssamarbete</v>
      </c>
    </row>
    <row r="232" spans="1:12">
      <c r="A232" s="429" t="str">
        <f t="shared" si="5"/>
        <v>07</v>
      </c>
      <c r="B232" s="429" t="str">
        <f>T("0702001 2013")</f>
        <v>0702001 2013</v>
      </c>
      <c r="C232" s="637" t="str">
        <f>T("Reformsamarbete i Östeuropa")</f>
        <v>Reformsamarbete i Östeuropa</v>
      </c>
    </row>
    <row r="233" spans="1:12">
      <c r="A233" s="429" t="str">
        <f t="shared" si="5"/>
        <v>07</v>
      </c>
      <c r="B233" s="429" t="str">
        <f>T("070805 2006")</f>
        <v>070805 2006</v>
      </c>
      <c r="C233" s="637" t="str">
        <f>T("Avsättning för förlustrisker vad avser garantier för finansiellt stöd och exportkreditgarantier")</f>
        <v>Avsättning för förlustrisker vad avser garantier för finansiellt stöd och exportkreditgarantier</v>
      </c>
      <c r="D233" s="428">
        <v>15000</v>
      </c>
      <c r="G233" s="428">
        <v>32000</v>
      </c>
      <c r="H233" s="428">
        <v>100800</v>
      </c>
      <c r="I233" s="428">
        <v>128500</v>
      </c>
    </row>
    <row r="234" spans="1:12">
      <c r="A234" s="429" t="str">
        <f t="shared" si="5"/>
        <v>07</v>
      </c>
      <c r="B234" s="429" t="str">
        <f>T("070901 2003")</f>
        <v>070901 2003</v>
      </c>
      <c r="C234" s="637" t="str">
        <f>T("Samarbete med Central- och Östeuropa")</f>
        <v>Samarbete med Central- och Östeuropa</v>
      </c>
      <c r="D234" s="428">
        <v>640907.90482000005</v>
      </c>
      <c r="E234" s="428">
        <v>688044.29917999997</v>
      </c>
      <c r="F234" s="428">
        <v>793793.05897999997</v>
      </c>
      <c r="G234" s="428">
        <v>903597.61380000005</v>
      </c>
      <c r="H234" s="428">
        <v>968095.30293000001</v>
      </c>
      <c r="I234" s="428">
        <v>889465.93255999999</v>
      </c>
      <c r="J234" s="428">
        <v>777295.12199000001</v>
      </c>
      <c r="K234" s="428">
        <v>520161.96815999999</v>
      </c>
      <c r="L234" s="428">
        <v>51450.636680000003</v>
      </c>
    </row>
    <row r="235" spans="1:12">
      <c r="A235" s="430" t="s">
        <v>1641</v>
      </c>
      <c r="B235" s="430"/>
      <c r="C235" s="430" t="str">
        <f>T("Internationellt bistånd")</f>
        <v>Internationellt bistånd</v>
      </c>
      <c r="D235" s="431">
        <v>12139271.337029999</v>
      </c>
      <c r="E235" s="431">
        <v>11478582.85196</v>
      </c>
      <c r="F235" s="431">
        <v>12418492.90858</v>
      </c>
      <c r="G235" s="431">
        <v>15317474.779100001</v>
      </c>
      <c r="H235" s="431">
        <v>16989313.606400002</v>
      </c>
      <c r="I235" s="431">
        <v>15683515.90495</v>
      </c>
      <c r="J235" s="431">
        <v>15912025.33395</v>
      </c>
      <c r="K235" s="431">
        <v>19907172.927829999</v>
      </c>
      <c r="L235" s="431">
        <v>22260140.173459999</v>
      </c>
    </row>
    <row r="236" spans="1:12">
      <c r="A236" s="429" t="str">
        <f t="shared" ref="A236:A252" si="6">T("08")</f>
        <v>08</v>
      </c>
      <c r="B236" s="429" t="str">
        <f>T("0801001")</f>
        <v>0801001</v>
      </c>
      <c r="C236" s="637" t="str">
        <f>T("Migrationsverket")</f>
        <v>Migrationsverket</v>
      </c>
      <c r="D236" s="428">
        <v>499248.68936000002</v>
      </c>
      <c r="E236" s="428">
        <v>466618.71305999998</v>
      </c>
      <c r="F236" s="428">
        <v>445413.59055999998</v>
      </c>
      <c r="G236" s="428">
        <v>456081.69678</v>
      </c>
      <c r="H236" s="428">
        <v>470922.16745000001</v>
      </c>
      <c r="I236" s="428">
        <v>586175.91977000004</v>
      </c>
      <c r="J236" s="428">
        <v>623953.00745000003</v>
      </c>
      <c r="K236" s="428">
        <v>649520.24739999999</v>
      </c>
      <c r="L236" s="428">
        <v>667653.68114</v>
      </c>
    </row>
    <row r="237" spans="1:12">
      <c r="A237" s="429" t="str">
        <f t="shared" si="6"/>
        <v>08</v>
      </c>
      <c r="B237" s="429" t="str">
        <f>T("0801002")</f>
        <v>0801002</v>
      </c>
      <c r="C237" s="637" t="str">
        <f>T("Ersättningar och bostadskostnader")</f>
        <v>Ersättningar och bostadskostnader</v>
      </c>
      <c r="D237" s="428">
        <v>1005036.74686</v>
      </c>
      <c r="E237" s="428">
        <v>971750.46466000006</v>
      </c>
      <c r="F237" s="428">
        <v>1213335.4932899999</v>
      </c>
      <c r="G237" s="428">
        <v>1372125.5873799999</v>
      </c>
      <c r="H237" s="428">
        <v>1787000.1847000001</v>
      </c>
      <c r="I237" s="428">
        <v>2719589.9560500002</v>
      </c>
      <c r="J237" s="428">
        <v>3716552.2253299998</v>
      </c>
      <c r="K237" s="428">
        <v>3771736.8414500002</v>
      </c>
      <c r="L237" s="428">
        <v>3419055.50881</v>
      </c>
    </row>
    <row r="238" spans="1:12">
      <c r="A238" s="429" t="str">
        <f t="shared" si="6"/>
        <v>08</v>
      </c>
      <c r="B238" s="429" t="str">
        <f>T("0801003")</f>
        <v>0801003</v>
      </c>
      <c r="C238" s="637" t="str">
        <f>T("Migrationspolitiska åtgärder")</f>
        <v>Migrationspolitiska åtgärder</v>
      </c>
      <c r="D238" s="428">
        <v>285504.11453999998</v>
      </c>
      <c r="E238" s="428">
        <v>200583.64413999999</v>
      </c>
      <c r="F238" s="428">
        <v>120523.04644999999</v>
      </c>
      <c r="G238" s="428">
        <v>200009.84244000001</v>
      </c>
      <c r="H238" s="428">
        <v>213596.82086000001</v>
      </c>
      <c r="I238" s="428">
        <v>173724.01056</v>
      </c>
      <c r="J238" s="428">
        <v>155200.85681999999</v>
      </c>
      <c r="K238" s="428">
        <v>257376.80507999999</v>
      </c>
      <c r="L238" s="428">
        <v>193271.78351000001</v>
      </c>
    </row>
    <row r="239" spans="1:12">
      <c r="A239" s="429" t="str">
        <f t="shared" si="6"/>
        <v>08</v>
      </c>
      <c r="B239" s="429" t="str">
        <f>T("0801004")</f>
        <v>0801004</v>
      </c>
      <c r="C239" s="637" t="str">
        <f>T("Domstolsprövning i utlänningsärenden")</f>
        <v>Domstolsprövning i utlänningsärenden</v>
      </c>
    </row>
    <row r="240" spans="1:12">
      <c r="A240" s="429" t="str">
        <f t="shared" si="6"/>
        <v>08</v>
      </c>
      <c r="B240" s="429" t="str">
        <f>T("0801005")</f>
        <v>0801005</v>
      </c>
      <c r="C240" s="637" t="str">
        <f>T("Kostnader vid domstolsprövning i utlänningsärenden")</f>
        <v>Kostnader vid domstolsprövning i utlänningsärenden</v>
      </c>
    </row>
    <row r="241" spans="1:12">
      <c r="A241" s="429" t="str">
        <f t="shared" si="6"/>
        <v>08</v>
      </c>
      <c r="B241" s="429" t="str">
        <f>T("0801006")</f>
        <v>0801006</v>
      </c>
      <c r="C241" s="637" t="str">
        <f>T("Offentligt biträde i utlänningsärenden")</f>
        <v>Offentligt biträde i utlänningsärenden</v>
      </c>
      <c r="D241" s="428">
        <v>51931.311999999998</v>
      </c>
      <c r="E241" s="428">
        <v>51248.966520000002</v>
      </c>
      <c r="F241" s="428">
        <v>51090.992660000004</v>
      </c>
      <c r="G241" s="428">
        <v>67687.359119999994</v>
      </c>
      <c r="H241" s="428">
        <v>85619.433309999993</v>
      </c>
      <c r="I241" s="428">
        <v>121321.64386</v>
      </c>
      <c r="J241" s="428">
        <v>151571.73319999999</v>
      </c>
      <c r="K241" s="428">
        <v>194224.87885000001</v>
      </c>
      <c r="L241" s="428">
        <v>163448.18583</v>
      </c>
    </row>
    <row r="242" spans="1:12">
      <c r="A242" s="429" t="str">
        <f t="shared" si="6"/>
        <v>08</v>
      </c>
      <c r="B242" s="429" t="str">
        <f>T("0801007")</f>
        <v>0801007</v>
      </c>
      <c r="C242" s="637" t="str">
        <f>T("Utresor för avvisade och utvisade")</f>
        <v>Utresor för avvisade och utvisade</v>
      </c>
      <c r="D242" s="428">
        <v>57797.193330000002</v>
      </c>
      <c r="E242" s="428">
        <v>64623.570019999999</v>
      </c>
      <c r="F242" s="428">
        <v>60484.155659999997</v>
      </c>
      <c r="G242" s="428">
        <v>57969.52231</v>
      </c>
      <c r="H242" s="428">
        <v>69873.041039999996</v>
      </c>
      <c r="I242" s="428">
        <v>93016.153229999996</v>
      </c>
      <c r="J242" s="428">
        <v>128037.94362000001</v>
      </c>
      <c r="K242" s="428">
        <v>176960.05833999999</v>
      </c>
      <c r="L242" s="428">
        <v>176829.93719999999</v>
      </c>
    </row>
    <row r="243" spans="1:12">
      <c r="A243" s="429" t="str">
        <f t="shared" si="6"/>
        <v>08</v>
      </c>
      <c r="B243" s="429" t="str">
        <f>T("0801008")</f>
        <v>0801008</v>
      </c>
      <c r="C243" s="637" t="str">
        <f>T("Från EU-budgeten finansierade insatser för asylsökande och flyktingar")</f>
        <v>Från EU-budgeten finansierade insatser för asylsökande och flyktingar</v>
      </c>
      <c r="H243" s="428">
        <v>22377.564989999999</v>
      </c>
      <c r="I243" s="428">
        <v>22078.827669999999</v>
      </c>
      <c r="J243" s="428">
        <v>22368.689490000001</v>
      </c>
      <c r="K243" s="428">
        <v>24576.217400000001</v>
      </c>
      <c r="L243" s="428">
        <v>12051.477279999999</v>
      </c>
    </row>
    <row r="244" spans="1:12">
      <c r="A244" s="429" t="str">
        <f t="shared" si="6"/>
        <v>08</v>
      </c>
      <c r="B244" s="429" t="str">
        <f>T("081209 2006")</f>
        <v>081209 2006</v>
      </c>
      <c r="C244" s="637" t="str">
        <f>T("Utlänningsnämnden")</f>
        <v>Utlänningsnämnden</v>
      </c>
      <c r="D244" s="428">
        <v>63249.863559999998</v>
      </c>
      <c r="E244" s="428">
        <v>65355.499320000003</v>
      </c>
      <c r="F244" s="428">
        <v>62098.487730000001</v>
      </c>
      <c r="G244" s="428">
        <v>69504.978390000004</v>
      </c>
      <c r="H244" s="428">
        <v>76189.006779999996</v>
      </c>
      <c r="I244" s="428">
        <v>96609.832450000002</v>
      </c>
      <c r="J244" s="428">
        <v>123654.32392</v>
      </c>
      <c r="K244" s="428">
        <v>140156.47800999999</v>
      </c>
      <c r="L244" s="428">
        <v>174158.0091</v>
      </c>
    </row>
    <row r="245" spans="1:12">
      <c r="A245" s="429" t="str">
        <f t="shared" si="6"/>
        <v>08</v>
      </c>
      <c r="B245" s="429" t="str">
        <f>T("081209 2007")</f>
        <v>081209 2007</v>
      </c>
      <c r="C245" s="637" t="str">
        <f>T("Utlänningsnämndens avvecklingsorganisation")</f>
        <v>Utlänningsnämndens avvecklingsorganisation</v>
      </c>
    </row>
    <row r="246" spans="1:12">
      <c r="A246" s="429" t="str">
        <f t="shared" si="6"/>
        <v>08</v>
      </c>
      <c r="B246" s="429" t="str">
        <f>T("08B002 1997")</f>
        <v>08B002 1997</v>
      </c>
      <c r="C246" s="637" t="str">
        <f>T("Åtgärder mot främlingsfientlighet och rasism")</f>
        <v>Åtgärder mot främlingsfientlighet och rasism</v>
      </c>
      <c r="D246" s="428">
        <v>9981.3059799999992</v>
      </c>
    </row>
    <row r="247" spans="1:12">
      <c r="A247" s="429" t="str">
        <f t="shared" si="6"/>
        <v>08</v>
      </c>
      <c r="B247" s="429" t="str">
        <f>T("08B004 1997")</f>
        <v>08B004 1997</v>
      </c>
      <c r="C247" s="637" t="str">
        <f>T("Åtgärder för invandrare")</f>
        <v>Åtgärder för invandrare</v>
      </c>
      <c r="D247" s="428">
        <v>39903.713000000003</v>
      </c>
    </row>
    <row r="248" spans="1:12">
      <c r="A248" s="429" t="str">
        <f t="shared" si="6"/>
        <v>08</v>
      </c>
      <c r="B248" s="429" t="str">
        <f>T("10D003 9596")</f>
        <v>10D003 9596</v>
      </c>
      <c r="C248" s="637" t="str">
        <f>T("Åtgärder för invandrare")</f>
        <v>Åtgärder för invandrare</v>
      </c>
      <c r="D248" s="428">
        <v>153.71299999999999</v>
      </c>
    </row>
    <row r="249" spans="1:12">
      <c r="A249" s="429" t="str">
        <f t="shared" si="6"/>
        <v>08</v>
      </c>
      <c r="B249" s="429" t="str">
        <f>T("10D010 9596")</f>
        <v>10D010 9596</v>
      </c>
      <c r="C249" s="637" t="str">
        <f>T("Internationell samverkan inom ramen för flykting- och migrat")</f>
        <v>Internationell samverkan inom ramen för flykting- och migrat</v>
      </c>
      <c r="D249" s="428">
        <v>584.50363000000004</v>
      </c>
      <c r="E249" s="428">
        <v>91.952380000000005</v>
      </c>
    </row>
    <row r="250" spans="1:12">
      <c r="A250" s="429" t="str">
        <f t="shared" si="6"/>
        <v>08</v>
      </c>
      <c r="B250" s="429" t="str">
        <f>T("10D011 9596")</f>
        <v>10D011 9596</v>
      </c>
      <c r="C250" s="637" t="str">
        <f>T("Åtgärder mot främlingsfientlighet och rasism")</f>
        <v>Åtgärder mot främlingsfientlighet och rasism</v>
      </c>
      <c r="D250" s="428">
        <v>8753.2238500000003</v>
      </c>
      <c r="E250" s="428">
        <v>6650.9906499999997</v>
      </c>
      <c r="F250" s="428">
        <v>1932.972</v>
      </c>
    </row>
    <row r="251" spans="1:12">
      <c r="A251" s="429" t="str">
        <f t="shared" si="6"/>
        <v>08</v>
      </c>
      <c r="B251" s="429" t="str">
        <f>T("10D012 9596")</f>
        <v>10D012 9596</v>
      </c>
      <c r="C251" s="637" t="str">
        <f>T("Särskilda insatser i invandrartäta områden")</f>
        <v>Särskilda insatser i invandrartäta områden</v>
      </c>
      <c r="D251" s="428">
        <v>71093.700360000003</v>
      </c>
      <c r="E251" s="428">
        <v>11001.4</v>
      </c>
      <c r="F251" s="428">
        <v>14539</v>
      </c>
    </row>
    <row r="252" spans="1:12">
      <c r="A252" s="429" t="str">
        <f t="shared" si="6"/>
        <v>08</v>
      </c>
      <c r="B252" s="429" t="str">
        <f>T("11D012 9495")</f>
        <v>11D012 9495</v>
      </c>
      <c r="C252" s="637" t="str">
        <f>T("Särskilda åtgärder i flyktingmottagandetm.m")</f>
        <v>Särskilda åtgärder i flyktingmottagandetm.m</v>
      </c>
      <c r="D252" s="428">
        <v>2310.0988499999999</v>
      </c>
      <c r="E252" s="428">
        <v>2719.1047899999999</v>
      </c>
    </row>
    <row r="253" spans="1:12">
      <c r="A253" s="430" t="s">
        <v>1642</v>
      </c>
      <c r="B253" s="430"/>
      <c r="C253" s="430" t="str">
        <f>T("Migration")</f>
        <v>Migration</v>
      </c>
      <c r="D253" s="431">
        <v>2095548.1783199999</v>
      </c>
      <c r="E253" s="431">
        <v>1840644.3055400001</v>
      </c>
      <c r="F253" s="431">
        <v>1969417.73835</v>
      </c>
      <c r="G253" s="431">
        <v>2223378.98642</v>
      </c>
      <c r="H253" s="431">
        <v>2725578.2191300001</v>
      </c>
      <c r="I253" s="431">
        <v>3812516.3435900002</v>
      </c>
      <c r="J253" s="431">
        <v>4921338.7798300004</v>
      </c>
      <c r="K253" s="431">
        <v>5214551.5265300004</v>
      </c>
      <c r="L253" s="431">
        <v>4806468.58287</v>
      </c>
    </row>
    <row r="254" spans="1:12">
      <c r="A254" s="429" t="str">
        <f t="shared" ref="A254:A317" si="7">T("09")</f>
        <v>09</v>
      </c>
      <c r="B254" s="429" t="str">
        <f>T("05C002 9596")</f>
        <v>05C002 9596</v>
      </c>
      <c r="C254" s="637" t="str">
        <f>T("Insatser mot aids")</f>
        <v>Insatser mot aids</v>
      </c>
      <c r="D254" s="428">
        <v>19894.829969999999</v>
      </c>
      <c r="E254" s="428">
        <v>2434.0551</v>
      </c>
      <c r="F254" s="428">
        <v>676.34329000000002</v>
      </c>
    </row>
    <row r="255" spans="1:12">
      <c r="A255" s="429" t="str">
        <f t="shared" si="7"/>
        <v>09</v>
      </c>
      <c r="B255" s="429" t="str">
        <f>T("05C009 9596")</f>
        <v>05C009 9596</v>
      </c>
      <c r="C255" s="637" t="str">
        <f>T("Allmänt bidrag till hälso- och sjukvården")</f>
        <v>Allmänt bidrag till hälso- och sjukvården</v>
      </c>
      <c r="D255" s="428">
        <v>6618</v>
      </c>
      <c r="E255" s="428">
        <v>125</v>
      </c>
    </row>
    <row r="256" spans="1:12">
      <c r="A256" s="429" t="str">
        <f t="shared" si="7"/>
        <v>09</v>
      </c>
      <c r="B256" s="429" t="str">
        <f>T("05C011 9596")</f>
        <v>05C011 9596</v>
      </c>
      <c r="C256" s="637" t="str">
        <f>T("Information om organdonation m.m.")</f>
        <v>Information om organdonation m.m.</v>
      </c>
      <c r="D256" s="428">
        <v>14.240959999999999</v>
      </c>
    </row>
    <row r="257" spans="1:12">
      <c r="A257" s="429" t="str">
        <f t="shared" si="7"/>
        <v>09</v>
      </c>
      <c r="B257" s="429" t="str">
        <f>T("05D001 9596")</f>
        <v>05D001 9596</v>
      </c>
      <c r="C257" s="637" t="str">
        <f>T("Stimulansbidrag till särskilda boendeformer och rehabiliteri")</f>
        <v>Stimulansbidrag till särskilda boendeformer och rehabiliteri</v>
      </c>
      <c r="D257" s="428">
        <v>73362</v>
      </c>
      <c r="E257" s="428">
        <v>0</v>
      </c>
    </row>
    <row r="258" spans="1:12">
      <c r="A258" s="429" t="str">
        <f t="shared" si="7"/>
        <v>09</v>
      </c>
      <c r="B258" s="429" t="str">
        <f>T("05D005 9596")</f>
        <v>05D005 9596</v>
      </c>
      <c r="C258" s="637" t="str">
        <f>T("Bidrag till viss verksamhet för personer med funktionshinder")</f>
        <v>Bidrag till viss verksamhet för personer med funktionshinder</v>
      </c>
      <c r="D258" s="428">
        <v>-2898.9780000000001</v>
      </c>
    </row>
    <row r="259" spans="1:12">
      <c r="A259" s="429" t="str">
        <f t="shared" si="7"/>
        <v>09</v>
      </c>
      <c r="B259" s="429" t="str">
        <f>T("05D007 9394")</f>
        <v>05D007 9394</v>
      </c>
      <c r="C259" s="637" t="str">
        <f>T("Bidrag till husläkarsystem m.m.")</f>
        <v>Bidrag till husläkarsystem m.m.</v>
      </c>
      <c r="D259" s="428">
        <v>0</v>
      </c>
    </row>
    <row r="260" spans="1:12">
      <c r="A260" s="429" t="str">
        <f t="shared" si="7"/>
        <v>09</v>
      </c>
      <c r="B260" s="429" t="str">
        <f>T("05D008 9394")</f>
        <v>05D008 9394</v>
      </c>
      <c r="C260" s="637" t="str">
        <f>T("Bidrag till kvalitet i äldrevården")</f>
        <v>Bidrag till kvalitet i äldrevården</v>
      </c>
      <c r="D260" s="428">
        <v>5295.4589999999998</v>
      </c>
    </row>
    <row r="261" spans="1:12">
      <c r="A261" s="429" t="str">
        <f t="shared" si="7"/>
        <v>09</v>
      </c>
      <c r="B261" s="429" t="str">
        <f>T("05E001 9596")</f>
        <v>05E001 9596</v>
      </c>
      <c r="C261" s="637" t="str">
        <f>T("Bidrag till missbrukarvård och ungdomsvård")</f>
        <v>Bidrag till missbrukarvård och ungdomsvård</v>
      </c>
      <c r="D261" s="428">
        <v>402.11200000000002</v>
      </c>
      <c r="E261" s="428">
        <v>7.5180800000000003</v>
      </c>
    </row>
    <row r="262" spans="1:12">
      <c r="A262" s="429" t="str">
        <f t="shared" si="7"/>
        <v>09</v>
      </c>
      <c r="B262" s="429" t="str">
        <f>T("05E002 9596")</f>
        <v>05E002 9596</v>
      </c>
      <c r="C262" s="637" t="str">
        <f>T("Bidrag till organisationer")</f>
        <v>Bidrag till organisationer</v>
      </c>
      <c r="D262" s="428">
        <v>211.52</v>
      </c>
    </row>
    <row r="263" spans="1:12">
      <c r="A263" s="429" t="str">
        <f t="shared" si="7"/>
        <v>09</v>
      </c>
      <c r="B263" s="429" t="str">
        <f>T("05E004 9596")</f>
        <v>05E004 9596</v>
      </c>
      <c r="C263" s="637" t="str">
        <f>T("Alkohol- och drogpolitiska åtgärder")</f>
        <v>Alkohol- och drogpolitiska åtgärder</v>
      </c>
      <c r="D263" s="428">
        <v>18428.939399999999</v>
      </c>
      <c r="E263" s="428">
        <v>1379.93</v>
      </c>
      <c r="F263" s="428">
        <v>-1.2805</v>
      </c>
    </row>
    <row r="264" spans="1:12">
      <c r="A264" s="429" t="str">
        <f t="shared" si="7"/>
        <v>09</v>
      </c>
      <c r="B264" s="429" t="str">
        <f>T("05F020 9596")</f>
        <v>05F020 9596</v>
      </c>
      <c r="C264" s="637" t="str">
        <f>T("Socialvetenskapliga forskningsrådet: Forskningsmedel")</f>
        <v>Socialvetenskapliga forskningsrådet: Forskningsmedel</v>
      </c>
      <c r="D264" s="428">
        <v>130.88095999999999</v>
      </c>
    </row>
    <row r="265" spans="1:12">
      <c r="A265" s="429" t="str">
        <f t="shared" si="7"/>
        <v>09</v>
      </c>
      <c r="B265" s="429" t="str">
        <f>T("0901001")</f>
        <v>0901001</v>
      </c>
      <c r="C265" s="637" t="str">
        <f>T("Myndigheten för vårdanalys")</f>
        <v>Myndigheten för vårdanalys</v>
      </c>
    </row>
    <row r="266" spans="1:12">
      <c r="A266" s="429" t="str">
        <f t="shared" si="7"/>
        <v>09</v>
      </c>
      <c r="B266" s="429" t="str">
        <f>T("0901001 2012")</f>
        <v>0901001 2012</v>
      </c>
      <c r="C266" s="637" t="str">
        <f>T("Hälso- och sjukvårdens ansvarsnämnd")</f>
        <v>Hälso- och sjukvårdens ansvarsnämnd</v>
      </c>
      <c r="D266" s="428">
        <v>20932.470789999999</v>
      </c>
      <c r="E266" s="428">
        <v>21071.480039999999</v>
      </c>
      <c r="F266" s="428">
        <v>22483.11233</v>
      </c>
      <c r="G266" s="428">
        <v>21247.535479999999</v>
      </c>
      <c r="H266" s="428">
        <v>20160.04348</v>
      </c>
      <c r="I266" s="428">
        <v>21999.932479999999</v>
      </c>
      <c r="J266" s="428">
        <v>24142.615949999999</v>
      </c>
      <c r="K266" s="428">
        <v>27273.53328</v>
      </c>
      <c r="L266" s="428">
        <v>26567.724269999999</v>
      </c>
    </row>
    <row r="267" spans="1:12">
      <c r="A267" s="429" t="str">
        <f t="shared" si="7"/>
        <v>09</v>
      </c>
      <c r="B267" s="429" t="str">
        <f>T("0901002")</f>
        <v>0901002</v>
      </c>
      <c r="C267" s="637" t="str">
        <f>T("Statens beredning för medicinsk utvärdering")</f>
        <v>Statens beredning för medicinsk utvärdering</v>
      </c>
      <c r="D267" s="428">
        <v>23175.98242</v>
      </c>
      <c r="E267" s="428">
        <v>19975.185300000001</v>
      </c>
      <c r="F267" s="428">
        <v>33026.740689999999</v>
      </c>
      <c r="G267" s="428">
        <v>34216.347849999998</v>
      </c>
      <c r="H267" s="428">
        <v>36609.234400000001</v>
      </c>
      <c r="I267" s="428">
        <v>38027.252500000002</v>
      </c>
      <c r="J267" s="428">
        <v>38154.999340000002</v>
      </c>
      <c r="K267" s="428">
        <v>40983.906450000002</v>
      </c>
      <c r="L267" s="428">
        <v>39390.964890000003</v>
      </c>
    </row>
    <row r="268" spans="1:12">
      <c r="A268" s="429" t="str">
        <f t="shared" si="7"/>
        <v>09</v>
      </c>
      <c r="B268" s="429" t="str">
        <f>T("0901003")</f>
        <v>0901003</v>
      </c>
      <c r="C268" s="637" t="str">
        <f>T("Tandvårds- och läkemedelsförmånsverket")</f>
        <v>Tandvårds- och läkemedelsförmånsverket</v>
      </c>
      <c r="J268" s="428">
        <v>39290.791680000002</v>
      </c>
      <c r="K268" s="428">
        <v>51648.824930000002</v>
      </c>
      <c r="L268" s="428">
        <v>52052.198420000001</v>
      </c>
    </row>
    <row r="269" spans="1:12">
      <c r="A269" s="429" t="str">
        <f t="shared" si="7"/>
        <v>09</v>
      </c>
      <c r="B269" s="429" t="str">
        <f>T("0901004")</f>
        <v>0901004</v>
      </c>
      <c r="C269" s="637" t="str">
        <f>T("Tandvårdsförmåner")</f>
        <v>Tandvårdsförmåner</v>
      </c>
      <c r="E269" s="428">
        <v>1879924.8215699999</v>
      </c>
      <c r="F269" s="428">
        <v>1909426.0248799999</v>
      </c>
      <c r="G269" s="428">
        <v>2012363.75499</v>
      </c>
      <c r="H269" s="428">
        <v>2209979.6759600001</v>
      </c>
      <c r="I269" s="428">
        <v>1987178.31916</v>
      </c>
      <c r="J269" s="428">
        <v>2845558.2061299998</v>
      </c>
      <c r="K269" s="428">
        <v>3161600.68976</v>
      </c>
      <c r="L269" s="428">
        <v>2438426.0109100002</v>
      </c>
    </row>
    <row r="270" spans="1:12">
      <c r="A270" s="429" t="str">
        <f t="shared" si="7"/>
        <v>09</v>
      </c>
      <c r="B270" s="429" t="str">
        <f>T("0901005")</f>
        <v>0901005</v>
      </c>
      <c r="C270" s="637" t="str">
        <f>T("Bidrag för läkemedelsförmånerna")</f>
        <v>Bidrag för läkemedelsförmånerna</v>
      </c>
      <c r="E270" s="428">
        <v>13765366.47642</v>
      </c>
      <c r="F270" s="428">
        <v>14211985.1</v>
      </c>
      <c r="G270" s="428">
        <v>16920596.243999999</v>
      </c>
      <c r="H270" s="428">
        <v>16530753.416999999</v>
      </c>
      <c r="I270" s="428">
        <v>17842910.728999998</v>
      </c>
      <c r="J270" s="428">
        <v>18550013</v>
      </c>
      <c r="K270" s="428">
        <v>19449987</v>
      </c>
      <c r="L270" s="428">
        <v>19767000</v>
      </c>
    </row>
    <row r="271" spans="1:12">
      <c r="A271" s="429" t="str">
        <f t="shared" si="7"/>
        <v>09</v>
      </c>
      <c r="B271" s="429" t="str">
        <f>T("0901006")</f>
        <v>0901006</v>
      </c>
      <c r="C271" s="637" t="str">
        <f>T("Bidrag till folkhälsa och sjukvård")</f>
        <v>Bidrag till folkhälsa och sjukvård</v>
      </c>
      <c r="D271" s="428">
        <v>981639.51133999997</v>
      </c>
      <c r="E271" s="428">
        <v>928986.78081999999</v>
      </c>
      <c r="F271" s="428">
        <v>987323.87459000002</v>
      </c>
      <c r="G271" s="428">
        <v>969733.71037999995</v>
      </c>
      <c r="H271" s="428">
        <v>965976.26491999999</v>
      </c>
      <c r="I271" s="428">
        <v>299659.39523999998</v>
      </c>
      <c r="J271" s="428">
        <v>293375.46483000001</v>
      </c>
      <c r="K271" s="428">
        <v>270832.37585999997</v>
      </c>
      <c r="L271" s="428">
        <v>260001.85774000001</v>
      </c>
    </row>
    <row r="272" spans="1:12">
      <c r="A272" s="429" t="str">
        <f t="shared" si="7"/>
        <v>09</v>
      </c>
      <c r="B272" s="429" t="str">
        <f>T("0901007")</f>
        <v>0901007</v>
      </c>
      <c r="C272" s="637" t="str">
        <f>T("Sjukvård i internationella förhållanden")</f>
        <v>Sjukvård i internationella förhållanden</v>
      </c>
      <c r="K272" s="428">
        <v>279960.85106999998</v>
      </c>
      <c r="L272" s="428">
        <v>317484.03600999998</v>
      </c>
    </row>
    <row r="273" spans="1:12">
      <c r="A273" s="429" t="str">
        <f t="shared" si="7"/>
        <v>09</v>
      </c>
      <c r="B273" s="429" t="str">
        <f>T("0901008")</f>
        <v>0901008</v>
      </c>
      <c r="C273" s="637" t="str">
        <f>T("Bidrag till psykiatri")</f>
        <v>Bidrag till psykiatri</v>
      </c>
    </row>
    <row r="274" spans="1:12">
      <c r="A274" s="429" t="str">
        <f t="shared" si="7"/>
        <v>09</v>
      </c>
      <c r="B274" s="429" t="str">
        <f>T("0901009")</f>
        <v>0901009</v>
      </c>
      <c r="C274" s="637" t="str">
        <f>T("Prestationsbunden vårdgaranti")</f>
        <v>Prestationsbunden vårdgaranti</v>
      </c>
    </row>
    <row r="275" spans="1:12">
      <c r="A275" s="429" t="str">
        <f t="shared" si="7"/>
        <v>09</v>
      </c>
      <c r="B275" s="429" t="str">
        <f>T("0901010")</f>
        <v>0901010</v>
      </c>
      <c r="C275" s="637" t="str">
        <f>T("Bidrag för mänskliga vävnader och celler")</f>
        <v>Bidrag för mänskliga vävnader och celler</v>
      </c>
    </row>
    <row r="276" spans="1:12">
      <c r="A276" s="429" t="str">
        <f t="shared" si="7"/>
        <v>09</v>
      </c>
      <c r="B276" s="429" t="str">
        <f>T("0901011")</f>
        <v>0901011</v>
      </c>
      <c r="C276" s="637" t="str">
        <f>T("Läkemedelsverket")</f>
        <v>Läkemedelsverket</v>
      </c>
    </row>
    <row r="277" spans="1:12">
      <c r="A277" s="429" t="str">
        <f t="shared" si="7"/>
        <v>09</v>
      </c>
      <c r="B277" s="429" t="str">
        <f>T("0901012")</f>
        <v>0901012</v>
      </c>
      <c r="C277" s="637" t="str">
        <f>T("E-hälsomyndigheten")</f>
        <v>E-hälsomyndigheten</v>
      </c>
    </row>
    <row r="278" spans="1:12">
      <c r="A278" s="429" t="str">
        <f t="shared" si="7"/>
        <v>09</v>
      </c>
      <c r="B278" s="429" t="str">
        <f>T("0902001")</f>
        <v>0902001</v>
      </c>
      <c r="C278" s="637" t="str">
        <f>T("Folkhälsomyndigheten")</f>
        <v>Folkhälsomyndigheten</v>
      </c>
    </row>
    <row r="279" spans="1:12">
      <c r="A279" s="429" t="str">
        <f t="shared" si="7"/>
        <v>09</v>
      </c>
      <c r="B279" s="429" t="str">
        <f>T("0902001 2013")</f>
        <v>0902001 2013</v>
      </c>
      <c r="C279" s="637" t="str">
        <f>T("Statens folkhälsoinstitut")</f>
        <v>Statens folkhälsoinstitut</v>
      </c>
      <c r="D279" s="428">
        <v>119020.42742000001</v>
      </c>
      <c r="E279" s="428">
        <v>107435.40952</v>
      </c>
      <c r="F279" s="428">
        <v>123971.70427</v>
      </c>
      <c r="G279" s="428">
        <v>111357.58944</v>
      </c>
      <c r="H279" s="428">
        <v>121210.72597</v>
      </c>
      <c r="I279" s="428">
        <v>125188.04227999999</v>
      </c>
      <c r="J279" s="428">
        <v>156896.44601000001</v>
      </c>
      <c r="K279" s="428">
        <v>135586.78868999999</v>
      </c>
      <c r="L279" s="428">
        <v>134949.04319999999</v>
      </c>
    </row>
    <row r="280" spans="1:12">
      <c r="A280" s="429" t="str">
        <f t="shared" si="7"/>
        <v>09</v>
      </c>
      <c r="B280" s="429" t="str">
        <f>T("0902002")</f>
        <v>0902002</v>
      </c>
      <c r="C280" s="637" t="str">
        <f>T("Insatser för vaccinberedskap")</f>
        <v>Insatser för vaccinberedskap</v>
      </c>
    </row>
    <row r="281" spans="1:12">
      <c r="A281" s="429" t="str">
        <f t="shared" si="7"/>
        <v>09</v>
      </c>
      <c r="B281" s="429" t="str">
        <f>T("0902002 2013")</f>
        <v>0902002 2013</v>
      </c>
      <c r="C281" s="637" t="str">
        <f>T("Smittskyddsinstitutet")</f>
        <v>Smittskyddsinstitutet</v>
      </c>
      <c r="D281" s="428">
        <v>97949.287540000005</v>
      </c>
      <c r="E281" s="428">
        <v>125611.43808000001</v>
      </c>
      <c r="F281" s="428">
        <v>119164.1713</v>
      </c>
      <c r="G281" s="428">
        <v>123083.13795</v>
      </c>
      <c r="H281" s="428">
        <v>148221.05686000001</v>
      </c>
      <c r="I281" s="428">
        <v>159857.51973999999</v>
      </c>
      <c r="J281" s="428">
        <v>190937.80074999999</v>
      </c>
      <c r="K281" s="428">
        <v>180135.49599</v>
      </c>
      <c r="L281" s="428">
        <v>178973.67298</v>
      </c>
    </row>
    <row r="282" spans="1:12">
      <c r="A282" s="429" t="str">
        <f t="shared" si="7"/>
        <v>09</v>
      </c>
      <c r="B282" s="429" t="str">
        <f>T("0902003")</f>
        <v>0902003</v>
      </c>
      <c r="C282" s="637" t="str">
        <f>T("Bidrag till Nordic school of public health NHV")</f>
        <v>Bidrag till Nordic school of public health NHV</v>
      </c>
      <c r="D282" s="428">
        <v>16936</v>
      </c>
      <c r="E282" s="428">
        <v>14700</v>
      </c>
      <c r="F282" s="428">
        <v>16008</v>
      </c>
      <c r="G282" s="428">
        <v>18574.603999999999</v>
      </c>
      <c r="H282" s="428">
        <v>19374.651999999998</v>
      </c>
      <c r="I282" s="428">
        <v>19770.224999999999</v>
      </c>
      <c r="J282" s="428">
        <v>18538.027999999998</v>
      </c>
      <c r="K282" s="428">
        <v>17689.651000000002</v>
      </c>
      <c r="L282" s="428">
        <v>17811.013999999999</v>
      </c>
    </row>
    <row r="283" spans="1:12">
      <c r="A283" s="429" t="str">
        <f t="shared" si="7"/>
        <v>09</v>
      </c>
      <c r="B283" s="429" t="str">
        <f>T("0902004")</f>
        <v>0902004</v>
      </c>
      <c r="C283" s="637" t="str">
        <f>T("Bidrag till WHO")</f>
        <v>Bidrag till WHO</v>
      </c>
      <c r="D283" s="428">
        <v>38364.841039999999</v>
      </c>
      <c r="E283" s="428">
        <v>33463.851000000002</v>
      </c>
      <c r="F283" s="428">
        <v>37098.550799999997</v>
      </c>
      <c r="G283" s="428">
        <v>32000</v>
      </c>
      <c r="H283" s="428">
        <v>9194.1725100000003</v>
      </c>
      <c r="I283" s="428">
        <v>43264.466910000003</v>
      </c>
      <c r="J283" s="428">
        <v>36063.871379999997</v>
      </c>
      <c r="K283" s="428">
        <v>28463.665209999999</v>
      </c>
      <c r="L283" s="428">
        <v>30395.80544</v>
      </c>
    </row>
    <row r="284" spans="1:12">
      <c r="A284" s="429" t="str">
        <f t="shared" si="7"/>
        <v>09</v>
      </c>
      <c r="B284" s="429" t="str">
        <f>T("0902005")</f>
        <v>0902005</v>
      </c>
      <c r="C284" s="637" t="str">
        <f>T("Insatser mot hiv/aids och andra smittsamma sjukdomar")</f>
        <v>Insatser mot hiv/aids och andra smittsamma sjukdomar</v>
      </c>
      <c r="D284" s="428">
        <v>141225.03148999999</v>
      </c>
      <c r="E284" s="428">
        <v>69007.378599999996</v>
      </c>
      <c r="F284" s="428">
        <v>55990.420259999999</v>
      </c>
      <c r="G284" s="428">
        <v>67257.277530000007</v>
      </c>
      <c r="H284" s="428">
        <v>64033.356899999999</v>
      </c>
      <c r="I284" s="428">
        <v>58544.0573</v>
      </c>
      <c r="J284" s="428">
        <v>59541.848429999998</v>
      </c>
      <c r="K284" s="428">
        <v>58514.903660000004</v>
      </c>
      <c r="L284" s="428">
        <v>62262.516459999999</v>
      </c>
    </row>
    <row r="285" spans="1:12">
      <c r="A285" s="429" t="str">
        <f t="shared" si="7"/>
        <v>09</v>
      </c>
      <c r="B285" s="429" t="str">
        <f>T("0902006 2011")</f>
        <v>0902006 2011</v>
      </c>
      <c r="C285" s="637" t="str">
        <f>T("Folkhälsopolitiska åtgärder")</f>
        <v>Folkhälsopolitiska åtgärder</v>
      </c>
      <c r="D285" s="428">
        <v>57316</v>
      </c>
      <c r="E285" s="428">
        <v>63841</v>
      </c>
      <c r="F285" s="428">
        <v>64568.607709999997</v>
      </c>
      <c r="G285" s="428">
        <v>64165.719510000003</v>
      </c>
      <c r="H285" s="428">
        <v>53463.297339999997</v>
      </c>
      <c r="I285" s="428">
        <v>69564.516409999997</v>
      </c>
      <c r="J285" s="428">
        <v>97985.3318</v>
      </c>
      <c r="K285" s="428">
        <v>122066.43257999999</v>
      </c>
      <c r="L285" s="428">
        <v>76943.747829999993</v>
      </c>
    </row>
    <row r="286" spans="1:12">
      <c r="A286" s="429" t="str">
        <f t="shared" si="7"/>
        <v>09</v>
      </c>
      <c r="B286" s="429" t="str">
        <f>T("0903001")</f>
        <v>0903001</v>
      </c>
      <c r="C286" s="637" t="str">
        <f>T("Myndigheten för delaktighet")</f>
        <v>Myndigheten för delaktighet</v>
      </c>
    </row>
    <row r="287" spans="1:12">
      <c r="A287" s="429" t="str">
        <f t="shared" si="7"/>
        <v>09</v>
      </c>
      <c r="B287" s="429" t="str">
        <f>T("0903002")</f>
        <v>0903002</v>
      </c>
      <c r="C287" s="637" t="str">
        <f>T("Bidrag till handikapporganisationer")</f>
        <v>Bidrag till handikapporganisationer</v>
      </c>
      <c r="D287" s="428">
        <v>131694</v>
      </c>
      <c r="E287" s="428">
        <v>132194</v>
      </c>
      <c r="F287" s="428">
        <v>132194</v>
      </c>
      <c r="G287" s="428">
        <v>152694</v>
      </c>
      <c r="H287" s="428">
        <v>157248</v>
      </c>
      <c r="I287" s="428">
        <v>157248</v>
      </c>
      <c r="J287" s="428">
        <v>158748</v>
      </c>
      <c r="K287" s="428">
        <v>161748</v>
      </c>
      <c r="L287" s="428">
        <v>163652.47399999999</v>
      </c>
    </row>
    <row r="288" spans="1:12">
      <c r="A288" s="429" t="str">
        <f t="shared" si="7"/>
        <v>09</v>
      </c>
      <c r="B288" s="429" t="str">
        <f>T("0903002 2010")</f>
        <v>0903002 2010</v>
      </c>
      <c r="C288" s="637" t="str">
        <f>T("Bidrag till viss verksamhet för personer med funktionsnedsättning")</f>
        <v>Bidrag till viss verksamhet för personer med funktionsnedsättning</v>
      </c>
      <c r="D288" s="428">
        <v>80394</v>
      </c>
      <c r="E288" s="428">
        <v>78275.271999999997</v>
      </c>
      <c r="F288" s="428">
        <v>78086.843999999997</v>
      </c>
      <c r="G288" s="428">
        <v>79121.577999999994</v>
      </c>
      <c r="H288" s="428">
        <v>79394</v>
      </c>
      <c r="I288" s="428">
        <v>77911.278999999995</v>
      </c>
      <c r="J288" s="428">
        <v>73655.437999999995</v>
      </c>
      <c r="K288" s="428">
        <v>78394</v>
      </c>
      <c r="L288" s="428">
        <v>85400</v>
      </c>
    </row>
    <row r="289" spans="1:12">
      <c r="A289" s="429" t="str">
        <f t="shared" si="7"/>
        <v>09</v>
      </c>
      <c r="B289" s="429" t="str">
        <f>T("0904001")</f>
        <v>0904001</v>
      </c>
      <c r="C289" s="637" t="str">
        <f>T("Personligt ombud")</f>
        <v>Personligt ombud</v>
      </c>
      <c r="G289" s="428">
        <v>29161.302650000001</v>
      </c>
      <c r="H289" s="428">
        <v>60421.780780000001</v>
      </c>
      <c r="I289" s="428">
        <v>90158.790399999998</v>
      </c>
      <c r="J289" s="428">
        <v>89265.200679999994</v>
      </c>
      <c r="K289" s="428">
        <v>37488.634680000003</v>
      </c>
      <c r="L289" s="428">
        <v>88968.6</v>
      </c>
    </row>
    <row r="290" spans="1:12">
      <c r="A290" s="429" t="str">
        <f t="shared" si="7"/>
        <v>09</v>
      </c>
      <c r="B290" s="429" t="str">
        <f>T("0904002")</f>
        <v>0904002</v>
      </c>
      <c r="C290" s="637" t="str">
        <f>T("Vissa statsbidrag inom funktionshindersområdet")</f>
        <v>Vissa statsbidrag inom funktionshindersområdet</v>
      </c>
      <c r="D290" s="428">
        <v>538794.07603</v>
      </c>
      <c r="E290" s="428">
        <v>312039.45471999998</v>
      </c>
      <c r="F290" s="428">
        <v>279269.81374000001</v>
      </c>
      <c r="G290" s="428">
        <v>279008.91677000001</v>
      </c>
      <c r="H290" s="428">
        <v>274999.99800000002</v>
      </c>
      <c r="I290" s="428">
        <v>276184.60226999997</v>
      </c>
      <c r="J290" s="428">
        <v>279652.09795000002</v>
      </c>
      <c r="K290" s="428">
        <v>275000</v>
      </c>
      <c r="L290" s="428">
        <v>273349.995</v>
      </c>
    </row>
    <row r="291" spans="1:12">
      <c r="A291" s="429" t="str">
        <f t="shared" si="7"/>
        <v>09</v>
      </c>
      <c r="B291" s="429" t="str">
        <f>T("0904003")</f>
        <v>0904003</v>
      </c>
      <c r="C291" s="637" t="str">
        <f>T("Bilstöd till personer med funktionsnedsättning")</f>
        <v>Bilstöd till personer med funktionsnedsättning</v>
      </c>
      <c r="D291" s="428">
        <v>214013.50949</v>
      </c>
      <c r="E291" s="428">
        <v>211720.52875</v>
      </c>
      <c r="F291" s="428">
        <v>201492.20668</v>
      </c>
      <c r="G291" s="428">
        <v>208849.80838</v>
      </c>
      <c r="H291" s="428">
        <v>226116.39249999999</v>
      </c>
      <c r="I291" s="428">
        <v>211507.73715999999</v>
      </c>
      <c r="J291" s="428">
        <v>214859.524</v>
      </c>
      <c r="K291" s="428">
        <v>222061.288</v>
      </c>
      <c r="L291" s="428">
        <v>346953.15299999999</v>
      </c>
    </row>
    <row r="292" spans="1:12">
      <c r="A292" s="429" t="str">
        <f t="shared" si="7"/>
        <v>09</v>
      </c>
      <c r="B292" s="429" t="str">
        <f>T("0904003 2011")</f>
        <v>0904003 2011</v>
      </c>
      <c r="C292" s="637" t="str">
        <f>T("Bidrag till utrustning för elektronisk kommunikation")</f>
        <v>Bidrag till utrustning för elektronisk kommunikation</v>
      </c>
      <c r="D292" s="428">
        <v>14339.472330000001</v>
      </c>
      <c r="E292" s="428">
        <v>14947.660809999999</v>
      </c>
      <c r="F292" s="428">
        <v>17645.933990000001</v>
      </c>
      <c r="G292" s="428">
        <v>12650.289489999999</v>
      </c>
      <c r="H292" s="428">
        <v>20134.914860000001</v>
      </c>
      <c r="I292" s="428">
        <v>21777.016</v>
      </c>
      <c r="J292" s="428">
        <v>22267.06914</v>
      </c>
      <c r="K292" s="428">
        <v>16202.567999999999</v>
      </c>
      <c r="L292" s="428">
        <v>13501.048000000001</v>
      </c>
    </row>
    <row r="293" spans="1:12">
      <c r="A293" s="429" t="str">
        <f t="shared" si="7"/>
        <v>09</v>
      </c>
      <c r="B293" s="429" t="str">
        <f>T("0904004")</f>
        <v>0904004</v>
      </c>
      <c r="C293" s="637" t="str">
        <f>T("Kostnader för statlig assistansersättning")</f>
        <v>Kostnader för statlig assistansersättning</v>
      </c>
      <c r="D293" s="428">
        <v>4420577.71337</v>
      </c>
      <c r="E293" s="428">
        <v>3884178.1037400002</v>
      </c>
      <c r="F293" s="428">
        <v>4498074.5590500003</v>
      </c>
      <c r="G293" s="428">
        <v>5305994.8914900003</v>
      </c>
      <c r="H293" s="428">
        <v>6342067.6713500004</v>
      </c>
      <c r="I293" s="428">
        <v>7526139.5888700001</v>
      </c>
      <c r="J293" s="428">
        <v>8688226.8007299993</v>
      </c>
      <c r="K293" s="428">
        <v>10021675.52493</v>
      </c>
      <c r="L293" s="428">
        <v>11347829.052449999</v>
      </c>
    </row>
    <row r="294" spans="1:12">
      <c r="A294" s="429" t="str">
        <f t="shared" si="7"/>
        <v>09</v>
      </c>
      <c r="B294" s="429" t="str">
        <f>T("0904005")</f>
        <v>0904005</v>
      </c>
      <c r="C294" s="637" t="str">
        <f>T("Stimulansbidrag och åtgärder inom äldrepolitiken")</f>
        <v>Stimulansbidrag och åtgärder inom äldrepolitiken</v>
      </c>
      <c r="F294" s="428">
        <v>208895.60047</v>
      </c>
      <c r="G294" s="428">
        <v>266251.46639999998</v>
      </c>
      <c r="H294" s="428">
        <v>252524.29313999999</v>
      </c>
      <c r="I294" s="428">
        <v>29030.161400000001</v>
      </c>
      <c r="J294" s="428">
        <v>35875.947070000002</v>
      </c>
      <c r="K294" s="428">
        <v>36078.548820000004</v>
      </c>
      <c r="L294" s="428">
        <v>50877.264369999997</v>
      </c>
    </row>
    <row r="295" spans="1:12">
      <c r="A295" s="429" t="str">
        <f t="shared" si="7"/>
        <v>09</v>
      </c>
      <c r="B295" s="429" t="str">
        <f>T("0904006")</f>
        <v>0904006</v>
      </c>
      <c r="C295" s="637" t="str">
        <f>T("Statens institutionsstyrelse")</f>
        <v>Statens institutionsstyrelse</v>
      </c>
      <c r="D295" s="428">
        <v>619107.50548000005</v>
      </c>
      <c r="E295" s="428">
        <v>496448.58072999999</v>
      </c>
      <c r="F295" s="428">
        <v>487967.36462000001</v>
      </c>
      <c r="G295" s="428">
        <v>578676.15107000002</v>
      </c>
      <c r="H295" s="428">
        <v>690393.53420999995</v>
      </c>
      <c r="I295" s="428">
        <v>678630.96455000003</v>
      </c>
      <c r="J295" s="428">
        <v>753468.30004</v>
      </c>
      <c r="K295" s="428">
        <v>729744.53196000005</v>
      </c>
      <c r="L295" s="428">
        <v>749633.81382000004</v>
      </c>
    </row>
    <row r="296" spans="1:12">
      <c r="A296" s="429" t="str">
        <f t="shared" si="7"/>
        <v>09</v>
      </c>
      <c r="B296" s="429" t="str">
        <f>T("0904007")</f>
        <v>0904007</v>
      </c>
      <c r="C296" s="637" t="str">
        <f>T("Bidrag till utveckling av socialt arbete m.m.")</f>
        <v>Bidrag till utveckling av socialt arbete m.m.</v>
      </c>
      <c r="D296" s="428">
        <v>52000</v>
      </c>
      <c r="E296" s="428">
        <v>52000</v>
      </c>
      <c r="F296" s="428">
        <v>60101.83337</v>
      </c>
      <c r="G296" s="428">
        <v>62771.374539999997</v>
      </c>
      <c r="H296" s="428">
        <v>79577.633839999995</v>
      </c>
      <c r="I296" s="428">
        <v>80860.501539999997</v>
      </c>
      <c r="J296" s="428">
        <v>84283.863540000006</v>
      </c>
      <c r="K296" s="428">
        <v>81017.052389999997</v>
      </c>
      <c r="L296" s="428">
        <v>160693.49953999999</v>
      </c>
    </row>
    <row r="297" spans="1:12">
      <c r="A297" s="429" t="str">
        <f t="shared" si="7"/>
        <v>09</v>
      </c>
      <c r="B297" s="429" t="str">
        <f>T("0904008")</f>
        <v>0904008</v>
      </c>
      <c r="C297" s="637" t="str">
        <f>T("Ersättning för vanvård i den sociala barn- och ungdomsvården")</f>
        <v>Ersättning för vanvård i den sociala barn- och ungdomsvården</v>
      </c>
    </row>
    <row r="298" spans="1:12">
      <c r="A298" s="429" t="str">
        <f t="shared" si="7"/>
        <v>09</v>
      </c>
      <c r="B298" s="429" t="str">
        <f>T("0904009")</f>
        <v>0904009</v>
      </c>
      <c r="C298" s="637" t="str">
        <f>T("Ersättningsnämnden")</f>
        <v>Ersättningsnämnden</v>
      </c>
    </row>
    <row r="299" spans="1:12">
      <c r="A299" s="429" t="str">
        <f t="shared" si="7"/>
        <v>09</v>
      </c>
      <c r="B299" s="429" t="str">
        <f>T("0904010")</f>
        <v>0904010</v>
      </c>
      <c r="C299" s="637" t="str">
        <f>T("Myndigheten för internationella adoptionsfrågor")</f>
        <v>Myndigheten för internationella adoptionsfrågor</v>
      </c>
      <c r="D299" s="428">
        <v>6070.55566</v>
      </c>
      <c r="E299" s="428">
        <v>5919.68246</v>
      </c>
      <c r="F299" s="428">
        <v>6785.3276900000001</v>
      </c>
      <c r="G299" s="428">
        <v>7156.9969000000001</v>
      </c>
      <c r="H299" s="428">
        <v>6986.1469299999999</v>
      </c>
      <c r="I299" s="428">
        <v>7578.61978</v>
      </c>
      <c r="J299" s="428">
        <v>8044.5184499999996</v>
      </c>
      <c r="K299" s="428">
        <v>8142.7515999999996</v>
      </c>
      <c r="L299" s="428">
        <v>10384.18802</v>
      </c>
    </row>
    <row r="300" spans="1:12">
      <c r="A300" s="429" t="str">
        <f t="shared" si="7"/>
        <v>09</v>
      </c>
      <c r="B300" s="429" t="str">
        <f>T("0905001")</f>
        <v>0905001</v>
      </c>
      <c r="C300" s="637" t="str">
        <f>T("Barnombudsmannen")</f>
        <v>Barnombudsmannen</v>
      </c>
      <c r="D300" s="428">
        <v>8743.0620299999991</v>
      </c>
      <c r="E300" s="428">
        <v>7725.4105300000001</v>
      </c>
      <c r="F300" s="428">
        <v>6914.6026400000001</v>
      </c>
      <c r="G300" s="428">
        <v>8620.5969399999994</v>
      </c>
      <c r="H300" s="428">
        <v>9019.89437</v>
      </c>
      <c r="I300" s="428">
        <v>10589.48957</v>
      </c>
      <c r="J300" s="428">
        <v>16511.865129999998</v>
      </c>
      <c r="K300" s="428">
        <v>16807.35915</v>
      </c>
      <c r="L300" s="428">
        <v>16454.544890000001</v>
      </c>
    </row>
    <row r="301" spans="1:12">
      <c r="A301" s="429" t="str">
        <f t="shared" si="7"/>
        <v>09</v>
      </c>
      <c r="B301" s="429" t="str">
        <f>T("0905002")</f>
        <v>0905002</v>
      </c>
      <c r="C301" s="637" t="str">
        <f>T("Insatser för att förverkliga konventionen om barnets rättigheter i Sverige")</f>
        <v>Insatser för att förverkliga konventionen om barnets rättigheter i Sverige</v>
      </c>
      <c r="L301" s="428">
        <v>6187.7328699999998</v>
      </c>
    </row>
    <row r="302" spans="1:12">
      <c r="A302" s="429" t="str">
        <f t="shared" si="7"/>
        <v>09</v>
      </c>
      <c r="B302" s="429" t="str">
        <f>T("0906001")</f>
        <v>0906001</v>
      </c>
      <c r="C302" s="637" t="str">
        <f>T("Alkoholsortimentsnämnden")</f>
        <v>Alkoholsortimentsnämnden</v>
      </c>
      <c r="D302" s="428">
        <v>149.40304</v>
      </c>
      <c r="E302" s="428">
        <v>107.6504</v>
      </c>
      <c r="F302" s="428">
        <v>88.437910000000002</v>
      </c>
      <c r="G302" s="428">
        <v>128.94635</v>
      </c>
      <c r="H302" s="428">
        <v>49.844279999999998</v>
      </c>
      <c r="I302" s="428">
        <v>46.613759999999999</v>
      </c>
      <c r="J302" s="428">
        <v>51.245660000000001</v>
      </c>
      <c r="K302" s="428">
        <v>50.793979999999998</v>
      </c>
      <c r="L302" s="428">
        <v>13.796239999999999</v>
      </c>
    </row>
    <row r="303" spans="1:12">
      <c r="A303" s="429" t="str">
        <f t="shared" si="7"/>
        <v>09</v>
      </c>
      <c r="B303" s="429" t="str">
        <f>T("0906002")</f>
        <v>0906002</v>
      </c>
      <c r="C303" s="637" t="str">
        <f>T("Åtgärder avseende alkohol, narkotika, dopning, tobak, samt spel")</f>
        <v>Åtgärder avseende alkohol, narkotika, dopning, tobak, samt spel</v>
      </c>
      <c r="D303" s="428">
        <v>2882.5327200000002</v>
      </c>
      <c r="E303" s="428">
        <v>35248.487379999999</v>
      </c>
      <c r="F303" s="428">
        <v>35719.191610000002</v>
      </c>
      <c r="G303" s="428">
        <v>40832.44889</v>
      </c>
      <c r="H303" s="428">
        <v>60347.938399999999</v>
      </c>
      <c r="I303" s="428">
        <v>201402.07509</v>
      </c>
      <c r="J303" s="428">
        <v>274526.51397999999</v>
      </c>
      <c r="K303" s="428">
        <v>236074.07120000001</v>
      </c>
      <c r="L303" s="428">
        <v>238422.59211999999</v>
      </c>
    </row>
    <row r="304" spans="1:12">
      <c r="A304" s="429" t="str">
        <f t="shared" si="7"/>
        <v>09</v>
      </c>
      <c r="B304" s="429" t="str">
        <f>T("0907001")</f>
        <v>0907001</v>
      </c>
      <c r="C304" s="637" t="str">
        <f>T("Forskningsrådet för hälsa, arbetsliv och välfärd: Förvaltning")</f>
        <v>Forskningsrådet för hälsa, arbetsliv och välfärd: Förvaltning</v>
      </c>
      <c r="H304" s="428">
        <v>22860.40019</v>
      </c>
      <c r="I304" s="428">
        <v>22630.94054</v>
      </c>
      <c r="J304" s="428">
        <v>22228.345399999998</v>
      </c>
      <c r="K304" s="428">
        <v>23191.555990000001</v>
      </c>
      <c r="L304" s="428">
        <v>21050.975549999999</v>
      </c>
    </row>
    <row r="305" spans="1:12">
      <c r="A305" s="429" t="str">
        <f t="shared" si="7"/>
        <v>09</v>
      </c>
      <c r="B305" s="429" t="str">
        <f>T("0907002")</f>
        <v>0907002</v>
      </c>
      <c r="C305" s="637" t="str">
        <f>T("Forskningsrådet för hälsa, arbetsliv och välfärd: Forskning")</f>
        <v>Forskningsrådet för hälsa, arbetsliv och välfärd: Forskning</v>
      </c>
      <c r="H305" s="428">
        <v>228105.72245</v>
      </c>
      <c r="I305" s="428">
        <v>284199.25128000003</v>
      </c>
      <c r="J305" s="428">
        <v>277538.63751999999</v>
      </c>
      <c r="K305" s="428">
        <v>296466.74180999998</v>
      </c>
      <c r="L305" s="428">
        <v>286336.44459999999</v>
      </c>
    </row>
    <row r="306" spans="1:12">
      <c r="A306" s="429" t="str">
        <f t="shared" si="7"/>
        <v>09</v>
      </c>
      <c r="B306" s="429" t="str">
        <f>T("0908001")</f>
        <v>0908001</v>
      </c>
      <c r="C306" s="637" t="str">
        <f>T("Socialstyrelsen")</f>
        <v>Socialstyrelsen</v>
      </c>
      <c r="D306" s="428">
        <v>377403.48749999999</v>
      </c>
      <c r="E306" s="428">
        <v>377711.10301999998</v>
      </c>
      <c r="F306" s="428">
        <v>430718.93624000001</v>
      </c>
      <c r="G306" s="428">
        <v>417090.44913999998</v>
      </c>
      <c r="H306" s="428">
        <v>445271.30450999999</v>
      </c>
      <c r="I306" s="428">
        <v>461704.52739</v>
      </c>
      <c r="J306" s="428">
        <v>486701.37734000001</v>
      </c>
      <c r="K306" s="428">
        <v>509119.59775000002</v>
      </c>
      <c r="L306" s="428">
        <v>476595.90204999998</v>
      </c>
    </row>
    <row r="307" spans="1:12">
      <c r="A307" s="429" t="str">
        <f t="shared" si="7"/>
        <v>09</v>
      </c>
      <c r="B307" s="429" t="str">
        <f>T("0908002")</f>
        <v>0908002</v>
      </c>
      <c r="C307" s="637" t="str">
        <f>T("Inspektionen för vård och omsorg")</f>
        <v>Inspektionen för vård och omsorg</v>
      </c>
    </row>
    <row r="308" spans="1:12">
      <c r="A308" s="429" t="str">
        <f t="shared" si="7"/>
        <v>09</v>
      </c>
      <c r="B308" s="429" t="str">
        <f>T("091306 2001")</f>
        <v>091306 2001</v>
      </c>
      <c r="C308" s="637" t="str">
        <f>T("Ersättning till steriliserade i vissa fall")</f>
        <v>Ersättning till steriliserade i vissa fall</v>
      </c>
      <c r="F308" s="428">
        <v>57427.69023</v>
      </c>
      <c r="G308" s="428">
        <v>194680.45186999999</v>
      </c>
      <c r="H308" s="428">
        <v>28085.654610000001</v>
      </c>
      <c r="I308" s="428">
        <v>5314.2092000000002</v>
      </c>
      <c r="J308" s="428">
        <v>2624.0442899999998</v>
      </c>
      <c r="K308" s="428">
        <v>875</v>
      </c>
      <c r="L308" s="428">
        <v>525</v>
      </c>
    </row>
    <row r="309" spans="1:12">
      <c r="A309" s="429" t="str">
        <f t="shared" si="7"/>
        <v>09</v>
      </c>
      <c r="B309" s="429" t="str">
        <f>T("091309 2005")</f>
        <v>091309 2005</v>
      </c>
      <c r="C309" s="637" t="str">
        <f>T("Ersättning till talidomidskadade i vissa fall m.m.")</f>
        <v>Ersättning till talidomidskadade i vissa fall m.m.</v>
      </c>
      <c r="L309" s="428">
        <v>52000</v>
      </c>
    </row>
    <row r="310" spans="1:12">
      <c r="A310" s="429" t="str">
        <f t="shared" si="7"/>
        <v>09</v>
      </c>
      <c r="B310" s="429" t="str">
        <f>T("091309 2006")</f>
        <v>091309 2006</v>
      </c>
      <c r="C310" s="637" t="str">
        <f>T("Bidrag till psykiatri och social psykiatri")</f>
        <v>Bidrag till psykiatri och social psykiatri</v>
      </c>
      <c r="L310" s="428">
        <v>452356.63475999999</v>
      </c>
    </row>
    <row r="311" spans="1:12">
      <c r="A311" s="429" t="str">
        <f t="shared" si="7"/>
        <v>09</v>
      </c>
      <c r="B311" s="429" t="str">
        <f>T("091406 2007")</f>
        <v>091406 2007</v>
      </c>
      <c r="C311" s="637" t="str">
        <f>T("Institutet för psykosocial medicin")</f>
        <v>Institutet för psykosocial medicin</v>
      </c>
      <c r="D311" s="428">
        <v>10279.17642</v>
      </c>
      <c r="E311" s="428">
        <v>11305.196330000001</v>
      </c>
      <c r="F311" s="428">
        <v>11207.02845</v>
      </c>
      <c r="G311" s="428">
        <v>12943.56436</v>
      </c>
      <c r="H311" s="428">
        <v>13530.64659</v>
      </c>
      <c r="I311" s="428">
        <v>14290.7744</v>
      </c>
      <c r="J311" s="428">
        <v>14285.073399999999</v>
      </c>
      <c r="K311" s="428">
        <v>15744.68901</v>
      </c>
      <c r="L311" s="428">
        <v>14902.4861</v>
      </c>
    </row>
    <row r="312" spans="1:12">
      <c r="A312" s="429" t="str">
        <f t="shared" si="7"/>
        <v>09</v>
      </c>
      <c r="B312" s="429" t="str">
        <f>T("091409 2001")</f>
        <v>091409 2001</v>
      </c>
      <c r="C312" s="637" t="str">
        <f>T("Alkoholinspektionen")</f>
        <v>Alkoholinspektionen</v>
      </c>
      <c r="D312" s="428">
        <v>12462.63386</v>
      </c>
      <c r="E312" s="428">
        <v>12689.77428</v>
      </c>
      <c r="F312" s="428">
        <v>12019.65359</v>
      </c>
      <c r="G312" s="428">
        <v>11482.35772</v>
      </c>
      <c r="H312" s="428">
        <v>8017.8626899999999</v>
      </c>
    </row>
    <row r="313" spans="1:12">
      <c r="A313" s="429" t="str">
        <f t="shared" si="7"/>
        <v>09</v>
      </c>
      <c r="B313" s="429" t="str">
        <f>T("091410 2006")</f>
        <v>091410 2006</v>
      </c>
      <c r="C313" s="637" t="str">
        <f>T("Vaccinförsörjning")</f>
        <v>Vaccinförsörjning</v>
      </c>
    </row>
    <row r="314" spans="1:12">
      <c r="A314" s="429" t="str">
        <f t="shared" si="7"/>
        <v>09</v>
      </c>
      <c r="B314" s="429" t="str">
        <f>T("091603 2008")</f>
        <v>091603 2008</v>
      </c>
      <c r="C314" s="637" t="str">
        <f>T("Statsbidrag till särskilt utbildningsstöd")</f>
        <v>Statsbidrag till särskilt utbildningsstöd</v>
      </c>
      <c r="D314" s="428">
        <v>155842.58600000001</v>
      </c>
      <c r="E314" s="428">
        <v>168769.772</v>
      </c>
      <c r="F314" s="428">
        <v>174654.96400000001</v>
      </c>
      <c r="G314" s="428">
        <v>187141.11872</v>
      </c>
      <c r="H314" s="428">
        <v>170149.0809</v>
      </c>
      <c r="I314" s="428">
        <v>161129.44699999999</v>
      </c>
      <c r="J314" s="428">
        <v>160513.408</v>
      </c>
      <c r="K314" s="428">
        <v>167831.58199999999</v>
      </c>
      <c r="L314" s="428">
        <v>170762.59338999999</v>
      </c>
    </row>
    <row r="315" spans="1:12">
      <c r="A315" s="429" t="str">
        <f t="shared" si="7"/>
        <v>09</v>
      </c>
      <c r="B315" s="429" t="str">
        <f>T("091609 2005")</f>
        <v>091609 2005</v>
      </c>
      <c r="C315" s="637" t="str">
        <f>T("Statens institut för särskilt utbildningsstöd")</f>
        <v>Statens institut för särskilt utbildningsstöd</v>
      </c>
      <c r="D315" s="428">
        <v>8411.8559299999997</v>
      </c>
      <c r="E315" s="428">
        <v>9543.4678199999998</v>
      </c>
      <c r="F315" s="428">
        <v>9406.3848500000004</v>
      </c>
      <c r="G315" s="428">
        <v>10185.01858</v>
      </c>
      <c r="H315" s="428">
        <v>14995.65186</v>
      </c>
      <c r="I315" s="428">
        <v>27058.643220000002</v>
      </c>
      <c r="J315" s="428">
        <v>26586.905849999999</v>
      </c>
      <c r="K315" s="428">
        <v>20000.709800000001</v>
      </c>
      <c r="L315" s="428">
        <v>16515.302100000001</v>
      </c>
    </row>
    <row r="316" spans="1:12">
      <c r="A316" s="429" t="str">
        <f t="shared" si="7"/>
        <v>09</v>
      </c>
      <c r="B316" s="429" t="str">
        <f>T("091803 2008")</f>
        <v>091803 2008</v>
      </c>
      <c r="C316" s="637" t="str">
        <f>T("Utvecklingsmedel till åtgärder för hemlösa")</f>
        <v>Utvecklingsmedel till åtgärder för hemlösa</v>
      </c>
      <c r="F316" s="428">
        <v>3675</v>
      </c>
      <c r="G316" s="428">
        <v>12500</v>
      </c>
      <c r="H316" s="428">
        <v>10767.75</v>
      </c>
      <c r="I316" s="428">
        <v>11990</v>
      </c>
      <c r="J316" s="428">
        <v>11028.05</v>
      </c>
      <c r="K316" s="428">
        <v>9910.8680000000004</v>
      </c>
      <c r="L316" s="428">
        <v>9670.4908300000006</v>
      </c>
    </row>
    <row r="317" spans="1:12">
      <c r="A317" s="429" t="str">
        <f t="shared" si="7"/>
        <v>09</v>
      </c>
      <c r="B317" s="429" t="str">
        <f>T("09A001 1997")</f>
        <v>09A001 1997</v>
      </c>
      <c r="C317" s="637" t="str">
        <f>T("Sjukvårdsförmåner m.m.")</f>
        <v>Sjukvårdsförmåner m.m.</v>
      </c>
      <c r="D317" s="428">
        <v>15390415.17632</v>
      </c>
      <c r="E317" s="428">
        <v>0</v>
      </c>
    </row>
    <row r="318" spans="1:12">
      <c r="A318" s="429" t="str">
        <f t="shared" ref="A318:A323" si="8">T("09")</f>
        <v>09</v>
      </c>
      <c r="B318" s="429" t="str">
        <f>T("09A005 1998")</f>
        <v>09A005 1998</v>
      </c>
      <c r="C318" s="637" t="str">
        <f>T("Ersättning till Spri")</f>
        <v>Ersättning till Spri</v>
      </c>
      <c r="D318" s="428">
        <v>29700</v>
      </c>
      <c r="E318" s="428">
        <v>29700</v>
      </c>
    </row>
    <row r="319" spans="1:12">
      <c r="A319" s="429" t="str">
        <f t="shared" si="8"/>
        <v>09</v>
      </c>
      <c r="B319" s="429" t="str">
        <f>T("09A006 2000")</f>
        <v>09A006 2000</v>
      </c>
      <c r="C319" s="637" t="str">
        <f>T("Bidrag till WHO-enheten för rapportering av läkemedelsbiverkningar")</f>
        <v>Bidrag till WHO-enheten för rapportering av läkemedelsbiverkningar</v>
      </c>
      <c r="D319" s="428">
        <v>2590</v>
      </c>
      <c r="E319" s="428">
        <v>2591</v>
      </c>
      <c r="F319" s="428">
        <v>1591</v>
      </c>
      <c r="G319" s="428">
        <v>1591</v>
      </c>
    </row>
    <row r="320" spans="1:12">
      <c r="A320" s="429" t="str">
        <f t="shared" si="8"/>
        <v>09</v>
      </c>
      <c r="B320" s="429" t="str">
        <f>T("09A008 1997")</f>
        <v>09A008 1997</v>
      </c>
      <c r="C320" s="637" t="str">
        <f>T("Bidrag till psykiatriområdet")</f>
        <v>Bidrag till psykiatriområdet</v>
      </c>
      <c r="D320" s="428">
        <v>418556.95671</v>
      </c>
      <c r="E320" s="428">
        <v>135852.54386000001</v>
      </c>
      <c r="F320" s="428">
        <v>11442.265160000001</v>
      </c>
      <c r="G320" s="428">
        <v>5420.4306100000003</v>
      </c>
    </row>
    <row r="321" spans="1:12">
      <c r="A321" s="429" t="str">
        <f t="shared" si="8"/>
        <v>09</v>
      </c>
      <c r="B321" s="429" t="str">
        <f>T("09B019 1999")</f>
        <v>09B019 1999</v>
      </c>
      <c r="C321" s="637" t="str">
        <f>T("Bidrag till äldrebostäder m.m.")</f>
        <v>Bidrag till äldrebostäder m.m.</v>
      </c>
      <c r="E321" s="428">
        <v>598.29999999999995</v>
      </c>
      <c r="F321" s="428">
        <v>102382.52</v>
      </c>
      <c r="G321" s="428">
        <v>177843.85500000001</v>
      </c>
      <c r="H321" s="428">
        <v>97835.85</v>
      </c>
    </row>
    <row r="322" spans="1:12">
      <c r="A322" s="429" t="str">
        <f t="shared" si="8"/>
        <v>09</v>
      </c>
      <c r="B322" s="429" t="str">
        <f>T("09C001 2000")</f>
        <v>09C001 2000</v>
      </c>
      <c r="C322" s="637" t="str">
        <f>T("Socialvetenskapliga forskningsrådet: Forskning")</f>
        <v>Socialvetenskapliga forskningsrådet: Forskning</v>
      </c>
      <c r="D322" s="428">
        <v>89797.973039999997</v>
      </c>
      <c r="E322" s="428">
        <v>94631.374689999997</v>
      </c>
      <c r="F322" s="428">
        <v>94026.682249999998</v>
      </c>
      <c r="G322" s="428">
        <v>118491.31041999999</v>
      </c>
    </row>
    <row r="323" spans="1:12">
      <c r="A323" s="429" t="str">
        <f t="shared" si="8"/>
        <v>09</v>
      </c>
      <c r="B323" s="429" t="str">
        <f>T("09C002 2000")</f>
        <v>09C002 2000</v>
      </c>
      <c r="C323" s="637" t="str">
        <f>T("Socialvetenskapliga forskningsrådet: Förvaltning")</f>
        <v>Socialvetenskapliga forskningsrådet: Förvaltning</v>
      </c>
      <c r="D323" s="428">
        <v>7860.5637800000004</v>
      </c>
      <c r="E323" s="428">
        <v>7565.76523</v>
      </c>
      <c r="F323" s="428">
        <v>7365.0483999999997</v>
      </c>
      <c r="G323" s="428">
        <v>9082.1179800000009</v>
      </c>
    </row>
    <row r="324" spans="1:12">
      <c r="A324" s="430" t="s">
        <v>1643</v>
      </c>
      <c r="B324" s="430"/>
      <c r="C324" s="430" t="str">
        <f>T("Hälsovård, sjukvård och social omsorg")</f>
        <v>Hälsovård, sjukvård och social omsorg</v>
      </c>
      <c r="D324" s="431">
        <v>24210104.796039999</v>
      </c>
      <c r="E324" s="431">
        <v>23115093.453279998</v>
      </c>
      <c r="F324" s="431">
        <v>24510874.258560002</v>
      </c>
      <c r="G324" s="431">
        <v>28564966.363400001</v>
      </c>
      <c r="H324" s="431">
        <v>29477877.8638</v>
      </c>
      <c r="I324" s="431">
        <v>31023347.688439999</v>
      </c>
      <c r="J324" s="431">
        <v>34051440.63047</v>
      </c>
      <c r="K324" s="431">
        <v>36788369.987549998</v>
      </c>
      <c r="L324" s="431">
        <v>38455296.175849997</v>
      </c>
    </row>
    <row r="325" spans="1:12">
      <c r="A325" s="429" t="str">
        <f t="shared" ref="A325:A338" si="9">T("10")</f>
        <v>10</v>
      </c>
      <c r="B325" s="429" t="str">
        <f>T("1001001")</f>
        <v>1001001</v>
      </c>
      <c r="C325" s="637" t="str">
        <f>T("Sjukpenning och rehabilitering m.m.")</f>
        <v>Sjukpenning och rehabilitering m.m.</v>
      </c>
      <c r="D325" s="428">
        <v>15883597.725260001</v>
      </c>
      <c r="E325" s="428">
        <v>20761210.509259999</v>
      </c>
      <c r="F325" s="428">
        <v>27857869.221000001</v>
      </c>
      <c r="G325" s="428">
        <v>36478474.074579999</v>
      </c>
      <c r="H325" s="428">
        <v>42894064.284139998</v>
      </c>
      <c r="I325" s="428">
        <v>48500453.067199998</v>
      </c>
      <c r="J325" s="428">
        <v>48562242.124020003</v>
      </c>
      <c r="K325" s="428">
        <v>44140607.625359997</v>
      </c>
      <c r="L325" s="428">
        <v>39051146.437279999</v>
      </c>
    </row>
    <row r="326" spans="1:12">
      <c r="A326" s="429" t="str">
        <f t="shared" si="9"/>
        <v>10</v>
      </c>
      <c r="B326" s="429" t="str">
        <f>T("1001002")</f>
        <v>1001002</v>
      </c>
      <c r="C326" s="637" t="str">
        <f>T("Aktivitets- och sjukersättningar m.m.")</f>
        <v>Aktivitets- och sjukersättningar m.m.</v>
      </c>
      <c r="D326" s="428">
        <v>13510789.023</v>
      </c>
      <c r="E326" s="428">
        <v>13553856.424000001</v>
      </c>
      <c r="F326" s="428">
        <v>37906165.016999997</v>
      </c>
      <c r="G326" s="428">
        <v>47743648.838</v>
      </c>
      <c r="H326" s="428">
        <v>50167217.159999996</v>
      </c>
      <c r="I326" s="428">
        <v>49917140.946999997</v>
      </c>
      <c r="J326" s="428">
        <v>58526687.182999998</v>
      </c>
      <c r="K326" s="428">
        <v>64201899.616180003</v>
      </c>
      <c r="L326" s="428">
        <v>73490196.971530005</v>
      </c>
    </row>
    <row r="327" spans="1:12">
      <c r="A327" s="429" t="str">
        <f t="shared" si="9"/>
        <v>10</v>
      </c>
      <c r="B327" s="429" t="str">
        <f>T("1001003")</f>
        <v>1001003</v>
      </c>
      <c r="C327" s="637" t="str">
        <f>T("Handikappersättningar")</f>
        <v>Handikappersättningar</v>
      </c>
      <c r="D327" s="428">
        <v>978835.32700000005</v>
      </c>
      <c r="E327" s="428">
        <v>995732.72699999996</v>
      </c>
      <c r="F327" s="428">
        <v>1012053.672</v>
      </c>
      <c r="G327" s="428">
        <v>1035953.412</v>
      </c>
      <c r="H327" s="428">
        <v>1059885.186</v>
      </c>
      <c r="I327" s="428">
        <v>1176555.8370000001</v>
      </c>
      <c r="J327" s="428">
        <v>1199905.432</v>
      </c>
      <c r="K327" s="428">
        <v>1205417.4509999999</v>
      </c>
      <c r="L327" s="428">
        <v>1173021.483</v>
      </c>
    </row>
    <row r="328" spans="1:12">
      <c r="A328" s="429" t="str">
        <f t="shared" si="9"/>
        <v>10</v>
      </c>
      <c r="B328" s="429" t="str">
        <f>T("1001004")</f>
        <v>1001004</v>
      </c>
      <c r="C328" s="637" t="str">
        <f>T("Arbetsskadeersättningar m.m.")</f>
        <v>Arbetsskadeersättningar m.m.</v>
      </c>
      <c r="F328" s="428">
        <v>5888905.32969</v>
      </c>
      <c r="G328" s="428">
        <v>7185933.5129000004</v>
      </c>
      <c r="H328" s="428">
        <v>7097518.1533899996</v>
      </c>
      <c r="I328" s="428">
        <v>7132819.8229200002</v>
      </c>
      <c r="J328" s="428">
        <v>6230104.3472499996</v>
      </c>
      <c r="K328" s="428">
        <v>6355260.9858999997</v>
      </c>
      <c r="L328" s="428">
        <v>6225899.6040399997</v>
      </c>
    </row>
    <row r="329" spans="1:12">
      <c r="A329" s="429" t="str">
        <f t="shared" si="9"/>
        <v>10</v>
      </c>
      <c r="B329" s="429" t="str">
        <f>T("1001005")</f>
        <v>1001005</v>
      </c>
      <c r="C329" s="637" t="str">
        <f>T("Ersättning för kroppsskador")</f>
        <v>Ersättning för kroppsskador</v>
      </c>
      <c r="D329" s="428">
        <v>59622.384080000003</v>
      </c>
      <c r="E329" s="428">
        <v>59608.962910000002</v>
      </c>
      <c r="F329" s="428">
        <v>57534.604749999999</v>
      </c>
      <c r="G329" s="428">
        <v>60605.075969999998</v>
      </c>
      <c r="H329" s="428">
        <v>58867.416360000003</v>
      </c>
      <c r="I329" s="428">
        <v>55645.692389999997</v>
      </c>
      <c r="J329" s="428">
        <v>64719.755149999997</v>
      </c>
      <c r="K329" s="428">
        <v>62170.768190000003</v>
      </c>
      <c r="L329" s="428">
        <v>57792.99078</v>
      </c>
    </row>
    <row r="330" spans="1:12">
      <c r="A330" s="429" t="str">
        <f t="shared" si="9"/>
        <v>10</v>
      </c>
      <c r="B330" s="429" t="str">
        <f>T("1001006")</f>
        <v>1001006</v>
      </c>
      <c r="C330" s="637" t="str">
        <f>T("Bidrag för sjukskrivningsprocessen")</f>
        <v>Bidrag för sjukskrivningsprocessen</v>
      </c>
    </row>
    <row r="331" spans="1:12">
      <c r="A331" s="429" t="str">
        <f t="shared" si="9"/>
        <v>10</v>
      </c>
      <c r="B331" s="429" t="str">
        <f>T("1001006 2013")</f>
        <v>1001006 2013</v>
      </c>
      <c r="C331" s="637" t="str">
        <f>T("Bidrag för arbetet med sjukskrivningar inom hälso- och sjukvård")</f>
        <v>Bidrag för arbetet med sjukskrivningar inom hälso- och sjukvård</v>
      </c>
    </row>
    <row r="332" spans="1:12">
      <c r="A332" s="429" t="str">
        <f t="shared" si="9"/>
        <v>10</v>
      </c>
      <c r="B332" s="429" t="str">
        <f>T("1002001")</f>
        <v>1002001</v>
      </c>
      <c r="C332" s="637" t="str">
        <f>T("Försäkringskassan")</f>
        <v>Försäkringskassan</v>
      </c>
      <c r="L332" s="428">
        <v>7053887.9409999996</v>
      </c>
    </row>
    <row r="333" spans="1:12">
      <c r="A333" s="429" t="str">
        <f t="shared" si="9"/>
        <v>10</v>
      </c>
      <c r="B333" s="429" t="str">
        <f>T("1002002")</f>
        <v>1002002</v>
      </c>
      <c r="C333" s="637" t="str">
        <f>T("Inspektionen för socialförsäkringen")</f>
        <v>Inspektionen för socialförsäkringen</v>
      </c>
    </row>
    <row r="334" spans="1:12">
      <c r="A334" s="429" t="str">
        <f t="shared" si="9"/>
        <v>10</v>
      </c>
      <c r="B334" s="429" t="str">
        <f>T("101905 2003")</f>
        <v>101905 2003</v>
      </c>
      <c r="C334" s="637" t="str">
        <f>T("Kostnader för sysselsättning av vissa personer med aktivitets- och sjukersättning")</f>
        <v>Kostnader för sysselsättning av vissa personer med aktivitets- och sjukersättning</v>
      </c>
      <c r="F334" s="428">
        <v>45.375</v>
      </c>
      <c r="G334" s="428">
        <v>2056.9358400000001</v>
      </c>
      <c r="H334" s="428">
        <v>5002.4881800000003</v>
      </c>
      <c r="I334" s="428">
        <v>9570.7682999999997</v>
      </c>
      <c r="J334" s="428">
        <v>14418.265939999999</v>
      </c>
    </row>
    <row r="335" spans="1:12">
      <c r="A335" s="429" t="str">
        <f t="shared" si="9"/>
        <v>10</v>
      </c>
      <c r="B335" s="429" t="str">
        <f>T("101906 2004")</f>
        <v>101906 2004</v>
      </c>
      <c r="C335" s="637" t="str">
        <f>T("Riksförsäkringsverket")</f>
        <v>Riksförsäkringsverket</v>
      </c>
      <c r="D335" s="428">
        <v>742171.55998999998</v>
      </c>
      <c r="E335" s="428">
        <v>667157.61017</v>
      </c>
      <c r="F335" s="428">
        <v>823067.53252000001</v>
      </c>
      <c r="G335" s="428">
        <v>627951.95671000006</v>
      </c>
      <c r="H335" s="428">
        <v>775559.34262999997</v>
      </c>
      <c r="I335" s="428">
        <v>743946.58128000004</v>
      </c>
      <c r="J335" s="428">
        <v>951760.04766000004</v>
      </c>
      <c r="K335" s="428">
        <v>971562.77405999997</v>
      </c>
      <c r="L335" s="428">
        <v>-18677.312030000001</v>
      </c>
    </row>
    <row r="336" spans="1:12">
      <c r="A336" s="429" t="str">
        <f t="shared" si="9"/>
        <v>10</v>
      </c>
      <c r="B336" s="429" t="str">
        <f>T("101907 2004")</f>
        <v>101907 2004</v>
      </c>
      <c r="C336" s="637" t="str">
        <f>T("Allmänna försäkringskassor")</f>
        <v>Allmänna försäkringskassor</v>
      </c>
      <c r="D336" s="428">
        <v>4475228.69881</v>
      </c>
      <c r="E336" s="428">
        <v>3707299.1927800002</v>
      </c>
      <c r="F336" s="428">
        <v>4885323.5811299998</v>
      </c>
      <c r="G336" s="428">
        <v>4802163.3865200002</v>
      </c>
      <c r="H336" s="428">
        <v>5257392.4120699996</v>
      </c>
      <c r="I336" s="428">
        <v>5352931.2212100001</v>
      </c>
      <c r="J336" s="428">
        <v>5914185.9707500003</v>
      </c>
      <c r="K336" s="428">
        <v>5979517.66732</v>
      </c>
      <c r="L336" s="428">
        <v>16154.97774</v>
      </c>
    </row>
    <row r="337" spans="1:12">
      <c r="A337" s="429" t="str">
        <f t="shared" si="9"/>
        <v>10</v>
      </c>
      <c r="B337" s="429" t="str">
        <f>T("10A003 1999")</f>
        <v>10A003 1999</v>
      </c>
      <c r="C337" s="637" t="str">
        <f>T("Förtidspensioner:statlig ålderspensionsavgift ")</f>
        <v xml:space="preserve">Förtidspensioner:statlig ålderspensionsavgift </v>
      </c>
      <c r="F337" s="428">
        <v>8864830</v>
      </c>
    </row>
    <row r="338" spans="1:12">
      <c r="A338" s="429" t="str">
        <f t="shared" si="9"/>
        <v>10</v>
      </c>
      <c r="B338" s="429" t="str">
        <f>T("10A006 1999")</f>
        <v>10A006 1999</v>
      </c>
      <c r="C338" s="637" t="str">
        <f>T("Arbetsskadeersättningar:statlig ålderspensionsavgift ")</f>
        <v xml:space="preserve">Arbetsskadeersättningar:statlig ålderspensionsavgift </v>
      </c>
      <c r="F338" s="428">
        <v>1181300</v>
      </c>
    </row>
    <row r="339" spans="1:12">
      <c r="A339" s="430" t="s">
        <v>1644</v>
      </c>
      <c r="B339" s="430"/>
      <c r="C339" s="430" t="str">
        <f>T("Ekonomisk trygghet vid sjukdom och funktionsnedsättning")</f>
        <v>Ekonomisk trygghet vid sjukdom och funktionsnedsättning</v>
      </c>
      <c r="D339" s="431">
        <v>35650244.718139999</v>
      </c>
      <c r="E339" s="431">
        <v>39744865.426119998</v>
      </c>
      <c r="F339" s="431">
        <v>88477094.333090007</v>
      </c>
      <c r="G339" s="431">
        <v>97936787.192519993</v>
      </c>
      <c r="H339" s="431">
        <v>107315506.44277</v>
      </c>
      <c r="I339" s="431">
        <v>112889063.9373</v>
      </c>
      <c r="J339" s="431">
        <v>121464023.12577</v>
      </c>
      <c r="K339" s="431">
        <v>122916436.88801</v>
      </c>
      <c r="L339" s="431">
        <v>127049423.09333999</v>
      </c>
    </row>
    <row r="340" spans="1:12">
      <c r="A340" s="429" t="str">
        <f t="shared" ref="A340:A346" si="10">T("11")</f>
        <v>11</v>
      </c>
      <c r="B340" s="429" t="str">
        <f>T("1101001")</f>
        <v>1101001</v>
      </c>
      <c r="C340" s="637" t="str">
        <f>T("Garantipension till ålderspension")</f>
        <v>Garantipension till ålderspension</v>
      </c>
      <c r="D340" s="428">
        <v>52886196.458930001</v>
      </c>
      <c r="E340" s="428">
        <v>52673500.501840003</v>
      </c>
      <c r="F340" s="428">
        <v>11551974.839740001</v>
      </c>
      <c r="G340" s="428">
        <v>10841773.246160001</v>
      </c>
      <c r="H340" s="428">
        <v>10115479.816989999</v>
      </c>
      <c r="I340" s="428">
        <v>9664839.4021600001</v>
      </c>
      <c r="J340" s="428">
        <v>24625099.176320001</v>
      </c>
      <c r="K340" s="428">
        <v>23768557.89463</v>
      </c>
      <c r="L340" s="428">
        <v>22448578.884629998</v>
      </c>
    </row>
    <row r="341" spans="1:12">
      <c r="A341" s="429" t="str">
        <f t="shared" si="10"/>
        <v>11</v>
      </c>
      <c r="B341" s="429" t="str">
        <f>T("1101002")</f>
        <v>1101002</v>
      </c>
      <c r="C341" s="637" t="str">
        <f>T("Efterlevandepensioner till vuxna")</f>
        <v>Efterlevandepensioner till vuxna</v>
      </c>
      <c r="D341" s="428">
        <v>793412.06299999997</v>
      </c>
      <c r="E341" s="428">
        <v>475749.77399999998</v>
      </c>
      <c r="F341" s="428">
        <v>12659299.175000001</v>
      </c>
      <c r="G341" s="428">
        <v>12864685.429</v>
      </c>
      <c r="H341" s="428">
        <v>13056140.723999999</v>
      </c>
      <c r="I341" s="428">
        <v>13444410.068</v>
      </c>
      <c r="J341" s="428">
        <v>15611370.575999999</v>
      </c>
      <c r="K341" s="428">
        <v>15925748.8157</v>
      </c>
      <c r="L341" s="428">
        <v>15855530.65797</v>
      </c>
    </row>
    <row r="342" spans="1:12">
      <c r="A342" s="429" t="str">
        <f t="shared" si="10"/>
        <v>11</v>
      </c>
      <c r="B342" s="429" t="str">
        <f>T("1101003")</f>
        <v>1101003</v>
      </c>
      <c r="C342" s="637" t="str">
        <f>T("Bostadstillägg till pensionärer")</f>
        <v>Bostadstillägg till pensionärer</v>
      </c>
      <c r="D342" s="428">
        <v>9454509.0030000005</v>
      </c>
      <c r="E342" s="428">
        <v>9534743.1600000001</v>
      </c>
      <c r="F342" s="428">
        <v>9939893.602</v>
      </c>
      <c r="G342" s="428">
        <v>9619629.5059999991</v>
      </c>
      <c r="H342" s="428">
        <v>10407268.676000001</v>
      </c>
      <c r="I342" s="428">
        <v>10502477.398</v>
      </c>
      <c r="J342" s="428">
        <v>10978734.574999999</v>
      </c>
      <c r="K342" s="428">
        <v>10947312.64419</v>
      </c>
      <c r="L342" s="428">
        <v>7332882.7452800004</v>
      </c>
    </row>
    <row r="343" spans="1:12">
      <c r="A343" s="429" t="str">
        <f t="shared" si="10"/>
        <v>11</v>
      </c>
      <c r="B343" s="429" t="str">
        <f>T("1101004")</f>
        <v>1101004</v>
      </c>
      <c r="C343" s="637" t="str">
        <f>T("Äldreförsörjningsstöd")</f>
        <v>Äldreförsörjningsstöd</v>
      </c>
      <c r="J343" s="428">
        <v>634063.86600000004</v>
      </c>
      <c r="K343" s="428">
        <v>587487.82900000003</v>
      </c>
      <c r="L343" s="428">
        <v>483233.97399999999</v>
      </c>
    </row>
    <row r="344" spans="1:12">
      <c r="A344" s="429" t="str">
        <f t="shared" si="10"/>
        <v>11</v>
      </c>
      <c r="B344" s="429" t="str">
        <f>T("1102001")</f>
        <v>1102001</v>
      </c>
      <c r="C344" s="637" t="str">
        <f>T("Pensionsmyndigheten")</f>
        <v>Pensionsmyndigheten</v>
      </c>
    </row>
    <row r="345" spans="1:12">
      <c r="A345" s="429" t="str">
        <f t="shared" si="10"/>
        <v>11</v>
      </c>
      <c r="B345" s="429" t="str">
        <f>T("112004 2003")</f>
        <v>112004 2003</v>
      </c>
      <c r="C345" s="637" t="str">
        <f>T("Delpension")</f>
        <v>Delpension</v>
      </c>
      <c r="F345" s="428">
        <v>299124.35399999999</v>
      </c>
      <c r="G345" s="428">
        <v>211444.348</v>
      </c>
      <c r="H345" s="428">
        <v>260148.253</v>
      </c>
      <c r="I345" s="428">
        <v>182419.57</v>
      </c>
      <c r="J345" s="428">
        <v>104342.382</v>
      </c>
    </row>
    <row r="346" spans="1:12">
      <c r="A346" s="429" t="str">
        <f t="shared" si="10"/>
        <v>11</v>
      </c>
      <c r="B346" s="429" t="str">
        <f>T("11C027 9596")</f>
        <v>11C027 9596</v>
      </c>
      <c r="C346" s="637" t="str">
        <f>T("")</f>
        <v/>
      </c>
      <c r="F346" s="428">
        <v>0.26100000000000001</v>
      </c>
    </row>
    <row r="347" spans="1:12">
      <c r="A347" s="430" t="s">
        <v>1645</v>
      </c>
      <c r="B347" s="430"/>
      <c r="C347" s="430" t="str">
        <f>T("Ekonomisk trygghet vid ålderdom")</f>
        <v>Ekonomisk trygghet vid ålderdom</v>
      </c>
      <c r="D347" s="431">
        <v>63134117.52493</v>
      </c>
      <c r="E347" s="431">
        <v>62683993.435840003</v>
      </c>
      <c r="F347" s="431">
        <v>34450292.231739998</v>
      </c>
      <c r="G347" s="431">
        <v>33537532.52916</v>
      </c>
      <c r="H347" s="431">
        <v>33839037.46999</v>
      </c>
      <c r="I347" s="431">
        <v>33794146.438160002</v>
      </c>
      <c r="J347" s="431">
        <v>51953610.575319998</v>
      </c>
      <c r="K347" s="431">
        <v>51229107.183519997</v>
      </c>
      <c r="L347" s="431">
        <v>46120226.261880003</v>
      </c>
    </row>
    <row r="348" spans="1:12">
      <c r="A348" s="429" t="str">
        <f t="shared" ref="A348:A355" si="11">T("12")</f>
        <v>12</v>
      </c>
      <c r="B348" s="429" t="str">
        <f>T("1201001")</f>
        <v>1201001</v>
      </c>
      <c r="C348" s="637" t="str">
        <f>T("Allmänna barnbidrag")</f>
        <v>Allmänna barnbidrag</v>
      </c>
      <c r="D348" s="428">
        <v>14423905.31065</v>
      </c>
      <c r="E348" s="428">
        <v>16829600.809379999</v>
      </c>
      <c r="F348" s="428">
        <v>16765792.204089999</v>
      </c>
      <c r="G348" s="428">
        <v>18931947.707819998</v>
      </c>
      <c r="H348" s="428">
        <v>21108233.14133</v>
      </c>
      <c r="I348" s="428">
        <v>21017904.867970001</v>
      </c>
      <c r="J348" s="428">
        <v>20955669.55635</v>
      </c>
      <c r="K348" s="428">
        <v>20873257.612300001</v>
      </c>
      <c r="L348" s="428">
        <v>21457662.181570001</v>
      </c>
    </row>
    <row r="349" spans="1:12">
      <c r="A349" s="429" t="str">
        <f t="shared" si="11"/>
        <v>12</v>
      </c>
      <c r="B349" s="429" t="str">
        <f>T("1201002")</f>
        <v>1201002</v>
      </c>
      <c r="C349" s="637" t="str">
        <f>T("Föräldraförsäkring")</f>
        <v>Föräldraförsäkring</v>
      </c>
      <c r="D349" s="428">
        <v>13282239.086999999</v>
      </c>
      <c r="E349" s="428">
        <v>14128584.162</v>
      </c>
      <c r="F349" s="428">
        <v>15594608.999</v>
      </c>
      <c r="G349" s="428">
        <v>16844232.732000001</v>
      </c>
      <c r="H349" s="428">
        <v>18372160.940000001</v>
      </c>
      <c r="I349" s="428">
        <v>20041937.315000001</v>
      </c>
      <c r="J349" s="428">
        <v>21969796.045620002</v>
      </c>
      <c r="K349" s="428">
        <v>23469274.226</v>
      </c>
      <c r="L349" s="428">
        <v>24127160.555720001</v>
      </c>
    </row>
    <row r="350" spans="1:12">
      <c r="A350" s="429" t="str">
        <f t="shared" si="11"/>
        <v>12</v>
      </c>
      <c r="B350" s="429" t="str">
        <f>T("1201003")</f>
        <v>1201003</v>
      </c>
      <c r="C350" s="637" t="str">
        <f>T("Underhållsstöd")</f>
        <v>Underhållsstöd</v>
      </c>
      <c r="D350" s="428">
        <v>3023393.9559999998</v>
      </c>
      <c r="E350" s="428">
        <v>2989186.7165299999</v>
      </c>
      <c r="F350" s="428">
        <v>2895808.9110900001</v>
      </c>
      <c r="G350" s="428">
        <v>2631539.5480599999</v>
      </c>
      <c r="H350" s="428">
        <v>2496144.96893</v>
      </c>
      <c r="I350" s="428">
        <v>2342366.9801699999</v>
      </c>
      <c r="J350" s="428">
        <v>2148078.72596</v>
      </c>
      <c r="K350" s="428">
        <v>2026451.9065700001</v>
      </c>
      <c r="L350" s="428">
        <v>1935215.8871299999</v>
      </c>
    </row>
    <row r="351" spans="1:12">
      <c r="A351" s="429" t="str">
        <f t="shared" si="11"/>
        <v>12</v>
      </c>
      <c r="B351" s="429" t="str">
        <f>T("1201004")</f>
        <v>1201004</v>
      </c>
      <c r="C351" s="637" t="str">
        <f>T("Bidrag till kostnader för internationella adoptioner")</f>
        <v>Bidrag till kostnader för internationella adoptioner</v>
      </c>
      <c r="D351" s="428">
        <v>19785.78</v>
      </c>
      <c r="E351" s="428">
        <v>19975.72</v>
      </c>
      <c r="F351" s="428">
        <v>21632.628000000001</v>
      </c>
      <c r="G351" s="428">
        <v>20857.48</v>
      </c>
      <c r="H351" s="428">
        <v>33038.449999999997</v>
      </c>
      <c r="I351" s="428">
        <v>38806.594799999999</v>
      </c>
      <c r="J351" s="428">
        <v>41074.184000000001</v>
      </c>
      <c r="K351" s="428">
        <v>37857.870000000003</v>
      </c>
      <c r="L351" s="428">
        <v>39020</v>
      </c>
    </row>
    <row r="352" spans="1:12">
      <c r="A352" s="429" t="str">
        <f t="shared" si="11"/>
        <v>12</v>
      </c>
      <c r="B352" s="429" t="str">
        <f>T("1201005")</f>
        <v>1201005</v>
      </c>
      <c r="C352" s="637" t="str">
        <f>T("Barnpension och efterlevandestöd")</f>
        <v>Barnpension och efterlevandestöd</v>
      </c>
      <c r="D352" s="428">
        <v>286146.49</v>
      </c>
      <c r="E352" s="428">
        <v>285867.53200000001</v>
      </c>
      <c r="F352" s="428">
        <v>938006.223</v>
      </c>
      <c r="G352" s="428">
        <v>941227.90500000003</v>
      </c>
      <c r="H352" s="428">
        <v>950533.19099999999</v>
      </c>
      <c r="I352" s="428">
        <v>976859.65399999998</v>
      </c>
      <c r="J352" s="428">
        <v>1045033.983</v>
      </c>
      <c r="K352" s="428">
        <v>1059986.30773</v>
      </c>
      <c r="L352" s="428">
        <v>1047605.118</v>
      </c>
    </row>
    <row r="353" spans="1:12">
      <c r="A353" s="429" t="str">
        <f t="shared" si="11"/>
        <v>12</v>
      </c>
      <c r="B353" s="429" t="str">
        <f>T("1201006")</f>
        <v>1201006</v>
      </c>
      <c r="C353" s="637" t="str">
        <f>T("Vårdbidrag för funktionshindrade barn")</f>
        <v>Vårdbidrag för funktionshindrade barn</v>
      </c>
      <c r="D353" s="428">
        <v>1566793.898</v>
      </c>
      <c r="E353" s="428">
        <v>1656367.3759999999</v>
      </c>
      <c r="F353" s="428">
        <v>1850807.173</v>
      </c>
      <c r="G353" s="428">
        <v>1986195.97</v>
      </c>
      <c r="H353" s="428">
        <v>2052658.1340000001</v>
      </c>
      <c r="I353" s="428">
        <v>2110097.7829999998</v>
      </c>
      <c r="J353" s="428">
        <v>2232315.804</v>
      </c>
      <c r="K353" s="428">
        <v>2406862.9279999998</v>
      </c>
      <c r="L353" s="428">
        <v>2541054.7480000001</v>
      </c>
    </row>
    <row r="354" spans="1:12">
      <c r="A354" s="429" t="str">
        <f t="shared" si="11"/>
        <v>12</v>
      </c>
      <c r="B354" s="429" t="str">
        <f>T("1201007")</f>
        <v>1201007</v>
      </c>
      <c r="C354" s="637" t="str">
        <f>T("Pensionsrätt för barnår")</f>
        <v>Pensionsrätt för barnår</v>
      </c>
      <c r="F354" s="428">
        <v>3108000</v>
      </c>
      <c r="G354" s="428">
        <v>3240000</v>
      </c>
      <c r="H354" s="428">
        <v>3276000</v>
      </c>
      <c r="I354" s="428">
        <v>3669000</v>
      </c>
      <c r="J354" s="428">
        <v>3831000</v>
      </c>
      <c r="K354" s="428">
        <v>4051000</v>
      </c>
      <c r="L354" s="428">
        <v>4319000</v>
      </c>
    </row>
    <row r="355" spans="1:12">
      <c r="A355" s="429" t="str">
        <f t="shared" si="11"/>
        <v>12</v>
      </c>
      <c r="B355" s="429" t="str">
        <f>T("1201008")</f>
        <v>1201008</v>
      </c>
      <c r="C355" s="637" t="str">
        <f>T("Bostadsbidrag")</f>
        <v>Bostadsbidrag</v>
      </c>
      <c r="D355" s="428">
        <v>6195053.1903200001</v>
      </c>
      <c r="E355" s="428">
        <v>5749257.0269900002</v>
      </c>
      <c r="F355" s="428">
        <v>5067327.0764300004</v>
      </c>
      <c r="G355" s="428">
        <v>4372985.2100400003</v>
      </c>
      <c r="H355" s="428">
        <v>3994176.3555200002</v>
      </c>
      <c r="I355" s="428">
        <v>3717477.14353</v>
      </c>
      <c r="J355" s="428">
        <v>3594971.0369699998</v>
      </c>
      <c r="K355" s="428">
        <v>3613796.4342999998</v>
      </c>
      <c r="L355" s="428">
        <v>3604679.3836699999</v>
      </c>
    </row>
    <row r="356" spans="1:12">
      <c r="A356" s="430" t="s">
        <v>1646</v>
      </c>
      <c r="B356" s="430"/>
      <c r="C356" s="430" t="str">
        <f>T("Ekonomisk trygghet för familjer och barn")</f>
        <v>Ekonomisk trygghet för familjer och barn</v>
      </c>
      <c r="D356" s="431">
        <v>38797317.711970001</v>
      </c>
      <c r="E356" s="431">
        <v>41658839.342900001</v>
      </c>
      <c r="F356" s="431">
        <v>46241983.214610003</v>
      </c>
      <c r="G356" s="431">
        <v>48968986.552919999</v>
      </c>
      <c r="H356" s="431">
        <v>52282945.180780001</v>
      </c>
      <c r="I356" s="431">
        <v>53914450.338469997</v>
      </c>
      <c r="J356" s="431">
        <v>55817939.335900001</v>
      </c>
      <c r="K356" s="431">
        <v>57538487.284900002</v>
      </c>
      <c r="L356" s="431">
        <v>59071397.874090001</v>
      </c>
    </row>
    <row r="357" spans="1:12">
      <c r="A357" s="429" t="str">
        <f t="shared" ref="A357:A375" si="12">T("13")</f>
        <v>13</v>
      </c>
      <c r="B357" s="429" t="str">
        <f>T("1301001")</f>
        <v>1301001</v>
      </c>
      <c r="C357" s="637" t="str">
        <f>T("Integrationsåtgärder")</f>
        <v>Integrationsåtgärder</v>
      </c>
      <c r="E357" s="428">
        <v>49605.177000000003</v>
      </c>
      <c r="F357" s="428">
        <v>35694.642970000001</v>
      </c>
      <c r="G357" s="428">
        <v>34493.389499999997</v>
      </c>
      <c r="H357" s="428">
        <v>51751.928800000002</v>
      </c>
      <c r="I357" s="428">
        <v>54572.261780000001</v>
      </c>
      <c r="J357" s="428">
        <v>76322.094570000001</v>
      </c>
      <c r="K357" s="428">
        <v>78831.239409999995</v>
      </c>
      <c r="L357" s="428">
        <v>96402.117050000001</v>
      </c>
    </row>
    <row r="358" spans="1:12">
      <c r="A358" s="429" t="str">
        <f t="shared" si="12"/>
        <v>13</v>
      </c>
      <c r="B358" s="429" t="str">
        <f>T("1301002")</f>
        <v>1301002</v>
      </c>
      <c r="C358" s="637" t="str">
        <f>T("Kommunersättningar vid flyktingmottagande")</f>
        <v>Kommunersättningar vid flyktingmottagande</v>
      </c>
      <c r="D358" s="428">
        <v>1386327.0822600001</v>
      </c>
      <c r="E358" s="428">
        <v>2089601.9255299999</v>
      </c>
      <c r="F358" s="428">
        <v>2193703.1397500001</v>
      </c>
      <c r="G358" s="428">
        <v>1961265.0569500001</v>
      </c>
      <c r="H358" s="428">
        <v>2115990.307</v>
      </c>
      <c r="I358" s="428">
        <v>2386611.57595</v>
      </c>
      <c r="J358" s="428">
        <v>2408967.5889499998</v>
      </c>
      <c r="K358" s="428">
        <v>1883248.9615100001</v>
      </c>
      <c r="L358" s="428">
        <v>1735958.6860799999</v>
      </c>
    </row>
    <row r="359" spans="1:12">
      <c r="A359" s="429" t="str">
        <f t="shared" si="12"/>
        <v>13</v>
      </c>
      <c r="B359" s="429" t="str">
        <f>T("1301003")</f>
        <v>1301003</v>
      </c>
      <c r="C359" s="637" t="str">
        <f>T("Etableringsersättning till vissa nyanlända invandrare")</f>
        <v>Etableringsersättning till vissa nyanlända invandrare</v>
      </c>
    </row>
    <row r="360" spans="1:12">
      <c r="A360" s="429" t="str">
        <f t="shared" si="12"/>
        <v>13</v>
      </c>
      <c r="B360" s="429" t="str">
        <f>T("1301004")</f>
        <v>1301004</v>
      </c>
      <c r="C360" s="637" t="str">
        <f>T("Ersättning till etableringslotsar och insatser för vissa nyanlända invandrare")</f>
        <v>Ersättning till etableringslotsar och insatser för vissa nyanlända invandrare</v>
      </c>
    </row>
    <row r="361" spans="1:12">
      <c r="A361" s="429" t="str">
        <f t="shared" si="12"/>
        <v>13</v>
      </c>
      <c r="B361" s="429" t="str">
        <f>T("1301005")</f>
        <v>1301005</v>
      </c>
      <c r="C361" s="637" t="str">
        <f>T("Hemutrustningslån")</f>
        <v>Hemutrustningslån</v>
      </c>
      <c r="D361" s="428">
        <v>95951.07</v>
      </c>
      <c r="E361" s="428">
        <v>79356.41</v>
      </c>
      <c r="F361" s="428">
        <v>32282.697909999999</v>
      </c>
      <c r="G361" s="428">
        <v>9961.1139999999996</v>
      </c>
      <c r="H361" s="428">
        <v>5622.1779999999999</v>
      </c>
      <c r="I361" s="428">
        <v>5211.482</v>
      </c>
      <c r="J361" s="428">
        <v>11255.591</v>
      </c>
      <c r="K361" s="428">
        <v>12827.932000000001</v>
      </c>
      <c r="L361" s="428">
        <v>14344.862999999999</v>
      </c>
    </row>
    <row r="362" spans="1:12">
      <c r="A362" s="429" t="str">
        <f t="shared" si="12"/>
        <v>13</v>
      </c>
      <c r="B362" s="429" t="str">
        <f>T("1301006")</f>
        <v>1301006</v>
      </c>
      <c r="C362" s="637" t="str">
        <f>T("Från EU-budgeten finansierade insatser för integration av tredjelandsmedborgare")</f>
        <v>Från EU-budgeten finansierade insatser för integration av tredjelandsmedborgare</v>
      </c>
    </row>
    <row r="363" spans="1:12">
      <c r="A363" s="429" t="str">
        <f t="shared" si="12"/>
        <v>13</v>
      </c>
      <c r="B363" s="429" t="str">
        <f>T("1302001")</f>
        <v>1302001</v>
      </c>
      <c r="C363" s="637" t="str">
        <f>T("Diskrimineringsombudsmannen")</f>
        <v>Diskrimineringsombudsmannen</v>
      </c>
    </row>
    <row r="364" spans="1:12">
      <c r="A364" s="429" t="str">
        <f t="shared" si="12"/>
        <v>13</v>
      </c>
      <c r="B364" s="429" t="str">
        <f>T("1302002")</f>
        <v>1302002</v>
      </c>
      <c r="C364" s="637" t="str">
        <f>T("Åtgärder mot diskriminering och rasism m.m.")</f>
        <v>Åtgärder mot diskriminering och rasism m.m.</v>
      </c>
    </row>
    <row r="365" spans="1:12">
      <c r="A365" s="429" t="str">
        <f t="shared" si="12"/>
        <v>13</v>
      </c>
      <c r="B365" s="429" t="str">
        <f>T("1303001")</f>
        <v>1303001</v>
      </c>
      <c r="C365" s="637" t="str">
        <f>T("Särskilda jämställdhetsåtgärder")</f>
        <v>Särskilda jämställdhetsåtgärder</v>
      </c>
      <c r="D365" s="428">
        <v>2879.0075499999998</v>
      </c>
      <c r="E365" s="428">
        <v>1076.3044</v>
      </c>
      <c r="F365" s="428">
        <v>6260.00587</v>
      </c>
      <c r="G365" s="428">
        <v>25061.319960000001</v>
      </c>
      <c r="H365" s="428">
        <v>20178.574069999999</v>
      </c>
      <c r="I365" s="428">
        <v>18401.585879999999</v>
      </c>
      <c r="J365" s="428">
        <v>11247.95271</v>
      </c>
      <c r="K365" s="428">
        <v>10793.560009999999</v>
      </c>
      <c r="L365" s="428">
        <v>8514.4180400000005</v>
      </c>
    </row>
    <row r="366" spans="1:12">
      <c r="A366" s="429" t="str">
        <f t="shared" si="12"/>
        <v>13</v>
      </c>
      <c r="B366" s="429" t="str">
        <f>T("131001 2007")</f>
        <v>131001 2007</v>
      </c>
      <c r="C366" s="637" t="str">
        <f>T("Integrationsverket")</f>
        <v>Integrationsverket</v>
      </c>
      <c r="E366" s="428">
        <v>29632.378990000001</v>
      </c>
      <c r="F366" s="428">
        <v>56448.986069999999</v>
      </c>
      <c r="G366" s="428">
        <v>78791.924339999998</v>
      </c>
      <c r="H366" s="428">
        <v>96735.145910000007</v>
      </c>
      <c r="I366" s="428">
        <v>84775.954719999994</v>
      </c>
      <c r="J366" s="428">
        <v>92383.916870000001</v>
      </c>
      <c r="K366" s="428">
        <v>91941.725260000007</v>
      </c>
      <c r="L366" s="428">
        <v>87657.525840000002</v>
      </c>
    </row>
    <row r="367" spans="1:12">
      <c r="A367" s="429" t="str">
        <f t="shared" si="12"/>
        <v>13</v>
      </c>
      <c r="B367" s="429" t="str">
        <f>T("131001 2008")</f>
        <v>131001 2008</v>
      </c>
      <c r="C367" s="637" t="str">
        <f>T("Avvecklingsmyndigheten för Integrationsverket")</f>
        <v>Avvecklingsmyndigheten för Integrationsverket</v>
      </c>
    </row>
    <row r="368" spans="1:12">
      <c r="A368" s="429" t="str">
        <f t="shared" si="12"/>
        <v>13</v>
      </c>
      <c r="B368" s="429" t="str">
        <f>T("131005 2008")</f>
        <v>131005 2008</v>
      </c>
      <c r="C368" s="637" t="str">
        <f>T("Ombudsmannen mot etnisk diskriminering")</f>
        <v>Ombudsmannen mot etnisk diskriminering</v>
      </c>
      <c r="D368" s="428">
        <v>4840.2396399999998</v>
      </c>
      <c r="E368" s="428">
        <v>4862.7640600000004</v>
      </c>
      <c r="F368" s="428">
        <v>7747.6218699999999</v>
      </c>
      <c r="G368" s="428">
        <v>8120.7113099999997</v>
      </c>
      <c r="H368" s="428">
        <v>12048.394609999999</v>
      </c>
      <c r="I368" s="428">
        <v>16011.1922</v>
      </c>
      <c r="J368" s="428">
        <v>20607.25275</v>
      </c>
      <c r="K368" s="428">
        <v>20824.50578</v>
      </c>
      <c r="L368" s="428">
        <v>23671.48187</v>
      </c>
    </row>
    <row r="369" spans="1:12">
      <c r="A369" s="429" t="str">
        <f t="shared" si="12"/>
        <v>13</v>
      </c>
      <c r="B369" s="429" t="str">
        <f>T("131006 2008")</f>
        <v>131006 2008</v>
      </c>
      <c r="C369" s="637" t="str">
        <f>T("Jämställdhetsombudsmannen")</f>
        <v>Jämställdhetsombudsmannen</v>
      </c>
      <c r="D369" s="428">
        <v>13262.61981</v>
      </c>
      <c r="E369" s="428">
        <v>14081.607690000001</v>
      </c>
      <c r="F369" s="428">
        <v>17162.298569999999</v>
      </c>
      <c r="G369" s="428">
        <v>16564.786029999999</v>
      </c>
      <c r="H369" s="428">
        <v>18620.820670000001</v>
      </c>
      <c r="I369" s="428">
        <v>20316.08813</v>
      </c>
      <c r="J369" s="428">
        <v>21512.52187</v>
      </c>
      <c r="K369" s="428">
        <v>22359.312379999999</v>
      </c>
      <c r="L369" s="428">
        <v>23815.668389999999</v>
      </c>
    </row>
    <row r="370" spans="1:12">
      <c r="A370" s="429" t="str">
        <f t="shared" si="12"/>
        <v>13</v>
      </c>
      <c r="B370" s="429" t="str">
        <f>T("131007 2008")</f>
        <v>131007 2008</v>
      </c>
      <c r="C370" s="637" t="str">
        <f>T("Ombudsmannen mot diskriminering på grund av sexuell läggning (HomO)")</f>
        <v>Ombudsmannen mot diskriminering på grund av sexuell läggning (HomO)</v>
      </c>
      <c r="F370" s="428">
        <v>1121.10203</v>
      </c>
      <c r="G370" s="428">
        <v>2777.4426600000002</v>
      </c>
      <c r="H370" s="428">
        <v>4095.90245</v>
      </c>
      <c r="I370" s="428">
        <v>4979.92</v>
      </c>
      <c r="J370" s="428">
        <v>6579.84843</v>
      </c>
      <c r="K370" s="428">
        <v>8066.0185600000004</v>
      </c>
      <c r="L370" s="428">
        <v>7777.6518400000004</v>
      </c>
    </row>
    <row r="371" spans="1:12">
      <c r="A371" s="429" t="str">
        <f t="shared" si="12"/>
        <v>13</v>
      </c>
      <c r="B371" s="429" t="str">
        <f>T("131008 2008")</f>
        <v>131008 2008</v>
      </c>
      <c r="C371" s="637" t="str">
        <f>T("Handikappombudsmannen")</f>
        <v>Handikappombudsmannen</v>
      </c>
      <c r="D371" s="428">
        <v>8245.9023300000008</v>
      </c>
      <c r="E371" s="428">
        <v>8480.9681500000006</v>
      </c>
      <c r="F371" s="428">
        <v>7767.3155900000002</v>
      </c>
      <c r="G371" s="428">
        <v>8330.4050599999991</v>
      </c>
      <c r="H371" s="428">
        <v>13772.66793</v>
      </c>
      <c r="I371" s="428">
        <v>16384.986779999999</v>
      </c>
      <c r="J371" s="428">
        <v>16680.321530000001</v>
      </c>
      <c r="K371" s="428">
        <v>20643.853950000001</v>
      </c>
      <c r="L371" s="428">
        <v>17855.955269999999</v>
      </c>
    </row>
    <row r="372" spans="1:12">
      <c r="A372" s="429" t="str">
        <f t="shared" si="12"/>
        <v>13</v>
      </c>
      <c r="B372" s="429" t="str">
        <f>T("131101 2004")</f>
        <v>131101 2004</v>
      </c>
      <c r="C372" s="637" t="str">
        <f>T("Utvecklingsinsatser i storstadsregionerna")</f>
        <v>Utvecklingsinsatser i storstadsregionerna</v>
      </c>
      <c r="D372" s="428">
        <v>472.02377999999999</v>
      </c>
      <c r="E372" s="428">
        <v>92316.120129999996</v>
      </c>
      <c r="F372" s="428">
        <v>106700</v>
      </c>
      <c r="G372" s="428">
        <v>148693.8052</v>
      </c>
      <c r="H372" s="428">
        <v>265670.60577000002</v>
      </c>
      <c r="I372" s="428">
        <v>327556.85425999999</v>
      </c>
      <c r="J372" s="428">
        <v>185788.84328</v>
      </c>
      <c r="K372" s="428">
        <v>155476.70813000001</v>
      </c>
      <c r="L372" s="428">
        <v>143453.38252000001</v>
      </c>
    </row>
    <row r="373" spans="1:12">
      <c r="A373" s="429" t="str">
        <f t="shared" si="12"/>
        <v>13</v>
      </c>
      <c r="B373" s="429" t="str">
        <f>T("132206 2001")</f>
        <v>132206 2001</v>
      </c>
      <c r="C373" s="637" t="str">
        <f>T("Europeiska socialfonden m.m. för perioden 1995-1999")</f>
        <v>Europeiska socialfonden m.m. för perioden 1995-1999</v>
      </c>
      <c r="D373" s="428">
        <v>1169504.3444999999</v>
      </c>
      <c r="E373" s="428">
        <v>1713081.9571799999</v>
      </c>
      <c r="F373" s="428">
        <v>2194391.8070399999</v>
      </c>
      <c r="G373" s="428">
        <v>1683438.9267200001</v>
      </c>
      <c r="H373" s="428">
        <v>494286.66034</v>
      </c>
      <c r="I373" s="428">
        <v>-1489.7249999999999</v>
      </c>
    </row>
    <row r="374" spans="1:12">
      <c r="A374" s="429" t="str">
        <f t="shared" si="12"/>
        <v>13</v>
      </c>
      <c r="B374" s="429" t="str">
        <f>T("132209 2005")</f>
        <v>132209 2005</v>
      </c>
      <c r="C374" s="637" t="str">
        <f>T("Bidrag till Samhall AB")</f>
        <v>Bidrag till Samhall AB</v>
      </c>
      <c r="D374" s="428">
        <v>4424419</v>
      </c>
      <c r="E374" s="428">
        <v>4456419</v>
      </c>
      <c r="F374" s="428">
        <v>4262419</v>
      </c>
      <c r="G374" s="428">
        <v>4262419</v>
      </c>
      <c r="H374" s="428">
        <v>4262419</v>
      </c>
      <c r="I374" s="428">
        <v>4262419</v>
      </c>
      <c r="J374" s="428">
        <v>4137419</v>
      </c>
      <c r="K374" s="428">
        <v>4235419</v>
      </c>
      <c r="L374" s="428">
        <v>4245419</v>
      </c>
    </row>
    <row r="375" spans="1:12">
      <c r="A375" s="429" t="str">
        <f t="shared" si="12"/>
        <v>13</v>
      </c>
      <c r="B375" s="429" t="str">
        <f>T("132213 2001")</f>
        <v>132213 2001</v>
      </c>
      <c r="C375" s="637" t="str">
        <f>T("Lernia AB")</f>
        <v>Lernia AB</v>
      </c>
      <c r="D375" s="428">
        <v>23704.97</v>
      </c>
      <c r="E375" s="428">
        <v>4932.643</v>
      </c>
      <c r="F375" s="428">
        <v>6120.5429999999997</v>
      </c>
      <c r="G375" s="428">
        <v>4149.1540000000005</v>
      </c>
      <c r="H375" s="428">
        <v>1121.712</v>
      </c>
    </row>
    <row r="376" spans="1:12">
      <c r="A376" s="430" t="s">
        <v>1647</v>
      </c>
      <c r="B376" s="430"/>
      <c r="C376" s="430" t="str">
        <f>T("Integration och jämställdhet")</f>
        <v>Integration och jämställdhet</v>
      </c>
      <c r="D376" s="431">
        <v>7129606.2598700002</v>
      </c>
      <c r="E376" s="431">
        <v>8543447.2561300006</v>
      </c>
      <c r="F376" s="431">
        <v>8927819.1606699992</v>
      </c>
      <c r="G376" s="431">
        <v>8244067.0357299997</v>
      </c>
      <c r="H376" s="431">
        <v>7362313.8975499999</v>
      </c>
      <c r="I376" s="431">
        <v>7195751.1766999997</v>
      </c>
      <c r="J376" s="431">
        <v>6988764.9319599997</v>
      </c>
      <c r="K376" s="431">
        <v>6540432.8169900002</v>
      </c>
      <c r="L376" s="431">
        <v>6404870.7499000002</v>
      </c>
    </row>
    <row r="377" spans="1:12">
      <c r="A377" s="429" t="str">
        <f t="shared" ref="A377:A409" si="13">T("14")</f>
        <v>14</v>
      </c>
      <c r="B377" s="429" t="str">
        <f>T("05G002 9596")</f>
        <v>05G002 9596</v>
      </c>
      <c r="C377" s="637" t="str">
        <f>T("Särskilda jämställdhetsåtgärder")</f>
        <v>Särskilda jämställdhetsåtgärder</v>
      </c>
      <c r="D377" s="428">
        <v>10463.253769999999</v>
      </c>
      <c r="E377" s="428">
        <v>17401.810649999999</v>
      </c>
      <c r="F377" s="428">
        <v>1569.5</v>
      </c>
    </row>
    <row r="378" spans="1:12">
      <c r="A378" s="429" t="str">
        <f t="shared" si="13"/>
        <v>14</v>
      </c>
      <c r="B378" s="429" t="str">
        <f>T("07E008 9495")</f>
        <v>07E008 9495</v>
      </c>
      <c r="C378" s="637" t="str">
        <f>T("Bidrag till kompetensutveckling på det statligt reglerade området")</f>
        <v>Bidrag till kompetensutveckling på det statligt reglerade området</v>
      </c>
      <c r="D378" s="428">
        <v>2216.2549899999999</v>
      </c>
    </row>
    <row r="379" spans="1:12">
      <c r="A379" s="429" t="str">
        <f t="shared" si="13"/>
        <v>14</v>
      </c>
      <c r="B379" s="429" t="str">
        <f>T("10A002 9596")</f>
        <v>10A002 9596</v>
      </c>
      <c r="C379" s="637" t="str">
        <f>T("Arbetsmarknadspolitiska åtgärder")</f>
        <v>Arbetsmarknadspolitiska åtgärder</v>
      </c>
      <c r="D379" s="428">
        <v>3107773.36356</v>
      </c>
      <c r="E379" s="428">
        <v>496947.4387</v>
      </c>
      <c r="F379" s="428">
        <v>30842.477139999999</v>
      </c>
      <c r="G379" s="428">
        <v>0</v>
      </c>
    </row>
    <row r="380" spans="1:12">
      <c r="A380" s="429" t="str">
        <f t="shared" si="13"/>
        <v>14</v>
      </c>
      <c r="B380" s="429" t="str">
        <f>T("10B002 9596")</f>
        <v>10B002 9596</v>
      </c>
      <c r="C380" s="637" t="str">
        <f>T("Myndigheter inom arbetslivsområdet")</f>
        <v>Myndigheter inom arbetslivsområdet</v>
      </c>
      <c r="D380" s="428">
        <v>68994.00791</v>
      </c>
    </row>
    <row r="381" spans="1:12">
      <c r="A381" s="429" t="str">
        <f t="shared" si="13"/>
        <v>14</v>
      </c>
      <c r="B381" s="429" t="str">
        <f>T("10B011 9596")</f>
        <v>10B011 9596</v>
      </c>
      <c r="C381" s="637" t="str">
        <f>T("Kapitaltillskott till AMU-Gruppen AB")</f>
        <v>Kapitaltillskott till AMU-Gruppen AB</v>
      </c>
      <c r="D381" s="428">
        <v>260000</v>
      </c>
    </row>
    <row r="382" spans="1:12">
      <c r="A382" s="429" t="str">
        <f t="shared" si="13"/>
        <v>14</v>
      </c>
      <c r="B382" s="429" t="str">
        <f>T("13B001 9192")</f>
        <v>13B001 9192</v>
      </c>
      <c r="C382" s="637" t="str">
        <f>T("Vissa utvecklingsåtgärder")</f>
        <v>Vissa utvecklingsåtgärder</v>
      </c>
      <c r="D382" s="428">
        <v>387.5</v>
      </c>
    </row>
    <row r="383" spans="1:12">
      <c r="A383" s="429" t="str">
        <f t="shared" si="13"/>
        <v>14</v>
      </c>
      <c r="B383" s="429" t="str">
        <f>T("13E005 9596")</f>
        <v>13E005 9596</v>
      </c>
      <c r="C383" s="637" t="str">
        <f>T("Bidrag till kvinnoorganisationernas centrala verksamhet")</f>
        <v>Bidrag till kvinnoorganisationernas centrala verksamhet</v>
      </c>
      <c r="D383" s="428">
        <v>3432</v>
      </c>
      <c r="E383" s="428">
        <v>0.35199999999999998</v>
      </c>
    </row>
    <row r="384" spans="1:12">
      <c r="A384" s="429" t="str">
        <f t="shared" si="13"/>
        <v>14</v>
      </c>
      <c r="B384" s="429" t="str">
        <f>T("1401001")</f>
        <v>1401001</v>
      </c>
      <c r="C384" s="637" t="str">
        <f>T("Arbetsförmedlingens förvaltningskostnader")</f>
        <v>Arbetsförmedlingens förvaltningskostnader</v>
      </c>
      <c r="D384" s="428">
        <v>4183974.33647</v>
      </c>
      <c r="E384" s="428">
        <v>4207365.4322699998</v>
      </c>
      <c r="F384" s="428">
        <v>4347365.4111700002</v>
      </c>
      <c r="G384" s="428">
        <v>4537055.1078300001</v>
      </c>
      <c r="H384" s="428">
        <v>4416765.1969799995</v>
      </c>
      <c r="I384" s="428">
        <v>4438024.8237100001</v>
      </c>
      <c r="J384" s="428">
        <v>4573239.1975699998</v>
      </c>
      <c r="K384" s="428">
        <v>4806817.0204299996</v>
      </c>
      <c r="L384" s="428">
        <v>4593009.6266700001</v>
      </c>
    </row>
    <row r="385" spans="1:12">
      <c r="A385" s="429" t="str">
        <f t="shared" si="13"/>
        <v>14</v>
      </c>
      <c r="B385" s="429" t="str">
        <f>T("1401002")</f>
        <v>1401002</v>
      </c>
      <c r="C385" s="637" t="str">
        <f>T("Bidrag till arbetslöshetsersättning och aktivitetsstöd")</f>
        <v>Bidrag till arbetslöshetsersättning och aktivitetsstöd</v>
      </c>
      <c r="D385" s="428">
        <v>38927376.66708</v>
      </c>
      <c r="E385" s="428">
        <v>35289473.480329998</v>
      </c>
      <c r="F385" s="428">
        <v>34494163.600790001</v>
      </c>
      <c r="G385" s="428">
        <v>32251352.753309999</v>
      </c>
      <c r="H385" s="428">
        <v>35956501.722499996</v>
      </c>
      <c r="I385" s="428">
        <v>36728377.581639998</v>
      </c>
      <c r="J385" s="428">
        <v>40640500.795829996</v>
      </c>
      <c r="K385" s="428">
        <v>45194479.824600004</v>
      </c>
      <c r="L385" s="428">
        <v>46918007.489069998</v>
      </c>
    </row>
    <row r="386" spans="1:12">
      <c r="A386" s="429" t="str">
        <f t="shared" si="13"/>
        <v>14</v>
      </c>
      <c r="B386" s="429" t="str">
        <f>T("1401003")</f>
        <v>1401003</v>
      </c>
      <c r="C386" s="637" t="str">
        <f>T("Kostnader för arbetsmarknadspolitiska program och insatser")</f>
        <v>Kostnader för arbetsmarknadspolitiska program och insatser</v>
      </c>
      <c r="D386" s="428">
        <v>21511275.102839999</v>
      </c>
      <c r="E386" s="428">
        <v>21266070.9087</v>
      </c>
      <c r="F386" s="428">
        <v>22403407.27045</v>
      </c>
      <c r="G386" s="428">
        <v>15647850.732039999</v>
      </c>
      <c r="H386" s="428">
        <v>5033713.0292400001</v>
      </c>
      <c r="I386" s="428">
        <v>4837532.3439699998</v>
      </c>
      <c r="J386" s="428">
        <v>4335902.4782699998</v>
      </c>
      <c r="K386" s="428">
        <v>3836009.58739</v>
      </c>
      <c r="L386" s="428">
        <v>4513091.3827200001</v>
      </c>
    </row>
    <row r="387" spans="1:12">
      <c r="A387" s="429" t="str">
        <f t="shared" si="13"/>
        <v>14</v>
      </c>
      <c r="B387" s="429" t="str">
        <f>T("1401004")</f>
        <v>1401004</v>
      </c>
      <c r="C387" s="637" t="str">
        <f>T("Lönebidrag och Samhall m.m.")</f>
        <v>Lönebidrag och Samhall m.m.</v>
      </c>
      <c r="D387" s="428">
        <v>5981545.4615000002</v>
      </c>
      <c r="E387" s="428">
        <v>6291867.1672900002</v>
      </c>
      <c r="F387" s="428">
        <v>6674306.3543299995</v>
      </c>
      <c r="G387" s="428">
        <v>6171290.0074800001</v>
      </c>
      <c r="H387" s="428">
        <v>6327757.2153099999</v>
      </c>
      <c r="I387" s="428">
        <v>6939134.9338999996</v>
      </c>
      <c r="J387" s="428">
        <v>6881090.7028200002</v>
      </c>
      <c r="K387" s="428">
        <v>6176516.8322999999</v>
      </c>
      <c r="L387" s="428">
        <v>6661612.1669199998</v>
      </c>
    </row>
    <row r="388" spans="1:12">
      <c r="A388" s="429" t="str">
        <f t="shared" si="13"/>
        <v>14</v>
      </c>
      <c r="B388" s="429" t="str">
        <f>T("1401005")</f>
        <v>1401005</v>
      </c>
      <c r="C388" s="637" t="str">
        <f>T("Rådet för Europeiska socialfonden i Sverige")</f>
        <v>Rådet för Europeiska socialfonden i Sverige</v>
      </c>
      <c r="H388" s="428">
        <v>95460.09246</v>
      </c>
      <c r="I388" s="428">
        <v>92306.508960000006</v>
      </c>
      <c r="J388" s="428">
        <v>93356.203020000001</v>
      </c>
      <c r="K388" s="428">
        <v>101031.78476</v>
      </c>
      <c r="L388" s="428">
        <v>97807.353570000007</v>
      </c>
    </row>
    <row r="389" spans="1:12">
      <c r="A389" s="429" t="str">
        <f t="shared" si="13"/>
        <v>14</v>
      </c>
      <c r="B389" s="429" t="str">
        <f>T("1401006")</f>
        <v>1401006</v>
      </c>
      <c r="C389" s="637" t="str">
        <f>T("Europeiska socialfonden m.m. för perioden 2014-2020")</f>
        <v>Europeiska socialfonden m.m. för perioden 2014-2020</v>
      </c>
    </row>
    <row r="390" spans="1:12">
      <c r="A390" s="429" t="str">
        <f t="shared" si="13"/>
        <v>14</v>
      </c>
      <c r="B390" s="429" t="str">
        <f>T("1401007")</f>
        <v>1401007</v>
      </c>
      <c r="C390" s="637" t="str">
        <f>T("Institutet för arbetsmarknads- och utbildningspolitisk utvärdering")</f>
        <v>Institutet för arbetsmarknads- och utbildningspolitisk utvärdering</v>
      </c>
      <c r="D390" s="428">
        <v>4111.2280700000001</v>
      </c>
      <c r="E390" s="428">
        <v>7154.4181699999999</v>
      </c>
      <c r="F390" s="428">
        <v>14648.69894</v>
      </c>
      <c r="G390" s="428">
        <v>16724.27058</v>
      </c>
      <c r="H390" s="428">
        <v>18494.737140000001</v>
      </c>
      <c r="I390" s="428">
        <v>21651.53672</v>
      </c>
      <c r="J390" s="428">
        <v>23432.443340000002</v>
      </c>
      <c r="K390" s="428">
        <v>21242.26323</v>
      </c>
      <c r="L390" s="428">
        <v>20700.98904</v>
      </c>
    </row>
    <row r="391" spans="1:12">
      <c r="A391" s="429" t="str">
        <f t="shared" si="13"/>
        <v>14</v>
      </c>
      <c r="B391" s="429" t="str">
        <f>T("1401008")</f>
        <v>1401008</v>
      </c>
      <c r="C391" s="637" t="str">
        <f>T("Inspektionen för arbetslöshetsförsäkringen")</f>
        <v>Inspektionen för arbetslöshetsförsäkringen</v>
      </c>
      <c r="J391" s="428">
        <v>4947.3272299999999</v>
      </c>
      <c r="K391" s="428">
        <v>44071.959369999997</v>
      </c>
      <c r="L391" s="428">
        <v>45256.534749999999</v>
      </c>
    </row>
    <row r="392" spans="1:12">
      <c r="A392" s="429" t="str">
        <f t="shared" si="13"/>
        <v>14</v>
      </c>
      <c r="B392" s="429" t="str">
        <f>T("1401009")</f>
        <v>1401009</v>
      </c>
      <c r="C392" s="637" t="str">
        <f>T("Bidrag till administration av grundbeloppet")</f>
        <v>Bidrag till administration av grundbeloppet</v>
      </c>
      <c r="D392" s="428">
        <v>7500</v>
      </c>
      <c r="E392" s="428">
        <v>56650</v>
      </c>
      <c r="F392" s="428">
        <v>55897</v>
      </c>
      <c r="G392" s="428">
        <v>55172</v>
      </c>
      <c r="H392" s="428">
        <v>57100</v>
      </c>
      <c r="I392" s="428">
        <v>62497</v>
      </c>
      <c r="J392" s="428">
        <v>66389</v>
      </c>
      <c r="K392" s="428">
        <v>59850</v>
      </c>
      <c r="L392" s="428">
        <v>48308</v>
      </c>
    </row>
    <row r="393" spans="1:12">
      <c r="A393" s="429" t="str">
        <f t="shared" si="13"/>
        <v>14</v>
      </c>
      <c r="B393" s="429" t="str">
        <f>T("1401010")</f>
        <v>1401010</v>
      </c>
      <c r="C393" s="637" t="str">
        <f>T("Bidrag till Stiftelsen Utbildning Nordkalotten")</f>
        <v>Bidrag till Stiftelsen Utbildning Nordkalotten</v>
      </c>
      <c r="D393" s="428">
        <v>4000</v>
      </c>
      <c r="E393" s="428">
        <v>4000</v>
      </c>
      <c r="F393" s="428">
        <v>7229</v>
      </c>
      <c r="G393" s="428">
        <v>7229</v>
      </c>
      <c r="H393" s="428">
        <v>7229</v>
      </c>
      <c r="I393" s="428">
        <v>7229</v>
      </c>
      <c r="J393" s="428">
        <v>7750</v>
      </c>
      <c r="K393" s="428">
        <v>7750</v>
      </c>
      <c r="L393" s="428">
        <v>7703</v>
      </c>
    </row>
    <row r="394" spans="1:12">
      <c r="A394" s="429" t="str">
        <f t="shared" si="13"/>
        <v>14</v>
      </c>
      <c r="B394" s="429" t="str">
        <f>T("1401011")</f>
        <v>1401011</v>
      </c>
      <c r="C394" s="637" t="str">
        <f>T("Bidrag till lönegarantiersättning")</f>
        <v>Bidrag till lönegarantiersättning</v>
      </c>
      <c r="D394" s="428">
        <v>1992287.4521999999</v>
      </c>
      <c r="E394" s="428">
        <v>2042022</v>
      </c>
      <c r="F394" s="428">
        <v>954312.21169999999</v>
      </c>
      <c r="G394" s="428">
        <v>973028.15616999997</v>
      </c>
      <c r="H394" s="428">
        <v>1275876.50587</v>
      </c>
      <c r="I394" s="428">
        <v>1709588.7174800001</v>
      </c>
      <c r="J394" s="428">
        <v>1566539.5370700001</v>
      </c>
      <c r="K394" s="428">
        <v>1395128.56767</v>
      </c>
      <c r="L394" s="428">
        <v>888091.38691999996</v>
      </c>
    </row>
    <row r="395" spans="1:12">
      <c r="A395" s="429" t="str">
        <f t="shared" si="13"/>
        <v>14</v>
      </c>
      <c r="B395" s="429" t="str">
        <f>T("1401012")</f>
        <v>1401012</v>
      </c>
      <c r="C395" s="637" t="str">
        <f>T("Europeiska socialfonden m.m. för perioden 2007-2013")</f>
        <v>Europeiska socialfonden m.m. för perioden 2007-2013</v>
      </c>
    </row>
    <row r="396" spans="1:12">
      <c r="A396" s="429" t="str">
        <f t="shared" si="13"/>
        <v>14</v>
      </c>
      <c r="B396" s="429" t="str">
        <f>T("1402001")</f>
        <v>1402001</v>
      </c>
      <c r="C396" s="637" t="str">
        <f>T("Arbetsmiljöverket")</f>
        <v>Arbetsmiljöverket</v>
      </c>
      <c r="D396" s="428">
        <v>376537.17307000002</v>
      </c>
      <c r="E396" s="428">
        <v>369942.43063000002</v>
      </c>
      <c r="F396" s="428">
        <v>406948.03224999999</v>
      </c>
      <c r="G396" s="428">
        <v>377215.44031999999</v>
      </c>
      <c r="H396" s="428">
        <v>490798.88886000001</v>
      </c>
      <c r="I396" s="428">
        <v>569372.19394999999</v>
      </c>
      <c r="J396" s="428">
        <v>653948.30024999997</v>
      </c>
      <c r="K396" s="428">
        <v>623433.79295999999</v>
      </c>
      <c r="L396" s="428">
        <v>635781.4253</v>
      </c>
    </row>
    <row r="397" spans="1:12">
      <c r="A397" s="429" t="str">
        <f t="shared" si="13"/>
        <v>14</v>
      </c>
      <c r="B397" s="429" t="str">
        <f>T("1402002")</f>
        <v>1402002</v>
      </c>
      <c r="C397" s="637" t="str">
        <f>T("Arbetsdomstolen")</f>
        <v>Arbetsdomstolen</v>
      </c>
      <c r="D397" s="428">
        <v>15161.30495</v>
      </c>
      <c r="E397" s="428">
        <v>15839.065049999999</v>
      </c>
      <c r="F397" s="428">
        <v>16849.640439999999</v>
      </c>
      <c r="G397" s="428">
        <v>17319.925859999999</v>
      </c>
      <c r="H397" s="428">
        <v>19654.75606</v>
      </c>
      <c r="I397" s="428">
        <v>21066.157660000001</v>
      </c>
      <c r="J397" s="428">
        <v>22963.86004</v>
      </c>
      <c r="K397" s="428">
        <v>23598.164509999999</v>
      </c>
      <c r="L397" s="428">
        <v>23396.825529999998</v>
      </c>
    </row>
    <row r="398" spans="1:12">
      <c r="A398" s="429" t="str">
        <f t="shared" si="13"/>
        <v>14</v>
      </c>
      <c r="B398" s="429" t="str">
        <f>T("1402003")</f>
        <v>1402003</v>
      </c>
      <c r="C398" s="637" t="str">
        <f>T("Internationella arbetsorganisationen (ILO)")</f>
        <v>Internationella arbetsorganisationen (ILO)</v>
      </c>
      <c r="D398" s="428">
        <v>20529.127949999998</v>
      </c>
      <c r="E398" s="428">
        <v>22422.306570000001</v>
      </c>
      <c r="F398" s="428">
        <v>19966.920289999998</v>
      </c>
      <c r="G398" s="428">
        <v>20096.702160000001</v>
      </c>
      <c r="H398" s="428">
        <v>23817.238420000001</v>
      </c>
      <c r="I398" s="428">
        <v>21525.6666</v>
      </c>
      <c r="J398" s="428">
        <v>23141.043849999998</v>
      </c>
      <c r="K398" s="428">
        <v>22139.96269</v>
      </c>
      <c r="L398" s="428">
        <v>22987.404159999998</v>
      </c>
    </row>
    <row r="399" spans="1:12">
      <c r="A399" s="429" t="str">
        <f t="shared" si="13"/>
        <v>14</v>
      </c>
      <c r="B399" s="429" t="str">
        <f>T("1402003 2012")</f>
        <v>1402003 2012</v>
      </c>
      <c r="C399" s="637" t="str">
        <f>T("Statens nämnd för arbetstagares uppfinningar")</f>
        <v>Statens nämnd för arbetstagares uppfinningar</v>
      </c>
      <c r="D399" s="428">
        <v>43.868000000000002</v>
      </c>
      <c r="E399" s="428">
        <v>51.317999999999998</v>
      </c>
      <c r="F399" s="428">
        <v>75.834000000000003</v>
      </c>
      <c r="G399" s="428">
        <v>41.428620000000002</v>
      </c>
      <c r="H399" s="428">
        <v>40.752789999999997</v>
      </c>
      <c r="I399" s="428">
        <v>57.122</v>
      </c>
      <c r="J399" s="428">
        <v>1.18391</v>
      </c>
      <c r="K399" s="428">
        <v>42.947920000000003</v>
      </c>
      <c r="L399" s="428">
        <v>53.79072</v>
      </c>
    </row>
    <row r="400" spans="1:12">
      <c r="A400" s="429" t="str">
        <f t="shared" si="13"/>
        <v>14</v>
      </c>
      <c r="B400" s="429" t="str">
        <f>T("1402004")</f>
        <v>1402004</v>
      </c>
      <c r="C400" s="637" t="str">
        <f>T("Medlingsinstitutet")</f>
        <v>Medlingsinstitutet</v>
      </c>
      <c r="G400" s="428">
        <v>4296.1249399999997</v>
      </c>
      <c r="H400" s="428">
        <v>46753.327669999999</v>
      </c>
      <c r="I400" s="428">
        <v>47177.380060000003</v>
      </c>
      <c r="J400" s="428">
        <v>48811.820829999997</v>
      </c>
      <c r="K400" s="428">
        <v>50358.116099999999</v>
      </c>
      <c r="L400" s="428">
        <v>48844.196889999999</v>
      </c>
    </row>
    <row r="401" spans="1:12">
      <c r="A401" s="429" t="str">
        <f t="shared" si="13"/>
        <v>14</v>
      </c>
      <c r="B401" s="429" t="str">
        <f>T("142201 2008")</f>
        <v>142201 2008</v>
      </c>
      <c r="C401" s="637" t="str">
        <f>T("Europeiska socialfonden m.m. för perioden 2000-2006")</f>
        <v>Europeiska socialfonden m.m. för perioden 2000-2006</v>
      </c>
      <c r="G401" s="428">
        <v>3419.3195900000001</v>
      </c>
      <c r="H401" s="428">
        <v>680679.07571999996</v>
      </c>
      <c r="I401" s="428">
        <v>1870793.6080499999</v>
      </c>
      <c r="J401" s="428">
        <v>1897602.4093299999</v>
      </c>
      <c r="K401" s="428">
        <v>1602288.88674</v>
      </c>
      <c r="L401" s="428">
        <v>1528971.88488</v>
      </c>
    </row>
    <row r="402" spans="1:12">
      <c r="A402" s="429" t="str">
        <f t="shared" si="13"/>
        <v>14</v>
      </c>
      <c r="B402" s="429" t="str">
        <f>T("142302 2007")</f>
        <v>142302 2007</v>
      </c>
      <c r="C402" s="637" t="str">
        <f>T("Arbetslivsinstitutet")</f>
        <v>Arbetslivsinstitutet</v>
      </c>
      <c r="D402" s="428">
        <v>210742.23066</v>
      </c>
      <c r="E402" s="428">
        <v>220429.00698000001</v>
      </c>
      <c r="F402" s="428">
        <v>136041.51220999999</v>
      </c>
      <c r="G402" s="428">
        <v>159253.04861</v>
      </c>
      <c r="H402" s="428">
        <v>340089.60678999999</v>
      </c>
      <c r="I402" s="428">
        <v>317485.90616000001</v>
      </c>
      <c r="J402" s="428">
        <v>295727.37278999999</v>
      </c>
      <c r="K402" s="428">
        <v>283005.80833999999</v>
      </c>
      <c r="L402" s="428">
        <v>332894.18965999997</v>
      </c>
    </row>
    <row r="403" spans="1:12">
      <c r="A403" s="429" t="str">
        <f t="shared" si="13"/>
        <v>14</v>
      </c>
      <c r="B403" s="429" t="str">
        <f>T("142303 2006")</f>
        <v>142303 2006</v>
      </c>
      <c r="C403" s="637" t="str">
        <f>T("Särskilda utbildningsinsatser m.m.")</f>
        <v>Särskilda utbildningsinsatser m.m.</v>
      </c>
      <c r="E403" s="428">
        <v>196470.45525</v>
      </c>
      <c r="F403" s="428">
        <v>386728.88095999998</v>
      </c>
      <c r="G403" s="428">
        <v>373600.8481</v>
      </c>
      <c r="H403" s="428">
        <v>82507.941000000006</v>
      </c>
      <c r="I403" s="428">
        <v>45871.525000000001</v>
      </c>
      <c r="J403" s="428">
        <v>44450.75</v>
      </c>
      <c r="K403" s="428">
        <v>47549</v>
      </c>
      <c r="L403" s="428">
        <v>45595.5</v>
      </c>
    </row>
    <row r="404" spans="1:12">
      <c r="A404" s="429" t="str">
        <f t="shared" si="13"/>
        <v>14</v>
      </c>
      <c r="B404" s="429" t="str">
        <f>T("142306 2008")</f>
        <v>142306 2008</v>
      </c>
      <c r="C404" s="637" t="str">
        <f>T("Avvecklingsmyndigheten för Arbetslivsinstitutet")</f>
        <v>Avvecklingsmyndigheten för Arbetslivsinstitutet</v>
      </c>
    </row>
    <row r="405" spans="1:12">
      <c r="A405" s="429" t="str">
        <f t="shared" si="13"/>
        <v>14</v>
      </c>
      <c r="B405" s="429" t="str">
        <f>T("142403 2007")</f>
        <v>142403 2007</v>
      </c>
      <c r="C405" s="637" t="str">
        <f>T("Delegationen för stöd till jämställdhetsintegrering")</f>
        <v>Delegationen för stöd till jämställdhetsintegrering</v>
      </c>
      <c r="L405" s="428">
        <v>2861.10455</v>
      </c>
    </row>
    <row r="406" spans="1:12">
      <c r="A406" s="429" t="str">
        <f t="shared" si="13"/>
        <v>14</v>
      </c>
      <c r="B406" s="429" t="str">
        <f>T("14B004 1997")</f>
        <v>14B004 1997</v>
      </c>
      <c r="C406" s="637" t="str">
        <f>T("Forskning och utveckling inom arbetslivsområdet")</f>
        <v>Forskning och utveckling inom arbetslivsområdet</v>
      </c>
      <c r="D406" s="428">
        <v>416603.26361000002</v>
      </c>
    </row>
    <row r="407" spans="1:12">
      <c r="A407" s="429" t="str">
        <f t="shared" si="13"/>
        <v>14</v>
      </c>
      <c r="B407" s="429" t="str">
        <f>T("14B004 2000")</f>
        <v>14B004 2000</v>
      </c>
      <c r="C407" s="637" t="str">
        <f>T("Rådet för arbetslivsforskning")</f>
        <v>Rådet för arbetslivsforskning</v>
      </c>
      <c r="D407" s="428">
        <v>22420.08164</v>
      </c>
      <c r="E407" s="428">
        <v>23936.905030000002</v>
      </c>
      <c r="F407" s="428">
        <v>23599.811470000001</v>
      </c>
      <c r="G407" s="428">
        <v>25377.129089999999</v>
      </c>
    </row>
    <row r="408" spans="1:12">
      <c r="A408" s="429" t="str">
        <f t="shared" si="13"/>
        <v>14</v>
      </c>
      <c r="B408" s="429" t="str">
        <f>T("14B005 2000")</f>
        <v>14B005 2000</v>
      </c>
      <c r="C408" s="637" t="str">
        <f>T("Finansiering av forskning och utveckling inom arbetslivsområdet")</f>
        <v>Finansiering av forskning och utveckling inom arbetslivsområdet</v>
      </c>
      <c r="E408" s="428">
        <v>217406.67592000001</v>
      </c>
      <c r="F408" s="428">
        <v>206679.69094</v>
      </c>
      <c r="G408" s="428">
        <v>244861.40998999999</v>
      </c>
    </row>
    <row r="409" spans="1:12">
      <c r="A409" s="429" t="str">
        <f t="shared" si="13"/>
        <v>14</v>
      </c>
      <c r="B409" s="429" t="str">
        <f>T("14B009 2000")</f>
        <v>14B009 2000</v>
      </c>
      <c r="C409" s="637" t="str">
        <f>T("Statens förlikningsmannaexpedition")</f>
        <v>Statens förlikningsmannaexpedition</v>
      </c>
      <c r="D409" s="428">
        <v>1933.34121</v>
      </c>
      <c r="E409" s="428">
        <v>2147.4931000000001</v>
      </c>
      <c r="F409" s="428">
        <v>2191.8109100000001</v>
      </c>
      <c r="G409" s="428">
        <v>1090.77818</v>
      </c>
    </row>
    <row r="410" spans="1:12">
      <c r="A410" s="430" t="s">
        <v>1648</v>
      </c>
      <c r="B410" s="430"/>
      <c r="C410" s="430" t="str">
        <f>T("Arbetsmarknad och arbetsliv")</f>
        <v>Arbetsmarknad och arbetsliv</v>
      </c>
      <c r="D410" s="431">
        <v>77129307.019480005</v>
      </c>
      <c r="E410" s="431">
        <v>70747598.664639995</v>
      </c>
      <c r="F410" s="431">
        <v>70182823.657989994</v>
      </c>
      <c r="G410" s="431">
        <v>60886274.182870001</v>
      </c>
      <c r="H410" s="431">
        <v>54873239.08681</v>
      </c>
      <c r="I410" s="431">
        <v>57729692.005860001</v>
      </c>
      <c r="J410" s="431">
        <v>61179794.426150002</v>
      </c>
      <c r="K410" s="431">
        <v>64295314.51901</v>
      </c>
      <c r="L410" s="431">
        <v>66434974.251350001</v>
      </c>
    </row>
    <row r="411" spans="1:12">
      <c r="A411" s="429" t="str">
        <f t="shared" ref="A411:A426" si="14">T("15")</f>
        <v>15</v>
      </c>
      <c r="B411" s="429" t="str">
        <f>T("08E005 9596")</f>
        <v>08E005 9596</v>
      </c>
      <c r="C411" s="637" t="str">
        <f>T("Vuxenstudiestöd m.m")</f>
        <v>Vuxenstudiestöd m.m</v>
      </c>
      <c r="D411" s="428">
        <v>56818.926570000003</v>
      </c>
    </row>
    <row r="412" spans="1:12">
      <c r="A412" s="429" t="str">
        <f t="shared" si="14"/>
        <v>15</v>
      </c>
      <c r="B412" s="429" t="str">
        <f>T("1501001")</f>
        <v>1501001</v>
      </c>
      <c r="C412" s="637" t="str">
        <f>T("Studiehjälp")</f>
        <v>Studiehjälp</v>
      </c>
      <c r="D412" s="428">
        <v>1900239.608</v>
      </c>
      <c r="E412" s="428">
        <v>2153716.057</v>
      </c>
      <c r="F412" s="428">
        <v>2122007.14</v>
      </c>
      <c r="G412" s="428">
        <v>2341818.6129999999</v>
      </c>
      <c r="H412" s="428">
        <v>2604633.773</v>
      </c>
      <c r="I412" s="428">
        <v>2672665.0809999998</v>
      </c>
      <c r="J412" s="428">
        <v>3059233.5819999999</v>
      </c>
      <c r="K412" s="428">
        <v>3195469.6340000001</v>
      </c>
      <c r="L412" s="428">
        <v>3303975.4389999998</v>
      </c>
    </row>
    <row r="413" spans="1:12">
      <c r="A413" s="429" t="str">
        <f t="shared" si="14"/>
        <v>15</v>
      </c>
      <c r="B413" s="429" t="str">
        <f>T("1501002")</f>
        <v>1501002</v>
      </c>
      <c r="C413" s="637" t="str">
        <f>T("Studiemedel")</f>
        <v>Studiemedel</v>
      </c>
      <c r="D413" s="428">
        <v>9515507.5711000003</v>
      </c>
      <c r="E413" s="428">
        <v>10067258.505759999</v>
      </c>
      <c r="F413" s="428">
        <v>8472856.5496599991</v>
      </c>
      <c r="G413" s="428">
        <v>10107819.92286</v>
      </c>
      <c r="H413" s="428">
        <v>7265223.7949999999</v>
      </c>
      <c r="I413" s="428">
        <v>10252793.999</v>
      </c>
      <c r="J413" s="428">
        <v>9858926.8929999992</v>
      </c>
      <c r="K413" s="428">
        <v>10395768.079</v>
      </c>
      <c r="L413" s="428">
        <v>9186853.4169999994</v>
      </c>
    </row>
    <row r="414" spans="1:12">
      <c r="A414" s="429" t="str">
        <f t="shared" si="14"/>
        <v>15</v>
      </c>
      <c r="B414" s="429" t="str">
        <f>T("1501003")</f>
        <v>1501003</v>
      </c>
      <c r="C414" s="637" t="str">
        <f>T("Avsättning för kreditförluster")</f>
        <v>Avsättning för kreditförluster</v>
      </c>
    </row>
    <row r="415" spans="1:12">
      <c r="A415" s="429" t="str">
        <f t="shared" si="14"/>
        <v>15</v>
      </c>
      <c r="B415" s="429" t="str">
        <f>T("1501003 2013")</f>
        <v>1501003 2013</v>
      </c>
      <c r="C415" s="637" t="str">
        <f>T("Studiemedelsräntor")</f>
        <v>Studiemedelsräntor</v>
      </c>
      <c r="H415" s="428">
        <v>3722742.5853900001</v>
      </c>
      <c r="I415" s="428">
        <v>4782648.3505699998</v>
      </c>
      <c r="J415" s="428">
        <v>5448407.909</v>
      </c>
      <c r="K415" s="428">
        <v>5716941.2301000003</v>
      </c>
      <c r="L415" s="428">
        <v>5711320.8999100002</v>
      </c>
    </row>
    <row r="416" spans="1:12">
      <c r="A416" s="429" t="str">
        <f t="shared" si="14"/>
        <v>15</v>
      </c>
      <c r="B416" s="429" t="str">
        <f>T("1501004")</f>
        <v>1501004</v>
      </c>
      <c r="C416" s="637" t="str">
        <f>T("Statens utgifter för studiemedelsräntor")</f>
        <v>Statens utgifter för studiemedelsräntor</v>
      </c>
    </row>
    <row r="417" spans="1:12">
      <c r="A417" s="429" t="str">
        <f t="shared" si="14"/>
        <v>15</v>
      </c>
      <c r="B417" s="429" t="str">
        <f>T("1501005")</f>
        <v>1501005</v>
      </c>
      <c r="C417" s="637" t="str">
        <f>T("Bidrag till kostnader vid viss gymnasieutbildning och vid viss föräldrautbildning i teckenspråk")</f>
        <v>Bidrag till kostnader vid viss gymnasieutbildning och vid viss föräldrautbildning i teckenspråk</v>
      </c>
      <c r="D417" s="428">
        <v>114784.72259999999</v>
      </c>
      <c r="E417" s="428">
        <v>34905.160000000003</v>
      </c>
      <c r="F417" s="428">
        <v>37118.3246</v>
      </c>
      <c r="G417" s="428">
        <v>40659.917999999998</v>
      </c>
      <c r="H417" s="428">
        <v>40641.691350000001</v>
      </c>
      <c r="I417" s="428">
        <v>40837.409390000001</v>
      </c>
      <c r="J417" s="428">
        <v>40087.857329999999</v>
      </c>
      <c r="K417" s="428">
        <v>43489.777759999997</v>
      </c>
      <c r="L417" s="428">
        <v>47044.070310000003</v>
      </c>
    </row>
    <row r="418" spans="1:12">
      <c r="A418" s="429" t="str">
        <f t="shared" si="14"/>
        <v>15</v>
      </c>
      <c r="B418" s="429" t="str">
        <f>T("1501006")</f>
        <v>1501006</v>
      </c>
      <c r="C418" s="637" t="str">
        <f>T("Bidrag till vissa studiesociala ändamål")</f>
        <v>Bidrag till vissa studiesociala ändamål</v>
      </c>
      <c r="D418" s="428">
        <v>18458.982889999999</v>
      </c>
      <c r="E418" s="428">
        <v>20853.435079999999</v>
      </c>
      <c r="F418" s="428">
        <v>23893.577229999999</v>
      </c>
      <c r="G418" s="428">
        <v>21120.344550000002</v>
      </c>
      <c r="H418" s="428">
        <v>25733.575929999999</v>
      </c>
      <c r="I418" s="428">
        <v>26046.938340000001</v>
      </c>
      <c r="J418" s="428">
        <v>27295.578819999999</v>
      </c>
      <c r="K418" s="428">
        <v>26850.66128</v>
      </c>
      <c r="L418" s="428">
        <v>31186.012139999999</v>
      </c>
    </row>
    <row r="419" spans="1:12">
      <c r="A419" s="429" t="str">
        <f t="shared" si="14"/>
        <v>15</v>
      </c>
      <c r="B419" s="429" t="str">
        <f>T("1501007")</f>
        <v>1501007</v>
      </c>
      <c r="C419" s="637" t="str">
        <f>T("Centrala studiestödsnämnden")</f>
        <v>Centrala studiestödsnämnden</v>
      </c>
      <c r="D419" s="428">
        <v>298114.30254</v>
      </c>
      <c r="E419" s="428">
        <v>339099.33103</v>
      </c>
      <c r="F419" s="428">
        <v>341225.96623000002</v>
      </c>
      <c r="G419" s="428">
        <v>367958.8431</v>
      </c>
      <c r="H419" s="428">
        <v>352229.82462000003</v>
      </c>
      <c r="I419" s="428">
        <v>396979.97993999999</v>
      </c>
      <c r="J419" s="428">
        <v>419883.41304999997</v>
      </c>
      <c r="K419" s="428">
        <v>378218.63260999997</v>
      </c>
      <c r="L419" s="428">
        <v>368294.81988000002</v>
      </c>
    </row>
    <row r="420" spans="1:12">
      <c r="A420" s="429" t="str">
        <f t="shared" si="14"/>
        <v>15</v>
      </c>
      <c r="B420" s="429" t="str">
        <f>T("1501008")</f>
        <v>1501008</v>
      </c>
      <c r="C420" s="637" t="str">
        <f>T("Överklagandenämnden för studiestöd")</f>
        <v>Överklagandenämnden för studiestöd</v>
      </c>
      <c r="H420" s="428">
        <v>6153.50306</v>
      </c>
      <c r="I420" s="428">
        <v>9880.02369</v>
      </c>
      <c r="J420" s="428">
        <v>10170.75902</v>
      </c>
      <c r="K420" s="428">
        <v>10901.24365</v>
      </c>
      <c r="L420" s="428">
        <v>9923.7644500000006</v>
      </c>
    </row>
    <row r="421" spans="1:12">
      <c r="A421" s="429" t="str">
        <f t="shared" si="14"/>
        <v>15</v>
      </c>
      <c r="B421" s="429" t="str">
        <f>T("152504 2007")</f>
        <v>152504 2007</v>
      </c>
      <c r="C421" s="637" t="str">
        <f>T("Rekryteringsbidrag")</f>
        <v>Rekryteringsbidrag</v>
      </c>
      <c r="J421" s="428">
        <v>1192142.615</v>
      </c>
      <c r="K421" s="428">
        <v>1391730.595</v>
      </c>
      <c r="L421" s="428">
        <v>1435566.0660000001</v>
      </c>
    </row>
    <row r="422" spans="1:12">
      <c r="A422" s="429" t="str">
        <f t="shared" si="14"/>
        <v>15</v>
      </c>
      <c r="B422" s="429" t="str">
        <f>T("152505 2003")</f>
        <v>152505 2003</v>
      </c>
      <c r="C422" s="637" t="str">
        <f>T("Vuxenstudiestöd m.m.")</f>
        <v>Vuxenstudiestöd m.m.</v>
      </c>
      <c r="H422" s="428">
        <v>5405861.2570000002</v>
      </c>
      <c r="I422" s="428">
        <v>2835377.622</v>
      </c>
      <c r="J422" s="428">
        <v>199089.723</v>
      </c>
      <c r="K422" s="428">
        <v>42.002000000000002</v>
      </c>
      <c r="L422" s="428">
        <v>33.26</v>
      </c>
    </row>
    <row r="423" spans="1:12">
      <c r="A423" s="429" t="str">
        <f t="shared" si="14"/>
        <v>15</v>
      </c>
      <c r="B423" s="429" t="str">
        <f>T("152506 2008")</f>
        <v>152506 2008</v>
      </c>
      <c r="C423" s="637" t="str">
        <f>T("Bidrag vid vissa kortare studier")</f>
        <v>Bidrag vid vissa kortare studier</v>
      </c>
      <c r="H423" s="428">
        <v>23706.933000000001</v>
      </c>
      <c r="I423" s="428">
        <v>57604.830999999998</v>
      </c>
      <c r="J423" s="428">
        <v>37320.012999999999</v>
      </c>
      <c r="K423" s="428">
        <v>62614.311000000002</v>
      </c>
      <c r="L423" s="428">
        <v>63389.112000000001</v>
      </c>
    </row>
    <row r="424" spans="1:12">
      <c r="A424" s="429" t="str">
        <f t="shared" si="14"/>
        <v>15</v>
      </c>
      <c r="B424" s="429" t="str">
        <f>T("15A003 2000")</f>
        <v>15A003 2000</v>
      </c>
      <c r="C424" s="637" t="str">
        <f>T("Vuxenstudiestöd m.m.")</f>
        <v>Vuxenstudiestöd m.m.</v>
      </c>
      <c r="D424" s="428">
        <v>4002184.2179299998</v>
      </c>
      <c r="E424" s="428">
        <v>9113479.4570000004</v>
      </c>
      <c r="F424" s="428">
        <v>8459478.0299999993</v>
      </c>
      <c r="G424" s="428">
        <v>6726081.182</v>
      </c>
    </row>
    <row r="425" spans="1:12">
      <c r="A425" s="429" t="str">
        <f t="shared" si="14"/>
        <v>15</v>
      </c>
      <c r="B425" s="429" t="str">
        <f>T("15A006 2000")</f>
        <v>15A006 2000</v>
      </c>
      <c r="C425" s="637" t="str">
        <f>T("Särskilt vuxenstudiestöd till studerande vid vissa lärarutbildningar")</f>
        <v>Särskilt vuxenstudiestöd till studerande vid vissa lärarutbildningar</v>
      </c>
      <c r="D425" s="428">
        <v>43171.413999999997</v>
      </c>
      <c r="E425" s="428">
        <v>47764.942999999999</v>
      </c>
      <c r="F425" s="428">
        <v>54331.044999999998</v>
      </c>
      <c r="G425" s="428">
        <v>59162.305</v>
      </c>
    </row>
    <row r="426" spans="1:12">
      <c r="A426" s="429" t="str">
        <f t="shared" si="14"/>
        <v>15</v>
      </c>
      <c r="B426" s="429" t="str">
        <f>T("15A007 2000")</f>
        <v>15A007 2000</v>
      </c>
      <c r="C426" s="637" t="str">
        <f>T("Särskilt vuxenstudiestöd till studerande vid vissa naturvetenskapliga och teknis")</f>
        <v>Särskilt vuxenstudiestöd till studerande vid vissa naturvetenskapliga och teknis</v>
      </c>
      <c r="D426" s="428">
        <v>331445.20699999999</v>
      </c>
      <c r="E426" s="428">
        <v>481032.05900000001</v>
      </c>
      <c r="F426" s="428">
        <v>506420.821</v>
      </c>
      <c r="G426" s="428">
        <v>384134.91499999998</v>
      </c>
    </row>
    <row r="427" spans="1:12">
      <c r="A427" s="430" t="s">
        <v>1649</v>
      </c>
      <c r="B427" s="430"/>
      <c r="C427" s="430" t="str">
        <f>T("Studiestöd")</f>
        <v>Studiestöd</v>
      </c>
      <c r="D427" s="431">
        <v>16280724.95263</v>
      </c>
      <c r="E427" s="431">
        <v>22258108.947870001</v>
      </c>
      <c r="F427" s="431">
        <v>20017331.45372</v>
      </c>
      <c r="G427" s="431">
        <v>20048756.043510001</v>
      </c>
      <c r="H427" s="431">
        <v>19446926.938349999</v>
      </c>
      <c r="I427" s="431">
        <v>21074834.234930001</v>
      </c>
      <c r="J427" s="431">
        <v>20292558.343219999</v>
      </c>
      <c r="K427" s="431">
        <v>21222026.1664</v>
      </c>
      <c r="L427" s="431">
        <v>20157586.860690001</v>
      </c>
    </row>
    <row r="428" spans="1:12">
      <c r="A428" s="429" t="str">
        <f t="shared" ref="A428:A491" si="15">T("16")</f>
        <v>16</v>
      </c>
      <c r="B428" s="429" t="str">
        <f>T("08A003 9596")</f>
        <v>08A003 9596</v>
      </c>
      <c r="C428" s="637" t="str">
        <f>T("Skolutveckling och produktion av läromedel för elever med hanikapp")</f>
        <v>Skolutveckling och produktion av läromedel för elever med hanikapp</v>
      </c>
      <c r="D428" s="428">
        <v>2678.47469</v>
      </c>
      <c r="E428" s="428">
        <v>1493.0655300000001</v>
      </c>
    </row>
    <row r="429" spans="1:12">
      <c r="A429" s="429" t="str">
        <f t="shared" si="15"/>
        <v>16</v>
      </c>
      <c r="B429" s="429" t="str">
        <f>T("08A004 9596")</f>
        <v>08A004 9596</v>
      </c>
      <c r="C429" s="637" t="str">
        <f>T("Stöd för utveckling av skolväsendet")</f>
        <v>Stöd för utveckling av skolväsendet</v>
      </c>
      <c r="D429" s="428">
        <v>12547.397349999999</v>
      </c>
      <c r="E429" s="428">
        <v>31885.924340000001</v>
      </c>
      <c r="F429" s="428">
        <v>5613.5492400000003</v>
      </c>
    </row>
    <row r="430" spans="1:12">
      <c r="A430" s="429" t="str">
        <f t="shared" si="15"/>
        <v>16</v>
      </c>
      <c r="B430" s="429" t="str">
        <f>T("08A005 9596")</f>
        <v>08A005 9596</v>
      </c>
      <c r="C430" s="637" t="str">
        <f>T("Forskning inom skolväsendet")</f>
        <v>Forskning inom skolväsendet</v>
      </c>
      <c r="D430" s="428">
        <v>43.958640000000003</v>
      </c>
      <c r="E430" s="428">
        <v>6801.4386999999997</v>
      </c>
    </row>
    <row r="431" spans="1:12">
      <c r="A431" s="429" t="str">
        <f t="shared" si="15"/>
        <v>16</v>
      </c>
      <c r="B431" s="429" t="str">
        <f>T("08A006 9596")</f>
        <v>08A006 9596</v>
      </c>
      <c r="C431" s="637" t="str">
        <f>T("Fortbildning m.m")</f>
        <v>Fortbildning m.m</v>
      </c>
      <c r="D431" s="428">
        <v>13237.20378</v>
      </c>
      <c r="E431" s="428">
        <v>32849.425730000003</v>
      </c>
      <c r="F431" s="428">
        <v>7937.02574</v>
      </c>
    </row>
    <row r="432" spans="1:12">
      <c r="A432" s="429" t="str">
        <f t="shared" si="15"/>
        <v>16</v>
      </c>
      <c r="B432" s="429" t="str">
        <f>T("08A007 9596")</f>
        <v>08A007 9596</v>
      </c>
      <c r="C432" s="637" t="str">
        <f>T("Genomförande av skolreformer")</f>
        <v>Genomförande av skolreformer</v>
      </c>
      <c r="D432" s="428">
        <v>46635.919560000002</v>
      </c>
      <c r="E432" s="428">
        <v>14597.386570000001</v>
      </c>
      <c r="F432" s="428">
        <v>6675</v>
      </c>
    </row>
    <row r="433" spans="1:12">
      <c r="A433" s="429" t="str">
        <f t="shared" si="15"/>
        <v>16</v>
      </c>
      <c r="B433" s="429" t="str">
        <f>T("08A012 9596")</f>
        <v>08A012 9596</v>
      </c>
      <c r="C433" s="637" t="str">
        <f>T("Statens skola för vuxna i Härnösand")</f>
        <v>Statens skola för vuxna i Härnösand</v>
      </c>
      <c r="D433" s="428">
        <v>2.3639999999999999</v>
      </c>
      <c r="E433" s="428">
        <v>0</v>
      </c>
      <c r="G433"/>
      <c r="H433"/>
      <c r="I433"/>
      <c r="J433"/>
      <c r="K433"/>
      <c r="L433"/>
    </row>
    <row r="434" spans="1:12">
      <c r="A434" s="429" t="str">
        <f t="shared" si="15"/>
        <v>16</v>
      </c>
      <c r="B434" s="429" t="str">
        <f>T("08A017 9596")</f>
        <v>08A017 9596</v>
      </c>
      <c r="C434" s="637" t="str">
        <f>T("Avvecklingskostnader avseende ASSE")</f>
        <v>Avvecklingskostnader avseende ASSE</v>
      </c>
      <c r="D434" s="428">
        <v>2900</v>
      </c>
      <c r="F434" s="428">
        <v>200</v>
      </c>
      <c r="G434"/>
      <c r="H434"/>
      <c r="I434"/>
      <c r="J434"/>
      <c r="K434"/>
      <c r="L434"/>
    </row>
    <row r="435" spans="1:12">
      <c r="A435" s="429" t="str">
        <f t="shared" si="15"/>
        <v>16</v>
      </c>
      <c r="B435" s="429" t="str">
        <f>T("08C007 9596")</f>
        <v>08C007 9596</v>
      </c>
      <c r="C435" s="637" t="str">
        <f>T("Stockholms universitet: Grundutbildning")</f>
        <v>Stockholms universitet: Grundutbildning</v>
      </c>
      <c r="D435" s="428">
        <v>0</v>
      </c>
      <c r="G435"/>
      <c r="H435"/>
      <c r="I435"/>
      <c r="J435"/>
      <c r="K435"/>
      <c r="L435"/>
    </row>
    <row r="436" spans="1:12">
      <c r="A436" s="429" t="str">
        <f t="shared" si="15"/>
        <v>16</v>
      </c>
      <c r="B436" s="429" t="str">
        <f>T("08C008 9596")</f>
        <v>08C008 9596</v>
      </c>
      <c r="C436" s="637" t="str">
        <f>T("Stockholms universitet: Forskning och forskarutbildning")</f>
        <v>Stockholms universitet: Forskning och forskarutbildning</v>
      </c>
      <c r="D436" s="428">
        <v>0</v>
      </c>
      <c r="G436"/>
      <c r="H436"/>
      <c r="I436"/>
      <c r="J436"/>
      <c r="K436"/>
      <c r="L436"/>
    </row>
    <row r="437" spans="1:12">
      <c r="A437" s="429" t="str">
        <f t="shared" si="15"/>
        <v>16</v>
      </c>
      <c r="B437" s="429" t="str">
        <f>T("08C019 9596")</f>
        <v>08C019 9596</v>
      </c>
      <c r="C437" s="637" t="str">
        <f>T("Danshögskolan: Grundutbildning")</f>
        <v>Danshögskolan: Grundutbildning</v>
      </c>
      <c r="D437" s="428">
        <v>0</v>
      </c>
      <c r="G437"/>
      <c r="H437"/>
      <c r="I437"/>
      <c r="J437"/>
      <c r="K437"/>
      <c r="L437"/>
    </row>
    <row r="438" spans="1:12">
      <c r="A438" s="429" t="str">
        <f t="shared" si="15"/>
        <v>16</v>
      </c>
      <c r="B438" s="429" t="str">
        <f>T("08C020 9596")</f>
        <v>08C020 9596</v>
      </c>
      <c r="C438" s="637" t="str">
        <f>T("Dramatiska institutet: Grundutbildning")</f>
        <v>Dramatiska institutet: Grundutbildning</v>
      </c>
      <c r="D438" s="428">
        <v>0</v>
      </c>
      <c r="G438"/>
      <c r="H438"/>
      <c r="I438"/>
      <c r="J438"/>
      <c r="K438"/>
      <c r="L438"/>
    </row>
    <row r="439" spans="1:12">
      <c r="A439" s="429" t="str">
        <f t="shared" si="15"/>
        <v>16</v>
      </c>
      <c r="B439" s="429" t="str">
        <f>T("08C023 9596")</f>
        <v>08C023 9596</v>
      </c>
      <c r="C439" s="637" t="str">
        <f>T("Högskolan i Gävle/Sandviken: Grundutbildning")</f>
        <v>Högskolan i Gävle/Sandviken: Grundutbildning</v>
      </c>
      <c r="D439" s="428">
        <v>0</v>
      </c>
      <c r="G439"/>
      <c r="H439"/>
      <c r="I439"/>
      <c r="J439"/>
      <c r="K439"/>
      <c r="L439"/>
    </row>
    <row r="440" spans="1:12">
      <c r="A440" s="429" t="str">
        <f t="shared" si="15"/>
        <v>16</v>
      </c>
      <c r="B440" s="429" t="str">
        <f>T("08C029 9596")</f>
        <v>08C029 9596</v>
      </c>
      <c r="C440" s="637" t="str">
        <f>T("Högskolan i Skövde: Grundutbildning")</f>
        <v>Högskolan i Skövde: Grundutbildning</v>
      </c>
      <c r="D440" s="428">
        <v>0</v>
      </c>
      <c r="G440"/>
      <c r="H440"/>
      <c r="I440"/>
      <c r="J440"/>
      <c r="K440"/>
      <c r="L440"/>
    </row>
    <row r="441" spans="1:12">
      <c r="A441" s="429" t="str">
        <f t="shared" si="15"/>
        <v>16</v>
      </c>
      <c r="B441" s="429" t="str">
        <f>T("08C031 9596")</f>
        <v>08C031 9596</v>
      </c>
      <c r="C441" s="637" t="str">
        <f>T("Högskolan i Växjö: Grundutbildning")</f>
        <v>Högskolan i Växjö: Grundutbildning</v>
      </c>
      <c r="D441" s="428">
        <v>0</v>
      </c>
      <c r="G441"/>
      <c r="H441"/>
      <c r="I441"/>
      <c r="J441"/>
      <c r="K441"/>
      <c r="L441"/>
    </row>
    <row r="442" spans="1:12">
      <c r="A442" s="429" t="str">
        <f t="shared" si="15"/>
        <v>16</v>
      </c>
      <c r="B442" s="429" t="str">
        <f>T("08C035 9596")</f>
        <v>08C035 9596</v>
      </c>
      <c r="C442" s="637" t="str">
        <f>T("Konstfack: Grundutbildning")</f>
        <v>Konstfack: Grundutbildning</v>
      </c>
      <c r="D442" s="428">
        <v>0</v>
      </c>
      <c r="G442"/>
      <c r="H442"/>
      <c r="I442"/>
      <c r="J442"/>
      <c r="K442"/>
      <c r="L442"/>
    </row>
    <row r="443" spans="1:12">
      <c r="A443" s="429" t="str">
        <f t="shared" si="15"/>
        <v>16</v>
      </c>
      <c r="B443" s="429" t="str">
        <f>T("08C036 9596")</f>
        <v>08C036 9596</v>
      </c>
      <c r="C443" s="637" t="str">
        <f>T("Kungl Konsthögskolan: Grundutbildning")</f>
        <v>Kungl Konsthögskolan: Grundutbildning</v>
      </c>
      <c r="D443" s="428">
        <v>0</v>
      </c>
      <c r="G443"/>
      <c r="H443"/>
      <c r="I443"/>
      <c r="J443"/>
      <c r="K443"/>
      <c r="L443"/>
    </row>
    <row r="444" spans="1:12">
      <c r="A444" s="429" t="str">
        <f t="shared" si="15"/>
        <v>16</v>
      </c>
      <c r="B444" s="429" t="str">
        <f>T("08C041 9596")</f>
        <v>08C041 9596</v>
      </c>
      <c r="C444" s="637" t="str">
        <f>T("Operahögskolan i Stockholm: Grundutbildning")</f>
        <v>Operahögskolan i Stockholm: Grundutbildning</v>
      </c>
      <c r="D444" s="428">
        <v>0</v>
      </c>
      <c r="G444"/>
      <c r="H444"/>
      <c r="I444"/>
      <c r="J444"/>
      <c r="K444"/>
      <c r="L444"/>
    </row>
    <row r="445" spans="1:12">
      <c r="A445" s="429" t="str">
        <f t="shared" si="15"/>
        <v>16</v>
      </c>
      <c r="B445" s="429" t="str">
        <f>T("08C042 9596")</f>
        <v>08C042 9596</v>
      </c>
      <c r="C445" s="637" t="str">
        <f>T("Teaterhögskolan i Stockholm: grundutbildning")</f>
        <v>Teaterhögskolan i Stockholm: grundutbildning</v>
      </c>
      <c r="D445" s="428">
        <v>0</v>
      </c>
      <c r="G445"/>
      <c r="H445"/>
      <c r="I445"/>
      <c r="J445"/>
      <c r="K445"/>
      <c r="L445"/>
    </row>
    <row r="446" spans="1:12">
      <c r="A446" s="429" t="str">
        <f t="shared" si="15"/>
        <v>16</v>
      </c>
      <c r="B446" s="429" t="str">
        <f>T("08C043 9596")</f>
        <v>08C043 9596</v>
      </c>
      <c r="C446" s="637" t="str">
        <f>T("Enskilda och kommunala högskoleutbildningar m.m. ")</f>
        <v xml:space="preserve">Enskilda och kommunala högskoleutbildningar m.m. </v>
      </c>
      <c r="D446" s="428">
        <v>6928.3149999999996</v>
      </c>
      <c r="E446" s="428">
        <v>1887.5214000000001</v>
      </c>
      <c r="G446"/>
      <c r="H446"/>
      <c r="I446"/>
      <c r="J446"/>
      <c r="K446"/>
      <c r="L446"/>
    </row>
    <row r="447" spans="1:12">
      <c r="A447" s="429" t="str">
        <f t="shared" si="15"/>
        <v>16</v>
      </c>
      <c r="B447" s="429" t="str">
        <f>T("08C044 9596")</f>
        <v>08C044 9596</v>
      </c>
      <c r="C447" s="637" t="str">
        <f>T("Utvecklingsverksamhet och internationell samverkan")</f>
        <v>Utvecklingsverksamhet och internationell samverkan</v>
      </c>
      <c r="D447" s="428">
        <v>17544.399069999999</v>
      </c>
      <c r="E447" s="428">
        <v>6094.7583199999999</v>
      </c>
      <c r="G447"/>
      <c r="H447"/>
      <c r="I447"/>
      <c r="J447"/>
      <c r="K447"/>
      <c r="L447"/>
    </row>
    <row r="448" spans="1:12">
      <c r="A448" s="429" t="str">
        <f t="shared" si="15"/>
        <v>16</v>
      </c>
      <c r="B448" s="429" t="str">
        <f>T("08C045 9596")</f>
        <v>08C045 9596</v>
      </c>
      <c r="C448" s="637" t="str">
        <f>T("Vissa särskilda utgifter inom universitet och högskolor m m")</f>
        <v>Vissa särskilda utgifter inom universitet och högskolor m m</v>
      </c>
      <c r="D448" s="428">
        <v>25603.390889999999</v>
      </c>
      <c r="E448" s="428">
        <v>101060.43728</v>
      </c>
      <c r="F448" s="428">
        <v>58538.461580000003</v>
      </c>
      <c r="G448"/>
      <c r="H448"/>
      <c r="I448"/>
      <c r="J448"/>
      <c r="K448"/>
      <c r="L448"/>
    </row>
    <row r="449" spans="1:12">
      <c r="A449" s="429" t="str">
        <f t="shared" si="15"/>
        <v>16</v>
      </c>
      <c r="B449" s="429" t="str">
        <f>T("08C046 9596")</f>
        <v>08C046 9596</v>
      </c>
      <c r="C449" s="637" t="str">
        <f>T("Övriga utgifter inom grundutbildning")</f>
        <v>Övriga utgifter inom grundutbildning</v>
      </c>
      <c r="D449" s="428">
        <v>117249.5861</v>
      </c>
      <c r="E449" s="428">
        <v>7874.2656299999999</v>
      </c>
      <c r="F449" s="428">
        <v>423870.2</v>
      </c>
      <c r="H449"/>
      <c r="I449"/>
      <c r="J449"/>
      <c r="K449"/>
      <c r="L449"/>
    </row>
    <row r="450" spans="1:12">
      <c r="A450" s="429" t="str">
        <f t="shared" si="15"/>
        <v>16</v>
      </c>
      <c r="B450" s="429" t="str">
        <f>T("08C047 9596")</f>
        <v>08C047 9596</v>
      </c>
      <c r="C450" s="637" t="str">
        <f>T("Övriga utgifter inom forskning och forskarutbildning")</f>
        <v>Övriga utgifter inom forskning och forskarutbildning</v>
      </c>
      <c r="D450" s="428">
        <v>61516.983</v>
      </c>
      <c r="E450" s="428">
        <v>14183.256020000001</v>
      </c>
      <c r="F450" s="428">
        <v>25765.688999999998</v>
      </c>
      <c r="H450"/>
      <c r="I450"/>
      <c r="J450"/>
      <c r="K450"/>
      <c r="L450"/>
    </row>
    <row r="451" spans="1:12">
      <c r="A451" s="429" t="str">
        <f t="shared" si="15"/>
        <v>16</v>
      </c>
      <c r="B451" s="429" t="str">
        <f>T("08C048 9596")</f>
        <v>08C048 9596</v>
      </c>
      <c r="C451" s="637" t="str">
        <f>T("Konstnärligt utvecklingsarbete vid vissa högskolor")</f>
        <v>Konstnärligt utvecklingsarbete vid vissa högskolor</v>
      </c>
      <c r="D451" s="428">
        <v>0</v>
      </c>
      <c r="H451"/>
      <c r="I451"/>
      <c r="J451"/>
      <c r="K451"/>
      <c r="L451"/>
    </row>
    <row r="452" spans="1:12">
      <c r="A452" s="429" t="str">
        <f t="shared" si="15"/>
        <v>16</v>
      </c>
      <c r="B452" s="429" t="str">
        <f>T("08C049 9495")</f>
        <v>08C049 9495</v>
      </c>
      <c r="C452" s="637" t="str">
        <f>T("Kanslersämbetet")</f>
        <v>Kanslersämbetet</v>
      </c>
      <c r="D452" s="428">
        <v>27006.773690000002</v>
      </c>
      <c r="H452"/>
      <c r="I452"/>
      <c r="J452"/>
      <c r="K452"/>
      <c r="L452"/>
    </row>
    <row r="453" spans="1:12">
      <c r="A453" s="429" t="str">
        <f t="shared" si="15"/>
        <v>16</v>
      </c>
      <c r="B453" s="429" t="str">
        <f>T("08C049 9596")</f>
        <v>08C049 9596</v>
      </c>
      <c r="C453" s="637" t="str">
        <f>T("Forskningsstödjande åtgärder vid mindre och medelstora högsk")</f>
        <v>Forskningsstödjande åtgärder vid mindre och medelstora högsk</v>
      </c>
      <c r="D453" s="428">
        <v>0</v>
      </c>
      <c r="H453"/>
      <c r="I453"/>
      <c r="J453"/>
      <c r="K453"/>
      <c r="L453"/>
    </row>
    <row r="454" spans="1:12">
      <c r="A454" s="429" t="str">
        <f t="shared" si="15"/>
        <v>16</v>
      </c>
      <c r="B454" s="429" t="str">
        <f>T("08D001 9596")</f>
        <v>08D001 9596</v>
      </c>
      <c r="C454" s="637" t="str">
        <f>T("Forskningsrådsnämnden: Forskning och forskningsinformation")</f>
        <v>Forskningsrådsnämnden: Forskning och forskningsinformation</v>
      </c>
      <c r="D454" s="428">
        <v>7630.0452800000003</v>
      </c>
      <c r="H454"/>
      <c r="I454"/>
      <c r="J454"/>
      <c r="K454"/>
      <c r="L454"/>
    </row>
    <row r="455" spans="1:12">
      <c r="A455" s="429" t="str">
        <f t="shared" si="15"/>
        <v>16</v>
      </c>
      <c r="B455" s="429" t="str">
        <f>T("08D003 9596")</f>
        <v>08D003 9596</v>
      </c>
      <c r="C455" s="637" t="str">
        <f>T("Humanistisk-samhällsvetenskapliga forskningsrådet: Forskning")</f>
        <v>Humanistisk-samhällsvetenskapliga forskningsrådet: Forskning</v>
      </c>
      <c r="D455" s="428">
        <v>82970.688599999994</v>
      </c>
      <c r="H455"/>
      <c r="I455"/>
      <c r="J455"/>
      <c r="K455"/>
      <c r="L455"/>
    </row>
    <row r="456" spans="1:12">
      <c r="A456" s="429" t="str">
        <f t="shared" si="15"/>
        <v>16</v>
      </c>
      <c r="B456" s="429" t="str">
        <f>T("08D005 9596")</f>
        <v>08D005 9596</v>
      </c>
      <c r="C456" s="637" t="str">
        <f>T("Medicinska forskningsrådet: Forskning")</f>
        <v>Medicinska forskningsrådet: Forskning</v>
      </c>
      <c r="D456" s="428">
        <v>30587.66203</v>
      </c>
      <c r="H456"/>
      <c r="I456"/>
      <c r="J456"/>
      <c r="K456"/>
      <c r="L456"/>
    </row>
    <row r="457" spans="1:12">
      <c r="A457" s="429" t="str">
        <f t="shared" si="15"/>
        <v>16</v>
      </c>
      <c r="B457" s="429" t="str">
        <f>T("08D007 9596")</f>
        <v>08D007 9596</v>
      </c>
      <c r="C457" s="637" t="str">
        <f>T("Naturvetenskapliga forskningsrådet: Forskning")</f>
        <v>Naturvetenskapliga forskningsrådet: Forskning</v>
      </c>
      <c r="D457" s="428">
        <v>73579.876999999993</v>
      </c>
      <c r="H457"/>
      <c r="I457"/>
      <c r="J457"/>
      <c r="K457"/>
      <c r="L457"/>
    </row>
    <row r="458" spans="1:12">
      <c r="A458" s="429" t="str">
        <f t="shared" si="15"/>
        <v>16</v>
      </c>
      <c r="B458" s="429" t="str">
        <f>T("08D009 9596")</f>
        <v>08D009 9596</v>
      </c>
      <c r="C458" s="637" t="str">
        <f>T("Teknikvetenskapliga forskningsrådet: Forskning")</f>
        <v>Teknikvetenskapliga forskningsrådet: Forskning</v>
      </c>
      <c r="D458" s="428">
        <v>58007.007839999998</v>
      </c>
      <c r="H458"/>
      <c r="I458"/>
      <c r="J458"/>
      <c r="K458"/>
      <c r="L458"/>
    </row>
    <row r="459" spans="1:12">
      <c r="A459" s="429" t="str">
        <f t="shared" si="15"/>
        <v>16</v>
      </c>
      <c r="B459" s="429" t="str">
        <f>T("08D011 9596")</f>
        <v>08D011 9596</v>
      </c>
      <c r="C459" s="637" t="str">
        <f>T("Rymdforskning")</f>
        <v>Rymdforskning</v>
      </c>
      <c r="D459" s="428">
        <v>230.09899999999999</v>
      </c>
      <c r="H459"/>
      <c r="I459"/>
      <c r="J459"/>
      <c r="K459"/>
      <c r="L459"/>
    </row>
    <row r="460" spans="1:12">
      <c r="A460" s="429" t="str">
        <f t="shared" si="15"/>
        <v>16</v>
      </c>
      <c r="B460" s="429" t="str">
        <f>T("08D012 9596")</f>
        <v>08D012 9596</v>
      </c>
      <c r="C460" s="637" t="str">
        <f>T("Rådet för forskning om universitet och högskolor")</f>
        <v>Rådet för forskning om universitet och högskolor</v>
      </c>
      <c r="D460" s="428">
        <v>223.97533999999999</v>
      </c>
      <c r="H460"/>
      <c r="I460"/>
      <c r="J460"/>
      <c r="K460"/>
      <c r="L460"/>
    </row>
    <row r="461" spans="1:12">
      <c r="A461" s="429" t="str">
        <f t="shared" si="15"/>
        <v>16</v>
      </c>
      <c r="B461" s="429" t="str">
        <f>T("08D020 9596")</f>
        <v>08D020 9596</v>
      </c>
      <c r="C461" s="637" t="str">
        <f>T("Vissa särskilda utgifter för forskningsändamål")</f>
        <v>Vissa särskilda utgifter för forskningsändamål</v>
      </c>
      <c r="D461" s="428">
        <v>22144.11796</v>
      </c>
      <c r="E461" s="428">
        <v>3546.0291299999999</v>
      </c>
      <c r="F461" s="428">
        <v>2802</v>
      </c>
      <c r="H461"/>
      <c r="I461"/>
      <c r="J461"/>
      <c r="K461"/>
      <c r="L461"/>
    </row>
    <row r="462" spans="1:12">
      <c r="A462" s="429" t="str">
        <f t="shared" si="15"/>
        <v>16</v>
      </c>
      <c r="B462" s="429" t="str">
        <f>T("08D021 9596")</f>
        <v>08D021 9596</v>
      </c>
      <c r="C462" s="637" t="str">
        <f>T("Vissa bidrag till forskningsverksamhet")</f>
        <v>Vissa bidrag till forskningsverksamhet</v>
      </c>
      <c r="E462" s="428">
        <v>1000</v>
      </c>
      <c r="F462" s="428">
        <v>49000</v>
      </c>
      <c r="H462"/>
      <c r="I462"/>
      <c r="J462"/>
      <c r="K462"/>
      <c r="L462"/>
    </row>
    <row r="463" spans="1:12">
      <c r="A463" s="429" t="str">
        <f t="shared" si="15"/>
        <v>16</v>
      </c>
      <c r="B463" s="429" t="str">
        <f>T("08D022 9596")</f>
        <v>08D022 9596</v>
      </c>
      <c r="C463" s="637" t="str">
        <f>T("Medel för dyrbar vetenskaplig utrustning")</f>
        <v>Medel för dyrbar vetenskaplig utrustning</v>
      </c>
      <c r="D463" s="428">
        <v>11529.58862</v>
      </c>
      <c r="H463"/>
      <c r="I463"/>
      <c r="J463"/>
      <c r="K463"/>
      <c r="L463"/>
    </row>
    <row r="464" spans="1:12">
      <c r="A464" s="429" t="str">
        <f t="shared" si="15"/>
        <v>16</v>
      </c>
      <c r="B464" s="429" t="str">
        <f>T("08F002 9596")</f>
        <v>08F002 9596</v>
      </c>
      <c r="C464" s="637" t="str">
        <f>T("Utvecklingsarbete inom utbildningsdepartementets område")</f>
        <v>Utvecklingsarbete inom utbildningsdepartementets område</v>
      </c>
      <c r="D464" s="428">
        <v>1592.8387399999999</v>
      </c>
      <c r="E464" s="428">
        <v>6679.2796699999999</v>
      </c>
      <c r="F464" s="428">
        <v>2745.8508900000002</v>
      </c>
      <c r="G464" s="428">
        <v>0</v>
      </c>
      <c r="H464"/>
      <c r="I464"/>
      <c r="J464"/>
      <c r="K464"/>
      <c r="L464"/>
    </row>
    <row r="465" spans="1:12">
      <c r="A465" s="429" t="str">
        <f t="shared" si="15"/>
        <v>16</v>
      </c>
      <c r="B465" s="429" t="str">
        <f>T("1601001")</f>
        <v>1601001</v>
      </c>
      <c r="C465" s="637" t="str">
        <f>T("Statens skolverk")</f>
        <v>Statens skolverk</v>
      </c>
      <c r="D465" s="428">
        <v>251747.20649000001</v>
      </c>
      <c r="E465" s="428">
        <v>275003.70585000003</v>
      </c>
      <c r="F465" s="428">
        <v>273391.26371000003</v>
      </c>
      <c r="G465" s="428">
        <v>320358.36882999999</v>
      </c>
      <c r="H465" s="428">
        <v>299125.27633000002</v>
      </c>
      <c r="I465" s="428">
        <v>349914.02902000002</v>
      </c>
      <c r="J465" s="428">
        <v>297984.54262999998</v>
      </c>
      <c r="K465" s="428">
        <v>299827.95293999999</v>
      </c>
      <c r="L465" s="428">
        <v>304772.00851000001</v>
      </c>
    </row>
    <row r="466" spans="1:12">
      <c r="A466" s="429" t="str">
        <f t="shared" si="15"/>
        <v>16</v>
      </c>
      <c r="B466" s="429" t="str">
        <f>T("1601002")</f>
        <v>1601002</v>
      </c>
      <c r="C466" s="637" t="str">
        <f>T("Statens skolinspektion")</f>
        <v>Statens skolinspektion</v>
      </c>
    </row>
    <row r="467" spans="1:12">
      <c r="A467" s="429" t="str">
        <f t="shared" si="15"/>
        <v>16</v>
      </c>
      <c r="B467" s="429" t="str">
        <f>T("1601003")</f>
        <v>1601003</v>
      </c>
      <c r="C467" s="637" t="str">
        <f>T("Specialpedagogiska skolmyndigheten")</f>
        <v>Specialpedagogiska skolmyndigheten</v>
      </c>
    </row>
    <row r="468" spans="1:12">
      <c r="A468" s="429" t="str">
        <f t="shared" si="15"/>
        <v>16</v>
      </c>
      <c r="B468" s="429" t="str">
        <f>T("1601004")</f>
        <v>1601004</v>
      </c>
      <c r="C468" s="637" t="str">
        <f>T("Sameskolstyrelsen")</f>
        <v>Sameskolstyrelsen</v>
      </c>
      <c r="D468" s="428">
        <v>35703.584049999998</v>
      </c>
      <c r="E468" s="428">
        <v>33728.842550000001</v>
      </c>
      <c r="F468" s="428">
        <v>35060.72075</v>
      </c>
      <c r="G468" s="428">
        <v>35762.500290000004</v>
      </c>
      <c r="H468" s="428">
        <v>31384.193579999999</v>
      </c>
      <c r="I468" s="428">
        <v>30081.127629999999</v>
      </c>
      <c r="J468" s="428">
        <v>30160.193640000001</v>
      </c>
      <c r="K468" s="428">
        <v>30546.963390000001</v>
      </c>
      <c r="L468" s="428">
        <v>32229.604510000001</v>
      </c>
    </row>
    <row r="469" spans="1:12">
      <c r="A469" s="429" t="str">
        <f t="shared" si="15"/>
        <v>16</v>
      </c>
      <c r="B469" s="429" t="str">
        <f>T("1601005")</f>
        <v>1601005</v>
      </c>
      <c r="C469" s="637" t="str">
        <f>T("Utveckling av skolväsendet och annan pedagogisk verksamhet")</f>
        <v>Utveckling av skolväsendet och annan pedagogisk verksamhet</v>
      </c>
      <c r="D469" s="428">
        <v>131739.14181</v>
      </c>
      <c r="E469" s="428">
        <v>162235.52918000001</v>
      </c>
      <c r="F469" s="428">
        <v>197675.00735999999</v>
      </c>
      <c r="G469" s="428">
        <v>282131.02111999999</v>
      </c>
      <c r="H469" s="428">
        <v>431661.40178999997</v>
      </c>
      <c r="I469" s="428">
        <v>470931.60110000003</v>
      </c>
      <c r="J469" s="428">
        <v>307279.99277999997</v>
      </c>
      <c r="K469" s="428">
        <v>244021.75588000001</v>
      </c>
      <c r="L469" s="428">
        <v>265521.88861999998</v>
      </c>
    </row>
    <row r="470" spans="1:12">
      <c r="A470" s="429" t="str">
        <f t="shared" si="15"/>
        <v>16</v>
      </c>
      <c r="B470" s="429" t="str">
        <f>T("1601006")</f>
        <v>1601006</v>
      </c>
      <c r="C470" s="637" t="str">
        <f>T("Särskilda insatser inom skolområdet")</f>
        <v>Särskilda insatser inom skolområdet</v>
      </c>
      <c r="D470" s="428">
        <v>241430.28425</v>
      </c>
      <c r="E470" s="428">
        <v>255544.2145</v>
      </c>
      <c r="F470" s="428">
        <v>266497.217</v>
      </c>
      <c r="G470" s="428">
        <v>271747.16706000001</v>
      </c>
      <c r="H470" s="428">
        <v>261960.50268000001</v>
      </c>
      <c r="I470" s="428">
        <v>255533.67365000001</v>
      </c>
      <c r="J470" s="428">
        <v>265151.66735</v>
      </c>
      <c r="K470" s="428">
        <v>266630.88799999998</v>
      </c>
      <c r="L470" s="428">
        <v>278897.58299999998</v>
      </c>
    </row>
    <row r="471" spans="1:12">
      <c r="A471" s="429" t="str">
        <f t="shared" si="15"/>
        <v>16</v>
      </c>
      <c r="B471" s="429" t="str">
        <f>T("1601007")</f>
        <v>1601007</v>
      </c>
      <c r="C471" s="637" t="str">
        <f>T("Maxtaxa i förskola, fritidshem och annan pedagogisk verksamhet, m.m.")</f>
        <v>Maxtaxa i förskola, fritidshem och annan pedagogisk verksamhet, m.m.</v>
      </c>
      <c r="I471" s="428">
        <v>3881471.5370800002</v>
      </c>
      <c r="J471" s="428">
        <v>3898602.4447900001</v>
      </c>
      <c r="K471" s="428">
        <v>3659065.3606099999</v>
      </c>
      <c r="L471" s="428">
        <v>3659540.60677</v>
      </c>
    </row>
    <row r="472" spans="1:12">
      <c r="A472" s="429" t="str">
        <f t="shared" si="15"/>
        <v>16</v>
      </c>
      <c r="B472" s="429" t="str">
        <f>T("1601008")</f>
        <v>1601008</v>
      </c>
      <c r="C472" s="637" t="str">
        <f>T("Bidrag till viss verksamhet inom skolväsendet, m.m.")</f>
        <v>Bidrag till viss verksamhet inom skolväsendet, m.m.</v>
      </c>
      <c r="D472" s="428">
        <v>104998.11422</v>
      </c>
      <c r="E472" s="428">
        <v>102564.91846</v>
      </c>
      <c r="F472" s="428">
        <v>99123.9476</v>
      </c>
      <c r="G472" s="428">
        <v>103345.64102</v>
      </c>
      <c r="H472" s="428">
        <v>110416.48536999999</v>
      </c>
      <c r="I472" s="428">
        <v>115715.27899999999</v>
      </c>
      <c r="J472" s="428">
        <v>123002.20852</v>
      </c>
      <c r="K472" s="428">
        <v>130800.36739</v>
      </c>
      <c r="L472" s="428">
        <v>134363.61429</v>
      </c>
    </row>
    <row r="473" spans="1:12">
      <c r="A473" s="429" t="str">
        <f t="shared" si="15"/>
        <v>16</v>
      </c>
      <c r="B473" s="429" t="str">
        <f>T("1601009")</f>
        <v>1601009</v>
      </c>
      <c r="C473" s="637" t="str">
        <f>T("Bidrag till svensk undervisning i utlandet")</f>
        <v>Bidrag till svensk undervisning i utlandet</v>
      </c>
      <c r="D473" s="428">
        <v>69604.304579999996</v>
      </c>
      <c r="E473" s="428">
        <v>73046.254920000007</v>
      </c>
      <c r="F473" s="428">
        <v>70231.812959999996</v>
      </c>
      <c r="G473" s="428">
        <v>67061.780719999995</v>
      </c>
      <c r="H473" s="428">
        <v>80195.850460000001</v>
      </c>
      <c r="I473" s="428">
        <v>85025.468169999993</v>
      </c>
      <c r="J473" s="428">
        <v>76729.056639999995</v>
      </c>
      <c r="K473" s="428">
        <v>77460.163400000005</v>
      </c>
      <c r="L473" s="428">
        <v>79193.288289999997</v>
      </c>
    </row>
    <row r="474" spans="1:12">
      <c r="A474" s="429" t="str">
        <f t="shared" si="15"/>
        <v>16</v>
      </c>
      <c r="B474" s="429" t="str">
        <f>T("1601010")</f>
        <v>1601010</v>
      </c>
      <c r="C474" s="637" t="str">
        <f>T("Fortbildning av lärare och förskolepersonal")</f>
        <v>Fortbildning av lärare och förskolepersonal</v>
      </c>
    </row>
    <row r="475" spans="1:12">
      <c r="A475" s="429" t="str">
        <f t="shared" si="15"/>
        <v>16</v>
      </c>
      <c r="B475" s="429" t="str">
        <f>T("1601011")</f>
        <v>1601011</v>
      </c>
      <c r="C475" s="637" t="str">
        <f>T("Bidrag till vissa studier")</f>
        <v>Bidrag till vissa studier</v>
      </c>
    </row>
    <row r="476" spans="1:12">
      <c r="A476" s="429" t="str">
        <f t="shared" si="15"/>
        <v>16</v>
      </c>
      <c r="B476" s="429" t="str">
        <f>T("1601011 2012")</f>
        <v>1601011 2012</v>
      </c>
      <c r="C476" s="637" t="str">
        <f>T("Förstärkning av basfärdigheter")</f>
        <v>Förstärkning av basfärdigheter</v>
      </c>
    </row>
    <row r="477" spans="1:12">
      <c r="A477" s="429" t="str">
        <f t="shared" si="15"/>
        <v>16</v>
      </c>
      <c r="B477" s="429" t="str">
        <f>T("1601012")</f>
        <v>1601012</v>
      </c>
      <c r="C477" s="637" t="str">
        <f>T("Myndigheten för yrkeshögskolan")</f>
        <v>Myndigheten för yrkeshögskolan</v>
      </c>
    </row>
    <row r="478" spans="1:12">
      <c r="A478" s="429" t="str">
        <f t="shared" si="15"/>
        <v>16</v>
      </c>
      <c r="B478" s="429" t="str">
        <f>T("1601013")</f>
        <v>1601013</v>
      </c>
      <c r="C478" s="637" t="str">
        <f>T("Utveckling av vuxenutbildning m.m.")</f>
        <v>Utveckling av vuxenutbildning m.m.</v>
      </c>
    </row>
    <row r="479" spans="1:12">
      <c r="A479" s="429" t="str">
        <f t="shared" si="15"/>
        <v>16</v>
      </c>
      <c r="B479" s="429" t="str">
        <f>T("1601014")</f>
        <v>1601014</v>
      </c>
      <c r="C479" s="637" t="str">
        <f>T("Statligt stöd till vuxenutbildning")</f>
        <v>Statligt stöd till vuxenutbildning</v>
      </c>
      <c r="D479" s="428">
        <v>103208.12</v>
      </c>
      <c r="E479" s="428">
        <v>114948.25900000001</v>
      </c>
      <c r="F479" s="428">
        <v>147554.59</v>
      </c>
      <c r="G479" s="428">
        <v>137968.05671</v>
      </c>
      <c r="H479" s="428">
        <v>133544.05863000001</v>
      </c>
      <c r="I479" s="428">
        <v>145229.57793999999</v>
      </c>
      <c r="J479" s="428">
        <v>138648.69454999999</v>
      </c>
      <c r="K479" s="428">
        <v>154199.09714</v>
      </c>
      <c r="L479" s="428">
        <v>154030.27564000001</v>
      </c>
    </row>
    <row r="480" spans="1:12">
      <c r="A480" s="429" t="str">
        <f t="shared" si="15"/>
        <v>16</v>
      </c>
      <c r="B480" s="429" t="str">
        <f>T("1601015")</f>
        <v>1601015</v>
      </c>
      <c r="C480" s="637" t="str">
        <f>T("Särskilt utbildningsstöd")</f>
        <v>Särskilt utbildningsstöd</v>
      </c>
    </row>
    <row r="481" spans="1:12">
      <c r="A481" s="429" t="str">
        <f t="shared" si="15"/>
        <v>16</v>
      </c>
      <c r="B481" s="429" t="str">
        <f>T("1601016 2009")</f>
        <v>1601016 2009</v>
      </c>
      <c r="C481" s="637" t="str">
        <f>T("Myndigheten för kvalificerad yrkesutbildning")</f>
        <v>Myndigheten för kvalificerad yrkesutbildning</v>
      </c>
      <c r="I481" s="428">
        <v>16795.27088</v>
      </c>
      <c r="J481" s="428">
        <v>16851.673190000001</v>
      </c>
      <c r="K481" s="428">
        <v>19524.323400000001</v>
      </c>
      <c r="L481" s="428">
        <v>17926.959940000001</v>
      </c>
    </row>
    <row r="482" spans="1:12">
      <c r="A482" s="429" t="str">
        <f t="shared" si="15"/>
        <v>16</v>
      </c>
      <c r="B482" s="429" t="str">
        <f>T("1601017 2009")</f>
        <v>1601017 2009</v>
      </c>
      <c r="C482" s="637" t="str">
        <f>T("Bidrag till kvalificerad yrkesutbildning")</f>
        <v>Bidrag till kvalificerad yrkesutbildning</v>
      </c>
      <c r="I482" s="428">
        <v>551781.40700000001</v>
      </c>
      <c r="J482" s="428">
        <v>683075.03399999999</v>
      </c>
      <c r="K482" s="428">
        <v>741988.03700000001</v>
      </c>
      <c r="L482" s="428">
        <v>783147.277</v>
      </c>
    </row>
    <row r="483" spans="1:12">
      <c r="A483" s="429" t="str">
        <f t="shared" si="15"/>
        <v>16</v>
      </c>
      <c r="B483" s="429" t="str">
        <f>T("1602001")</f>
        <v>1602001</v>
      </c>
      <c r="C483" s="637" t="str">
        <f>T("Universitetskanslersämbetet")</f>
        <v>Universitetskanslersämbetet</v>
      </c>
    </row>
    <row r="484" spans="1:12">
      <c r="A484" s="429" t="str">
        <f t="shared" si="15"/>
        <v>16</v>
      </c>
      <c r="B484" s="429" t="str">
        <f>T("1602001 2012")</f>
        <v>1602001 2012</v>
      </c>
      <c r="C484" s="637" t="str">
        <f>T("Högskoleverket")</f>
        <v>Högskoleverket</v>
      </c>
      <c r="D484" s="428">
        <v>115292.46556</v>
      </c>
      <c r="E484" s="428">
        <v>124609.24800000001</v>
      </c>
      <c r="F484" s="428">
        <v>132823.65601000001</v>
      </c>
      <c r="G484" s="428">
        <v>136477.88286000001</v>
      </c>
      <c r="H484" s="428">
        <v>162877.85399999999</v>
      </c>
      <c r="I484" s="428">
        <v>171972.13185999999</v>
      </c>
      <c r="J484" s="428">
        <v>187115.52207000001</v>
      </c>
      <c r="K484" s="428">
        <v>181809.89089000001</v>
      </c>
      <c r="L484" s="428">
        <v>184281.25065</v>
      </c>
    </row>
    <row r="485" spans="1:12">
      <c r="A485" s="429" t="str">
        <f t="shared" si="15"/>
        <v>16</v>
      </c>
      <c r="B485" s="429" t="str">
        <f>T("1602002")</f>
        <v>1602002</v>
      </c>
      <c r="C485" s="637" t="str">
        <f>T("Universitets- och högskolerådet")</f>
        <v>Universitets- och högskolerådet</v>
      </c>
    </row>
    <row r="486" spans="1:12">
      <c r="A486" s="429" t="str">
        <f t="shared" si="15"/>
        <v>16</v>
      </c>
      <c r="B486" s="429" t="str">
        <f>T("1602002 2012")</f>
        <v>1602002 2012</v>
      </c>
      <c r="C486" s="637" t="str">
        <f>T("Verket för högskoleservice")</f>
        <v>Verket för högskoleservice</v>
      </c>
      <c r="D486" s="428">
        <v>4949.4049999999997</v>
      </c>
      <c r="E486" s="428">
        <v>12358.3006</v>
      </c>
      <c r="F486" s="428">
        <v>13066.6044</v>
      </c>
      <c r="G486" s="428">
        <v>12230.82</v>
      </c>
      <c r="H486" s="428">
        <v>13029.000819999999</v>
      </c>
      <c r="I486" s="428">
        <v>13168.13781</v>
      </c>
      <c r="J486" s="428">
        <v>13147.604439999999</v>
      </c>
      <c r="K486" s="428">
        <v>14510.12693</v>
      </c>
      <c r="L486" s="428">
        <v>14140</v>
      </c>
    </row>
    <row r="487" spans="1:12">
      <c r="A487" s="429" t="str">
        <f t="shared" si="15"/>
        <v>16</v>
      </c>
      <c r="B487" s="429" t="str">
        <f>T("1602003")</f>
        <v>1602003</v>
      </c>
      <c r="C487" s="637" t="str">
        <f>T("Uppsala universitet: Utbildning på grundnivå och avancerad nivå")</f>
        <v>Uppsala universitet: Utbildning på grundnivå och avancerad nivå</v>
      </c>
      <c r="D487" s="428">
        <v>737748</v>
      </c>
      <c r="E487" s="428">
        <v>751962</v>
      </c>
      <c r="F487" s="428">
        <v>762942</v>
      </c>
      <c r="G487" s="428">
        <v>798754</v>
      </c>
      <c r="H487" s="428">
        <v>852515</v>
      </c>
      <c r="I487" s="428">
        <v>981678</v>
      </c>
      <c r="J487" s="428">
        <v>1072909</v>
      </c>
      <c r="K487" s="428">
        <v>1135821</v>
      </c>
      <c r="L487" s="428">
        <v>1177444</v>
      </c>
    </row>
    <row r="488" spans="1:12">
      <c r="A488" s="429" t="str">
        <f t="shared" si="15"/>
        <v>16</v>
      </c>
      <c r="B488" s="429" t="str">
        <f>T("1602004")</f>
        <v>1602004</v>
      </c>
      <c r="C488" s="637" t="str">
        <f>T("Uppsala universitet: Forskning och forskarutbildning")</f>
        <v>Uppsala universitet: Forskning och forskarutbildning</v>
      </c>
      <c r="D488" s="428">
        <v>906412</v>
      </c>
      <c r="E488" s="428">
        <v>952889</v>
      </c>
      <c r="F488" s="428">
        <v>971152</v>
      </c>
      <c r="G488" s="428">
        <v>976369</v>
      </c>
      <c r="H488" s="428">
        <v>1011513</v>
      </c>
      <c r="I488" s="428">
        <v>1057431</v>
      </c>
      <c r="J488" s="428">
        <v>1140323</v>
      </c>
      <c r="K488" s="428">
        <v>1173983</v>
      </c>
      <c r="L488" s="428">
        <v>1178834.3</v>
      </c>
    </row>
    <row r="489" spans="1:12">
      <c r="A489" s="429" t="str">
        <f t="shared" si="15"/>
        <v>16</v>
      </c>
      <c r="B489" s="429" t="str">
        <f>T("1602005")</f>
        <v>1602005</v>
      </c>
      <c r="C489" s="637" t="str">
        <f>T("Lunds universitet: Utbildning på grundnivå och avancerad nivå")</f>
        <v>Lunds universitet: Utbildning på grundnivå och avancerad nivå</v>
      </c>
      <c r="D489" s="428">
        <v>1227324</v>
      </c>
      <c r="E489" s="428">
        <v>1148051</v>
      </c>
      <c r="F489" s="428">
        <v>992064</v>
      </c>
      <c r="G489" s="428">
        <v>1025520</v>
      </c>
      <c r="H489" s="428">
        <v>1079209</v>
      </c>
      <c r="I489" s="428">
        <v>1280897</v>
      </c>
      <c r="J489" s="428">
        <v>1420722</v>
      </c>
      <c r="K489" s="428">
        <v>1455330</v>
      </c>
      <c r="L489" s="428">
        <v>1477188</v>
      </c>
    </row>
    <row r="490" spans="1:12">
      <c r="A490" s="429" t="str">
        <f t="shared" si="15"/>
        <v>16</v>
      </c>
      <c r="B490" s="429" t="str">
        <f>T("1602006")</f>
        <v>1602006</v>
      </c>
      <c r="C490" s="637" t="str">
        <f>T("Lunds universitet: Forskning och forskarutbildning")</f>
        <v>Lunds universitet: Forskning och forskarutbildning</v>
      </c>
      <c r="D490" s="428">
        <v>941950</v>
      </c>
      <c r="E490" s="428">
        <v>977689</v>
      </c>
      <c r="F490" s="428">
        <v>977719</v>
      </c>
      <c r="G490" s="428">
        <v>983709</v>
      </c>
      <c r="H490" s="428">
        <v>1018384</v>
      </c>
      <c r="I490" s="428">
        <v>1064538</v>
      </c>
      <c r="J490" s="428">
        <v>1158134</v>
      </c>
      <c r="K490" s="428">
        <v>1192103</v>
      </c>
      <c r="L490" s="428">
        <v>1197029</v>
      </c>
    </row>
    <row r="491" spans="1:12">
      <c r="A491" s="429" t="str">
        <f t="shared" si="15"/>
        <v>16</v>
      </c>
      <c r="B491" s="429" t="str">
        <f>T("1602007")</f>
        <v>1602007</v>
      </c>
      <c r="C491" s="637" t="str">
        <f>T("Göteborgs universitet: Utbildning på grundnivå och avancerad nivå")</f>
        <v>Göteborgs universitet: Utbildning på grundnivå och avancerad nivå</v>
      </c>
      <c r="D491" s="428">
        <v>915807</v>
      </c>
      <c r="E491" s="428">
        <v>917547</v>
      </c>
      <c r="F491" s="428">
        <v>931726</v>
      </c>
      <c r="G491" s="428">
        <v>975389</v>
      </c>
      <c r="H491" s="428">
        <v>1043693</v>
      </c>
      <c r="I491" s="428">
        <v>1254814</v>
      </c>
      <c r="J491" s="428">
        <v>1358922</v>
      </c>
      <c r="K491" s="428">
        <v>1400065</v>
      </c>
      <c r="L491" s="428">
        <v>1439744</v>
      </c>
    </row>
    <row r="492" spans="1:12">
      <c r="A492" s="429" t="str">
        <f t="shared" ref="A492:A555" si="16">T("16")</f>
        <v>16</v>
      </c>
      <c r="B492" s="429" t="str">
        <f>T("1602008")</f>
        <v>1602008</v>
      </c>
      <c r="C492" s="637" t="str">
        <f>T("Göteborgs universitet: Forskning och forskarutbildning")</f>
        <v>Göteborgs universitet: Forskning och forskarutbildning</v>
      </c>
      <c r="D492" s="428">
        <v>723664</v>
      </c>
      <c r="E492" s="428">
        <v>784320</v>
      </c>
      <c r="F492" s="428">
        <v>795590</v>
      </c>
      <c r="G492" s="428">
        <v>799136</v>
      </c>
      <c r="H492" s="428">
        <v>827059</v>
      </c>
      <c r="I492" s="428">
        <v>874584</v>
      </c>
      <c r="J492" s="428">
        <v>943455</v>
      </c>
      <c r="K492" s="428">
        <v>971124</v>
      </c>
      <c r="L492" s="428">
        <v>975136</v>
      </c>
    </row>
    <row r="493" spans="1:12">
      <c r="A493" s="429" t="str">
        <f t="shared" si="16"/>
        <v>16</v>
      </c>
      <c r="B493" s="429" t="str">
        <f>T("1602009")</f>
        <v>1602009</v>
      </c>
      <c r="C493" s="637" t="str">
        <f>T("Stockholms universitet: Utbildning på grundnivå och avancerad nivå")</f>
        <v>Stockholms universitet: Utbildning på grundnivå och avancerad nivå</v>
      </c>
      <c r="D493" s="428">
        <v>628940</v>
      </c>
      <c r="E493" s="428">
        <v>644595</v>
      </c>
      <c r="F493" s="428">
        <v>658626</v>
      </c>
      <c r="G493" s="428">
        <v>671012</v>
      </c>
      <c r="H493" s="428">
        <v>728166</v>
      </c>
      <c r="I493" s="428">
        <v>785220</v>
      </c>
      <c r="J493" s="428">
        <v>867917</v>
      </c>
      <c r="K493" s="428">
        <v>893200</v>
      </c>
      <c r="L493" s="428">
        <v>916654</v>
      </c>
    </row>
    <row r="494" spans="1:12">
      <c r="A494" s="429" t="str">
        <f t="shared" si="16"/>
        <v>16</v>
      </c>
      <c r="B494" s="429" t="str">
        <f>T("1602010")</f>
        <v>1602010</v>
      </c>
      <c r="C494" s="637" t="str">
        <f>T("Stockholms universitet: Forskning och forskarutbildning")</f>
        <v>Stockholms universitet: Forskning och forskarutbildning</v>
      </c>
      <c r="D494" s="428">
        <v>743788</v>
      </c>
      <c r="E494" s="428">
        <v>776182</v>
      </c>
      <c r="F494" s="428">
        <v>787066</v>
      </c>
      <c r="G494" s="428">
        <v>798090</v>
      </c>
      <c r="H494" s="428">
        <v>842831</v>
      </c>
      <c r="I494" s="428">
        <v>887996</v>
      </c>
      <c r="J494" s="428">
        <v>961817</v>
      </c>
      <c r="K494" s="428">
        <v>989835</v>
      </c>
      <c r="L494" s="428">
        <v>997254</v>
      </c>
    </row>
    <row r="495" spans="1:12">
      <c r="A495" s="429" t="str">
        <f t="shared" si="16"/>
        <v>16</v>
      </c>
      <c r="B495" s="429" t="str">
        <f>T("1602011")</f>
        <v>1602011</v>
      </c>
      <c r="C495" s="637" t="str">
        <f>T("Umeå universitet: Utbildning på grundnivå och avancerad nivå")</f>
        <v>Umeå universitet: Utbildning på grundnivå och avancerad nivå</v>
      </c>
      <c r="D495" s="428">
        <v>627255.27</v>
      </c>
      <c r="E495" s="428">
        <v>673006.76</v>
      </c>
      <c r="F495" s="428">
        <v>696244</v>
      </c>
      <c r="G495" s="428">
        <v>738083</v>
      </c>
      <c r="H495" s="428">
        <v>777521</v>
      </c>
      <c r="I495" s="428">
        <v>862151</v>
      </c>
      <c r="J495" s="428">
        <v>967542</v>
      </c>
      <c r="K495" s="428">
        <v>1020827</v>
      </c>
      <c r="L495" s="428">
        <v>1047133</v>
      </c>
    </row>
    <row r="496" spans="1:12">
      <c r="A496" s="429" t="str">
        <f t="shared" si="16"/>
        <v>16</v>
      </c>
      <c r="B496" s="429" t="str">
        <f>T("1602012")</f>
        <v>1602012</v>
      </c>
      <c r="C496" s="637" t="str">
        <f>T("Umeå universitet: Forskning och forskarutbildning")</f>
        <v>Umeå universitet: Forskning och forskarutbildning</v>
      </c>
      <c r="D496" s="428">
        <v>500155</v>
      </c>
      <c r="E496" s="428">
        <v>522150</v>
      </c>
      <c r="F496" s="428">
        <v>551157</v>
      </c>
      <c r="G496" s="428">
        <v>553759</v>
      </c>
      <c r="H496" s="428">
        <v>576946</v>
      </c>
      <c r="I496" s="428">
        <v>611478</v>
      </c>
      <c r="J496" s="428">
        <v>661151</v>
      </c>
      <c r="K496" s="428">
        <v>680473</v>
      </c>
      <c r="L496" s="428">
        <v>683284.54599999997</v>
      </c>
    </row>
    <row r="497" spans="1:12">
      <c r="A497" s="429" t="str">
        <f t="shared" si="16"/>
        <v>16</v>
      </c>
      <c r="B497" s="429" t="str">
        <f>T("1602013")</f>
        <v>1602013</v>
      </c>
      <c r="C497" s="637" t="str">
        <f>T("Linköpings universitet: Utbildning på grundnivå och avancerad nivå")</f>
        <v>Linköpings universitet: Utbildning på grundnivå och avancerad nivå</v>
      </c>
      <c r="D497" s="428">
        <v>572965</v>
      </c>
      <c r="E497" s="428">
        <v>630077</v>
      </c>
      <c r="F497" s="428">
        <v>669449</v>
      </c>
      <c r="G497" s="428">
        <v>722560</v>
      </c>
      <c r="H497" s="428">
        <v>782094</v>
      </c>
      <c r="I497" s="428">
        <v>971785</v>
      </c>
      <c r="J497" s="428">
        <v>1059166</v>
      </c>
      <c r="K497" s="428">
        <v>1090907</v>
      </c>
      <c r="L497" s="428">
        <v>1116517</v>
      </c>
    </row>
    <row r="498" spans="1:12">
      <c r="A498" s="429" t="str">
        <f t="shared" si="16"/>
        <v>16</v>
      </c>
      <c r="B498" s="429" t="str">
        <f>T("1602014")</f>
        <v>1602014</v>
      </c>
      <c r="C498" s="637" t="str">
        <f>T("Linköpings universitet: Forskning och forskarutbildning")</f>
        <v>Linköpings universitet: Forskning och forskarutbildning</v>
      </c>
      <c r="D498" s="428">
        <v>323203</v>
      </c>
      <c r="E498" s="428">
        <v>343420</v>
      </c>
      <c r="F498" s="428">
        <v>359011</v>
      </c>
      <c r="G498" s="428">
        <v>360441</v>
      </c>
      <c r="H498" s="428">
        <v>391052</v>
      </c>
      <c r="I498" s="428">
        <v>420780</v>
      </c>
      <c r="J498" s="428">
        <v>459769</v>
      </c>
      <c r="K498" s="428">
        <v>473263</v>
      </c>
      <c r="L498" s="428">
        <v>475218</v>
      </c>
    </row>
    <row r="499" spans="1:12">
      <c r="A499" s="429" t="str">
        <f t="shared" si="16"/>
        <v>16</v>
      </c>
      <c r="B499" s="429" t="str">
        <f>T("1602015")</f>
        <v>1602015</v>
      </c>
      <c r="C499" s="637" t="str">
        <f>T("Karolinska institutet: Utbildning på grundnivå och avancerad nivå")</f>
        <v>Karolinska institutet: Utbildning på grundnivå och avancerad nivå</v>
      </c>
      <c r="D499" s="428">
        <v>307388</v>
      </c>
      <c r="E499" s="428">
        <v>295824</v>
      </c>
      <c r="F499" s="428">
        <v>259895</v>
      </c>
      <c r="G499" s="428">
        <v>259942</v>
      </c>
      <c r="H499" s="428">
        <v>276092</v>
      </c>
      <c r="I499" s="428">
        <v>473079</v>
      </c>
      <c r="J499" s="428">
        <v>526569</v>
      </c>
      <c r="K499" s="428">
        <v>544559</v>
      </c>
      <c r="L499" s="428">
        <v>557528</v>
      </c>
    </row>
    <row r="500" spans="1:12">
      <c r="A500" s="429" t="str">
        <f t="shared" si="16"/>
        <v>16</v>
      </c>
      <c r="B500" s="429" t="str">
        <f>T("1602016")</f>
        <v>1602016</v>
      </c>
      <c r="C500" s="637" t="str">
        <f>T("Karolinska institutet: Forskning och forskarutbildning")</f>
        <v>Karolinska institutet: Forskning och forskarutbildning</v>
      </c>
      <c r="D500" s="428">
        <v>558025</v>
      </c>
      <c r="E500" s="428">
        <v>603168</v>
      </c>
      <c r="F500" s="428">
        <v>612081</v>
      </c>
      <c r="G500" s="428">
        <v>624371</v>
      </c>
      <c r="H500" s="428">
        <v>641421</v>
      </c>
      <c r="I500" s="428">
        <v>689735</v>
      </c>
      <c r="J500" s="428">
        <v>738943</v>
      </c>
      <c r="K500" s="428">
        <v>760725</v>
      </c>
      <c r="L500" s="428">
        <v>763869</v>
      </c>
    </row>
    <row r="501" spans="1:12">
      <c r="A501" s="429" t="str">
        <f t="shared" si="16"/>
        <v>16</v>
      </c>
      <c r="B501" s="429" t="str">
        <f>T("1602017")</f>
        <v>1602017</v>
      </c>
      <c r="C501" s="637" t="str">
        <f>T("Kungl. Tekniska högskolan: Utbildning på grundnivå och avancerad nivå")</f>
        <v>Kungl. Tekniska högskolan: Utbildning på grundnivå och avancerad nivå</v>
      </c>
      <c r="D501" s="428">
        <v>615954.924</v>
      </c>
      <c r="E501" s="428">
        <v>676132.17299999995</v>
      </c>
      <c r="F501" s="428">
        <v>688531.875</v>
      </c>
      <c r="G501" s="428">
        <v>680940</v>
      </c>
      <c r="H501" s="428">
        <v>700841.26500000001</v>
      </c>
      <c r="I501" s="428">
        <v>752829</v>
      </c>
      <c r="J501" s="428">
        <v>837538</v>
      </c>
      <c r="K501" s="428">
        <v>877174.08900000004</v>
      </c>
      <c r="L501" s="428">
        <v>883042.36399999994</v>
      </c>
    </row>
    <row r="502" spans="1:12">
      <c r="A502" s="429" t="str">
        <f t="shared" si="16"/>
        <v>16</v>
      </c>
      <c r="B502" s="429" t="str">
        <f>T("1602018")</f>
        <v>1602018</v>
      </c>
      <c r="C502" s="637" t="str">
        <f>T("Kungl. Tekniska högskolan: Forskning och forskarutbildning")</f>
        <v>Kungl. Tekniska högskolan: Forskning och forskarutbildning</v>
      </c>
      <c r="D502" s="428">
        <v>487667</v>
      </c>
      <c r="E502" s="428">
        <v>506043</v>
      </c>
      <c r="F502" s="428">
        <v>524621</v>
      </c>
      <c r="G502" s="428">
        <v>527383</v>
      </c>
      <c r="H502" s="428">
        <v>559400</v>
      </c>
      <c r="I502" s="428">
        <v>581388</v>
      </c>
      <c r="J502" s="428">
        <v>633663</v>
      </c>
      <c r="K502" s="428">
        <v>652226</v>
      </c>
      <c r="L502" s="428">
        <v>655666</v>
      </c>
    </row>
    <row r="503" spans="1:12">
      <c r="A503" s="429" t="str">
        <f t="shared" si="16"/>
        <v>16</v>
      </c>
      <c r="B503" s="429" t="str">
        <f>T("1602019")</f>
        <v>1602019</v>
      </c>
      <c r="C503" s="637" t="str">
        <f>T("Luleå tekniska universitet: Utbildning på grundnivå och avancerad nivå")</f>
        <v>Luleå tekniska universitet: Utbildning på grundnivå och avancerad nivå</v>
      </c>
      <c r="D503" s="428">
        <v>318001</v>
      </c>
      <c r="E503" s="428">
        <v>351662</v>
      </c>
      <c r="F503" s="428">
        <v>365143</v>
      </c>
      <c r="G503" s="428">
        <v>398973</v>
      </c>
      <c r="H503" s="428">
        <v>429823</v>
      </c>
      <c r="I503" s="428">
        <v>483969</v>
      </c>
      <c r="J503" s="428">
        <v>544767.79027</v>
      </c>
      <c r="K503" s="428">
        <v>578662.31599999999</v>
      </c>
      <c r="L503" s="428">
        <v>565322</v>
      </c>
    </row>
    <row r="504" spans="1:12">
      <c r="A504" s="429" t="str">
        <f t="shared" si="16"/>
        <v>16</v>
      </c>
      <c r="B504" s="429" t="str">
        <f>T("1602020")</f>
        <v>1602020</v>
      </c>
      <c r="C504" s="637" t="str">
        <f>T("Luleå tekniska universitet: Forskning och forskarutbildning")</f>
        <v>Luleå tekniska universitet: Forskning och forskarutbildning</v>
      </c>
      <c r="D504" s="428">
        <v>166997</v>
      </c>
      <c r="E504" s="428">
        <v>178285</v>
      </c>
      <c r="F504" s="428">
        <v>182953</v>
      </c>
      <c r="G504" s="428">
        <v>184019</v>
      </c>
      <c r="H504" s="428">
        <v>199590</v>
      </c>
      <c r="I504" s="428">
        <v>214819</v>
      </c>
      <c r="J504" s="428">
        <v>235646</v>
      </c>
      <c r="K504" s="428">
        <v>242572</v>
      </c>
      <c r="L504" s="428">
        <v>250575</v>
      </c>
    </row>
    <row r="505" spans="1:12">
      <c r="A505" s="429" t="str">
        <f t="shared" si="16"/>
        <v>16</v>
      </c>
      <c r="B505" s="429" t="str">
        <f>T("1602021")</f>
        <v>1602021</v>
      </c>
      <c r="C505" s="637" t="str">
        <f>T("Karlstads universitet: Utbildning på grundnivå och avancerad nivå")</f>
        <v>Karlstads universitet: Utbildning på grundnivå och avancerad nivå</v>
      </c>
      <c r="D505" s="428">
        <v>243244.902</v>
      </c>
      <c r="E505" s="428">
        <v>268987.43199999997</v>
      </c>
      <c r="F505" s="428">
        <v>276653</v>
      </c>
      <c r="G505" s="428">
        <v>288170.65999999997</v>
      </c>
      <c r="H505" s="428">
        <v>300089</v>
      </c>
      <c r="I505" s="428">
        <v>389630</v>
      </c>
      <c r="J505" s="428">
        <v>438866</v>
      </c>
      <c r="K505" s="428">
        <v>469601.163</v>
      </c>
      <c r="L505" s="428">
        <v>451910</v>
      </c>
    </row>
    <row r="506" spans="1:12">
      <c r="A506" s="429" t="str">
        <f t="shared" si="16"/>
        <v>16</v>
      </c>
      <c r="B506" s="429" t="str">
        <f>T("1602022")</f>
        <v>1602022</v>
      </c>
      <c r="C506" s="637" t="str">
        <f>T("Karlstads universitet: Forskning och forskarutbildning")</f>
        <v>Karlstads universitet: Forskning och forskarutbildning</v>
      </c>
      <c r="F506" s="428">
        <v>52913</v>
      </c>
      <c r="G506" s="428">
        <v>75405</v>
      </c>
      <c r="H506" s="428">
        <v>97246</v>
      </c>
      <c r="I506" s="428">
        <v>123673</v>
      </c>
      <c r="J506" s="428">
        <v>141387</v>
      </c>
      <c r="K506" s="428">
        <v>145703</v>
      </c>
      <c r="L506" s="428">
        <v>151305</v>
      </c>
    </row>
    <row r="507" spans="1:12">
      <c r="A507" s="429" t="str">
        <f t="shared" si="16"/>
        <v>16</v>
      </c>
      <c r="B507" s="429" t="str">
        <f>T("1602023")</f>
        <v>1602023</v>
      </c>
      <c r="C507" s="637" t="str">
        <f>T("Linnéuniversitetet: Utbildning på grundnivå och avancerad nivå")</f>
        <v>Linnéuniversitetet: Utbildning på grundnivå och avancerad nivå</v>
      </c>
    </row>
    <row r="508" spans="1:12">
      <c r="A508" s="429" t="str">
        <f t="shared" si="16"/>
        <v>16</v>
      </c>
      <c r="B508" s="429" t="str">
        <f>T("1602023 2009")</f>
        <v>1602023 2009</v>
      </c>
      <c r="C508" s="637" t="str">
        <f>T("Växjö universitet: Grundutbildning")</f>
        <v>Växjö universitet: Grundutbildning</v>
      </c>
      <c r="D508" s="428">
        <v>189184.53</v>
      </c>
      <c r="E508" s="428">
        <v>219492</v>
      </c>
      <c r="F508" s="428">
        <v>236420.9</v>
      </c>
      <c r="G508" s="428">
        <v>239478.595</v>
      </c>
      <c r="H508" s="428">
        <v>252463.141</v>
      </c>
      <c r="I508" s="428">
        <v>327118.60200000001</v>
      </c>
      <c r="J508" s="428">
        <v>363994</v>
      </c>
      <c r="K508" s="428">
        <v>407732.45400000003</v>
      </c>
      <c r="L508" s="428">
        <v>386380</v>
      </c>
    </row>
    <row r="509" spans="1:12">
      <c r="A509" s="429" t="str">
        <f t="shared" si="16"/>
        <v>16</v>
      </c>
      <c r="B509" s="429" t="str">
        <f>T("1602024")</f>
        <v>1602024</v>
      </c>
      <c r="C509" s="637" t="str">
        <f>T("Linnéuniversitetet: Forskning och forskarutbildning")</f>
        <v>Linnéuniversitetet: Forskning och forskarutbildning</v>
      </c>
    </row>
    <row r="510" spans="1:12">
      <c r="A510" s="429" t="str">
        <f t="shared" si="16"/>
        <v>16</v>
      </c>
      <c r="B510" s="429" t="str">
        <f>T("1602024 2009")</f>
        <v>1602024 2009</v>
      </c>
      <c r="C510" s="637" t="str">
        <f>T("Växjö universitet: Forskning och forskarutbildning")</f>
        <v>Växjö universitet: Forskning och forskarutbildning</v>
      </c>
      <c r="F510" s="428">
        <v>53025</v>
      </c>
      <c r="G510" s="428">
        <v>75518</v>
      </c>
      <c r="H510" s="428">
        <v>97361</v>
      </c>
      <c r="I510" s="428">
        <v>124606</v>
      </c>
      <c r="J510" s="428">
        <v>137696</v>
      </c>
      <c r="K510" s="428">
        <v>141801</v>
      </c>
      <c r="L510" s="428">
        <v>142387</v>
      </c>
    </row>
    <row r="511" spans="1:12">
      <c r="A511" s="429" t="str">
        <f t="shared" si="16"/>
        <v>16</v>
      </c>
      <c r="B511" s="429" t="str">
        <f>T("1602025")</f>
        <v>1602025</v>
      </c>
      <c r="C511" s="637" t="str">
        <f>T("Örebro universitet: Utbildning på grundnivå och avancerad nivå")</f>
        <v>Örebro universitet: Utbildning på grundnivå och avancerad nivå</v>
      </c>
      <c r="D511" s="428">
        <v>229951</v>
      </c>
      <c r="E511" s="428">
        <v>267239</v>
      </c>
      <c r="F511" s="428">
        <v>289596.79999999999</v>
      </c>
      <c r="G511" s="428">
        <v>318823</v>
      </c>
      <c r="H511" s="428">
        <v>340917</v>
      </c>
      <c r="I511" s="428">
        <v>480781</v>
      </c>
      <c r="J511" s="428">
        <v>521768</v>
      </c>
      <c r="K511" s="428">
        <v>521938</v>
      </c>
      <c r="L511" s="428">
        <v>531039</v>
      </c>
    </row>
    <row r="512" spans="1:12">
      <c r="A512" s="429" t="str">
        <f t="shared" si="16"/>
        <v>16</v>
      </c>
      <c r="B512" s="429" t="str">
        <f>T("1602026")</f>
        <v>1602026</v>
      </c>
      <c r="C512" s="637" t="str">
        <f>T("Örebro universitet: Forskning och forskarutbildning")</f>
        <v>Örebro universitet: Forskning och forskarutbildning</v>
      </c>
      <c r="F512" s="428">
        <v>53136</v>
      </c>
      <c r="G512" s="428">
        <v>75630</v>
      </c>
      <c r="H512" s="428">
        <v>97476</v>
      </c>
      <c r="I512" s="428">
        <v>136160</v>
      </c>
      <c r="J512" s="428">
        <v>153420</v>
      </c>
      <c r="K512" s="428">
        <v>157984</v>
      </c>
      <c r="L512" s="428">
        <v>158636</v>
      </c>
    </row>
    <row r="513" spans="1:12">
      <c r="A513" s="429" t="str">
        <f t="shared" si="16"/>
        <v>16</v>
      </c>
      <c r="B513" s="429" t="str">
        <f>T("1602027")</f>
        <v>1602027</v>
      </c>
      <c r="C513" s="637" t="str">
        <f>T("Mittuniversitetet: Utbildning på grundnivå och avancerad nivå")</f>
        <v>Mittuniversitetet: Utbildning på grundnivå och avancerad nivå</v>
      </c>
      <c r="D513" s="428">
        <v>300500.59600000002</v>
      </c>
      <c r="E513" s="428">
        <v>351669</v>
      </c>
      <c r="F513" s="428">
        <v>401016</v>
      </c>
      <c r="G513" s="428">
        <v>368288</v>
      </c>
      <c r="H513" s="428">
        <v>355617.30699999997</v>
      </c>
      <c r="I513" s="428">
        <v>402638</v>
      </c>
      <c r="J513" s="428">
        <v>460771</v>
      </c>
      <c r="K513" s="428">
        <v>495991</v>
      </c>
      <c r="L513" s="428">
        <v>479823</v>
      </c>
    </row>
    <row r="514" spans="1:12">
      <c r="A514" s="429" t="str">
        <f t="shared" si="16"/>
        <v>16</v>
      </c>
      <c r="B514" s="429" t="str">
        <f>T("1602028")</f>
        <v>1602028</v>
      </c>
      <c r="C514" s="637" t="str">
        <f>T("Mittuniversitetet: Forskning och forskarutbildning")</f>
        <v>Mittuniversitetet: Forskning och forskarutbildning</v>
      </c>
      <c r="F514" s="428">
        <v>52628</v>
      </c>
      <c r="G514" s="428">
        <v>75118</v>
      </c>
      <c r="H514" s="428">
        <v>86761</v>
      </c>
      <c r="I514" s="428">
        <v>107772</v>
      </c>
      <c r="J514" s="428">
        <v>118445</v>
      </c>
      <c r="K514" s="428">
        <v>121983</v>
      </c>
      <c r="L514" s="428">
        <v>162427</v>
      </c>
    </row>
    <row r="515" spans="1:12">
      <c r="A515" s="429" t="str">
        <f t="shared" si="16"/>
        <v>16</v>
      </c>
      <c r="B515" s="429" t="str">
        <f>T("1602029")</f>
        <v>1602029</v>
      </c>
      <c r="C515" s="637" t="str">
        <f>T("Blekinge tekniska högskola: Utbildning på grundnivå och avancerad nivå")</f>
        <v>Blekinge tekniska högskola: Utbildning på grundnivå och avancerad nivå</v>
      </c>
      <c r="D515" s="428">
        <v>92268.180999999997</v>
      </c>
      <c r="E515" s="428">
        <v>119492.31600000001</v>
      </c>
      <c r="F515" s="428">
        <v>134604.9</v>
      </c>
      <c r="G515" s="428">
        <v>149675.06299999999</v>
      </c>
      <c r="H515" s="428">
        <v>144501.36499999999</v>
      </c>
      <c r="I515" s="428">
        <v>171863</v>
      </c>
      <c r="J515" s="428">
        <v>196287</v>
      </c>
      <c r="K515" s="428">
        <v>194282</v>
      </c>
      <c r="L515" s="428">
        <v>200413</v>
      </c>
    </row>
    <row r="516" spans="1:12">
      <c r="A516" s="429" t="str">
        <f t="shared" si="16"/>
        <v>16</v>
      </c>
      <c r="B516" s="429" t="str">
        <f>T("1602030")</f>
        <v>1602030</v>
      </c>
      <c r="C516" s="637" t="str">
        <f>T("Blekinge tekniska högskola: Forskning och forskarutbildning")</f>
        <v>Blekinge tekniska högskola: Forskning och forskarutbildning</v>
      </c>
      <c r="F516" s="428">
        <v>21381</v>
      </c>
      <c r="G516" s="428">
        <v>23580</v>
      </c>
      <c r="H516" s="428">
        <v>34228</v>
      </c>
      <c r="I516" s="428">
        <v>53841</v>
      </c>
      <c r="J516" s="428">
        <v>61476</v>
      </c>
      <c r="K516" s="428">
        <v>63311</v>
      </c>
      <c r="L516" s="428">
        <v>63572</v>
      </c>
    </row>
    <row r="517" spans="1:12">
      <c r="A517" s="429" t="str">
        <f t="shared" si="16"/>
        <v>16</v>
      </c>
      <c r="B517" s="429" t="str">
        <f>T("1602031")</f>
        <v>1602031</v>
      </c>
      <c r="C517" s="637" t="str">
        <f>T("Malmö högskola: Utbildning på grundnivå och avancerad nivå")</f>
        <v>Malmö högskola: Utbildning på grundnivå och avancerad nivå</v>
      </c>
      <c r="F517" s="428">
        <v>359160</v>
      </c>
      <c r="G517" s="428">
        <v>413323</v>
      </c>
      <c r="H517" s="428">
        <v>443342</v>
      </c>
      <c r="I517" s="428">
        <v>579686</v>
      </c>
      <c r="J517" s="428">
        <v>649008.72808999999</v>
      </c>
      <c r="K517" s="428">
        <v>630467</v>
      </c>
      <c r="L517" s="428">
        <v>681047</v>
      </c>
    </row>
    <row r="518" spans="1:12">
      <c r="A518" s="429" t="str">
        <f t="shared" si="16"/>
        <v>16</v>
      </c>
      <c r="B518" s="429" t="str">
        <f>T("1602032")</f>
        <v>1602032</v>
      </c>
      <c r="C518" s="637" t="str">
        <f>T("Malmö högskola: Forskning och forskarutbildning")</f>
        <v>Malmö högskola: Forskning och forskarutbildning</v>
      </c>
      <c r="F518" s="428">
        <v>50915</v>
      </c>
      <c r="G518" s="428">
        <v>51388</v>
      </c>
      <c r="H518" s="428">
        <v>54380</v>
      </c>
      <c r="I518" s="428">
        <v>64845</v>
      </c>
      <c r="J518" s="428">
        <v>72114</v>
      </c>
      <c r="K518" s="428">
        <v>74237</v>
      </c>
      <c r="L518" s="428">
        <v>74543</v>
      </c>
    </row>
    <row r="519" spans="1:12">
      <c r="A519" s="429" t="str">
        <f t="shared" si="16"/>
        <v>16</v>
      </c>
      <c r="B519" s="429" t="str">
        <f>T("1602033")</f>
        <v>1602033</v>
      </c>
      <c r="C519" s="637" t="str">
        <f>T("Mälardalens högskola: Utbildning på grundnivå och avancerad nivå")</f>
        <v>Mälardalens högskola: Utbildning på grundnivå och avancerad nivå</v>
      </c>
      <c r="D519" s="428">
        <v>199190.94</v>
      </c>
      <c r="E519" s="428">
        <v>267175.56199999998</v>
      </c>
      <c r="F519" s="428">
        <v>295865.43800000002</v>
      </c>
      <c r="G519" s="428">
        <v>313524</v>
      </c>
      <c r="H519" s="428">
        <v>335345.2</v>
      </c>
      <c r="I519" s="428">
        <v>444801.4</v>
      </c>
      <c r="J519" s="428">
        <v>494791.9</v>
      </c>
      <c r="K519" s="428">
        <v>530147</v>
      </c>
      <c r="L519" s="428">
        <v>525761.5</v>
      </c>
    </row>
    <row r="520" spans="1:12">
      <c r="A520" s="429" t="str">
        <f t="shared" si="16"/>
        <v>16</v>
      </c>
      <c r="B520" s="429" t="str">
        <f>T("1602033 2009")</f>
        <v>1602033 2009</v>
      </c>
      <c r="C520" s="637" t="str">
        <f>T("Högskolan i Kalmar: Grundutbildning")</f>
        <v>Högskolan i Kalmar: Grundutbildning</v>
      </c>
      <c r="D520" s="428">
        <v>167762</v>
      </c>
      <c r="E520" s="428">
        <v>198680</v>
      </c>
      <c r="F520" s="428">
        <v>205064</v>
      </c>
      <c r="G520" s="428">
        <v>222103</v>
      </c>
      <c r="H520" s="428">
        <v>263303</v>
      </c>
      <c r="I520" s="428">
        <v>340771</v>
      </c>
      <c r="J520" s="428">
        <v>373592</v>
      </c>
      <c r="K520" s="428">
        <v>368818</v>
      </c>
      <c r="L520" s="428">
        <v>383073</v>
      </c>
    </row>
    <row r="521" spans="1:12">
      <c r="A521" s="429" t="str">
        <f t="shared" si="16"/>
        <v>16</v>
      </c>
      <c r="B521" s="429" t="str">
        <f>T("1602034")</f>
        <v>1602034</v>
      </c>
      <c r="C521" s="637" t="str">
        <f>T("Mälardalens högskola: Forskning och forskarutbildning")</f>
        <v>Mälardalens högskola: Forskning och forskarutbildning</v>
      </c>
      <c r="H521" s="428">
        <v>2000</v>
      </c>
      <c r="I521" s="428">
        <v>29564</v>
      </c>
      <c r="J521" s="428">
        <v>44278</v>
      </c>
      <c r="K521" s="428">
        <v>45580</v>
      </c>
      <c r="L521" s="428">
        <v>45769</v>
      </c>
    </row>
    <row r="522" spans="1:12">
      <c r="A522" s="429" t="str">
        <f t="shared" si="16"/>
        <v>16</v>
      </c>
      <c r="B522" s="429" t="str">
        <f>T("1602034 2009")</f>
        <v>1602034 2009</v>
      </c>
      <c r="C522" s="637" t="str">
        <f>T("Högskolan i Kalmar: Forskning och forskarutbildning")</f>
        <v>Högskolan i Kalmar: Forskning och forskarutbildning</v>
      </c>
      <c r="G522" s="428">
        <v>23509</v>
      </c>
      <c r="H522" s="428">
        <v>34156</v>
      </c>
      <c r="I522" s="428">
        <v>49996</v>
      </c>
      <c r="J522" s="428">
        <v>62406</v>
      </c>
      <c r="K522" s="428">
        <v>64241</v>
      </c>
      <c r="L522" s="428">
        <v>64505.63</v>
      </c>
    </row>
    <row r="523" spans="1:12">
      <c r="A523" s="429" t="str">
        <f t="shared" si="16"/>
        <v>16</v>
      </c>
      <c r="B523" s="429" t="str">
        <f>T("1602035")</f>
        <v>1602035</v>
      </c>
      <c r="C523" s="637" t="str">
        <f>T("Stockholms konstnärliga högskola: Utbildning på grundnivå och avancerad nivå")</f>
        <v>Stockholms konstnärliga högskola: Utbildning på grundnivå och avancerad nivå</v>
      </c>
    </row>
    <row r="524" spans="1:12">
      <c r="A524" s="429" t="str">
        <f t="shared" si="16"/>
        <v>16</v>
      </c>
      <c r="B524" s="429" t="str">
        <f>T("1602035 2013")</f>
        <v>1602035 2013</v>
      </c>
      <c r="C524" s="637" t="str">
        <f>T("Dans- och cirkushögskolan: Grundutbildning")</f>
        <v>Dans- och cirkushögskolan: Grundutbildning</v>
      </c>
      <c r="D524" s="428">
        <v>21995</v>
      </c>
      <c r="E524" s="428">
        <v>22248</v>
      </c>
      <c r="F524" s="428">
        <v>22730</v>
      </c>
      <c r="G524" s="428">
        <v>22942</v>
      </c>
      <c r="H524" s="428">
        <v>24404</v>
      </c>
      <c r="I524" s="428">
        <v>25160</v>
      </c>
      <c r="J524" s="428">
        <v>26927</v>
      </c>
      <c r="K524" s="428">
        <v>27801</v>
      </c>
      <c r="L524" s="428">
        <v>35123</v>
      </c>
    </row>
    <row r="525" spans="1:12">
      <c r="A525" s="429" t="str">
        <f t="shared" si="16"/>
        <v>16</v>
      </c>
      <c r="B525" s="429" t="str">
        <f>T("1602036")</f>
        <v>1602036</v>
      </c>
      <c r="C525" s="637" t="str">
        <f>T("Stockholms konstnärliga högskola: Konstnärlig forskning och forskarutbildning")</f>
        <v>Stockholms konstnärliga högskola: Konstnärlig forskning och forskarutbildning</v>
      </c>
    </row>
    <row r="526" spans="1:12">
      <c r="A526" s="429" t="str">
        <f t="shared" si="16"/>
        <v>16</v>
      </c>
      <c r="B526" s="429" t="str">
        <f>T("1602036 2010")</f>
        <v>1602036 2010</v>
      </c>
      <c r="C526" s="637" t="str">
        <f>T("Dramatiska institutet: Grundutbildning")</f>
        <v>Dramatiska institutet: Grundutbildning</v>
      </c>
      <c r="D526" s="428">
        <v>52273</v>
      </c>
      <c r="E526" s="428">
        <v>53284</v>
      </c>
      <c r="F526" s="428">
        <v>54675</v>
      </c>
      <c r="G526" s="428">
        <v>56200</v>
      </c>
      <c r="H526" s="428">
        <v>61784</v>
      </c>
      <c r="I526" s="428">
        <v>67931</v>
      </c>
      <c r="J526" s="428">
        <v>73456</v>
      </c>
      <c r="K526" s="428">
        <v>75734</v>
      </c>
      <c r="L526" s="428">
        <v>76505</v>
      </c>
    </row>
    <row r="527" spans="1:12">
      <c r="A527" s="429" t="str">
        <f t="shared" si="16"/>
        <v>16</v>
      </c>
      <c r="B527" s="429" t="str">
        <f>T("1602036 2013")</f>
        <v>1602036 2013</v>
      </c>
      <c r="C527" s="637" t="str">
        <f>T("Dans- och cirkushögskolan: Konstnärlig forskning och konstnärligt utvecklingsarbete")</f>
        <v>Dans- och cirkushögskolan: Konstnärlig forskning och konstnärligt utvecklingsarbete</v>
      </c>
    </row>
    <row r="528" spans="1:12">
      <c r="A528" s="429" t="str">
        <f t="shared" si="16"/>
        <v>16</v>
      </c>
      <c r="B528" s="429" t="str">
        <f>T("1602037")</f>
        <v>1602037</v>
      </c>
      <c r="C528" s="637" t="str">
        <f>T("Gymnastik- och idrottshögskolan: Utbildning på grundnivå och avancerad nivå")</f>
        <v>Gymnastik- och idrottshögskolan: Utbildning på grundnivå och avancerad nivå</v>
      </c>
      <c r="D528" s="428">
        <v>33396</v>
      </c>
      <c r="E528" s="428">
        <v>33997</v>
      </c>
      <c r="F528" s="428">
        <v>34884</v>
      </c>
      <c r="G528" s="428">
        <v>35208</v>
      </c>
      <c r="H528" s="428">
        <v>38879</v>
      </c>
      <c r="I528" s="428">
        <v>37007</v>
      </c>
      <c r="J528" s="428">
        <v>42830</v>
      </c>
      <c r="K528" s="428">
        <v>44325</v>
      </c>
      <c r="L528" s="428">
        <v>44776</v>
      </c>
    </row>
    <row r="529" spans="1:12">
      <c r="A529" s="429" t="str">
        <f t="shared" si="16"/>
        <v>16</v>
      </c>
      <c r="B529" s="429" t="str">
        <f>T("1602037 2013")</f>
        <v>1602037 2013</v>
      </c>
      <c r="C529" s="637" t="str">
        <f>T("Stockholms dramatiska högskola: Grundutbildning")</f>
        <v>Stockholms dramatiska högskola: Grundutbildning</v>
      </c>
    </row>
    <row r="530" spans="1:12">
      <c r="A530" s="429" t="str">
        <f t="shared" si="16"/>
        <v>16</v>
      </c>
      <c r="B530" s="429" t="str">
        <f>T("1602038")</f>
        <v>1602038</v>
      </c>
      <c r="C530" s="637" t="str">
        <f>T("Gymnastik- och idrottshögskolan: Forskning och forskarutbildning")</f>
        <v>Gymnastik- och idrottshögskolan: Forskning och forskarutbildning</v>
      </c>
    </row>
    <row r="531" spans="1:12">
      <c r="A531" s="429" t="str">
        <f t="shared" si="16"/>
        <v>16</v>
      </c>
      <c r="B531" s="429" t="str">
        <f>T("1602038 2013")</f>
        <v>1602038 2013</v>
      </c>
      <c r="C531" s="637" t="str">
        <f>T("Stockholms dramatiska högskola: Konstnärlig forskning och konstnärligt utvecklingsarbete")</f>
        <v>Stockholms dramatiska högskola: Konstnärlig forskning och konstnärligt utvecklingsarbete</v>
      </c>
    </row>
    <row r="532" spans="1:12">
      <c r="A532" s="429" t="str">
        <f t="shared" si="16"/>
        <v>16</v>
      </c>
      <c r="B532" s="429" t="str">
        <f>T("1602039")</f>
        <v>1602039</v>
      </c>
      <c r="C532" s="637" t="str">
        <f>T("Högskolan i Borås: Utbildning på grundnivå och avancerad nivå")</f>
        <v>Högskolan i Borås: Utbildning på grundnivå och avancerad nivå</v>
      </c>
      <c r="D532" s="428">
        <v>124307</v>
      </c>
      <c r="E532" s="428">
        <v>162381</v>
      </c>
      <c r="F532" s="428">
        <v>167211.94200000001</v>
      </c>
      <c r="G532" s="428">
        <v>184783</v>
      </c>
      <c r="H532" s="428">
        <v>212863</v>
      </c>
      <c r="I532" s="428">
        <v>295887</v>
      </c>
      <c r="J532" s="428">
        <v>314277</v>
      </c>
      <c r="K532" s="428">
        <v>324109</v>
      </c>
      <c r="L532" s="428">
        <v>334061</v>
      </c>
    </row>
    <row r="533" spans="1:12">
      <c r="A533" s="429" t="str">
        <f t="shared" si="16"/>
        <v>16</v>
      </c>
      <c r="B533" s="429" t="str">
        <f>T("1602040")</f>
        <v>1602040</v>
      </c>
      <c r="C533" s="637" t="str">
        <f>T("Högskolan i Borås: Forskning och forskarutbildning")</f>
        <v>Högskolan i Borås: Forskning och forskarutbildning</v>
      </c>
    </row>
    <row r="534" spans="1:12">
      <c r="A534" s="429" t="str">
        <f t="shared" si="16"/>
        <v>16</v>
      </c>
      <c r="B534" s="429" t="str">
        <f>T("1602041")</f>
        <v>1602041</v>
      </c>
      <c r="C534" s="637" t="str">
        <f>T("Högskolan Dalarna: Utbildning på grundnivå och avancerad nivå")</f>
        <v>Högskolan Dalarna: Utbildning på grundnivå och avancerad nivå</v>
      </c>
      <c r="D534" s="428">
        <v>156887.53599999999</v>
      </c>
      <c r="E534" s="428">
        <v>184169.61199999999</v>
      </c>
      <c r="F534" s="428">
        <v>186722.45</v>
      </c>
      <c r="G534" s="428">
        <v>214272.06400000001</v>
      </c>
      <c r="H534" s="428">
        <v>231644.079</v>
      </c>
      <c r="I534" s="428">
        <v>285575.641</v>
      </c>
      <c r="J534" s="428">
        <v>329324.74599999998</v>
      </c>
      <c r="K534" s="428">
        <v>305481.38500000001</v>
      </c>
      <c r="L534" s="428">
        <v>299867.79399999999</v>
      </c>
    </row>
    <row r="535" spans="1:12">
      <c r="A535" s="429" t="str">
        <f t="shared" si="16"/>
        <v>16</v>
      </c>
      <c r="B535" s="429" t="str">
        <f>T("1602042")</f>
        <v>1602042</v>
      </c>
      <c r="C535" s="637" t="str">
        <f>T("Högskolan Dalarna: Forskning och forskarutbildning")</f>
        <v>Högskolan Dalarna: Forskning och forskarutbildning</v>
      </c>
    </row>
    <row r="536" spans="1:12">
      <c r="A536" s="429" t="str">
        <f t="shared" si="16"/>
        <v>16</v>
      </c>
      <c r="B536" s="429" t="str">
        <f>T("1602043")</f>
        <v>1602043</v>
      </c>
      <c r="C536" s="637" t="str">
        <f>T("Högskolan i Gävle: Utbildning på grundnivå och avancerad nivå")</f>
        <v>Högskolan i Gävle: Utbildning på grundnivå och avancerad nivå</v>
      </c>
      <c r="D536" s="428">
        <v>151429.32</v>
      </c>
      <c r="E536" s="428">
        <v>173601.38200000001</v>
      </c>
      <c r="F536" s="428">
        <v>192827.97399999999</v>
      </c>
      <c r="G536" s="428">
        <v>223602.48</v>
      </c>
      <c r="H536" s="428">
        <v>231392.76800000001</v>
      </c>
      <c r="I536" s="428">
        <v>296531</v>
      </c>
      <c r="J536" s="428">
        <v>322920</v>
      </c>
      <c r="K536" s="428">
        <v>332957</v>
      </c>
      <c r="L536" s="428">
        <v>334567</v>
      </c>
    </row>
    <row r="537" spans="1:12">
      <c r="A537" s="429" t="str">
        <f t="shared" si="16"/>
        <v>16</v>
      </c>
      <c r="B537" s="429" t="str">
        <f>T("1602044")</f>
        <v>1602044</v>
      </c>
      <c r="C537" s="637" t="str">
        <f>T("Högskolan i Gävle: Forskning och forskarutbildning")</f>
        <v>Högskolan i Gävle: Forskning och forskarutbildning</v>
      </c>
    </row>
    <row r="538" spans="1:12">
      <c r="A538" s="429" t="str">
        <f t="shared" si="16"/>
        <v>16</v>
      </c>
      <c r="B538" s="429" t="str">
        <f>T("1602045")</f>
        <v>1602045</v>
      </c>
      <c r="C538" s="637" t="str">
        <f>T("Högskolan i Halmstad: Utbildning på grundnivå och avancerad nivå")</f>
        <v>Högskolan i Halmstad: Utbildning på grundnivå och avancerad nivå</v>
      </c>
      <c r="D538" s="428">
        <v>95416</v>
      </c>
      <c r="E538" s="428">
        <v>126802.709</v>
      </c>
      <c r="F538" s="428">
        <v>136227.06400000001</v>
      </c>
      <c r="G538" s="428">
        <v>153956</v>
      </c>
      <c r="H538" s="428">
        <v>175084.73199999999</v>
      </c>
      <c r="I538" s="428">
        <v>238727.49299999999</v>
      </c>
      <c r="J538" s="428">
        <v>252879.027</v>
      </c>
      <c r="K538" s="428">
        <v>258988.48</v>
      </c>
      <c r="L538" s="428">
        <v>261026</v>
      </c>
    </row>
    <row r="539" spans="1:12">
      <c r="A539" s="429" t="str">
        <f t="shared" si="16"/>
        <v>16</v>
      </c>
      <c r="B539" s="429" t="str">
        <f>T("1602045 2013")</f>
        <v>1602045 2013</v>
      </c>
      <c r="C539" s="637" t="str">
        <f>T("Högskolan på Gotland: Grundutbildning")</f>
        <v>Högskolan på Gotland: Grundutbildning</v>
      </c>
      <c r="D539" s="428">
        <v>30052</v>
      </c>
      <c r="E539" s="428">
        <v>38876</v>
      </c>
      <c r="F539" s="428">
        <v>48990.048999999999</v>
      </c>
      <c r="G539" s="428">
        <v>59142.137000000002</v>
      </c>
      <c r="H539" s="428">
        <v>56845.764000000003</v>
      </c>
      <c r="I539" s="428">
        <v>72042</v>
      </c>
      <c r="J539" s="428">
        <v>86735</v>
      </c>
      <c r="K539" s="428">
        <v>93874</v>
      </c>
      <c r="L539" s="428">
        <v>97050</v>
      </c>
    </row>
    <row r="540" spans="1:12">
      <c r="A540" s="429" t="str">
        <f t="shared" si="16"/>
        <v>16</v>
      </c>
      <c r="B540" s="429" t="str">
        <f>T("1602046")</f>
        <v>1602046</v>
      </c>
      <c r="C540" s="637" t="str">
        <f>T("Högskolan i Halmstad: Forskning och forskarutbildning")</f>
        <v>Högskolan i Halmstad: Forskning och forskarutbildning</v>
      </c>
    </row>
    <row r="541" spans="1:12">
      <c r="A541" s="429" t="str">
        <f t="shared" si="16"/>
        <v>16</v>
      </c>
      <c r="B541" s="429" t="str">
        <f>T("1602046 2013")</f>
        <v>1602046 2013</v>
      </c>
      <c r="C541" s="637" t="str">
        <f>T("Högskolan på Gotland: Forskning och forskarutbildning")</f>
        <v>Högskolan på Gotland: Forskning och forskarutbildning</v>
      </c>
    </row>
    <row r="542" spans="1:12">
      <c r="A542" s="429" t="str">
        <f t="shared" si="16"/>
        <v>16</v>
      </c>
      <c r="B542" s="429" t="str">
        <f>T("1602047")</f>
        <v>1602047</v>
      </c>
      <c r="C542" s="637" t="str">
        <f>T("Högskolan Kristianstad: Utbildning på grundnivå och avancerad nivå")</f>
        <v>Högskolan Kristianstad: Utbildning på grundnivå och avancerad nivå</v>
      </c>
      <c r="D542" s="428">
        <v>119799.65300000001</v>
      </c>
      <c r="E542" s="428">
        <v>134872.90900000001</v>
      </c>
      <c r="F542" s="428">
        <v>155330.451</v>
      </c>
      <c r="G542" s="428">
        <v>173311.11499999999</v>
      </c>
      <c r="H542" s="428">
        <v>192415</v>
      </c>
      <c r="I542" s="428">
        <v>242481.58900000001</v>
      </c>
      <c r="J542" s="428">
        <v>284095.04200000002</v>
      </c>
      <c r="K542" s="428">
        <v>298241.36900000001</v>
      </c>
      <c r="L542" s="428">
        <v>291191</v>
      </c>
    </row>
    <row r="543" spans="1:12">
      <c r="A543" s="429" t="str">
        <f t="shared" si="16"/>
        <v>16</v>
      </c>
      <c r="B543" s="429" t="str">
        <f>T("1602048")</f>
        <v>1602048</v>
      </c>
      <c r="C543" s="637" t="str">
        <f>T("Högskolan Kristianstad: Forskning och forskarutbildning")</f>
        <v>Högskolan Kristianstad: Forskning och forskarutbildning</v>
      </c>
    </row>
    <row r="544" spans="1:12">
      <c r="A544" s="429" t="str">
        <f t="shared" si="16"/>
        <v>16</v>
      </c>
      <c r="B544" s="429" t="str">
        <f>T("1602049")</f>
        <v>1602049</v>
      </c>
      <c r="C544" s="637" t="str">
        <f>T("Högskolan i Skövde: Utbildning på grundnivå och avancerad nivå")</f>
        <v>Högskolan i Skövde: Utbildning på grundnivå och avancerad nivå</v>
      </c>
      <c r="D544" s="428">
        <v>88361.611000000004</v>
      </c>
      <c r="E544" s="428">
        <v>123786</v>
      </c>
      <c r="F544" s="428">
        <v>126093</v>
      </c>
      <c r="G544" s="428">
        <v>133793</v>
      </c>
      <c r="H544" s="428">
        <v>148762</v>
      </c>
      <c r="I544" s="428">
        <v>221178</v>
      </c>
      <c r="J544" s="428">
        <v>235946</v>
      </c>
      <c r="K544" s="428">
        <v>235226.25698999999</v>
      </c>
      <c r="L544" s="428">
        <v>247254</v>
      </c>
    </row>
    <row r="545" spans="1:12">
      <c r="A545" s="429" t="str">
        <f t="shared" si="16"/>
        <v>16</v>
      </c>
      <c r="B545" s="429" t="str">
        <f>T("1602050")</f>
        <v>1602050</v>
      </c>
      <c r="C545" s="637" t="str">
        <f>T("Högskolan i Skövde: Forskning och forskarutbildning")</f>
        <v>Högskolan i Skövde: Forskning och forskarutbildning</v>
      </c>
    </row>
    <row r="546" spans="1:12">
      <c r="A546" s="429" t="str">
        <f t="shared" si="16"/>
        <v>16</v>
      </c>
      <c r="B546" s="429" t="str">
        <f>T("1602051")</f>
        <v>1602051</v>
      </c>
      <c r="C546" s="637" t="str">
        <f>T("Högskolan Väst: Utbildning på grundnivå och avancerad nivå")</f>
        <v>Högskolan Väst: Utbildning på grundnivå och avancerad nivå</v>
      </c>
      <c r="D546" s="428">
        <v>75749.994000000006</v>
      </c>
      <c r="E546" s="428">
        <v>93212</v>
      </c>
      <c r="F546" s="428">
        <v>113502</v>
      </c>
      <c r="G546" s="428">
        <v>121254</v>
      </c>
      <c r="H546" s="428">
        <v>141006</v>
      </c>
      <c r="I546" s="428">
        <v>228045</v>
      </c>
      <c r="J546" s="428">
        <v>235539</v>
      </c>
      <c r="K546" s="428">
        <v>243209</v>
      </c>
      <c r="L546" s="428">
        <v>246684</v>
      </c>
    </row>
    <row r="547" spans="1:12">
      <c r="A547" s="429" t="str">
        <f t="shared" si="16"/>
        <v>16</v>
      </c>
      <c r="B547" s="429" t="str">
        <f>T("1602051 2010")</f>
        <v>1602051 2010</v>
      </c>
      <c r="C547" s="637" t="str">
        <f>T("Teaterhögskolan i Stockholm: Grundutbildning")</f>
        <v>Teaterhögskolan i Stockholm: Grundutbildning</v>
      </c>
      <c r="D547" s="428">
        <v>21743</v>
      </c>
      <c r="E547" s="428">
        <v>21924</v>
      </c>
      <c r="F547" s="428">
        <v>22332</v>
      </c>
      <c r="G547" s="428">
        <v>22540</v>
      </c>
      <c r="H547" s="428">
        <v>23994</v>
      </c>
      <c r="I547" s="428">
        <v>24737</v>
      </c>
      <c r="J547" s="428">
        <v>25930</v>
      </c>
      <c r="K547" s="428">
        <v>26841</v>
      </c>
      <c r="L547" s="428">
        <v>27116</v>
      </c>
    </row>
    <row r="548" spans="1:12">
      <c r="A548" s="429" t="str">
        <f t="shared" si="16"/>
        <v>16</v>
      </c>
      <c r="B548" s="429" t="str">
        <f>T("1602052")</f>
        <v>1602052</v>
      </c>
      <c r="C548" s="637" t="str">
        <f>T("Högskolan Väst: Forskning och forskarutbildning")</f>
        <v>Högskolan Väst: Forskning och forskarutbildning</v>
      </c>
    </row>
    <row r="549" spans="1:12">
      <c r="A549" s="429" t="str">
        <f t="shared" si="16"/>
        <v>16</v>
      </c>
      <c r="B549" s="429" t="str">
        <f>T("1602053")</f>
        <v>1602053</v>
      </c>
      <c r="C549" s="637" t="str">
        <f>T("Konstfack: Utbildning på grundnivå och avancerad nivå")</f>
        <v>Konstfack: Utbildning på grundnivå och avancerad nivå</v>
      </c>
      <c r="D549" s="428">
        <v>95437</v>
      </c>
      <c r="E549" s="428">
        <v>96727</v>
      </c>
      <c r="F549" s="428">
        <v>98599</v>
      </c>
      <c r="G549" s="428">
        <v>99516</v>
      </c>
      <c r="H549" s="428">
        <v>102912</v>
      </c>
      <c r="I549" s="428">
        <v>106970</v>
      </c>
      <c r="J549" s="428">
        <v>114554</v>
      </c>
      <c r="K549" s="428">
        <v>118193</v>
      </c>
      <c r="L549" s="428">
        <v>119399</v>
      </c>
    </row>
    <row r="550" spans="1:12">
      <c r="A550" s="429" t="str">
        <f t="shared" si="16"/>
        <v>16</v>
      </c>
      <c r="B550" s="429" t="str">
        <f>T("1602054")</f>
        <v>1602054</v>
      </c>
      <c r="C550" s="637" t="str">
        <f>T("Konstfack: Konstnärlig forskning och forskarutbildning")</f>
        <v>Konstfack: Konstnärlig forskning och forskarutbildning</v>
      </c>
    </row>
    <row r="551" spans="1:12">
      <c r="A551" s="429" t="str">
        <f t="shared" si="16"/>
        <v>16</v>
      </c>
      <c r="B551" s="429" t="str">
        <f>T("1602054 2011")</f>
        <v>1602054 2011</v>
      </c>
      <c r="C551" s="637" t="str">
        <f>T("Forskning och konstnärligt utvecklingsarbete vid vissa högskolor")</f>
        <v>Forskning och konstnärligt utvecklingsarbete vid vissa högskolor</v>
      </c>
      <c r="D551" s="428">
        <v>295198</v>
      </c>
      <c r="E551" s="428">
        <v>454028</v>
      </c>
      <c r="F551" s="428">
        <v>198838</v>
      </c>
      <c r="G551" s="428">
        <v>192176</v>
      </c>
      <c r="H551" s="428">
        <v>200349</v>
      </c>
      <c r="I551" s="428">
        <v>254638</v>
      </c>
      <c r="J551" s="428">
        <v>341243</v>
      </c>
      <c r="K551" s="428">
        <v>348438</v>
      </c>
      <c r="L551" s="428">
        <v>353558</v>
      </c>
    </row>
    <row r="552" spans="1:12">
      <c r="A552" s="429" t="str">
        <f t="shared" si="16"/>
        <v>16</v>
      </c>
      <c r="B552" s="429" t="str">
        <f>T("1602055")</f>
        <v>1602055</v>
      </c>
      <c r="C552" s="637" t="str">
        <f>T("Kungl. Konsthögskolan: Utbildning på grundnivå och avancerad nivå")</f>
        <v>Kungl. Konsthögskolan: Utbildning på grundnivå och avancerad nivå</v>
      </c>
      <c r="D552" s="428">
        <v>45377</v>
      </c>
      <c r="E552" s="428">
        <v>45749</v>
      </c>
      <c r="F552" s="428">
        <v>46461</v>
      </c>
      <c r="G552" s="428">
        <v>46893</v>
      </c>
      <c r="H552" s="428">
        <v>48817</v>
      </c>
      <c r="I552" s="428">
        <v>50307</v>
      </c>
      <c r="J552" s="428">
        <v>52390</v>
      </c>
      <c r="K552" s="428">
        <v>54071</v>
      </c>
      <c r="L552" s="428">
        <v>54622</v>
      </c>
    </row>
    <row r="553" spans="1:12">
      <c r="A553" s="429" t="str">
        <f t="shared" si="16"/>
        <v>16</v>
      </c>
      <c r="B553" s="429" t="str">
        <f>T("1602056")</f>
        <v>1602056</v>
      </c>
      <c r="C553" s="637" t="str">
        <f>T("Kungl. Konsthögskolan: Konstnärlig forskning och forskarutbildning")</f>
        <v>Kungl. Konsthögskolan: Konstnärlig forskning och forskarutbildning</v>
      </c>
    </row>
    <row r="554" spans="1:12">
      <c r="A554" s="429" t="str">
        <f t="shared" si="16"/>
        <v>16</v>
      </c>
      <c r="B554" s="429" t="str">
        <f>T("1602057")</f>
        <v>1602057</v>
      </c>
      <c r="C554" s="637" t="str">
        <f>T("Kungl. Musikhögskolan i Stockholm: Utbildning på grundnivå och avancerad nivå")</f>
        <v>Kungl. Musikhögskolan i Stockholm: Utbildning på grundnivå och avancerad nivå</v>
      </c>
      <c r="D554" s="428">
        <v>80448</v>
      </c>
      <c r="E554" s="428">
        <v>81574</v>
      </c>
      <c r="F554" s="428">
        <v>87506</v>
      </c>
      <c r="G554" s="428">
        <v>88319</v>
      </c>
      <c r="H554" s="428">
        <v>93235</v>
      </c>
      <c r="I554" s="428">
        <v>112837</v>
      </c>
      <c r="J554" s="428">
        <v>120061</v>
      </c>
      <c r="K554" s="428">
        <v>123652</v>
      </c>
      <c r="L554" s="428">
        <v>124913</v>
      </c>
    </row>
    <row r="555" spans="1:12">
      <c r="A555" s="429" t="str">
        <f t="shared" si="16"/>
        <v>16</v>
      </c>
      <c r="B555" s="429" t="str">
        <f>T("1602058")</f>
        <v>1602058</v>
      </c>
      <c r="C555" s="637" t="str">
        <f>T("Kungl. Musikhögskolan i Stockholm: Konstnärlig forskning och forskarutbildning")</f>
        <v>Kungl. Musikhögskolan i Stockholm: Konstnärlig forskning och forskarutbildning</v>
      </c>
    </row>
    <row r="556" spans="1:12">
      <c r="A556" s="429" t="str">
        <f t="shared" ref="A556:A619" si="17">T("16")</f>
        <v>16</v>
      </c>
      <c r="B556" s="429" t="str">
        <f>T("1602059")</f>
        <v>1602059</v>
      </c>
      <c r="C556" s="637" t="str">
        <f>T("Södertörns högskola: Utbildning på grundnivå och avancerad nivå")</f>
        <v>Södertörns högskola: Utbildning på grundnivå och avancerad nivå</v>
      </c>
      <c r="D556" s="428">
        <v>70916</v>
      </c>
      <c r="E556" s="428">
        <v>92883</v>
      </c>
      <c r="F556" s="428">
        <v>158231</v>
      </c>
      <c r="G556" s="428">
        <v>173802</v>
      </c>
      <c r="H556" s="428">
        <v>188525</v>
      </c>
      <c r="I556" s="428">
        <v>204106.649</v>
      </c>
      <c r="J556" s="428">
        <v>237968.182</v>
      </c>
      <c r="K556" s="428">
        <v>271835</v>
      </c>
      <c r="L556" s="428">
        <v>251382</v>
      </c>
    </row>
    <row r="557" spans="1:12">
      <c r="A557" s="429" t="str">
        <f t="shared" si="17"/>
        <v>16</v>
      </c>
      <c r="B557" s="429" t="str">
        <f>T("1602060")</f>
        <v>1602060</v>
      </c>
      <c r="C557" s="637" t="str">
        <f>T("Södertörns högskola: Forskning och forskarutbildning")</f>
        <v>Södertörns högskola: Forskning och forskarutbildning</v>
      </c>
    </row>
    <row r="558" spans="1:12">
      <c r="A558" s="429" t="str">
        <f t="shared" si="17"/>
        <v>16</v>
      </c>
      <c r="B558" s="429" t="str">
        <f>T("1602061")</f>
        <v>1602061</v>
      </c>
      <c r="C558" s="637" t="str">
        <f>T("Försvarshögskolan: Utbildning på grundnivå och avancerad nivå")</f>
        <v>Försvarshögskolan: Utbildning på grundnivå och avancerad nivå</v>
      </c>
    </row>
    <row r="559" spans="1:12">
      <c r="A559" s="429" t="str">
        <f t="shared" si="17"/>
        <v>16</v>
      </c>
      <c r="B559" s="429" t="str">
        <f>T("1602062")</f>
        <v>1602062</v>
      </c>
      <c r="C559" s="637" t="str">
        <f>T("Försvarshögskolan: Forskning och forskarutbildning")</f>
        <v>Försvarshögskolan: Forskning och forskarutbildning</v>
      </c>
    </row>
    <row r="560" spans="1:12">
      <c r="A560" s="429" t="str">
        <f t="shared" si="17"/>
        <v>16</v>
      </c>
      <c r="B560" s="429" t="str">
        <f>T("1602063")</f>
        <v>1602063</v>
      </c>
      <c r="C560" s="637" t="str">
        <f>T("Enskilda utbildningsanordnare på högskoleområdet")</f>
        <v>Enskilda utbildningsanordnare på högskoleområdet</v>
      </c>
      <c r="D560" s="428">
        <v>1365586.905</v>
      </c>
      <c r="E560" s="428">
        <v>1461189.6880000001</v>
      </c>
      <c r="F560" s="428">
        <v>1473850.4620000001</v>
      </c>
      <c r="G560" s="428">
        <v>1692251.3289999999</v>
      </c>
      <c r="H560" s="428">
        <v>1683364.737</v>
      </c>
      <c r="I560" s="428">
        <v>1638296.827</v>
      </c>
      <c r="J560" s="428">
        <v>1784629.6910000001</v>
      </c>
      <c r="K560" s="428">
        <v>1842323.446</v>
      </c>
      <c r="L560" s="428">
        <v>1892425.939</v>
      </c>
    </row>
    <row r="561" spans="1:12">
      <c r="A561" s="429" t="str">
        <f t="shared" si="17"/>
        <v>16</v>
      </c>
      <c r="B561" s="429" t="str">
        <f>T("1602063 2013")</f>
        <v>1602063 2013</v>
      </c>
      <c r="C561" s="637" t="str">
        <f>T("Operahögskolan i Stockholm: Grundutbildning")</f>
        <v>Operahögskolan i Stockholm: Grundutbildning</v>
      </c>
      <c r="D561" s="428">
        <v>13165</v>
      </c>
      <c r="E561" s="428">
        <v>13352</v>
      </c>
      <c r="F561" s="428">
        <v>13477.061</v>
      </c>
      <c r="G561" s="428">
        <v>14106.939</v>
      </c>
      <c r="H561" s="428">
        <v>15142</v>
      </c>
      <c r="I561" s="428">
        <v>15619</v>
      </c>
      <c r="J561" s="428">
        <v>16084</v>
      </c>
      <c r="K561" s="428">
        <v>16679</v>
      </c>
      <c r="L561" s="428">
        <v>16849</v>
      </c>
    </row>
    <row r="562" spans="1:12">
      <c r="A562" s="429" t="str">
        <f t="shared" si="17"/>
        <v>16</v>
      </c>
      <c r="B562" s="429" t="str">
        <f>T("1602064")</f>
        <v>1602064</v>
      </c>
      <c r="C562" s="637" t="str">
        <f>T("Särskilda utgifter inom universitet och högskolor")</f>
        <v>Särskilda utgifter inom universitet och högskolor</v>
      </c>
      <c r="D562" s="428">
        <v>143804.61029000001</v>
      </c>
      <c r="E562" s="428">
        <v>448893.23943999998</v>
      </c>
      <c r="F562" s="428">
        <v>440964.19005999999</v>
      </c>
      <c r="G562" s="428">
        <v>619731.60985999997</v>
      </c>
      <c r="H562" s="428">
        <v>342714.09616000002</v>
      </c>
      <c r="I562" s="428">
        <v>485432.80252999999</v>
      </c>
      <c r="J562" s="428">
        <v>593027.36250000005</v>
      </c>
      <c r="K562" s="428">
        <v>495620.88443999999</v>
      </c>
      <c r="L562" s="428">
        <v>263583.21885</v>
      </c>
    </row>
    <row r="563" spans="1:12">
      <c r="A563" s="429" t="str">
        <f t="shared" si="17"/>
        <v>16</v>
      </c>
      <c r="B563" s="429" t="str">
        <f>T("1602064 2013")</f>
        <v>1602064 2013</v>
      </c>
      <c r="C563" s="637" t="str">
        <f>T("Operahögskolan i Stockholm: Konstnärlig forskning och konstnärligt utvecklingsarbete")</f>
        <v>Operahögskolan i Stockholm: Konstnärlig forskning och konstnärligt utvecklingsarbete</v>
      </c>
    </row>
    <row r="564" spans="1:12">
      <c r="A564" s="429" t="str">
        <f t="shared" si="17"/>
        <v>16</v>
      </c>
      <c r="B564" s="429" t="str">
        <f>T("1602065")</f>
        <v>1602065</v>
      </c>
      <c r="C564" s="637" t="str">
        <f>T("Särskilda medel till universitet och högskolor")</f>
        <v>Särskilda medel till universitet och högskolor</v>
      </c>
    </row>
    <row r="565" spans="1:12">
      <c r="A565" s="429" t="str">
        <f t="shared" si="17"/>
        <v>16</v>
      </c>
      <c r="B565" s="429" t="str">
        <f>T("1602066")</f>
        <v>1602066</v>
      </c>
      <c r="C565" s="637" t="str">
        <f>T("Ersättningar för klinisk utbildning och forskning")</f>
        <v>Ersättningar för klinisk utbildning och forskning</v>
      </c>
      <c r="D565" s="428">
        <v>1549946</v>
      </c>
      <c r="E565" s="428">
        <v>1568174</v>
      </c>
      <c r="F565" s="428">
        <v>1056161</v>
      </c>
      <c r="G565" s="428">
        <v>1600913</v>
      </c>
      <c r="H565" s="428">
        <v>1631811</v>
      </c>
      <c r="I565" s="428">
        <v>1680929</v>
      </c>
      <c r="J565" s="428">
        <v>1730619</v>
      </c>
      <c r="K565" s="428">
        <v>1780460</v>
      </c>
      <c r="L565" s="428">
        <v>1934671</v>
      </c>
    </row>
    <row r="566" spans="1:12">
      <c r="A566" s="429" t="str">
        <f t="shared" si="17"/>
        <v>16</v>
      </c>
      <c r="B566" s="429" t="str">
        <f>T("1603001")</f>
        <v>1603001</v>
      </c>
      <c r="C566" s="637" t="str">
        <f>T("Vetenskapsrådet: Forskning och forskningsinformation")</f>
        <v>Vetenskapsrådet: Forskning och forskningsinformation</v>
      </c>
      <c r="H566" s="428">
        <v>1773932.3859300001</v>
      </c>
      <c r="I566" s="428">
        <v>2080514.5549399999</v>
      </c>
      <c r="J566" s="428">
        <v>2439756.1011700002</v>
      </c>
      <c r="K566" s="428">
        <v>2503228.7792799999</v>
      </c>
      <c r="L566" s="428">
        <v>2507385.4166999999</v>
      </c>
    </row>
    <row r="567" spans="1:12">
      <c r="A567" s="429" t="str">
        <f t="shared" si="17"/>
        <v>16</v>
      </c>
      <c r="B567" s="429" t="str">
        <f>T("1603002")</f>
        <v>1603002</v>
      </c>
      <c r="C567" s="637" t="str">
        <f>T("Vetenskapsrådet: Avgifter till internationella organisationer")</f>
        <v>Vetenskapsrådet: Avgifter till internationella organisationer</v>
      </c>
    </row>
    <row r="568" spans="1:12">
      <c r="A568" s="429" t="str">
        <f t="shared" si="17"/>
        <v>16</v>
      </c>
      <c r="B568" s="429" t="str">
        <f>T("1603003")</f>
        <v>1603003</v>
      </c>
      <c r="C568" s="637" t="str">
        <f>T("Vetenskapsrådet: Förvaltning")</f>
        <v>Vetenskapsrådet: Förvaltning</v>
      </c>
      <c r="H568" s="428">
        <v>96503.016010000007</v>
      </c>
      <c r="I568" s="428">
        <v>91183.523019999993</v>
      </c>
      <c r="J568" s="428">
        <v>94612.73</v>
      </c>
      <c r="K568" s="428">
        <v>99651.496769999998</v>
      </c>
      <c r="L568" s="428">
        <v>103517.68618999999</v>
      </c>
    </row>
    <row r="569" spans="1:12">
      <c r="A569" s="429" t="str">
        <f t="shared" si="17"/>
        <v>16</v>
      </c>
      <c r="B569" s="429" t="str">
        <f>T("1603004")</f>
        <v>1603004</v>
      </c>
      <c r="C569" s="637" t="str">
        <f>T("Rymdforskning och rymdverksamhet")</f>
        <v>Rymdforskning och rymdverksamhet</v>
      </c>
      <c r="D569" s="428">
        <v>38632.237990000001</v>
      </c>
      <c r="E569" s="428">
        <v>112129.51364999999</v>
      </c>
      <c r="F569" s="428">
        <v>128086.06716999999</v>
      </c>
      <c r="G569" s="428">
        <v>140722.04371999999</v>
      </c>
      <c r="H569" s="428">
        <v>143802.53029</v>
      </c>
      <c r="I569" s="428">
        <v>149796.57039000001</v>
      </c>
      <c r="J569" s="428">
        <v>149332.00287999999</v>
      </c>
      <c r="K569" s="428">
        <v>157136.59693</v>
      </c>
      <c r="L569" s="428">
        <v>152916.80181999999</v>
      </c>
    </row>
    <row r="570" spans="1:12">
      <c r="A570" s="429" t="str">
        <f t="shared" si="17"/>
        <v>16</v>
      </c>
      <c r="B570" s="429" t="str">
        <f>T("1603005")</f>
        <v>1603005</v>
      </c>
      <c r="C570" s="637" t="str">
        <f>T("Rymdstyrelsen: Förvaltning")</f>
        <v>Rymdstyrelsen: Förvaltning</v>
      </c>
      <c r="D570" s="428">
        <v>14092.28537</v>
      </c>
      <c r="E570" s="428">
        <v>14327.756740000001</v>
      </c>
      <c r="F570" s="428">
        <v>14450.89631</v>
      </c>
      <c r="G570" s="428">
        <v>15078.05704</v>
      </c>
      <c r="H570" s="428">
        <v>18975.009470000001</v>
      </c>
      <c r="I570" s="428">
        <v>20952.33598</v>
      </c>
      <c r="J570" s="428">
        <v>20243.095270000002</v>
      </c>
      <c r="K570" s="428">
        <v>23476.594140000001</v>
      </c>
      <c r="L570" s="428">
        <v>22011.36637</v>
      </c>
    </row>
    <row r="571" spans="1:12">
      <c r="A571" s="429" t="str">
        <f t="shared" si="17"/>
        <v>16</v>
      </c>
      <c r="B571" s="429" t="str">
        <f>T("1603006")</f>
        <v>1603006</v>
      </c>
      <c r="C571" s="637" t="str">
        <f>T("Rymdstyrelsen: Avgifter till internationella organisationer")</f>
        <v>Rymdstyrelsen: Avgifter till internationella organisationer</v>
      </c>
    </row>
    <row r="572" spans="1:12">
      <c r="A572" s="429" t="str">
        <f t="shared" si="17"/>
        <v>16</v>
      </c>
      <c r="B572" s="429" t="str">
        <f>T("1603007")</f>
        <v>1603007</v>
      </c>
      <c r="C572" s="637" t="str">
        <f>T("Institutet för rymdfysik")</f>
        <v>Institutet för rymdfysik</v>
      </c>
      <c r="D572" s="428">
        <v>34979.760000000002</v>
      </c>
      <c r="E572" s="428">
        <v>37940.807000000001</v>
      </c>
      <c r="F572" s="428">
        <v>41606.607889999999</v>
      </c>
      <c r="G572" s="428">
        <v>42391.597430000002</v>
      </c>
      <c r="H572" s="428">
        <v>41891.626530000001</v>
      </c>
      <c r="I572" s="428">
        <v>40286.728840000003</v>
      </c>
      <c r="J572" s="428">
        <v>41765.459470000002</v>
      </c>
      <c r="K572" s="428">
        <v>44036.540529999998</v>
      </c>
      <c r="L572" s="428">
        <v>44156</v>
      </c>
    </row>
    <row r="573" spans="1:12">
      <c r="A573" s="429" t="str">
        <f t="shared" si="17"/>
        <v>16</v>
      </c>
      <c r="B573" s="429" t="str">
        <f>T("1603008")</f>
        <v>1603008</v>
      </c>
      <c r="C573" s="637" t="str">
        <f>T("Kungl. biblioteket")</f>
        <v>Kungl. biblioteket</v>
      </c>
      <c r="D573" s="428">
        <v>212373.83246999999</v>
      </c>
      <c r="E573" s="428">
        <v>227274.28532</v>
      </c>
      <c r="F573" s="428">
        <v>227784.12747000001</v>
      </c>
      <c r="G573" s="428">
        <v>206662.66566999999</v>
      </c>
      <c r="H573" s="428">
        <v>234736.78004000001</v>
      </c>
      <c r="I573" s="428">
        <v>233460.39293999999</v>
      </c>
      <c r="J573" s="428">
        <v>230360.42733999999</v>
      </c>
      <c r="K573" s="428">
        <v>234373.95783</v>
      </c>
      <c r="L573" s="428">
        <v>230683.36478999999</v>
      </c>
    </row>
    <row r="574" spans="1:12">
      <c r="A574" s="429" t="str">
        <f t="shared" si="17"/>
        <v>16</v>
      </c>
      <c r="B574" s="429" t="str">
        <f>T("1603009")</f>
        <v>1603009</v>
      </c>
      <c r="C574" s="637" t="str">
        <f>T("Polarforskningssekretariatet")</f>
        <v>Polarforskningssekretariatet</v>
      </c>
      <c r="D574" s="428">
        <v>17642.858960000001</v>
      </c>
      <c r="E574" s="428">
        <v>16245.684639999999</v>
      </c>
      <c r="F574" s="428">
        <v>32909.941850000003</v>
      </c>
      <c r="G574" s="428">
        <v>16836.091369999998</v>
      </c>
      <c r="H574" s="428">
        <v>28488.318230000001</v>
      </c>
      <c r="I574" s="428">
        <v>24768.940139999999</v>
      </c>
      <c r="J574" s="428">
        <v>21315.152529999999</v>
      </c>
      <c r="K574" s="428">
        <v>23333.023990000002</v>
      </c>
      <c r="L574" s="428">
        <v>30140.209879999999</v>
      </c>
    </row>
    <row r="575" spans="1:12">
      <c r="A575" s="429" t="str">
        <f t="shared" si="17"/>
        <v>16</v>
      </c>
      <c r="B575" s="429" t="str">
        <f>T("1603010")</f>
        <v>1603010</v>
      </c>
      <c r="C575" s="637" t="str">
        <f>T("Sunet")</f>
        <v>Sunet</v>
      </c>
      <c r="D575" s="428">
        <v>73294.944560000004</v>
      </c>
      <c r="E575" s="428">
        <v>64311.708149999999</v>
      </c>
      <c r="F575" s="428">
        <v>36994.567289999999</v>
      </c>
      <c r="G575" s="428">
        <v>101384.37026</v>
      </c>
      <c r="H575" s="428">
        <v>130754.42779</v>
      </c>
      <c r="I575" s="428">
        <v>37678.692049999998</v>
      </c>
      <c r="J575" s="428">
        <v>39105.909119999997</v>
      </c>
      <c r="K575" s="428">
        <v>39258</v>
      </c>
      <c r="L575" s="428">
        <v>39409</v>
      </c>
    </row>
    <row r="576" spans="1:12">
      <c r="A576" s="429" t="str">
        <f t="shared" si="17"/>
        <v>16</v>
      </c>
      <c r="B576" s="429" t="str">
        <f>T("1603011")</f>
        <v>1603011</v>
      </c>
      <c r="C576" s="637" t="str">
        <f>T("Centrala etikprövningsnämnden")</f>
        <v>Centrala etikprövningsnämnden</v>
      </c>
      <c r="K576" s="428">
        <v>2429.1053299999999</v>
      </c>
      <c r="L576" s="428">
        <v>3568.1983599999999</v>
      </c>
    </row>
    <row r="577" spans="1:12">
      <c r="A577" s="429" t="str">
        <f t="shared" si="17"/>
        <v>16</v>
      </c>
      <c r="B577" s="429" t="str">
        <f>T("1603012")</f>
        <v>1603012</v>
      </c>
      <c r="C577" s="637" t="str">
        <f>T("Regionala etikprövningsnämnder")</f>
        <v>Regionala etikprövningsnämnder</v>
      </c>
      <c r="K577" s="428">
        <v>24742.628199999999</v>
      </c>
      <c r="L577" s="428">
        <v>25899.285049999999</v>
      </c>
    </row>
    <row r="578" spans="1:12">
      <c r="A578" s="429" t="str">
        <f t="shared" si="17"/>
        <v>16</v>
      </c>
      <c r="B578" s="429" t="str">
        <f>T("1603013")</f>
        <v>1603013</v>
      </c>
      <c r="C578" s="637" t="str">
        <f>T("Särskilda utgifter för forskningsändamål")</f>
        <v>Särskilda utgifter för forskningsändamål</v>
      </c>
      <c r="D578" s="428">
        <v>74707.621350000001</v>
      </c>
      <c r="E578" s="428">
        <v>155287.02424999999</v>
      </c>
      <c r="F578" s="428">
        <v>151454.65388999999</v>
      </c>
      <c r="G578" s="428">
        <v>141581.93711999999</v>
      </c>
      <c r="H578" s="428">
        <v>115940.18227999999</v>
      </c>
      <c r="I578" s="428">
        <v>108344.68722000001</v>
      </c>
      <c r="J578" s="428">
        <v>110258.26482</v>
      </c>
      <c r="K578" s="428">
        <v>107728.78409</v>
      </c>
      <c r="L578" s="428">
        <v>112422.49800000001</v>
      </c>
    </row>
    <row r="579" spans="1:12">
      <c r="A579" s="429" t="str">
        <f t="shared" si="17"/>
        <v>16</v>
      </c>
      <c r="B579" s="429" t="str">
        <f>T("1604001")</f>
        <v>1604001</v>
      </c>
      <c r="C579" s="637" t="str">
        <f>T("Internationella program")</f>
        <v>Internationella program</v>
      </c>
    </row>
    <row r="580" spans="1:12">
      <c r="A580" s="429" t="str">
        <f t="shared" si="17"/>
        <v>16</v>
      </c>
      <c r="B580" s="429" t="str">
        <f>T("1604001 2012")</f>
        <v>1604001 2012</v>
      </c>
      <c r="C580" s="637" t="str">
        <f>T("Internationella programkontoret för utbildningsområdet")</f>
        <v>Internationella programkontoret för utbildningsområdet</v>
      </c>
      <c r="D580" s="428">
        <v>4366.5478800000001</v>
      </c>
      <c r="E580" s="428">
        <v>9675.7429499999998</v>
      </c>
      <c r="F580" s="428">
        <v>10235.774219999999</v>
      </c>
      <c r="G580" s="428">
        <v>17589.098310000001</v>
      </c>
      <c r="H580" s="428">
        <v>38738.329879999998</v>
      </c>
      <c r="I580" s="428">
        <v>37918.159789999998</v>
      </c>
      <c r="J580" s="428">
        <v>40579.062160000001</v>
      </c>
      <c r="K580" s="428">
        <v>42267.297229999996</v>
      </c>
      <c r="L580" s="428">
        <v>46503.301820000001</v>
      </c>
    </row>
    <row r="581" spans="1:12">
      <c r="A581" s="429" t="str">
        <f t="shared" si="17"/>
        <v>16</v>
      </c>
      <c r="B581" s="429" t="str">
        <f>T("1604002")</f>
        <v>1604002</v>
      </c>
      <c r="C581" s="637" t="str">
        <f>T("Avgift till Unesco och ICCROM")</f>
        <v>Avgift till Unesco och ICCROM</v>
      </c>
    </row>
    <row r="582" spans="1:12">
      <c r="A582" s="429" t="str">
        <f t="shared" si="17"/>
        <v>16</v>
      </c>
      <c r="B582" s="429" t="str">
        <f>T("1604003")</f>
        <v>1604003</v>
      </c>
      <c r="C582" s="637" t="str">
        <f>T("Kostnader för Svenska Unescorådet")</f>
        <v>Kostnader för Svenska Unescorådet</v>
      </c>
      <c r="D582" s="428">
        <v>35395.855539999997</v>
      </c>
      <c r="E582" s="428">
        <v>40604.032279999999</v>
      </c>
      <c r="F582" s="428">
        <v>33078.457799999996</v>
      </c>
      <c r="G582" s="428">
        <v>36722.377439999997</v>
      </c>
      <c r="H582" s="428">
        <v>35980.691319999998</v>
      </c>
      <c r="I582" s="428">
        <v>37145.710789999997</v>
      </c>
      <c r="J582" s="428">
        <v>34850.438699999999</v>
      </c>
      <c r="K582" s="428">
        <v>26039.413420000001</v>
      </c>
      <c r="L582" s="428">
        <v>25332.038670000002</v>
      </c>
    </row>
    <row r="583" spans="1:12">
      <c r="A583" s="429" t="str">
        <f t="shared" si="17"/>
        <v>16</v>
      </c>
      <c r="B583" s="429" t="str">
        <f>T("1604004")</f>
        <v>1604004</v>
      </c>
      <c r="C583" s="637" t="str">
        <f>T("Utvecklingsarbete inom områdena utbildning och forskning")</f>
        <v>Utvecklingsarbete inom områdena utbildning och forskning</v>
      </c>
      <c r="D583" s="428">
        <v>3204.7949400000002</v>
      </c>
      <c r="E583" s="428">
        <v>6356.8304900000003</v>
      </c>
      <c r="F583" s="428">
        <v>22560.545890000001</v>
      </c>
      <c r="G583" s="428">
        <v>24302.619490000001</v>
      </c>
      <c r="H583" s="428">
        <v>22813.501459999999</v>
      </c>
      <c r="I583" s="428">
        <v>17652.207490000001</v>
      </c>
      <c r="J583" s="428">
        <v>9030.9580399999995</v>
      </c>
      <c r="K583" s="428">
        <v>9127.3167599999997</v>
      </c>
      <c r="L583" s="428">
        <v>9005.2896199999996</v>
      </c>
    </row>
    <row r="584" spans="1:12">
      <c r="A584" s="429" t="str">
        <f t="shared" si="17"/>
        <v>16</v>
      </c>
      <c r="B584" s="429" t="str">
        <f>T("161101 2002")</f>
        <v>161101 2002</v>
      </c>
      <c r="C584" s="637" t="str">
        <f>T("Förstärkning av utbildning i storstadsregionerna")</f>
        <v>Förstärkning av utbildning i storstadsregionerna</v>
      </c>
      <c r="F584" s="428">
        <v>35500</v>
      </c>
      <c r="G584" s="428">
        <v>30000</v>
      </c>
      <c r="H584" s="428">
        <v>178350</v>
      </c>
      <c r="I584" s="428">
        <v>195540</v>
      </c>
      <c r="J584" s="428">
        <v>171633.31200000001</v>
      </c>
      <c r="K584" s="428">
        <v>93076.126999999993</v>
      </c>
      <c r="L584" s="428">
        <v>64745.712</v>
      </c>
    </row>
    <row r="585" spans="1:12">
      <c r="A585" s="429" t="str">
        <f t="shared" si="17"/>
        <v>16</v>
      </c>
      <c r="B585" s="429" t="str">
        <f>T("162502 2008")</f>
        <v>162502 2008</v>
      </c>
      <c r="C585" s="637" t="str">
        <f>T("Myndigheten för skolutveckling")</f>
        <v>Myndigheten för skolutveckling</v>
      </c>
      <c r="J585" s="428">
        <v>76501.99368</v>
      </c>
      <c r="K585" s="428">
        <v>92950.677479999998</v>
      </c>
      <c r="L585" s="428">
        <v>96372.736770000003</v>
      </c>
    </row>
    <row r="586" spans="1:12">
      <c r="A586" s="429" t="str">
        <f t="shared" si="17"/>
        <v>16</v>
      </c>
      <c r="B586" s="429" t="str">
        <f>T("162503 2002")</f>
        <v>162503 2002</v>
      </c>
      <c r="C586" s="637" t="str">
        <f>T("Forskning inom skolväsendet")</f>
        <v>Forskning inom skolväsendet</v>
      </c>
      <c r="D586" s="428">
        <v>7623.817</v>
      </c>
      <c r="E586" s="428">
        <v>7779.7956999999997</v>
      </c>
      <c r="F586" s="428">
        <v>8069.34</v>
      </c>
      <c r="G586" s="428">
        <v>8189.3829999999998</v>
      </c>
      <c r="H586" s="428">
        <v>27988.364249999999</v>
      </c>
      <c r="I586" s="428">
        <v>31317.874070000002</v>
      </c>
      <c r="J586" s="428">
        <v>1174.039</v>
      </c>
      <c r="K586" s="428">
        <v>0</v>
      </c>
    </row>
    <row r="587" spans="1:12">
      <c r="A587" s="429" t="str">
        <f t="shared" si="17"/>
        <v>16</v>
      </c>
      <c r="B587" s="429" t="str">
        <f>T("162504 2002")</f>
        <v>162504 2002</v>
      </c>
      <c r="C587" s="637" t="str">
        <f>T("Program för IT i skolan")</f>
        <v>Program för IT i skolan</v>
      </c>
      <c r="F587" s="428">
        <v>315290.54548999999</v>
      </c>
      <c r="G587" s="428">
        <v>490581.88075000001</v>
      </c>
      <c r="H587" s="428">
        <v>557142.62014999997</v>
      </c>
      <c r="I587" s="428">
        <v>288914.83623999998</v>
      </c>
      <c r="J587" s="428">
        <v>19577.904630000001</v>
      </c>
      <c r="K587" s="428">
        <v>15384.224260000001</v>
      </c>
    </row>
    <row r="588" spans="1:12">
      <c r="A588" s="429" t="str">
        <f t="shared" si="17"/>
        <v>16</v>
      </c>
      <c r="B588" s="429" t="str">
        <f>T("162504 2008")</f>
        <v>162504 2008</v>
      </c>
      <c r="C588" s="637" t="str">
        <f>T("Specialpedagogiska institutet")</f>
        <v>Specialpedagogiska institutet</v>
      </c>
      <c r="D588" s="428">
        <v>119459.99893</v>
      </c>
      <c r="E588" s="428">
        <v>114157.75079999999</v>
      </c>
      <c r="F588" s="428">
        <v>119724.41088</v>
      </c>
      <c r="G588" s="428">
        <v>123951.95331</v>
      </c>
      <c r="H588" s="428">
        <v>211661.11778999999</v>
      </c>
      <c r="I588" s="428">
        <v>321466.24307999999</v>
      </c>
      <c r="J588" s="428">
        <v>337293.66089</v>
      </c>
      <c r="K588" s="428">
        <v>324863.41528000002</v>
      </c>
      <c r="L588" s="428">
        <v>327540.66409999999</v>
      </c>
    </row>
    <row r="589" spans="1:12">
      <c r="A589" s="429" t="str">
        <f t="shared" si="17"/>
        <v>16</v>
      </c>
      <c r="B589" s="429" t="str">
        <f>T("162505 2005")</f>
        <v>162505 2005</v>
      </c>
      <c r="C589" s="637" t="str">
        <f>T("Skolutveckling och produktion av läromedel för elever med funktionshinder")</f>
        <v>Skolutveckling och produktion av läromedel för elever med funktionshinder</v>
      </c>
      <c r="D589" s="428">
        <v>18909.12383</v>
      </c>
      <c r="E589" s="428">
        <v>17193.63795</v>
      </c>
      <c r="F589" s="428">
        <v>25743.374349999998</v>
      </c>
      <c r="G589" s="428">
        <v>22237.325509999999</v>
      </c>
      <c r="H589" s="428">
        <v>21249.655320000002</v>
      </c>
      <c r="I589" s="428">
        <v>22837.873439999999</v>
      </c>
      <c r="J589" s="428">
        <v>22986.608639999999</v>
      </c>
      <c r="K589" s="428">
        <v>21644.017540000001</v>
      </c>
      <c r="L589" s="428">
        <v>18142.90035</v>
      </c>
    </row>
    <row r="590" spans="1:12">
      <c r="A590" s="429" t="str">
        <f t="shared" si="17"/>
        <v>16</v>
      </c>
      <c r="B590" s="429" t="str">
        <f>T("162505 2008")</f>
        <v>162505 2008</v>
      </c>
      <c r="C590" s="637" t="str">
        <f>T("Specialskolemyndigheten")</f>
        <v>Specialskolemyndigheten</v>
      </c>
      <c r="D590" s="428">
        <v>415638.32750999997</v>
      </c>
      <c r="E590" s="428">
        <v>420217.29314999998</v>
      </c>
      <c r="F590" s="428">
        <v>436068.79268000001</v>
      </c>
      <c r="G590" s="428">
        <v>458818.08850999997</v>
      </c>
      <c r="H590" s="428">
        <v>365134.01419000002</v>
      </c>
      <c r="I590" s="428">
        <v>251848.98168999999</v>
      </c>
      <c r="J590" s="428">
        <v>243827.16711000001</v>
      </c>
      <c r="K590" s="428">
        <v>239471.45326000001</v>
      </c>
      <c r="L590" s="428">
        <v>243945.17469000001</v>
      </c>
    </row>
    <row r="591" spans="1:12">
      <c r="A591" s="429" t="str">
        <f t="shared" si="17"/>
        <v>16</v>
      </c>
      <c r="B591" s="429" t="str">
        <f>T("162509 2006")</f>
        <v>162509 2006</v>
      </c>
      <c r="C591" s="637" t="str">
        <f>T("Bidrag till personalförstärkningar i förskola")</f>
        <v>Bidrag till personalförstärkningar i förskola</v>
      </c>
      <c r="L591" s="428">
        <v>664842.23574000003</v>
      </c>
    </row>
    <row r="592" spans="1:12">
      <c r="A592" s="429" t="str">
        <f t="shared" si="17"/>
        <v>16</v>
      </c>
      <c r="B592" s="429" t="str">
        <f>T("162510 2006")</f>
        <v>162510 2006</v>
      </c>
      <c r="C592" s="637" t="str">
        <f>T("Bidrag till personalförstärkningar i skola och fritidshem")</f>
        <v>Bidrag till personalförstärkningar i skola och fritidshem</v>
      </c>
      <c r="H592" s="428">
        <v>491338.78580000001</v>
      </c>
      <c r="I592" s="428">
        <v>1490111.4716099999</v>
      </c>
      <c r="J592" s="428">
        <v>2473643.68915</v>
      </c>
      <c r="K592" s="428">
        <v>3388286.8805399998</v>
      </c>
      <c r="L592" s="428">
        <v>1438464.6410699999</v>
      </c>
    </row>
    <row r="593" spans="1:12">
      <c r="A593" s="429" t="str">
        <f t="shared" si="17"/>
        <v>16</v>
      </c>
      <c r="B593" s="429" t="str">
        <f>T("162512 2008")</f>
        <v>162512 2008</v>
      </c>
      <c r="C593" s="637" t="str">
        <f>T("Nationellt centrum för flexibelt lärande")</f>
        <v>Nationellt centrum för flexibelt lärande</v>
      </c>
      <c r="D593" s="428">
        <v>45447.834020000002</v>
      </c>
      <c r="E593" s="428">
        <v>38677.55186</v>
      </c>
      <c r="F593" s="428">
        <v>36304.410450000003</v>
      </c>
      <c r="G593" s="428">
        <v>43289.915430000001</v>
      </c>
      <c r="H593" s="428">
        <v>43957.175009999999</v>
      </c>
      <c r="I593" s="428">
        <v>90395.851370000004</v>
      </c>
      <c r="J593" s="428">
        <v>101915.83886</v>
      </c>
      <c r="K593" s="428">
        <v>104504.45233</v>
      </c>
      <c r="L593" s="428">
        <v>89829.207689999996</v>
      </c>
    </row>
    <row r="594" spans="1:12">
      <c r="A594" s="429" t="str">
        <f t="shared" si="17"/>
        <v>16</v>
      </c>
      <c r="B594" s="429" t="str">
        <f>T("162515 2006")</f>
        <v>162515 2006</v>
      </c>
      <c r="C594" s="637" t="str">
        <f>T("Bidrag till vissa organisationer för uppsökande verksamhet")</f>
        <v>Bidrag till vissa organisationer för uppsökande verksamhet</v>
      </c>
      <c r="I594" s="428">
        <v>50000</v>
      </c>
      <c r="J594" s="428">
        <v>50000</v>
      </c>
      <c r="K594" s="428">
        <v>49139.133999999998</v>
      </c>
      <c r="L594" s="428">
        <v>47892.271820000002</v>
      </c>
    </row>
    <row r="595" spans="1:12">
      <c r="A595" s="429" t="str">
        <f t="shared" si="17"/>
        <v>16</v>
      </c>
      <c r="B595" s="429" t="str">
        <f>T("162515 2007")</f>
        <v>162515 2007</v>
      </c>
      <c r="C595" s="637" t="str">
        <f>T("Valideringsdelegationen")</f>
        <v>Valideringsdelegationen</v>
      </c>
      <c r="K595" s="428">
        <v>8267.0180700000001</v>
      </c>
      <c r="L595" s="428">
        <v>14619.03292</v>
      </c>
    </row>
    <row r="596" spans="1:12">
      <c r="A596" s="429" t="str">
        <f t="shared" si="17"/>
        <v>16</v>
      </c>
      <c r="B596" s="429" t="str">
        <f>T("162516 2001")</f>
        <v>162516 2001</v>
      </c>
      <c r="C596" s="637" t="str">
        <f>T("Särskilda utbildningsinsatser för vuxna")</f>
        <v>Särskilda utbildningsinsatser för vuxna</v>
      </c>
      <c r="D596" s="428">
        <v>2696395.2319999998</v>
      </c>
      <c r="E596" s="428">
        <v>3738556.8777399999</v>
      </c>
      <c r="F596" s="428">
        <v>4153737.9511899999</v>
      </c>
      <c r="G596" s="428">
        <v>4072817.0395200001</v>
      </c>
      <c r="H596" s="428">
        <v>4069899.22346</v>
      </c>
      <c r="I596" s="428">
        <v>21.889939999999999</v>
      </c>
    </row>
    <row r="597" spans="1:12">
      <c r="A597" s="429" t="str">
        <f t="shared" si="17"/>
        <v>16</v>
      </c>
      <c r="B597" s="429" t="str">
        <f>T("162516 2006")</f>
        <v>162516 2006</v>
      </c>
      <c r="C597" s="637" t="str">
        <f>T("Statligt stöd för utbildning av vuxna")</f>
        <v>Statligt stöd för utbildning av vuxna</v>
      </c>
      <c r="I597" s="428">
        <v>2774164.7138800002</v>
      </c>
      <c r="J597" s="428">
        <v>1313622.9080000001</v>
      </c>
      <c r="K597" s="428">
        <v>1797082.7685</v>
      </c>
      <c r="L597" s="428">
        <v>2349364.6719999998</v>
      </c>
    </row>
    <row r="598" spans="1:12">
      <c r="A598" s="429" t="str">
        <f t="shared" si="17"/>
        <v>16</v>
      </c>
      <c r="B598" s="429" t="str">
        <f>T("162516 2007")</f>
        <v>162516 2007</v>
      </c>
      <c r="C598" s="637" t="str">
        <f>T("Utveckling av påbyggnadsutbildningar")</f>
        <v>Utveckling av påbyggnadsutbildningar</v>
      </c>
      <c r="L598" s="428">
        <v>109450.03539999999</v>
      </c>
    </row>
    <row r="599" spans="1:12">
      <c r="A599" s="429" t="str">
        <f t="shared" si="17"/>
        <v>16</v>
      </c>
      <c r="B599" s="429" t="str">
        <f>T("162565 2007")</f>
        <v>162565 2007</v>
      </c>
      <c r="C599" s="637" t="str">
        <f>T("Lärarhögskolan i Stockholm: Grundutbildning")</f>
        <v>Lärarhögskolan i Stockholm: Grundutbildning</v>
      </c>
      <c r="D599" s="428">
        <v>275532</v>
      </c>
      <c r="E599" s="428">
        <v>280765</v>
      </c>
      <c r="F599" s="428">
        <v>283396</v>
      </c>
      <c r="G599" s="428">
        <v>272502</v>
      </c>
      <c r="H599" s="428">
        <v>318124</v>
      </c>
      <c r="I599" s="428">
        <v>397422</v>
      </c>
      <c r="J599" s="428">
        <v>405666</v>
      </c>
      <c r="K599" s="428">
        <v>393780</v>
      </c>
      <c r="L599" s="428">
        <v>401468</v>
      </c>
    </row>
    <row r="600" spans="1:12">
      <c r="A600" s="429" t="str">
        <f t="shared" si="17"/>
        <v>16</v>
      </c>
      <c r="B600" s="429" t="str">
        <f>T("162576 2002")</f>
        <v>162576 2002</v>
      </c>
      <c r="C600" s="637" t="str">
        <f>T("Universitets och högskolors premier för de statliga avtalsförsäkringarna")</f>
        <v>Universitets och högskolors premier för de statliga avtalsförsäkringarna</v>
      </c>
      <c r="G600" s="428">
        <v>819873.40453000006</v>
      </c>
      <c r="H600" s="428">
        <v>862041.00840000005</v>
      </c>
      <c r="I600" s="428">
        <v>883864.29399999999</v>
      </c>
    </row>
    <row r="601" spans="1:12">
      <c r="A601" s="429" t="str">
        <f t="shared" si="17"/>
        <v>16</v>
      </c>
      <c r="B601" s="429" t="str">
        <f>T("162578 2008")</f>
        <v>162578 2008</v>
      </c>
      <c r="C601" s="637" t="str">
        <f>T("Myndigheten för nätverk och samarbete inom högre utbildning")</f>
        <v>Myndigheten för nätverk och samarbete inom högre utbildning</v>
      </c>
      <c r="I601" s="428">
        <v>25345.019420000001</v>
      </c>
      <c r="J601" s="428">
        <v>35381.627869999997</v>
      </c>
      <c r="K601" s="428">
        <v>32095.662759999999</v>
      </c>
      <c r="L601" s="428">
        <v>31587.268700000001</v>
      </c>
    </row>
    <row r="602" spans="1:12">
      <c r="A602" s="429" t="str">
        <f t="shared" si="17"/>
        <v>16</v>
      </c>
      <c r="B602" s="429" t="str">
        <f>T("162579 2001")</f>
        <v>162579 2001</v>
      </c>
      <c r="C602" s="637" t="str">
        <f>T("Distansutbildningsmyndigheten")</f>
        <v>Distansutbildningsmyndigheten</v>
      </c>
      <c r="H602" s="428">
        <v>31130.077150000001</v>
      </c>
      <c r="I602" s="428">
        <v>18490.4555</v>
      </c>
    </row>
    <row r="603" spans="1:12">
      <c r="A603" s="429" t="str">
        <f t="shared" si="17"/>
        <v>16</v>
      </c>
      <c r="B603" s="429" t="str">
        <f>T("162584 2008")</f>
        <v>162584 2008</v>
      </c>
      <c r="C603" s="637" t="str">
        <f>T("Avvecklingsmyndigheten för skolmyndigheter m.m.")</f>
        <v>Avvecklingsmyndigheten för skolmyndigheter m.m.</v>
      </c>
    </row>
    <row r="604" spans="1:12">
      <c r="A604" s="429" t="str">
        <f t="shared" si="17"/>
        <v>16</v>
      </c>
      <c r="B604" s="429" t="str">
        <f>T("162607 2006")</f>
        <v>162607 2006</v>
      </c>
      <c r="C604" s="637" t="str">
        <f>T("Främjande och analys av forsknings- och utvecklingssamarbetet inom EU m.m.")</f>
        <v>Främjande och analys av forsknings- och utvecklingssamarbetet inom EU m.m.</v>
      </c>
      <c r="D604" s="428">
        <v>10116.48524</v>
      </c>
      <c r="E604" s="428">
        <v>10989.05711</v>
      </c>
      <c r="F604" s="428">
        <v>10917.52406</v>
      </c>
      <c r="G604" s="428">
        <v>12095.458360000001</v>
      </c>
      <c r="H604" s="428">
        <v>11985.886920000001</v>
      </c>
      <c r="I604" s="428">
        <v>14204.43951</v>
      </c>
      <c r="J604" s="428">
        <v>13189.590399999999</v>
      </c>
      <c r="K604" s="428">
        <v>13195.23676</v>
      </c>
      <c r="L604" s="428">
        <v>12925.504419999999</v>
      </c>
    </row>
    <row r="605" spans="1:12">
      <c r="A605" s="429" t="str">
        <f t="shared" si="17"/>
        <v>16</v>
      </c>
      <c r="B605" s="429" t="str">
        <f>T("16A004 1998")</f>
        <v>16A004 1998</v>
      </c>
      <c r="C605" s="637" t="str">
        <f>T("Genomförande av skolreformer")</f>
        <v>Genomförande av skolreformer</v>
      </c>
      <c r="D605" s="428">
        <v>75242.539050000007</v>
      </c>
      <c r="E605" s="428">
        <v>92415.698950000005</v>
      </c>
    </row>
    <row r="606" spans="1:12">
      <c r="A606" s="429" t="str">
        <f t="shared" si="17"/>
        <v>16</v>
      </c>
      <c r="B606" s="429" t="str">
        <f>T("16D001 2000")</f>
        <v>16D001 2000</v>
      </c>
      <c r="C606" s="637" t="str">
        <f>T("Forskningsrådsnämnden: Forskning och forskningsinformation")</f>
        <v>Forskningsrådsnämnden: Forskning och forskningsinformation</v>
      </c>
      <c r="D606" s="428">
        <v>76971.069130000003</v>
      </c>
      <c r="E606" s="428">
        <v>90124.511899999998</v>
      </c>
      <c r="F606" s="428">
        <v>87736.317150000003</v>
      </c>
      <c r="G606" s="428">
        <v>93975.763269999996</v>
      </c>
    </row>
    <row r="607" spans="1:12">
      <c r="A607" s="429" t="str">
        <f t="shared" si="17"/>
        <v>16</v>
      </c>
      <c r="B607" s="429" t="str">
        <f>T("16D002 2000")</f>
        <v>16D002 2000</v>
      </c>
      <c r="C607" s="637" t="str">
        <f>T("Forskningsrådsnämnden: Förvaltning")</f>
        <v>Forskningsrådsnämnden: Förvaltning</v>
      </c>
      <c r="D607" s="428">
        <v>17593.518840000001</v>
      </c>
      <c r="E607" s="428">
        <v>19635.68879</v>
      </c>
      <c r="F607" s="428">
        <v>21828.346450000001</v>
      </c>
      <c r="G607" s="428">
        <v>24478.321840000001</v>
      </c>
    </row>
    <row r="608" spans="1:12">
      <c r="A608" s="429" t="str">
        <f t="shared" si="17"/>
        <v>16</v>
      </c>
      <c r="B608" s="429" t="str">
        <f>T("16D003 2000")</f>
        <v>16D003 2000</v>
      </c>
      <c r="C608" s="637" t="str">
        <f>T("Humanistisk-samhällsvetenskapliga forskningsrådet: Forskning")</f>
        <v>Humanistisk-samhällsvetenskapliga forskningsrådet: Forskning</v>
      </c>
      <c r="D608" s="428">
        <v>144341.75094</v>
      </c>
      <c r="E608" s="428">
        <v>215910.02084000001</v>
      </c>
      <c r="F608" s="428">
        <v>212294.12255999999</v>
      </c>
      <c r="G608" s="428">
        <v>214393.10566</v>
      </c>
    </row>
    <row r="609" spans="1:12">
      <c r="A609" s="429" t="str">
        <f t="shared" si="17"/>
        <v>16</v>
      </c>
      <c r="B609" s="429" t="str">
        <f>T("16D004 2000")</f>
        <v>16D004 2000</v>
      </c>
      <c r="C609" s="637" t="str">
        <f>T("Humanistisk-samhällsvetenskapliga forskningsrådet: Förvaltning")</f>
        <v>Humanistisk-samhällsvetenskapliga forskningsrådet: Förvaltning</v>
      </c>
      <c r="D609" s="428">
        <v>7818.6852900000004</v>
      </c>
      <c r="E609" s="428">
        <v>10620.97077</v>
      </c>
      <c r="F609" s="428">
        <v>12099.421340000001</v>
      </c>
      <c r="G609" s="428">
        <v>14663.62912</v>
      </c>
    </row>
    <row r="610" spans="1:12">
      <c r="A610" s="429" t="str">
        <f t="shared" si="17"/>
        <v>16</v>
      </c>
      <c r="B610" s="429" t="str">
        <f>T("16D005 2000")</f>
        <v>16D005 2000</v>
      </c>
      <c r="C610" s="637" t="str">
        <f>T("Medicinska forskningsrådet: Forskning")</f>
        <v>Medicinska forskningsrådet: Forskning</v>
      </c>
      <c r="D610" s="428">
        <v>292255.59208999999</v>
      </c>
      <c r="E610" s="428">
        <v>334374.42138000001</v>
      </c>
      <c r="F610" s="428">
        <v>358585.81539</v>
      </c>
      <c r="G610" s="428">
        <v>349589.17115000001</v>
      </c>
    </row>
    <row r="611" spans="1:12">
      <c r="A611" s="429" t="str">
        <f t="shared" si="17"/>
        <v>16</v>
      </c>
      <c r="B611" s="429" t="str">
        <f>T("16D006 2000")</f>
        <v>16D006 2000</v>
      </c>
      <c r="C611" s="637" t="str">
        <f>T("Medicinska forskningsrådet: Förvaltning")</f>
        <v>Medicinska forskningsrådet: Förvaltning</v>
      </c>
      <c r="D611" s="428">
        <v>11026.670700000001</v>
      </c>
      <c r="E611" s="428">
        <v>9924.1051800000005</v>
      </c>
      <c r="F611" s="428">
        <v>12396.584570000001</v>
      </c>
      <c r="G611" s="428">
        <v>12031.358920000001</v>
      </c>
    </row>
    <row r="612" spans="1:12">
      <c r="A612" s="429" t="str">
        <f t="shared" si="17"/>
        <v>16</v>
      </c>
      <c r="B612" s="429" t="str">
        <f>T("16D007 2000")</f>
        <v>16D007 2000</v>
      </c>
      <c r="C612" s="637" t="str">
        <f>T("Naturvetenskapliga forskningsrådet: Forskning")</f>
        <v>Naturvetenskapliga forskningsrådet: Forskning</v>
      </c>
      <c r="D612" s="428">
        <v>448464.72675999999</v>
      </c>
      <c r="E612" s="428">
        <v>749030.90607999999</v>
      </c>
      <c r="F612" s="428">
        <v>746563.41090000002</v>
      </c>
      <c r="G612" s="428">
        <v>774076.66257000004</v>
      </c>
    </row>
    <row r="613" spans="1:12">
      <c r="A613" s="429" t="str">
        <f t="shared" si="17"/>
        <v>16</v>
      </c>
      <c r="B613" s="429" t="str">
        <f>T("16D008 2000")</f>
        <v>16D008 2000</v>
      </c>
      <c r="C613" s="637" t="str">
        <f>T("Naturvetenskapliga forskningsrådet: Förvaltning")</f>
        <v>Naturvetenskapliga forskningsrådet: Förvaltning</v>
      </c>
      <c r="D613" s="428">
        <v>18633.63552</v>
      </c>
      <c r="E613" s="428">
        <v>18576.686089999999</v>
      </c>
      <c r="F613" s="428">
        <v>21407.691610000002</v>
      </c>
      <c r="G613" s="428">
        <v>22160.125390000001</v>
      </c>
    </row>
    <row r="614" spans="1:12">
      <c r="A614" s="429" t="str">
        <f t="shared" si="17"/>
        <v>16</v>
      </c>
      <c r="B614" s="429" t="str">
        <f>T("16D009 2000")</f>
        <v>16D009 2000</v>
      </c>
      <c r="C614" s="637" t="str">
        <f>T("Teknikvetenskapliga forskningsrådet: Forskning")</f>
        <v>Teknikvetenskapliga forskningsrådet: Forskning</v>
      </c>
      <c r="D614" s="428">
        <v>237838.70749999999</v>
      </c>
      <c r="E614" s="428">
        <v>239439.93719999999</v>
      </c>
      <c r="F614" s="428">
        <v>243505.95193000001</v>
      </c>
      <c r="G614" s="428">
        <v>243794.74833999999</v>
      </c>
    </row>
    <row r="615" spans="1:12">
      <c r="A615" s="429" t="str">
        <f t="shared" si="17"/>
        <v>16</v>
      </c>
      <c r="B615" s="429" t="str">
        <f>T("16D010 1997")</f>
        <v>16D010 1997</v>
      </c>
      <c r="C615" s="637" t="str">
        <f>T("HPDR: Förvaltning")</f>
        <v>HPDR: Förvaltning</v>
      </c>
      <c r="E615" s="428">
        <v>1870.37024</v>
      </c>
    </row>
    <row r="616" spans="1:12">
      <c r="A616" s="429" t="str">
        <f t="shared" si="17"/>
        <v>16</v>
      </c>
      <c r="B616" s="429" t="str">
        <f>T("16D010 2000")</f>
        <v>16D010 2000</v>
      </c>
      <c r="C616" s="637" t="str">
        <f>T("Teknikvetenskapliga forskningsrådet: Förvaltning")</f>
        <v>Teknikvetenskapliga forskningsrådet: Förvaltning</v>
      </c>
      <c r="D616" s="428">
        <v>8503.7853099999993</v>
      </c>
      <c r="E616" s="428">
        <v>5433.4867800000002</v>
      </c>
      <c r="F616" s="428">
        <v>10211.299010000001</v>
      </c>
      <c r="G616" s="428">
        <v>8931.0258099999992</v>
      </c>
    </row>
    <row r="617" spans="1:12">
      <c r="A617" s="429" t="str">
        <f t="shared" si="17"/>
        <v>16</v>
      </c>
      <c r="B617" s="429" t="str">
        <f>T("16D012 1997")</f>
        <v>16D012 1997</v>
      </c>
      <c r="C617" s="637" t="str">
        <f>T("Rådet för forskning om universitet och högskolor")</f>
        <v>Rådet för forskning om universitet och högskolor</v>
      </c>
      <c r="D617" s="428">
        <v>8163.9426199999998</v>
      </c>
    </row>
    <row r="618" spans="1:12">
      <c r="A618" s="429" t="str">
        <f t="shared" si="17"/>
        <v>16</v>
      </c>
      <c r="B618" s="429" t="str">
        <f>T("16D013 1999")</f>
        <v>16D013 1999</v>
      </c>
      <c r="C618" s="637" t="str">
        <f>T("Statens psykologisk-pedagogiska bibliotek")</f>
        <v>Statens psykologisk-pedagogiska bibliotek</v>
      </c>
      <c r="D618" s="428">
        <v>7650.9759100000001</v>
      </c>
      <c r="E618" s="428">
        <v>8371.8769300000004</v>
      </c>
      <c r="F618" s="428">
        <v>8689.7312600000005</v>
      </c>
    </row>
    <row r="619" spans="1:12">
      <c r="A619" s="429" t="str">
        <f t="shared" si="17"/>
        <v>16</v>
      </c>
      <c r="B619" s="429" t="str">
        <f>T("16D017 2000")</f>
        <v>16D017 2000</v>
      </c>
      <c r="C619" s="637" t="str">
        <f>T("Medel för dyrbar vetenskaplig utrustning")</f>
        <v>Medel för dyrbar vetenskaplig utrustning</v>
      </c>
      <c r="D619" s="428">
        <v>53026.41433</v>
      </c>
      <c r="E619" s="428">
        <v>62367.984920000003</v>
      </c>
      <c r="F619" s="428">
        <v>39806.571900000003</v>
      </c>
      <c r="G619" s="428">
        <v>66686.175889999999</v>
      </c>
    </row>
    <row r="620" spans="1:12">
      <c r="A620" s="429" t="str">
        <f t="shared" ref="A620" si="18">T("16")</f>
        <v>16</v>
      </c>
      <c r="B620" s="429" t="str">
        <f>T("16D018 1997")</f>
        <v>16D018 1997</v>
      </c>
      <c r="C620" s="637" t="str">
        <f>T("Europeisk forskningssamverkan")</f>
        <v>Europeisk forskningssamverkan</v>
      </c>
      <c r="D620" s="428">
        <v>295065.66522999998</v>
      </c>
      <c r="E620" s="428">
        <v>0</v>
      </c>
    </row>
    <row r="621" spans="1:12">
      <c r="A621" s="430" t="s">
        <v>1650</v>
      </c>
      <c r="B621" s="430"/>
      <c r="C621" s="430" t="str">
        <f>T("Utbildning och universitetsforskning")</f>
        <v>Utbildning och universitetsforskning</v>
      </c>
      <c r="D621" s="431">
        <v>24838109.50124</v>
      </c>
      <c r="E621" s="431">
        <v>27412041.859650001</v>
      </c>
      <c r="F621" s="431">
        <v>28821575.405250002</v>
      </c>
      <c r="G621" s="431">
        <v>31010186.6252</v>
      </c>
      <c r="H621" s="431">
        <v>32920033.805489998</v>
      </c>
      <c r="I621" s="431">
        <v>40484623.69201</v>
      </c>
      <c r="J621" s="431">
        <v>41636062.045189999</v>
      </c>
      <c r="K621" s="431">
        <v>43615681.372680001</v>
      </c>
      <c r="L621" s="431">
        <v>43338838.164010003</v>
      </c>
    </row>
    <row r="622" spans="1:12">
      <c r="A622" s="429" t="str">
        <f t="shared" ref="A622:A685" si="19">T("17")</f>
        <v>17</v>
      </c>
      <c r="B622" s="429" t="str">
        <f>T("07B004 9596")</f>
        <v>07B004 9596</v>
      </c>
      <c r="C622" s="637" t="str">
        <f>T("Restaureringsarbeten vid de kungliga slotten och rikets fästningar")</f>
        <v>Restaureringsarbeten vid de kungliga slotten och rikets fästningar</v>
      </c>
      <c r="D622" s="428">
        <v>72.455830000000006</v>
      </c>
      <c r="E622" s="428">
        <v>0</v>
      </c>
    </row>
    <row r="623" spans="1:12">
      <c r="A623" s="429" t="str">
        <f t="shared" si="19"/>
        <v>17</v>
      </c>
      <c r="B623" s="429" t="str">
        <f>T("11A001 9596")</f>
        <v>11A001 9596</v>
      </c>
      <c r="C623" s="637" t="str">
        <f>T("Utveckling, internationellt samarbete m.m")</f>
        <v>Utveckling, internationellt samarbete m.m</v>
      </c>
      <c r="D623" s="428">
        <v>0</v>
      </c>
    </row>
    <row r="624" spans="1:12">
      <c r="A624" s="429" t="str">
        <f t="shared" si="19"/>
        <v>17</v>
      </c>
      <c r="B624" s="429" t="str">
        <f>T("11B013 9596")</f>
        <v>11B013 9596</v>
      </c>
      <c r="C624" s="637" t="str">
        <f>T("Sysselsättningsinsatser inom kulturområdet")</f>
        <v>Sysselsättningsinsatser inom kulturområdet</v>
      </c>
      <c r="D624" s="428">
        <v>89282.022330000007</v>
      </c>
      <c r="E624" s="428">
        <v>34523.067000000003</v>
      </c>
      <c r="F624" s="428">
        <v>-2384.4177100000002</v>
      </c>
    </row>
    <row r="625" spans="1:12">
      <c r="A625" s="429" t="str">
        <f t="shared" si="19"/>
        <v>17</v>
      </c>
      <c r="B625" s="429" t="str">
        <f>T("11B028 9394")</f>
        <v>11B028 9394</v>
      </c>
      <c r="C625" s="637" t="str">
        <f>T("Kulturmiljövård")</f>
        <v>Kulturmiljövård</v>
      </c>
      <c r="D625" s="428">
        <v>1136.3019999999999</v>
      </c>
      <c r="G625"/>
      <c r="H625"/>
      <c r="I625"/>
      <c r="J625"/>
      <c r="K625"/>
      <c r="L625"/>
    </row>
    <row r="626" spans="1:12">
      <c r="A626" s="429" t="str">
        <f t="shared" si="19"/>
        <v>17</v>
      </c>
      <c r="B626" s="429" t="str">
        <f>T("11C002 9596")</f>
        <v>11C002 9596</v>
      </c>
      <c r="C626" s="637" t="str">
        <f>T("Bidrag till utvecklingsverksamhet inom kulturområdet m.m")</f>
        <v>Bidrag till utvecklingsverksamhet inom kulturområdet m.m</v>
      </c>
      <c r="D626" s="428">
        <v>13550.61239</v>
      </c>
      <c r="E626" s="428">
        <v>2702.4112100000002</v>
      </c>
      <c r="F626" s="428">
        <v>301.54950000000002</v>
      </c>
      <c r="G626"/>
      <c r="H626"/>
      <c r="I626"/>
      <c r="J626"/>
      <c r="K626"/>
      <c r="L626"/>
    </row>
    <row r="627" spans="1:12">
      <c r="A627" s="429" t="str">
        <f t="shared" si="19"/>
        <v>17</v>
      </c>
      <c r="B627" s="429" t="str">
        <f>T("11C003 9596")</f>
        <v>11C003 9596</v>
      </c>
      <c r="C627" s="637" t="str">
        <f>T("Bidrag till samisk kultur")</f>
        <v>Bidrag till samisk kultur</v>
      </c>
      <c r="D627" s="428">
        <v>1031.6416999999999</v>
      </c>
      <c r="G627"/>
      <c r="H627"/>
      <c r="I627"/>
      <c r="J627"/>
      <c r="K627"/>
      <c r="L627"/>
    </row>
    <row r="628" spans="1:12">
      <c r="A628" s="429" t="str">
        <f t="shared" si="19"/>
        <v>17</v>
      </c>
      <c r="B628" s="429" t="str">
        <f>T("11C005 9596")</f>
        <v>11C005 9596</v>
      </c>
      <c r="C628" s="637" t="str">
        <f>T("Visningsersättning åt bild- och formkonstnärer")</f>
        <v>Visningsersättning åt bild- och formkonstnärer</v>
      </c>
      <c r="D628" s="428">
        <v>14843.95573</v>
      </c>
      <c r="E628" s="428">
        <v>0</v>
      </c>
      <c r="G628"/>
      <c r="H628"/>
      <c r="I628"/>
      <c r="J628"/>
      <c r="K628"/>
      <c r="L628"/>
    </row>
    <row r="629" spans="1:12">
      <c r="A629" s="429" t="str">
        <f t="shared" si="19"/>
        <v>17</v>
      </c>
      <c r="B629" s="429" t="str">
        <f>T("11C006 9596")</f>
        <v>11C006 9596</v>
      </c>
      <c r="C629" s="637" t="str">
        <f>T("Bidrag till konstnärer")</f>
        <v>Bidrag till konstnärer</v>
      </c>
      <c r="D629" s="428">
        <v>6917.1548700000003</v>
      </c>
      <c r="G629"/>
      <c r="H629"/>
      <c r="I629"/>
      <c r="J629"/>
      <c r="K629"/>
      <c r="L629"/>
    </row>
    <row r="630" spans="1:12">
      <c r="A630" s="429" t="str">
        <f t="shared" si="19"/>
        <v>17</v>
      </c>
      <c r="B630" s="429" t="str">
        <f>T("11C014 9596")</f>
        <v>11C014 9596</v>
      </c>
      <c r="C630" s="637" t="str">
        <f>T("Bidrag till fria teater-, dans- och musikgrupper m.m")</f>
        <v>Bidrag till fria teater-, dans- och musikgrupper m.m</v>
      </c>
      <c r="D630" s="428">
        <v>1841.174</v>
      </c>
      <c r="E630" s="428">
        <v>68.265000000000001</v>
      </c>
      <c r="G630"/>
      <c r="H630"/>
      <c r="I630"/>
      <c r="J630"/>
      <c r="K630"/>
      <c r="L630"/>
    </row>
    <row r="631" spans="1:12">
      <c r="A631" s="429" t="str">
        <f t="shared" si="19"/>
        <v>17</v>
      </c>
      <c r="B631" s="429" t="str">
        <f>T("11C017 9596")</f>
        <v>11C017 9596</v>
      </c>
      <c r="C631" s="637" t="str">
        <f>T("Litteraturstöd")</f>
        <v>Litteraturstöd</v>
      </c>
      <c r="D631" s="428">
        <v>3399.86</v>
      </c>
      <c r="E631" s="428">
        <v>831.98</v>
      </c>
      <c r="F631" s="428">
        <v>860.82970999999998</v>
      </c>
      <c r="G631"/>
      <c r="H631"/>
      <c r="I631"/>
      <c r="J631"/>
      <c r="K631"/>
      <c r="L631"/>
    </row>
    <row r="632" spans="1:12">
      <c r="A632" s="429" t="str">
        <f t="shared" si="19"/>
        <v>17</v>
      </c>
      <c r="B632" s="429" t="str">
        <f>T("11C018 9596")</f>
        <v>11C018 9596</v>
      </c>
      <c r="C632" s="637" t="str">
        <f>T("Stöd till kulturtidskrifter")</f>
        <v>Stöd till kulturtidskrifter</v>
      </c>
      <c r="D632" s="428">
        <v>110.9118</v>
      </c>
      <c r="G632"/>
      <c r="H632"/>
      <c r="I632"/>
      <c r="J632"/>
      <c r="K632"/>
      <c r="L632"/>
    </row>
    <row r="633" spans="1:12">
      <c r="A633" s="429" t="str">
        <f t="shared" si="19"/>
        <v>17</v>
      </c>
      <c r="B633" s="429" t="str">
        <f>T("11C019 9596")</f>
        <v>11C019 9596</v>
      </c>
      <c r="C633" s="637" t="str">
        <f>T("Stöd till bokhandel")</f>
        <v>Stöd till bokhandel</v>
      </c>
      <c r="D633" s="428">
        <v>1029.4000000000001</v>
      </c>
      <c r="E633" s="428">
        <v>4237.28</v>
      </c>
      <c r="F633" s="428">
        <v>1657.9</v>
      </c>
      <c r="G633"/>
      <c r="H633"/>
      <c r="I633"/>
      <c r="J633"/>
      <c r="K633"/>
      <c r="L633"/>
    </row>
    <row r="634" spans="1:12">
      <c r="A634" s="429" t="str">
        <f t="shared" si="19"/>
        <v>17</v>
      </c>
      <c r="B634" s="429" t="str">
        <f>T("11C020 9596")</f>
        <v>11C020 9596</v>
      </c>
      <c r="C634" s="637" t="str">
        <f>T("Bidrag till Stiftelsen för lättläst nyhetsinformation och li")</f>
        <v>Bidrag till Stiftelsen för lättläst nyhetsinformation och li</v>
      </c>
      <c r="D634" s="428">
        <v>0</v>
      </c>
      <c r="G634"/>
      <c r="H634"/>
      <c r="I634"/>
      <c r="J634"/>
      <c r="K634"/>
      <c r="L634"/>
    </row>
    <row r="635" spans="1:12">
      <c r="A635" s="429" t="str">
        <f t="shared" si="19"/>
        <v>17</v>
      </c>
      <c r="B635" s="429" t="str">
        <f>T("11C022 9596")</f>
        <v>11C022 9596</v>
      </c>
      <c r="C635" s="637" t="str">
        <f>T("Bidrag till Sveriges Dövas Riksförbund för produktion av vid")</f>
        <v>Bidrag till Sveriges Dövas Riksförbund för produktion av vid</v>
      </c>
      <c r="D635" s="428">
        <v>0</v>
      </c>
      <c r="G635"/>
      <c r="H635"/>
      <c r="I635"/>
      <c r="J635"/>
      <c r="K635"/>
      <c r="L635"/>
    </row>
    <row r="636" spans="1:12">
      <c r="A636" s="429" t="str">
        <f t="shared" si="19"/>
        <v>17</v>
      </c>
      <c r="B636" s="429" t="str">
        <f>T("11C025 9596")</f>
        <v>11C025 9596</v>
      </c>
      <c r="C636" s="637" t="str">
        <f>T("Förvärv av konst för statens byggnader m.m")</f>
        <v>Förvärv av konst för statens byggnader m.m</v>
      </c>
      <c r="D636" s="428">
        <v>487.7165</v>
      </c>
      <c r="E636" s="428">
        <v>4855.5249000000003</v>
      </c>
      <c r="G636"/>
      <c r="H636"/>
      <c r="I636"/>
      <c r="J636"/>
      <c r="K636"/>
      <c r="L636"/>
    </row>
    <row r="637" spans="1:12">
      <c r="A637" s="429" t="str">
        <f t="shared" si="19"/>
        <v>17</v>
      </c>
      <c r="B637" s="429" t="str">
        <f>T("11C027 9596")</f>
        <v>11C027 9596</v>
      </c>
      <c r="C637" s="637" t="str">
        <f>T("Utställningar av nutida svensk konst i utlandet")</f>
        <v>Utställningar av nutida svensk konst i utlandet</v>
      </c>
      <c r="D637" s="428">
        <v>-88</v>
      </c>
      <c r="G637"/>
      <c r="H637"/>
      <c r="I637"/>
      <c r="J637"/>
      <c r="K637"/>
      <c r="L637"/>
    </row>
    <row r="638" spans="1:12">
      <c r="A638" s="429" t="str">
        <f t="shared" si="19"/>
        <v>17</v>
      </c>
      <c r="B638" s="429" t="str">
        <f>T("11C029 9596")</f>
        <v>11C029 9596</v>
      </c>
      <c r="C638" s="637" t="str">
        <f>T("Stöd till svensk filmproduktion m m")</f>
        <v>Stöd till svensk filmproduktion m m</v>
      </c>
      <c r="D638" s="428">
        <v>0</v>
      </c>
      <c r="G638"/>
      <c r="H638"/>
      <c r="I638"/>
      <c r="J638"/>
      <c r="K638"/>
      <c r="L638"/>
    </row>
    <row r="639" spans="1:12">
      <c r="A639" s="429" t="str">
        <f t="shared" si="19"/>
        <v>17</v>
      </c>
      <c r="B639" s="429" t="str">
        <f>T("11C030 9596")</f>
        <v>11C030 9596</v>
      </c>
      <c r="C639" s="637" t="str">
        <f>T("Stöd till filmkulturell verksamhet")</f>
        <v>Stöd till filmkulturell verksamhet</v>
      </c>
      <c r="D639" s="428">
        <v>656.88699999999994</v>
      </c>
      <c r="G639"/>
      <c r="H639"/>
      <c r="I639"/>
      <c r="J639"/>
      <c r="K639"/>
      <c r="L639"/>
    </row>
    <row r="640" spans="1:12">
      <c r="A640" s="429" t="str">
        <f t="shared" si="19"/>
        <v>17</v>
      </c>
      <c r="B640" s="429" t="str">
        <f>T("11C031 9596")</f>
        <v>11C031 9596</v>
      </c>
      <c r="C640" s="637" t="str">
        <f>T("Stöd till fonogram och musikalier")</f>
        <v>Stöd till fonogram och musikalier</v>
      </c>
      <c r="D640" s="428">
        <v>4012.4140000000002</v>
      </c>
      <c r="E640" s="428">
        <v>1350.9</v>
      </c>
      <c r="F640" s="428">
        <v>2791.6798699999999</v>
      </c>
      <c r="G640"/>
      <c r="H640"/>
      <c r="I640"/>
      <c r="J640"/>
      <c r="K640"/>
      <c r="L640"/>
    </row>
    <row r="641" spans="1:12">
      <c r="A641" s="429" t="str">
        <f t="shared" si="19"/>
        <v>17</v>
      </c>
      <c r="B641" s="429" t="str">
        <f>T("11D006 9596")</f>
        <v>11D006 9596</v>
      </c>
      <c r="C641" s="637" t="str">
        <f>T("Forskning och dokumentation om medieutvecklingen m.m.")</f>
        <v>Forskning och dokumentation om medieutvecklingen m.m.</v>
      </c>
      <c r="D641" s="428">
        <v>0</v>
      </c>
    </row>
    <row r="642" spans="1:12">
      <c r="A642" s="429" t="str">
        <f t="shared" si="19"/>
        <v>17</v>
      </c>
      <c r="B642" s="429" t="str">
        <f>T("13B001 9596")</f>
        <v>13B001 9596</v>
      </c>
      <c r="C642" s="637" t="str">
        <f>T("Stöd till trossamfund m.m.")</f>
        <v>Stöd till trossamfund m.m.</v>
      </c>
      <c r="D642" s="428">
        <v>276.52999999999997</v>
      </c>
      <c r="E642" s="428">
        <v>8.0000000000000007E-5</v>
      </c>
    </row>
    <row r="643" spans="1:12">
      <c r="A643" s="429" t="str">
        <f t="shared" si="19"/>
        <v>17</v>
      </c>
      <c r="B643" s="429" t="str">
        <f>T("13D002 9596")</f>
        <v>13D002 9596</v>
      </c>
      <c r="C643" s="637" t="str">
        <f>T("Bidrag till nationell och internationell ungdomsverksamhet m")</f>
        <v>Bidrag till nationell och internationell ungdomsverksamhet m</v>
      </c>
      <c r="D643" s="428">
        <v>9171.5586500000009</v>
      </c>
      <c r="E643" s="428">
        <v>1385</v>
      </c>
      <c r="F643" s="428">
        <v>162.017</v>
      </c>
    </row>
    <row r="644" spans="1:12">
      <c r="A644" s="429" t="str">
        <f t="shared" si="19"/>
        <v>17</v>
      </c>
      <c r="B644" s="429" t="str">
        <f>T("13E004 9596")</f>
        <v>13E004 9596</v>
      </c>
      <c r="C644" s="637" t="str">
        <f>T("Utveckling av ideell verksamhet")</f>
        <v>Utveckling av ideell verksamhet</v>
      </c>
      <c r="D644" s="428">
        <v>1249.95</v>
      </c>
    </row>
    <row r="645" spans="1:12">
      <c r="A645" s="429" t="str">
        <f t="shared" si="19"/>
        <v>17</v>
      </c>
      <c r="B645" s="429" t="str">
        <f>T("13E006 9596")</f>
        <v>13E006 9596</v>
      </c>
      <c r="C645" s="637" t="str">
        <f>T("Stöd till idrotten")</f>
        <v>Stöd till idrotten</v>
      </c>
      <c r="D645" s="428">
        <v>718</v>
      </c>
      <c r="E645" s="428">
        <v>876.52099999999996</v>
      </c>
    </row>
    <row r="646" spans="1:12">
      <c r="A646" s="429" t="str">
        <f t="shared" si="19"/>
        <v>17</v>
      </c>
      <c r="B646" s="429" t="str">
        <f>T("1701001")</f>
        <v>1701001</v>
      </c>
      <c r="C646" s="637" t="str">
        <f>T("Statens kulturråd")</f>
        <v>Statens kulturråd</v>
      </c>
      <c r="D646" s="428">
        <v>26392.867040000001</v>
      </c>
      <c r="E646" s="428">
        <v>28499.249790000002</v>
      </c>
      <c r="F646" s="428">
        <v>31065.676380000001</v>
      </c>
      <c r="G646" s="428">
        <v>35781.180160000004</v>
      </c>
      <c r="H646" s="428">
        <v>36989.897290000001</v>
      </c>
      <c r="I646" s="428">
        <v>40144.298459999998</v>
      </c>
      <c r="J646" s="428">
        <v>41662.767659999998</v>
      </c>
      <c r="K646" s="428">
        <v>47162.914940000002</v>
      </c>
      <c r="L646" s="428">
        <v>45097.898159999997</v>
      </c>
    </row>
    <row r="647" spans="1:12">
      <c r="A647" s="429" t="str">
        <f t="shared" si="19"/>
        <v>17</v>
      </c>
      <c r="B647" s="429" t="str">
        <f>T("1701002")</f>
        <v>1701002</v>
      </c>
      <c r="C647" s="637" t="str">
        <f>T("Bidrag till allmän kulturverksamhet, utveckling samt internationellt kulturutbyte och samarbete")</f>
        <v>Bidrag till allmän kulturverksamhet, utveckling samt internationellt kulturutbyte och samarbete</v>
      </c>
      <c r="D647" s="428">
        <v>110205.29173</v>
      </c>
      <c r="E647" s="428">
        <v>123532.73128000001</v>
      </c>
      <c r="F647" s="428">
        <v>126066.63948</v>
      </c>
      <c r="G647" s="428">
        <v>129688.43345</v>
      </c>
      <c r="H647" s="428">
        <v>239773.15557</v>
      </c>
      <c r="I647" s="428">
        <v>166624.73319999999</v>
      </c>
      <c r="J647" s="428">
        <v>151709.23616999999</v>
      </c>
      <c r="K647" s="428">
        <v>157182.70989999999</v>
      </c>
      <c r="L647" s="428">
        <v>305232.02308999997</v>
      </c>
    </row>
    <row r="648" spans="1:12">
      <c r="A648" s="429" t="str">
        <f t="shared" si="19"/>
        <v>17</v>
      </c>
      <c r="B648" s="429" t="str">
        <f>T("1701003")</f>
        <v>1701003</v>
      </c>
      <c r="C648" s="637" t="str">
        <f>T("Skapande skola")</f>
        <v>Skapande skola</v>
      </c>
    </row>
    <row r="649" spans="1:12">
      <c r="A649" s="429" t="str">
        <f t="shared" si="19"/>
        <v>17</v>
      </c>
      <c r="B649" s="429" t="str">
        <f>T("1701004")</f>
        <v>1701004</v>
      </c>
      <c r="C649" s="637" t="str">
        <f>T("Forsknings- och utvecklingsinsatser inom kulturområdet")</f>
        <v>Forsknings- och utvecklingsinsatser inom kulturområdet</v>
      </c>
      <c r="D649" s="428">
        <v>41482.611519999999</v>
      </c>
      <c r="E649" s="428">
        <v>40646.498070000001</v>
      </c>
      <c r="F649" s="428">
        <v>37239.163289999997</v>
      </c>
      <c r="G649" s="428">
        <v>35987.07288</v>
      </c>
      <c r="H649" s="428">
        <v>35587.64357</v>
      </c>
      <c r="I649" s="428">
        <v>37134.22176</v>
      </c>
      <c r="J649" s="428">
        <v>33023.305419999997</v>
      </c>
      <c r="K649" s="428">
        <v>35746.913610000003</v>
      </c>
      <c r="L649" s="428">
        <v>30747.660329999999</v>
      </c>
    </row>
    <row r="650" spans="1:12">
      <c r="A650" s="429" t="str">
        <f t="shared" si="19"/>
        <v>17</v>
      </c>
      <c r="B650" s="429" t="str">
        <f>T("1701004 2010")</f>
        <v>1701004 2010</v>
      </c>
      <c r="C650" s="637" t="str">
        <f>T("Försöksverksamhet med ändrad regional fördelning av kulturpolitiska medel")</f>
        <v>Försöksverksamhet med ändrad regional fördelning av kulturpolitiska medel</v>
      </c>
      <c r="E650" s="428">
        <v>68713</v>
      </c>
      <c r="F650" s="428">
        <v>138626</v>
      </c>
      <c r="G650" s="428">
        <v>141056</v>
      </c>
      <c r="H650" s="428">
        <v>143073</v>
      </c>
      <c r="I650" s="428">
        <v>162815</v>
      </c>
      <c r="J650" s="428">
        <v>136845</v>
      </c>
      <c r="K650" s="428">
        <v>145183</v>
      </c>
      <c r="L650" s="428">
        <v>147479</v>
      </c>
    </row>
    <row r="651" spans="1:12">
      <c r="A651" s="429" t="str">
        <f t="shared" si="19"/>
        <v>17</v>
      </c>
      <c r="B651" s="429" t="str">
        <f>T("1701005")</f>
        <v>1701005</v>
      </c>
      <c r="C651" s="637" t="str">
        <f>T("Stöd till icke-statliga kulturlokaler")</f>
        <v>Stöd till icke-statliga kulturlokaler</v>
      </c>
      <c r="D651" s="428">
        <v>6574</v>
      </c>
      <c r="E651" s="428">
        <v>16245</v>
      </c>
      <c r="F651" s="428">
        <v>3821</v>
      </c>
      <c r="G651" s="428">
        <v>8525</v>
      </c>
      <c r="H651" s="428">
        <v>15425</v>
      </c>
      <c r="I651" s="428">
        <v>6000</v>
      </c>
      <c r="J651" s="428">
        <v>11191.312</v>
      </c>
      <c r="K651" s="428">
        <v>1883.8320000000001</v>
      </c>
      <c r="L651" s="428">
        <v>6707.5140000000001</v>
      </c>
    </row>
    <row r="652" spans="1:12">
      <c r="A652" s="429" t="str">
        <f t="shared" si="19"/>
        <v>17</v>
      </c>
      <c r="B652" s="429" t="str">
        <f>T("1701006")</f>
        <v>1701006</v>
      </c>
      <c r="C652" s="637" t="str">
        <f>T("Bidrag till regional kulturverksamhet")</f>
        <v>Bidrag till regional kulturverksamhet</v>
      </c>
    </row>
    <row r="653" spans="1:12">
      <c r="A653" s="429" t="str">
        <f t="shared" si="19"/>
        <v>17</v>
      </c>
      <c r="B653" s="429" t="str">
        <f>T("1701007")</f>
        <v>1701007</v>
      </c>
      <c r="C653" s="637" t="str">
        <f>T("Myndigheten för kulturanalys")</f>
        <v>Myndigheten för kulturanalys</v>
      </c>
    </row>
    <row r="654" spans="1:12">
      <c r="A654" s="429" t="str">
        <f t="shared" si="19"/>
        <v>17</v>
      </c>
      <c r="B654" s="429" t="str">
        <f>T("1701007 2009")</f>
        <v>1701007 2009</v>
      </c>
      <c r="C654" s="637" t="str">
        <f>T("Sysselsättningsåtgärder inom kulturområdet")</f>
        <v>Sysselsättningsåtgärder inom kulturområdet</v>
      </c>
    </row>
    <row r="655" spans="1:12">
      <c r="A655" s="429" t="str">
        <f t="shared" si="19"/>
        <v>17</v>
      </c>
      <c r="B655" s="429" t="str">
        <f>T("1702001")</f>
        <v>1702001</v>
      </c>
      <c r="C655" s="637" t="str">
        <f>T("Bidrag till Operan, Dramaten, Riksteatern, Dansens Hus, Drottningholms slottsteater och Voksenåsen")</f>
        <v>Bidrag till Operan, Dramaten, Riksteatern, Dansens Hus, Drottningholms slottsteater och Voksenåsen</v>
      </c>
      <c r="D655" s="428">
        <v>712253.88399999996</v>
      </c>
      <c r="E655" s="428">
        <v>727075.69799999997</v>
      </c>
      <c r="F655" s="428">
        <v>750501</v>
      </c>
      <c r="G655" s="428">
        <v>764055</v>
      </c>
      <c r="H655" s="428">
        <v>774263.23199999996</v>
      </c>
      <c r="I655" s="428">
        <v>806811</v>
      </c>
      <c r="J655" s="428">
        <v>822534</v>
      </c>
      <c r="K655" s="428">
        <v>850974</v>
      </c>
      <c r="L655" s="428">
        <v>856546</v>
      </c>
    </row>
    <row r="656" spans="1:12">
      <c r="A656" s="429" t="str">
        <f t="shared" si="19"/>
        <v>17</v>
      </c>
      <c r="B656" s="429" t="str">
        <f>T("1702002")</f>
        <v>1702002</v>
      </c>
      <c r="C656" s="637" t="str">
        <f>T("Bidrag till vissa teater-, dans- och musikändamål")</f>
        <v>Bidrag till vissa teater-, dans- och musikändamål</v>
      </c>
      <c r="D656" s="428">
        <v>85327.490999999995</v>
      </c>
      <c r="E656" s="428">
        <v>96877.904460000005</v>
      </c>
      <c r="F656" s="428">
        <v>110298.86695</v>
      </c>
      <c r="G656" s="428">
        <v>115117.94941</v>
      </c>
      <c r="H656" s="428">
        <v>111538.48318</v>
      </c>
      <c r="I656" s="428">
        <v>137091.92417000001</v>
      </c>
      <c r="J656" s="428">
        <v>138145.60425999999</v>
      </c>
      <c r="K656" s="428">
        <v>144080.78326</v>
      </c>
      <c r="L656" s="428">
        <v>138372.01495000001</v>
      </c>
    </row>
    <row r="657" spans="1:12">
      <c r="A657" s="429" t="str">
        <f t="shared" si="19"/>
        <v>17</v>
      </c>
      <c r="B657" s="429" t="str">
        <f>T("1702002 2010")</f>
        <v>1702002 2010</v>
      </c>
      <c r="C657" s="637" t="str">
        <f>T("Bidrag till regional musikverksamhet samt regionala och lokala teater-, dans- och musikinstitutioner")</f>
        <v>Bidrag till regional musikverksamhet samt regionala och lokala teater-, dans- och musikinstitutioner</v>
      </c>
      <c r="D657" s="428">
        <v>663825.81350000005</v>
      </c>
      <c r="E657" s="428">
        <v>604511.76100000006</v>
      </c>
      <c r="F657" s="428">
        <v>532223</v>
      </c>
      <c r="G657" s="428">
        <v>537249.99971999996</v>
      </c>
      <c r="H657" s="428">
        <v>544493.72184999997</v>
      </c>
      <c r="I657" s="428">
        <v>647149.44900000002</v>
      </c>
      <c r="J657" s="428">
        <v>691927.67602999997</v>
      </c>
      <c r="K657" s="428">
        <v>722904.17417999997</v>
      </c>
      <c r="L657" s="428">
        <v>737609.89295999997</v>
      </c>
    </row>
    <row r="658" spans="1:12">
      <c r="A658" s="429" t="str">
        <f t="shared" si="19"/>
        <v>17</v>
      </c>
      <c r="B658" s="429" t="str">
        <f>T("1702003")</f>
        <v>1702003</v>
      </c>
      <c r="C658" s="637" t="str">
        <f>T("Statens musikverk")</f>
        <v>Statens musikverk</v>
      </c>
    </row>
    <row r="659" spans="1:12">
      <c r="A659" s="429" t="str">
        <f t="shared" si="19"/>
        <v>17</v>
      </c>
      <c r="B659" s="429" t="str">
        <f>T("1703001")</f>
        <v>1703001</v>
      </c>
      <c r="C659" s="637" t="str">
        <f>T("Bidrag till litteratur och kulturtidskrifter")</f>
        <v>Bidrag till litteratur och kulturtidskrifter</v>
      </c>
    </row>
    <row r="660" spans="1:12">
      <c r="A660" s="429" t="str">
        <f t="shared" si="19"/>
        <v>17</v>
      </c>
      <c r="B660" s="429" t="str">
        <f>T("1703001 2010")</f>
        <v>1703001 2010</v>
      </c>
      <c r="C660" s="637" t="str">
        <f>T("Bidrag till biblioteksverksamhet")</f>
        <v>Bidrag till biblioteksverksamhet</v>
      </c>
      <c r="D660" s="428">
        <v>37482</v>
      </c>
      <c r="E660" s="428">
        <v>36872</v>
      </c>
      <c r="F660" s="428">
        <v>35740</v>
      </c>
      <c r="G660" s="428">
        <v>36140</v>
      </c>
      <c r="H660" s="428">
        <v>36657</v>
      </c>
      <c r="I660" s="428">
        <v>40432.960160000002</v>
      </c>
      <c r="J660" s="428">
        <v>42829.2598</v>
      </c>
      <c r="K660" s="428">
        <v>44997.318180000002</v>
      </c>
      <c r="L660" s="428">
        <v>45509.146789999999</v>
      </c>
    </row>
    <row r="661" spans="1:12">
      <c r="A661" s="429" t="str">
        <f t="shared" si="19"/>
        <v>17</v>
      </c>
      <c r="B661" s="429" t="str">
        <f>T("1703002")</f>
        <v>1703002</v>
      </c>
      <c r="C661" s="637" t="str">
        <f>T("Myndigheten för tillgängliga medier")</f>
        <v>Myndigheten för tillgängliga medier</v>
      </c>
      <c r="D661" s="428">
        <v>52344.036359999998</v>
      </c>
      <c r="E661" s="428">
        <v>55988.079660000003</v>
      </c>
      <c r="F661" s="428">
        <v>57249.719799999999</v>
      </c>
      <c r="G661" s="428">
        <v>63556.317900000002</v>
      </c>
      <c r="H661" s="428">
        <v>66839.276490000004</v>
      </c>
      <c r="I661" s="428">
        <v>67729.546919999993</v>
      </c>
      <c r="J661" s="428">
        <v>62690.479350000001</v>
      </c>
      <c r="K661" s="428">
        <v>69976.613530000002</v>
      </c>
      <c r="L661" s="428">
        <v>65563.045639999997</v>
      </c>
    </row>
    <row r="662" spans="1:12">
      <c r="A662" s="429" t="str">
        <f t="shared" si="19"/>
        <v>17</v>
      </c>
      <c r="B662" s="429" t="str">
        <f>T("1703003")</f>
        <v>1703003</v>
      </c>
      <c r="C662" s="637" t="str">
        <f>T("Bidrag till Stiftelsen för lättläst nyhetsinformation och litteratur")</f>
        <v>Bidrag till Stiftelsen för lättläst nyhetsinformation och litteratur</v>
      </c>
      <c r="D662" s="428">
        <v>12970</v>
      </c>
      <c r="E662" s="428">
        <v>13056</v>
      </c>
      <c r="F662" s="428">
        <v>13305</v>
      </c>
      <c r="G662" s="428">
        <v>13517</v>
      </c>
      <c r="H662" s="428">
        <v>14211</v>
      </c>
      <c r="I662" s="428">
        <v>14433</v>
      </c>
      <c r="J662" s="428">
        <v>14937</v>
      </c>
      <c r="K662" s="428">
        <v>15273</v>
      </c>
      <c r="L662" s="428">
        <v>15356</v>
      </c>
    </row>
    <row r="663" spans="1:12">
      <c r="A663" s="429" t="str">
        <f t="shared" si="19"/>
        <v>17</v>
      </c>
      <c r="B663" s="429" t="str">
        <f>T("1703004")</f>
        <v>1703004</v>
      </c>
      <c r="C663" s="637" t="str">
        <f>T("Institutet för språk och folkminnen")</f>
        <v>Institutet för språk och folkminnen</v>
      </c>
      <c r="D663" s="428">
        <v>31398.927210000002</v>
      </c>
      <c r="E663" s="428">
        <v>27087.666720000001</v>
      </c>
      <c r="F663" s="428">
        <v>25418.300500000001</v>
      </c>
      <c r="G663" s="428">
        <v>25673.628250000002</v>
      </c>
      <c r="H663" s="428">
        <v>24743.988539999998</v>
      </c>
      <c r="I663" s="428">
        <v>26292.768039999999</v>
      </c>
      <c r="J663" s="428">
        <v>28796.94785</v>
      </c>
      <c r="K663" s="428">
        <v>31070.974320000001</v>
      </c>
      <c r="L663" s="428">
        <v>28621.4761</v>
      </c>
    </row>
    <row r="664" spans="1:12">
      <c r="A664" s="429" t="str">
        <f t="shared" si="19"/>
        <v>17</v>
      </c>
      <c r="B664" s="429" t="str">
        <f>T("1704001")</f>
        <v>1704001</v>
      </c>
      <c r="C664" s="637" t="str">
        <f>T("Statens konstråd")</f>
        <v>Statens konstråd</v>
      </c>
      <c r="D664" s="428">
        <v>4397.1945800000003</v>
      </c>
      <c r="E664" s="428">
        <v>4621.92011</v>
      </c>
      <c r="F664" s="428">
        <v>5014.3403600000001</v>
      </c>
      <c r="G664" s="428">
        <v>5119.9852799999999</v>
      </c>
      <c r="H664" s="428">
        <v>5744.5273500000003</v>
      </c>
      <c r="I664" s="428">
        <v>6056.5564400000003</v>
      </c>
      <c r="J664" s="428">
        <v>6523.1938899999996</v>
      </c>
      <c r="K664" s="428">
        <v>7956.11636</v>
      </c>
      <c r="L664" s="428">
        <v>7466.7289899999996</v>
      </c>
    </row>
    <row r="665" spans="1:12">
      <c r="A665" s="429" t="str">
        <f t="shared" si="19"/>
        <v>17</v>
      </c>
      <c r="B665" s="429" t="str">
        <f>T("1704002")</f>
        <v>1704002</v>
      </c>
      <c r="C665" s="637" t="str">
        <f>T("Konstnärlig gestaltning av den gemensamma miljön")</f>
        <v>Konstnärlig gestaltning av den gemensamma miljön</v>
      </c>
      <c r="D665" s="428">
        <v>31723.86289</v>
      </c>
      <c r="E665" s="428">
        <v>37366.248610000002</v>
      </c>
      <c r="F665" s="428">
        <v>42757.928359999998</v>
      </c>
      <c r="G665" s="428">
        <v>42611.05287</v>
      </c>
      <c r="H665" s="428">
        <v>41158.115720000002</v>
      </c>
      <c r="I665" s="428">
        <v>40210.653509999996</v>
      </c>
      <c r="J665" s="428">
        <v>38920.386760000001</v>
      </c>
      <c r="K665" s="428">
        <v>43813.498180000002</v>
      </c>
      <c r="L665" s="428">
        <v>28356.387360000001</v>
      </c>
    </row>
    <row r="666" spans="1:12">
      <c r="A666" s="429" t="str">
        <f t="shared" si="19"/>
        <v>17</v>
      </c>
      <c r="B666" s="429" t="str">
        <f>T("1704003")</f>
        <v>1704003</v>
      </c>
      <c r="C666" s="637" t="str">
        <f>T("Nämnden för hemslöjdsfrågor")</f>
        <v>Nämnden för hemslöjdsfrågor</v>
      </c>
      <c r="D666" s="428">
        <v>1211.17418</v>
      </c>
      <c r="E666" s="428">
        <v>1063.50307</v>
      </c>
      <c r="F666" s="428">
        <v>1431.71651</v>
      </c>
      <c r="G666" s="428">
        <v>1492.82089</v>
      </c>
      <c r="H666" s="428">
        <v>1513.8077499999999</v>
      </c>
      <c r="I666" s="428">
        <v>1544.4422199999999</v>
      </c>
      <c r="J666" s="428">
        <v>1800.60366</v>
      </c>
      <c r="K666" s="428">
        <v>1867.3292100000001</v>
      </c>
      <c r="L666" s="428">
        <v>1839.01207</v>
      </c>
    </row>
    <row r="667" spans="1:12">
      <c r="A667" s="429" t="str">
        <f t="shared" si="19"/>
        <v>17</v>
      </c>
      <c r="B667" s="429" t="str">
        <f>T("1704004")</f>
        <v>1704004</v>
      </c>
      <c r="C667" s="637" t="str">
        <f>T("Bidrag till bild- och formområdet")</f>
        <v>Bidrag till bild- och formområdet</v>
      </c>
      <c r="D667" s="428">
        <v>14741</v>
      </c>
      <c r="E667" s="428">
        <v>14741</v>
      </c>
      <c r="F667" s="428">
        <v>27273.338520000001</v>
      </c>
      <c r="G667" s="428">
        <v>27809.39099</v>
      </c>
      <c r="H667" s="428">
        <v>29102.731489999998</v>
      </c>
      <c r="I667" s="428">
        <v>29633.918000000001</v>
      </c>
      <c r="J667" s="428">
        <v>29800.753000000001</v>
      </c>
      <c r="K667" s="428">
        <v>29912.832999999999</v>
      </c>
      <c r="L667" s="428">
        <v>27653.896000000001</v>
      </c>
    </row>
    <row r="668" spans="1:12">
      <c r="A668" s="429" t="str">
        <f t="shared" si="19"/>
        <v>17</v>
      </c>
      <c r="B668" s="429" t="str">
        <f>T("1704004 2010")</f>
        <v>1704004 2010</v>
      </c>
      <c r="C668" s="637" t="str">
        <f>T("Främjande av hemslöjden")</f>
        <v>Främjande av hemslöjden</v>
      </c>
      <c r="D668" s="428">
        <v>16358.9216</v>
      </c>
      <c r="E668" s="428">
        <v>16794.623769999998</v>
      </c>
      <c r="F668" s="428">
        <v>17087.239989999998</v>
      </c>
      <c r="G668" s="428">
        <v>17417.41041</v>
      </c>
      <c r="H668" s="428">
        <v>17619.31179</v>
      </c>
      <c r="I668" s="428">
        <v>18542.85715</v>
      </c>
      <c r="J668" s="428">
        <v>19072.95089</v>
      </c>
      <c r="K668" s="428">
        <v>20587.619500000001</v>
      </c>
      <c r="L668" s="428">
        <v>20061.149130000002</v>
      </c>
    </row>
    <row r="669" spans="1:12">
      <c r="A669" s="429" t="str">
        <f t="shared" si="19"/>
        <v>17</v>
      </c>
      <c r="B669" s="429" t="str">
        <f>T("1705001")</f>
        <v>1705001</v>
      </c>
      <c r="C669" s="637" t="str">
        <f>T("Konstnärsnämnden")</f>
        <v>Konstnärsnämnden</v>
      </c>
      <c r="D669" s="428">
        <v>8571.5752300000004</v>
      </c>
      <c r="E669" s="428">
        <v>9334.6840400000001</v>
      </c>
      <c r="F669" s="428">
        <v>9978.6679600000007</v>
      </c>
      <c r="G669" s="428">
        <v>10079.74727</v>
      </c>
      <c r="H669" s="428">
        <v>9922.8305799999998</v>
      </c>
      <c r="I669" s="428">
        <v>10512.99734</v>
      </c>
      <c r="J669" s="428">
        <v>11665.822560000001</v>
      </c>
      <c r="K669" s="428">
        <v>11947.34224</v>
      </c>
      <c r="L669" s="428">
        <v>12928.74705</v>
      </c>
    </row>
    <row r="670" spans="1:12">
      <c r="A670" s="429" t="str">
        <f t="shared" si="19"/>
        <v>17</v>
      </c>
      <c r="B670" s="429" t="str">
        <f>T("1705002")</f>
        <v>1705002</v>
      </c>
      <c r="C670" s="637" t="str">
        <f>T("Ersättningar och bidrag till konstnärer")</f>
        <v>Ersättningar och bidrag till konstnärer</v>
      </c>
      <c r="D670" s="428">
        <v>219650.70853</v>
      </c>
      <c r="E670" s="428">
        <v>243152.87242</v>
      </c>
      <c r="F670" s="428">
        <v>248850.95845000001</v>
      </c>
      <c r="G670" s="428">
        <v>259079.32105999999</v>
      </c>
      <c r="H670" s="428">
        <v>261752.97646000001</v>
      </c>
      <c r="I670" s="428">
        <v>263714.52198000002</v>
      </c>
      <c r="J670" s="428">
        <v>272971.55515999999</v>
      </c>
      <c r="K670" s="428">
        <v>300196.31498999998</v>
      </c>
      <c r="L670" s="428">
        <v>286997.52691999997</v>
      </c>
    </row>
    <row r="671" spans="1:12">
      <c r="A671" s="429" t="str">
        <f t="shared" si="19"/>
        <v>17</v>
      </c>
      <c r="B671" s="429" t="str">
        <f>T("1706001")</f>
        <v>1706001</v>
      </c>
      <c r="C671" s="637" t="str">
        <f>T("Riksarkivet")</f>
        <v>Riksarkivet</v>
      </c>
      <c r="D671" s="428">
        <v>231414.25769</v>
      </c>
      <c r="E671" s="428">
        <v>238877.57631999999</v>
      </c>
      <c r="F671" s="428">
        <v>233096.91873999999</v>
      </c>
      <c r="G671" s="428">
        <v>245870.79032</v>
      </c>
      <c r="H671" s="428">
        <v>253794.92502</v>
      </c>
      <c r="I671" s="428">
        <v>260116.27901</v>
      </c>
      <c r="J671" s="428">
        <v>289387.13942999998</v>
      </c>
      <c r="K671" s="428">
        <v>295442.16726000002</v>
      </c>
      <c r="L671" s="428">
        <v>295461.07221000001</v>
      </c>
    </row>
    <row r="672" spans="1:12">
      <c r="A672" s="429" t="str">
        <f t="shared" si="19"/>
        <v>17</v>
      </c>
      <c r="B672" s="429" t="str">
        <f>T("1706002 2010")</f>
        <v>1706002 2010</v>
      </c>
      <c r="C672" s="637" t="str">
        <f>T("Bidrag till regional arkivverksamhet")</f>
        <v>Bidrag till regional arkivverksamhet</v>
      </c>
      <c r="E672" s="428">
        <v>2320</v>
      </c>
      <c r="F672" s="428">
        <v>2982</v>
      </c>
      <c r="G672" s="428">
        <v>4632.4859999999999</v>
      </c>
      <c r="H672" s="428">
        <v>4699</v>
      </c>
      <c r="I672" s="428">
        <v>4799</v>
      </c>
      <c r="J672" s="428">
        <v>4937</v>
      </c>
      <c r="K672" s="428">
        <v>5152.9939999999997</v>
      </c>
      <c r="L672" s="428">
        <v>5869.9960000000001</v>
      </c>
    </row>
    <row r="673" spans="1:12">
      <c r="A673" s="429" t="str">
        <f t="shared" si="19"/>
        <v>17</v>
      </c>
      <c r="B673" s="429" t="str">
        <f>T("1707001")</f>
        <v>1707001</v>
      </c>
      <c r="C673" s="637" t="str">
        <f>T("Riksantikvarieämbetet")</f>
        <v>Riksantikvarieämbetet</v>
      </c>
      <c r="D673" s="428">
        <v>142966.56450000001</v>
      </c>
      <c r="E673" s="428">
        <v>145973.16274999999</v>
      </c>
      <c r="F673" s="428">
        <v>154571.38172</v>
      </c>
      <c r="G673" s="428">
        <v>157042.82101000001</v>
      </c>
      <c r="H673" s="428">
        <v>160691.75248</v>
      </c>
      <c r="I673" s="428">
        <v>159321.44185999999</v>
      </c>
      <c r="J673" s="428">
        <v>172264.60806999999</v>
      </c>
      <c r="K673" s="428">
        <v>188496.69154999999</v>
      </c>
      <c r="L673" s="428">
        <v>189459.58339000001</v>
      </c>
    </row>
    <row r="674" spans="1:12">
      <c r="A674" s="429" t="str">
        <f t="shared" si="19"/>
        <v>17</v>
      </c>
      <c r="B674" s="429" t="str">
        <f>T("1707002")</f>
        <v>1707002</v>
      </c>
      <c r="C674" s="637" t="str">
        <f>T("Bidrag till kulturmiljövård")</f>
        <v>Bidrag till kulturmiljövård</v>
      </c>
      <c r="D674" s="428">
        <v>178523.00012000001</v>
      </c>
      <c r="E674" s="428">
        <v>196927.99077999999</v>
      </c>
      <c r="F674" s="428">
        <v>327743.20376</v>
      </c>
      <c r="G674" s="428">
        <v>242319.73024999999</v>
      </c>
      <c r="H674" s="428">
        <v>253818.89343</v>
      </c>
      <c r="I674" s="428">
        <v>280132.75579000002</v>
      </c>
      <c r="J674" s="428">
        <v>264501.86836000002</v>
      </c>
      <c r="K674" s="428">
        <v>259045.46622999999</v>
      </c>
      <c r="L674" s="428">
        <v>249125.46909999999</v>
      </c>
    </row>
    <row r="675" spans="1:12">
      <c r="A675" s="429" t="str">
        <f t="shared" si="19"/>
        <v>17</v>
      </c>
      <c r="B675" s="429" t="str">
        <f>T("1707003")</f>
        <v>1707003</v>
      </c>
      <c r="C675" s="637" t="str">
        <f>T("Kyrkoantikvarisk ersättning")</f>
        <v>Kyrkoantikvarisk ersättning</v>
      </c>
      <c r="I675" s="428">
        <v>50000</v>
      </c>
      <c r="J675" s="428">
        <v>100000</v>
      </c>
      <c r="K675" s="428">
        <v>150000</v>
      </c>
      <c r="L675" s="428">
        <v>200000</v>
      </c>
    </row>
    <row r="676" spans="1:12">
      <c r="A676" s="429" t="str">
        <f t="shared" si="19"/>
        <v>17</v>
      </c>
      <c r="B676" s="429" t="str">
        <f>T("1708001")</f>
        <v>1708001</v>
      </c>
      <c r="C676" s="637" t="str">
        <f>T("Centrala museer: Myndigheter")</f>
        <v>Centrala museer: Myndigheter</v>
      </c>
      <c r="D676" s="428">
        <v>493595.63364999997</v>
      </c>
      <c r="E676" s="428">
        <v>574106.97959999996</v>
      </c>
      <c r="F676" s="428">
        <v>610026.79616999999</v>
      </c>
      <c r="G676" s="428">
        <v>656176.80463000003</v>
      </c>
      <c r="H676" s="428">
        <v>660467.63026000001</v>
      </c>
      <c r="I676" s="428">
        <v>671937.17659000005</v>
      </c>
      <c r="J676" s="428">
        <v>738528.37800999999</v>
      </c>
      <c r="K676" s="428">
        <v>836762.66417999996</v>
      </c>
      <c r="L676" s="428">
        <v>858742.5111</v>
      </c>
    </row>
    <row r="677" spans="1:12">
      <c r="A677" s="429" t="str">
        <f t="shared" si="19"/>
        <v>17</v>
      </c>
      <c r="B677" s="429" t="str">
        <f>T("1708002")</f>
        <v>1708002</v>
      </c>
      <c r="C677" s="637" t="str">
        <f>T("Centrala museer: Stiftelser")</f>
        <v>Centrala museer: Stiftelser</v>
      </c>
      <c r="D677" s="428">
        <v>168525</v>
      </c>
      <c r="E677" s="428">
        <v>173050</v>
      </c>
      <c r="F677" s="428">
        <v>172897</v>
      </c>
      <c r="G677" s="428">
        <v>173999</v>
      </c>
      <c r="H677" s="428">
        <v>192405</v>
      </c>
      <c r="I677" s="428">
        <v>195304</v>
      </c>
      <c r="J677" s="428">
        <v>202357</v>
      </c>
      <c r="K677" s="428">
        <v>206247</v>
      </c>
      <c r="L677" s="428">
        <v>218045</v>
      </c>
    </row>
    <row r="678" spans="1:12">
      <c r="A678" s="429" t="str">
        <f t="shared" si="19"/>
        <v>17</v>
      </c>
      <c r="B678" s="429" t="str">
        <f>T("1708003")</f>
        <v>1708003</v>
      </c>
      <c r="C678" s="637" t="str">
        <f>T("Bidrag till vissa museer")</f>
        <v>Bidrag till vissa museer</v>
      </c>
      <c r="D678" s="428">
        <v>38451</v>
      </c>
      <c r="E678" s="428">
        <v>39504</v>
      </c>
      <c r="F678" s="428">
        <v>41298</v>
      </c>
      <c r="G678" s="428">
        <v>40689</v>
      </c>
      <c r="H678" s="428">
        <v>30764</v>
      </c>
      <c r="I678" s="428">
        <v>39215</v>
      </c>
      <c r="J678" s="428">
        <v>53876</v>
      </c>
      <c r="K678" s="428">
        <v>50021</v>
      </c>
      <c r="L678" s="428">
        <v>51430</v>
      </c>
    </row>
    <row r="679" spans="1:12">
      <c r="A679" s="429" t="str">
        <f t="shared" si="19"/>
        <v>17</v>
      </c>
      <c r="B679" s="429" t="str">
        <f>T("1708003 2010")</f>
        <v>1708003 2010</v>
      </c>
      <c r="C679" s="637" t="str">
        <f>T("Bidrag till regionala museer")</f>
        <v>Bidrag till regionala museer</v>
      </c>
      <c r="D679" s="428">
        <v>105680</v>
      </c>
      <c r="E679" s="428">
        <v>104482.72500000001</v>
      </c>
      <c r="F679" s="428">
        <v>102271</v>
      </c>
      <c r="G679" s="428">
        <v>103416</v>
      </c>
      <c r="H679" s="428">
        <v>117814.63336000001</v>
      </c>
      <c r="I679" s="428">
        <v>137350</v>
      </c>
      <c r="J679" s="428">
        <v>143527.77600000001</v>
      </c>
      <c r="K679" s="428">
        <v>139055</v>
      </c>
      <c r="L679" s="428">
        <v>149107</v>
      </c>
    </row>
    <row r="680" spans="1:12">
      <c r="A680" s="429" t="str">
        <f t="shared" si="19"/>
        <v>17</v>
      </c>
      <c r="B680" s="429" t="str">
        <f>T("1708004")</f>
        <v>1708004</v>
      </c>
      <c r="C680" s="637" t="str">
        <f>T("Riksutställningar")</f>
        <v>Riksutställningar</v>
      </c>
      <c r="D680" s="428">
        <v>33849</v>
      </c>
      <c r="E680" s="428">
        <v>31868.036789999998</v>
      </c>
      <c r="F680" s="428">
        <v>36302.06308</v>
      </c>
      <c r="G680" s="428">
        <v>37978.83713</v>
      </c>
      <c r="H680" s="428">
        <v>38813.2889</v>
      </c>
      <c r="I680" s="428">
        <v>40319.003019999996</v>
      </c>
      <c r="J680" s="428">
        <v>42021.63884</v>
      </c>
      <c r="K680" s="428">
        <v>46233.987379999999</v>
      </c>
      <c r="L680" s="428">
        <v>44119.578580000001</v>
      </c>
    </row>
    <row r="681" spans="1:12">
      <c r="A681" s="429" t="str">
        <f t="shared" si="19"/>
        <v>17</v>
      </c>
      <c r="B681" s="429" t="str">
        <f>T("1708005")</f>
        <v>1708005</v>
      </c>
      <c r="C681" s="637" t="str">
        <f>T("Forum för levande historia")</f>
        <v>Forum för levande historia</v>
      </c>
      <c r="J681" s="428">
        <v>28348.920040000001</v>
      </c>
      <c r="K681" s="428">
        <v>42830.648569999998</v>
      </c>
      <c r="L681" s="428">
        <v>41932.743479999997</v>
      </c>
    </row>
    <row r="682" spans="1:12">
      <c r="A682" s="429" t="str">
        <f t="shared" si="19"/>
        <v>17</v>
      </c>
      <c r="B682" s="429" t="str">
        <f>T("1708006")</f>
        <v>1708006</v>
      </c>
      <c r="C682" s="637" t="str">
        <f>T("Statliga utställningsgarantier och inköp av vissa kulturföremål")</f>
        <v>Statliga utställningsgarantier och inköp av vissa kulturföremål</v>
      </c>
      <c r="E682" s="428">
        <v>79</v>
      </c>
      <c r="F682" s="428">
        <v>150.30000000000001</v>
      </c>
      <c r="G682" s="428">
        <v>79</v>
      </c>
      <c r="H682" s="428">
        <v>0</v>
      </c>
      <c r="I682" s="428">
        <v>0</v>
      </c>
      <c r="J682" s="428">
        <v>50</v>
      </c>
      <c r="K682" s="428">
        <v>10</v>
      </c>
      <c r="L682" s="428">
        <v>1</v>
      </c>
    </row>
    <row r="683" spans="1:12">
      <c r="A683" s="429" t="str">
        <f t="shared" si="19"/>
        <v>17</v>
      </c>
      <c r="B683" s="429" t="str">
        <f>T("1709001")</f>
        <v>1709001</v>
      </c>
      <c r="C683" s="637" t="str">
        <f>T("Nämnden för statligt stöd till trossamfund")</f>
        <v>Nämnden för statligt stöd till trossamfund</v>
      </c>
      <c r="H683" s="428">
        <v>2429.1950299999999</v>
      </c>
      <c r="I683" s="428">
        <v>2469.7253300000002</v>
      </c>
      <c r="J683" s="428">
        <v>3267.9980700000001</v>
      </c>
      <c r="K683" s="428">
        <v>3633.7551199999998</v>
      </c>
      <c r="L683" s="428">
        <v>3808.9355399999999</v>
      </c>
    </row>
    <row r="684" spans="1:12">
      <c r="A684" s="429" t="str">
        <f t="shared" si="19"/>
        <v>17</v>
      </c>
      <c r="B684" s="429" t="str">
        <f>T("1709002")</f>
        <v>1709002</v>
      </c>
      <c r="C684" s="637" t="str">
        <f>T("Stöd till trossamfund")</f>
        <v>Stöd till trossamfund</v>
      </c>
      <c r="D684" s="428">
        <v>57298.47</v>
      </c>
      <c r="E684" s="428">
        <v>55700</v>
      </c>
      <c r="F684" s="428">
        <v>54700</v>
      </c>
      <c r="G684" s="428">
        <v>51897.695610000002</v>
      </c>
      <c r="H684" s="428">
        <v>48494.785499999998</v>
      </c>
      <c r="I684" s="428">
        <v>49420.959499999997</v>
      </c>
      <c r="J684" s="428">
        <v>49586.16</v>
      </c>
      <c r="K684" s="428">
        <v>49872.444000000003</v>
      </c>
      <c r="L684" s="428">
        <v>47759.154999999999</v>
      </c>
    </row>
    <row r="685" spans="1:12">
      <c r="A685" s="429" t="str">
        <f t="shared" si="19"/>
        <v>17</v>
      </c>
      <c r="B685" s="429" t="str">
        <f>T("1710001")</f>
        <v>1710001</v>
      </c>
      <c r="C685" s="637" t="str">
        <f>T("Filmstöd")</f>
        <v>Filmstöd</v>
      </c>
      <c r="D685" s="428">
        <v>124784.588</v>
      </c>
      <c r="E685" s="428">
        <v>129530.149</v>
      </c>
      <c r="F685" s="428">
        <v>141796.47839999999</v>
      </c>
      <c r="G685" s="428">
        <v>205806.15900000001</v>
      </c>
      <c r="H685" s="428">
        <v>204997.46400000001</v>
      </c>
      <c r="I685" s="428">
        <v>239624.13449999999</v>
      </c>
      <c r="J685" s="428">
        <v>234471.28210000001</v>
      </c>
      <c r="K685" s="428">
        <v>235969.777</v>
      </c>
      <c r="L685" s="428">
        <v>234319.614</v>
      </c>
    </row>
    <row r="686" spans="1:12">
      <c r="A686" s="429" t="str">
        <f t="shared" ref="A686:A716" si="20">T("17")</f>
        <v>17</v>
      </c>
      <c r="B686" s="429" t="str">
        <f>T("1711001")</f>
        <v>1711001</v>
      </c>
      <c r="C686" s="637" t="str">
        <f>T("Utbyte av tv-sändningar mellan Sverige och Finland")</f>
        <v>Utbyte av tv-sändningar mellan Sverige och Finland</v>
      </c>
      <c r="D686" s="428">
        <v>30538.799999999999</v>
      </c>
      <c r="E686" s="428">
        <v>25347</v>
      </c>
      <c r="F686" s="428">
        <v>25401</v>
      </c>
      <c r="G686" s="428">
        <v>24932</v>
      </c>
      <c r="H686" s="428">
        <v>21201</v>
      </c>
      <c r="I686" s="428">
        <v>19262</v>
      </c>
      <c r="J686" s="428">
        <v>19816</v>
      </c>
      <c r="K686" s="428">
        <v>20272</v>
      </c>
      <c r="L686" s="428">
        <v>20433</v>
      </c>
    </row>
    <row r="687" spans="1:12">
      <c r="A687" s="429" t="str">
        <f t="shared" si="20"/>
        <v>17</v>
      </c>
      <c r="B687" s="429" t="str">
        <f>T("1711001 2010")</f>
        <v>1711001 2010</v>
      </c>
      <c r="C687" s="637" t="str">
        <f>T("Statens biografbyrå")</f>
        <v>Statens biografbyrå</v>
      </c>
      <c r="D687" s="428">
        <v>7504.61078</v>
      </c>
      <c r="E687" s="428">
        <v>7611.8448200000003</v>
      </c>
      <c r="F687" s="428">
        <v>7928.0510199999999</v>
      </c>
      <c r="G687" s="428">
        <v>8717.6632300000001</v>
      </c>
      <c r="H687" s="428">
        <v>8328.7299199999998</v>
      </c>
      <c r="I687" s="428">
        <v>9408.0932799999991</v>
      </c>
      <c r="J687" s="428">
        <v>9895.6429599999992</v>
      </c>
      <c r="K687" s="428">
        <v>9964.2033800000008</v>
      </c>
      <c r="L687" s="428">
        <v>9874.3099500000008</v>
      </c>
    </row>
    <row r="688" spans="1:12">
      <c r="A688" s="429" t="str">
        <f t="shared" si="20"/>
        <v>17</v>
      </c>
      <c r="B688" s="429" t="str">
        <f>T("1711002")</f>
        <v>1711002</v>
      </c>
      <c r="C688" s="637" t="str">
        <f>T("Forskning och dokumentation om medieutvecklingen")</f>
        <v>Forskning och dokumentation om medieutvecklingen</v>
      </c>
      <c r="D688" s="428">
        <v>820</v>
      </c>
      <c r="E688" s="428">
        <v>1234</v>
      </c>
      <c r="F688" s="428">
        <v>1252</v>
      </c>
      <c r="G688" s="428">
        <v>1264</v>
      </c>
      <c r="H688" s="428">
        <v>1288</v>
      </c>
      <c r="I688" s="428">
        <v>1615</v>
      </c>
      <c r="J688" s="428">
        <v>1662</v>
      </c>
      <c r="K688" s="428">
        <v>1735</v>
      </c>
      <c r="L688" s="428">
        <v>1761</v>
      </c>
    </row>
    <row r="689" spans="1:12">
      <c r="A689" s="429" t="str">
        <f t="shared" si="20"/>
        <v>17</v>
      </c>
      <c r="B689" s="429" t="str">
        <f>T("1711003")</f>
        <v>1711003</v>
      </c>
      <c r="C689" s="637" t="str">
        <f>T("Avgift till Europeiska audiovisuella observatoriet")</f>
        <v>Avgift till Europeiska audiovisuella observatoriet</v>
      </c>
    </row>
    <row r="690" spans="1:12">
      <c r="A690" s="429" t="str">
        <f t="shared" si="20"/>
        <v>17</v>
      </c>
      <c r="B690" s="429" t="str">
        <f>T("1711003 2010")</f>
        <v>1711003 2010</v>
      </c>
      <c r="C690" s="637" t="str">
        <f>T("Bidrag till dokumentation om den mediepolitiska utvecklingen och till europeiskt mediesamarbete")</f>
        <v>Bidrag till dokumentation om den mediepolitiska utvecklingen och till europeiskt mediesamarbete</v>
      </c>
      <c r="D690" s="428">
        <v>668.83794</v>
      </c>
      <c r="E690" s="428">
        <v>666.11824000000001</v>
      </c>
      <c r="F690" s="428">
        <v>741.51302999999996</v>
      </c>
      <c r="G690" s="428">
        <v>701.08036000000004</v>
      </c>
      <c r="H690" s="428">
        <v>748.53894000000003</v>
      </c>
      <c r="I690" s="428">
        <v>737.66530999999998</v>
      </c>
      <c r="J690" s="428">
        <v>487.28127999999998</v>
      </c>
      <c r="K690" s="428">
        <v>1205.89041</v>
      </c>
      <c r="L690" s="428">
        <v>767.81628999999998</v>
      </c>
    </row>
    <row r="691" spans="1:12">
      <c r="A691" s="429" t="str">
        <f t="shared" si="20"/>
        <v>17</v>
      </c>
      <c r="B691" s="429" t="str">
        <f>T("1711004")</f>
        <v>1711004</v>
      </c>
      <c r="C691" s="637" t="str">
        <f>T("Statens medieråd")</f>
        <v>Statens medieråd</v>
      </c>
    </row>
    <row r="692" spans="1:12">
      <c r="A692" s="429" t="str">
        <f t="shared" si="20"/>
        <v>17</v>
      </c>
      <c r="B692" s="429" t="str">
        <f>T("1711005")</f>
        <v>1711005</v>
      </c>
      <c r="C692" s="637" t="str">
        <f>T("Stöd till taltidningar")</f>
        <v>Stöd till taltidningar</v>
      </c>
    </row>
    <row r="693" spans="1:12">
      <c r="A693" s="429" t="str">
        <f t="shared" si="20"/>
        <v>17</v>
      </c>
      <c r="B693" s="429" t="str">
        <f>T("1712001")</f>
        <v>1712001</v>
      </c>
      <c r="C693" s="637" t="str">
        <f>T("Ungdomsstyrelsen")</f>
        <v>Ungdomsstyrelsen</v>
      </c>
      <c r="D693" s="428">
        <v>12564.513870000001</v>
      </c>
      <c r="E693" s="428">
        <v>10525.685799999999</v>
      </c>
      <c r="F693" s="428">
        <v>13909.750679999999</v>
      </c>
      <c r="G693" s="428">
        <v>15077.822990000001</v>
      </c>
      <c r="H693" s="428">
        <v>16518.73818</v>
      </c>
      <c r="I693" s="428">
        <v>16795.398799999999</v>
      </c>
      <c r="J693" s="428">
        <v>17596.891080000001</v>
      </c>
      <c r="K693" s="428">
        <v>19445.46297</v>
      </c>
      <c r="L693" s="428">
        <v>18599.381249999999</v>
      </c>
    </row>
    <row r="694" spans="1:12">
      <c r="A694" s="429" t="str">
        <f t="shared" si="20"/>
        <v>17</v>
      </c>
      <c r="B694" s="429" t="str">
        <f>T("1712002")</f>
        <v>1712002</v>
      </c>
      <c r="C694" s="637" t="str">
        <f>T("Bidrag till nationell och internationell ungdomsverksamhet")</f>
        <v>Bidrag till nationell och internationell ungdomsverksamhet</v>
      </c>
      <c r="D694" s="428">
        <v>94836.638930000001</v>
      </c>
      <c r="E694" s="428">
        <v>96301.4951</v>
      </c>
      <c r="F694" s="428">
        <v>98280.056530000002</v>
      </c>
      <c r="G694" s="428">
        <v>95302.792409999995</v>
      </c>
      <c r="H694" s="428">
        <v>90229.985979999998</v>
      </c>
      <c r="I694" s="428">
        <v>88264.120389999996</v>
      </c>
      <c r="J694" s="428">
        <v>87650.530249999996</v>
      </c>
      <c r="K694" s="428">
        <v>87875.969710000005</v>
      </c>
      <c r="L694" s="428">
        <v>87422.907470000006</v>
      </c>
    </row>
    <row r="695" spans="1:12">
      <c r="A695" s="429" t="str">
        <f t="shared" si="20"/>
        <v>17</v>
      </c>
      <c r="B695" s="429" t="str">
        <f>T("1713001")</f>
        <v>1713001</v>
      </c>
      <c r="C695" s="637" t="str">
        <f>T("Stöd till idrotten")</f>
        <v>Stöd till idrotten</v>
      </c>
      <c r="D695" s="428">
        <v>490849</v>
      </c>
      <c r="E695" s="428">
        <v>485338.47899999999</v>
      </c>
      <c r="F695" s="428">
        <v>469640</v>
      </c>
      <c r="G695" s="428">
        <v>460535</v>
      </c>
      <c r="H695" s="428">
        <v>457798.39059999998</v>
      </c>
      <c r="I695" s="428">
        <v>450919.15126999997</v>
      </c>
      <c r="J695" s="428">
        <v>454133.64542000002</v>
      </c>
      <c r="K695" s="428">
        <v>445792.98992999998</v>
      </c>
      <c r="L695" s="428">
        <v>445344.74411000003</v>
      </c>
    </row>
    <row r="696" spans="1:12">
      <c r="A696" s="429" t="str">
        <f t="shared" si="20"/>
        <v>17</v>
      </c>
      <c r="B696" s="429" t="str">
        <f>T("1713002")</f>
        <v>1713002</v>
      </c>
      <c r="C696" s="637" t="str">
        <f>T("Bidrag till allmänna samlingslokaler")</f>
        <v>Bidrag till allmänna samlingslokaler</v>
      </c>
      <c r="D696" s="428">
        <v>29989.478999999999</v>
      </c>
      <c r="E696" s="428">
        <v>20484.885999999999</v>
      </c>
      <c r="F696" s="428">
        <v>21288.170999999998</v>
      </c>
      <c r="G696" s="428">
        <v>18675.717000000001</v>
      </c>
      <c r="H696" s="428">
        <v>16392.806</v>
      </c>
      <c r="I696" s="428">
        <v>17058.626</v>
      </c>
      <c r="J696" s="428">
        <v>22581.252</v>
      </c>
      <c r="K696" s="428">
        <v>33464.648000000001</v>
      </c>
      <c r="L696" s="428">
        <v>24174.903999999999</v>
      </c>
    </row>
    <row r="697" spans="1:12">
      <c r="A697" s="429" t="str">
        <f t="shared" si="20"/>
        <v>17</v>
      </c>
      <c r="B697" s="429" t="str">
        <f>T("1713003")</f>
        <v>1713003</v>
      </c>
      <c r="C697" s="637" t="str">
        <f>T("Bidrag för kvinnors organisering")</f>
        <v>Bidrag för kvinnors organisering</v>
      </c>
      <c r="D697" s="428">
        <v>0</v>
      </c>
      <c r="E697" s="428">
        <v>3432</v>
      </c>
      <c r="F697" s="428">
        <v>3432</v>
      </c>
      <c r="G697" s="428">
        <v>3432</v>
      </c>
      <c r="H697" s="428">
        <v>3432</v>
      </c>
      <c r="I697" s="428">
        <v>4932</v>
      </c>
      <c r="J697" s="428">
        <v>3432</v>
      </c>
      <c r="K697" s="428">
        <v>3432</v>
      </c>
      <c r="L697" s="428">
        <v>3411</v>
      </c>
    </row>
    <row r="698" spans="1:12">
      <c r="A698" s="429" t="str">
        <f t="shared" si="20"/>
        <v>17</v>
      </c>
      <c r="B698" s="429" t="str">
        <f>T("1713004")</f>
        <v>1713004</v>
      </c>
      <c r="C698" s="637" t="str">
        <f>T("Stöd till friluftsorganisationer")</f>
        <v>Stöd till friluftsorganisationer</v>
      </c>
      <c r="G698" s="428">
        <v>13000</v>
      </c>
      <c r="H698" s="428">
        <v>13400</v>
      </c>
      <c r="I698" s="428">
        <v>14535</v>
      </c>
      <c r="J698" s="428">
        <v>15465</v>
      </c>
      <c r="K698" s="428">
        <v>15000</v>
      </c>
      <c r="L698" s="428">
        <v>14692.5</v>
      </c>
    </row>
    <row r="699" spans="1:12">
      <c r="A699" s="429" t="str">
        <f t="shared" si="20"/>
        <v>17</v>
      </c>
      <c r="B699" s="429" t="str">
        <f>T("1713005")</f>
        <v>1713005</v>
      </c>
      <c r="C699" s="637" t="str">
        <f>T("Bidrag till riksdagspartiers kvinnoorganisationer")</f>
        <v>Bidrag till riksdagspartiers kvinnoorganisationer</v>
      </c>
    </row>
    <row r="700" spans="1:12">
      <c r="A700" s="429" t="str">
        <f t="shared" si="20"/>
        <v>17</v>
      </c>
      <c r="B700" s="429" t="str">
        <f>T("1713006")</f>
        <v>1713006</v>
      </c>
      <c r="C700" s="637" t="str">
        <f>T("Insatser för den ideella sektorn")</f>
        <v>Insatser för den ideella sektorn</v>
      </c>
    </row>
    <row r="701" spans="1:12">
      <c r="A701" s="429" t="str">
        <f t="shared" si="20"/>
        <v>17</v>
      </c>
      <c r="B701" s="429" t="str">
        <f>T("1714001")</f>
        <v>1714001</v>
      </c>
      <c r="C701" s="637" t="str">
        <f>T("Bidrag till folkbildningen")</f>
        <v>Bidrag till folkbildningen</v>
      </c>
      <c r="D701" s="428">
        <v>2357527.85</v>
      </c>
      <c r="E701" s="428">
        <v>2418014</v>
      </c>
      <c r="F701" s="428">
        <v>2493811</v>
      </c>
      <c r="G701" s="428">
        <v>2489073</v>
      </c>
      <c r="H701" s="428">
        <v>2513068</v>
      </c>
      <c r="I701" s="428">
        <v>2522556</v>
      </c>
      <c r="J701" s="428">
        <v>2519631</v>
      </c>
      <c r="K701" s="428">
        <v>2601172</v>
      </c>
      <c r="L701" s="428">
        <v>2636659</v>
      </c>
    </row>
    <row r="702" spans="1:12">
      <c r="A702" s="429" t="str">
        <f t="shared" si="20"/>
        <v>17</v>
      </c>
      <c r="B702" s="429" t="str">
        <f>T("1714002")</f>
        <v>1714002</v>
      </c>
      <c r="C702" s="637" t="str">
        <f>T("Bidrag till kontakttolkutbildning")</f>
        <v>Bidrag till kontakttolkutbildning</v>
      </c>
      <c r="D702" s="428">
        <v>8412.5220000000008</v>
      </c>
      <c r="E702" s="428">
        <v>8327.8420000000006</v>
      </c>
      <c r="F702" s="428">
        <v>9031.6389999999992</v>
      </c>
      <c r="G702" s="428">
        <v>4258.7749999999996</v>
      </c>
      <c r="H702" s="428">
        <v>9234.5759999999991</v>
      </c>
      <c r="I702" s="428">
        <v>9415.9989999999998</v>
      </c>
      <c r="J702" s="428">
        <v>9610.2459999999992</v>
      </c>
      <c r="K702" s="428">
        <v>12560.999529999999</v>
      </c>
      <c r="L702" s="428">
        <v>14148</v>
      </c>
    </row>
    <row r="703" spans="1:12">
      <c r="A703" s="429" t="str">
        <f t="shared" si="20"/>
        <v>17</v>
      </c>
      <c r="B703" s="429" t="str">
        <f>T("1714002 2011")</f>
        <v>1714002 2011</v>
      </c>
      <c r="C703" s="637" t="str">
        <f>T("Bidrag till tolkutbildning och teckenspråklärarutbildning")</f>
        <v>Bidrag till tolkutbildning och teckenspråklärarutbildning</v>
      </c>
      <c r="D703" s="428">
        <v>58095.249589999999</v>
      </c>
      <c r="E703" s="428">
        <v>64332.017</v>
      </c>
      <c r="F703" s="428">
        <v>66665.017000000007</v>
      </c>
      <c r="G703" s="428">
        <v>73764.103000000003</v>
      </c>
      <c r="H703" s="428">
        <v>69059.214000000007</v>
      </c>
      <c r="I703" s="428">
        <v>69676.824999999997</v>
      </c>
      <c r="J703" s="428">
        <v>73240.407000000007</v>
      </c>
      <c r="K703" s="428">
        <v>72843.535560000004</v>
      </c>
      <c r="L703" s="428">
        <v>75591.799650000001</v>
      </c>
    </row>
    <row r="704" spans="1:12">
      <c r="A704" s="429" t="str">
        <f t="shared" si="20"/>
        <v>17</v>
      </c>
      <c r="B704" s="429" t="str">
        <f>T("1715001")</f>
        <v>1715001</v>
      </c>
      <c r="C704" s="637" t="str">
        <f>T("Lotteriinspektionen")</f>
        <v>Lotteriinspektionen</v>
      </c>
      <c r="D704" s="428">
        <v>19260.07648</v>
      </c>
      <c r="E704" s="428">
        <v>19570.873920000002</v>
      </c>
      <c r="F704" s="428">
        <v>21769.029470000001</v>
      </c>
      <c r="G704" s="428">
        <v>23982.26813</v>
      </c>
      <c r="H704" s="428">
        <v>31949.19672</v>
      </c>
      <c r="I704" s="428">
        <v>36698.770329999999</v>
      </c>
      <c r="J704" s="428">
        <v>36916.80545</v>
      </c>
      <c r="K704" s="428">
        <v>37880.726190000001</v>
      </c>
      <c r="L704" s="428">
        <v>38063.713779999998</v>
      </c>
    </row>
    <row r="705" spans="1:12">
      <c r="A705" s="429" t="str">
        <f t="shared" si="20"/>
        <v>17</v>
      </c>
      <c r="B705" s="429" t="str">
        <f>T("172504 2003")</f>
        <v>172504 2003</v>
      </c>
      <c r="C705" s="637" t="str">
        <f>T("Folkbildningsinsatser för folkomröstning om införande av euron")</f>
        <v>Folkbildningsinsatser för folkomröstning om införande av euron</v>
      </c>
      <c r="J705" s="428">
        <v>15000</v>
      </c>
    </row>
    <row r="706" spans="1:12">
      <c r="A706" s="429" t="str">
        <f t="shared" si="20"/>
        <v>17</v>
      </c>
      <c r="B706" s="429" t="str">
        <f>T("172601 2008")</f>
        <v>172601 2008</v>
      </c>
      <c r="C706" s="637" t="str">
        <f>T("Statens ljud- och bildarkiv")</f>
        <v>Statens ljud- och bildarkiv</v>
      </c>
      <c r="D706" s="428">
        <v>25248.401689999999</v>
      </c>
      <c r="E706" s="428">
        <v>25853.069670000001</v>
      </c>
      <c r="F706" s="428">
        <v>28325.396089999998</v>
      </c>
      <c r="G706" s="428">
        <v>27944.28845</v>
      </c>
      <c r="H706" s="428">
        <v>34148.592519999998</v>
      </c>
      <c r="I706" s="428">
        <v>39889.557769999999</v>
      </c>
      <c r="J706" s="428">
        <v>40806.138809999997</v>
      </c>
      <c r="K706" s="428">
        <v>42532.326260000002</v>
      </c>
      <c r="L706" s="428">
        <v>40140.756350000003</v>
      </c>
    </row>
    <row r="707" spans="1:12">
      <c r="A707" s="429" t="str">
        <f t="shared" si="20"/>
        <v>17</v>
      </c>
      <c r="B707" s="429" t="str">
        <f>T("172803 2008")</f>
        <v>172803 2008</v>
      </c>
      <c r="C707" s="637" t="str">
        <f>T("Nationella uppdrag")</f>
        <v>Nationella uppdrag</v>
      </c>
      <c r="D707" s="428">
        <v>6000</v>
      </c>
      <c r="E707" s="428">
        <v>6000</v>
      </c>
      <c r="F707" s="428">
        <v>7000</v>
      </c>
      <c r="G707" s="428">
        <v>7000</v>
      </c>
      <c r="H707" s="428">
        <v>8000</v>
      </c>
      <c r="I707" s="428">
        <v>8000</v>
      </c>
      <c r="J707" s="428">
        <v>9000</v>
      </c>
      <c r="K707" s="428">
        <v>9000</v>
      </c>
      <c r="L707" s="428">
        <v>7952</v>
      </c>
    </row>
    <row r="708" spans="1:12">
      <c r="A708" s="429" t="str">
        <f t="shared" si="20"/>
        <v>17</v>
      </c>
      <c r="B708" s="429" t="str">
        <f>T("172809 2005")</f>
        <v>172809 2005</v>
      </c>
      <c r="C708" s="637" t="str">
        <f>T("Litteraturstöd")</f>
        <v>Litteraturstöd</v>
      </c>
      <c r="D708" s="428">
        <v>68077.316999999995</v>
      </c>
      <c r="E708" s="428">
        <v>61445.947999999997</v>
      </c>
      <c r="F708" s="428">
        <v>84814.080900000001</v>
      </c>
      <c r="G708" s="428">
        <v>90891.974019999994</v>
      </c>
      <c r="H708" s="428">
        <v>99608.921489999993</v>
      </c>
      <c r="I708" s="428">
        <v>92847.109729999996</v>
      </c>
      <c r="J708" s="428">
        <v>99516.76874</v>
      </c>
      <c r="K708" s="428">
        <v>102324.21924999999</v>
      </c>
      <c r="L708" s="428">
        <v>99325.165210000006</v>
      </c>
    </row>
    <row r="709" spans="1:12">
      <c r="A709" s="429" t="str">
        <f t="shared" si="20"/>
        <v>17</v>
      </c>
      <c r="B709" s="429" t="str">
        <f>T("172810 2005")</f>
        <v>172810 2005</v>
      </c>
      <c r="C709" s="637" t="str">
        <f>T("Stöd till kulturtidskrifter")</f>
        <v>Stöd till kulturtidskrifter</v>
      </c>
      <c r="D709" s="428">
        <v>18603.538570000001</v>
      </c>
      <c r="E709" s="428">
        <v>19863.861550000001</v>
      </c>
      <c r="F709" s="428">
        <v>20932.599880000002</v>
      </c>
      <c r="G709" s="428">
        <v>20650</v>
      </c>
      <c r="H709" s="428">
        <v>20212.883419999998</v>
      </c>
      <c r="I709" s="428">
        <v>20393.031920000001</v>
      </c>
      <c r="J709" s="428">
        <v>21033.445680000001</v>
      </c>
      <c r="K709" s="428">
        <v>20849.160609999999</v>
      </c>
      <c r="L709" s="428">
        <v>22238.90955</v>
      </c>
    </row>
    <row r="710" spans="1:12">
      <c r="A710" s="429" t="str">
        <f t="shared" si="20"/>
        <v>17</v>
      </c>
      <c r="B710" s="429" t="str">
        <f>T("172811 2002")</f>
        <v>172811 2002</v>
      </c>
      <c r="C710" s="637" t="str">
        <f>T("Stöd till bokhandeln")</f>
        <v>Stöd till bokhandeln</v>
      </c>
      <c r="D710" s="428">
        <v>6646</v>
      </c>
      <c r="E710" s="428">
        <v>3427.72</v>
      </c>
      <c r="F710" s="428">
        <v>10894.955</v>
      </c>
      <c r="G710" s="428">
        <v>10631.499</v>
      </c>
      <c r="H710" s="428">
        <v>11086.635</v>
      </c>
      <c r="I710" s="428">
        <v>10499.746999999999</v>
      </c>
      <c r="J710" s="428">
        <v>595.4</v>
      </c>
      <c r="K710" s="428">
        <v>24.044</v>
      </c>
    </row>
    <row r="711" spans="1:12">
      <c r="A711" s="429" t="str">
        <f t="shared" si="20"/>
        <v>17</v>
      </c>
      <c r="B711" s="429" t="str">
        <f>T("172813 2006")</f>
        <v>172813 2006</v>
      </c>
      <c r="C711" s="637" t="str">
        <f>T("Bidrag till Svenska språknämnden och Sverigefinska språknämnden")</f>
        <v>Bidrag till Svenska språknämnden och Sverigefinska språknämnden</v>
      </c>
      <c r="D711" s="428">
        <v>3409</v>
      </c>
      <c r="E711" s="428">
        <v>3501</v>
      </c>
      <c r="F711" s="428">
        <v>4070</v>
      </c>
      <c r="G711" s="428">
        <v>4393</v>
      </c>
      <c r="H711" s="428">
        <v>4745</v>
      </c>
      <c r="I711" s="428">
        <v>4825</v>
      </c>
      <c r="J711" s="428">
        <v>5152</v>
      </c>
      <c r="K711" s="428">
        <v>5549</v>
      </c>
      <c r="L711" s="428">
        <v>5589</v>
      </c>
    </row>
    <row r="712" spans="1:12">
      <c r="A712" s="429" t="str">
        <f t="shared" si="20"/>
        <v>17</v>
      </c>
      <c r="B712" s="429" t="str">
        <f>T("172823 2008")</f>
        <v>172823 2008</v>
      </c>
      <c r="C712" s="637" t="str">
        <f>T("Svenskt biografiskt lexikon")</f>
        <v>Svenskt biografiskt lexikon</v>
      </c>
      <c r="D712" s="428">
        <v>3808.5370800000001</v>
      </c>
      <c r="E712" s="428">
        <v>3637.2519600000001</v>
      </c>
      <c r="F712" s="428">
        <v>3706.27954</v>
      </c>
      <c r="G712" s="428">
        <v>3574.6847200000002</v>
      </c>
      <c r="H712" s="428">
        <v>3815.61814</v>
      </c>
      <c r="I712" s="428">
        <v>3756.97246</v>
      </c>
      <c r="J712" s="428">
        <v>4136.4706699999997</v>
      </c>
      <c r="K712" s="428">
        <v>4255.3312999999998</v>
      </c>
      <c r="L712" s="428">
        <v>4201.9618799999998</v>
      </c>
    </row>
    <row r="713" spans="1:12">
      <c r="A713" s="429" t="str">
        <f t="shared" si="20"/>
        <v>17</v>
      </c>
      <c r="B713" s="429" t="str">
        <f>T("17A003 1998")</f>
        <v>17A003 1998</v>
      </c>
      <c r="C713" s="637" t="str">
        <f>T("Kulturåret 1998")</f>
        <v>Kulturåret 1998</v>
      </c>
      <c r="D713" s="428">
        <v>64240</v>
      </c>
      <c r="E713" s="428">
        <v>82135.744519999993</v>
      </c>
      <c r="F713" s="428">
        <v>688.33327999999995</v>
      </c>
      <c r="G713" s="428">
        <v>475.05981000000003</v>
      </c>
    </row>
    <row r="714" spans="1:12">
      <c r="A714" s="429" t="str">
        <f t="shared" si="20"/>
        <v>17</v>
      </c>
      <c r="B714" s="429" t="str">
        <f>T("17G003 1999")</f>
        <v>17G003 1999</v>
      </c>
      <c r="C714" s="637" t="str">
        <f>T("Restaureringsarbeten vid de kungliga slotten och rikets fästningar")</f>
        <v>Restaureringsarbeten vid de kungliga slotten och rikets fästningar</v>
      </c>
      <c r="D714" s="428">
        <v>50000</v>
      </c>
      <c r="E714" s="428">
        <v>50000</v>
      </c>
      <c r="F714" s="428">
        <v>50000</v>
      </c>
    </row>
    <row r="715" spans="1:12">
      <c r="A715" s="429" t="str">
        <f t="shared" si="20"/>
        <v>17</v>
      </c>
      <c r="B715" s="429" t="str">
        <f>T("17I005 1999")</f>
        <v>17I005 1999</v>
      </c>
      <c r="C715" s="637" t="str">
        <f>T("Bidrag till Sveriges Dövas Riksförbund för produktion av videogr på teckenspråk")</f>
        <v>Bidrag till Sveriges Dövas Riksförbund för produktion av videogr på teckenspråk</v>
      </c>
      <c r="D715" s="428">
        <v>17471</v>
      </c>
      <c r="E715" s="428">
        <v>17524</v>
      </c>
      <c r="F715" s="428">
        <v>17518</v>
      </c>
    </row>
    <row r="716" spans="1:12">
      <c r="A716" s="429" t="str">
        <f t="shared" si="20"/>
        <v>17</v>
      </c>
      <c r="B716" s="429" t="str">
        <f>T("17N002 1997")</f>
        <v>17N002 1997</v>
      </c>
      <c r="C716" s="637" t="str">
        <f>T("Stöd till demokratiutveckling")</f>
        <v>Stöd till demokratiutveckling</v>
      </c>
      <c r="D716" s="428">
        <v>3050</v>
      </c>
      <c r="E716" s="428">
        <v>1200</v>
      </c>
      <c r="F716" s="428">
        <v>1325</v>
      </c>
      <c r="G716" s="428">
        <v>475</v>
      </c>
    </row>
    <row r="717" spans="1:12">
      <c r="A717" s="430" t="s">
        <v>1651</v>
      </c>
      <c r="B717" s="430"/>
      <c r="C717" s="430" t="str">
        <f>T("Kultur, medier, trossamfund och fritid")</f>
        <v>Kultur, medier, trossamfund och fritid</v>
      </c>
      <c r="D717" s="431">
        <v>7179320.7930600001</v>
      </c>
      <c r="E717" s="431">
        <v>7345205.8480099998</v>
      </c>
      <c r="F717" s="431">
        <v>7557597.1292099999</v>
      </c>
      <c r="G717" s="431">
        <v>7588617.3626100002</v>
      </c>
      <c r="H717" s="431">
        <v>7813867.0945199998</v>
      </c>
      <c r="I717" s="431">
        <v>8094970.3922100002</v>
      </c>
      <c r="J717" s="431">
        <v>8351532.5487200003</v>
      </c>
      <c r="K717" s="431">
        <v>8738670.3897900004</v>
      </c>
      <c r="L717" s="431">
        <v>8967718.6474300008</v>
      </c>
    </row>
    <row r="718" spans="1:12">
      <c r="A718" s="429" t="str">
        <f t="shared" ref="A718:A752" si="21">T("18")</f>
        <v>18</v>
      </c>
      <c r="B718" s="429" t="str">
        <f>T("12G010 9596")</f>
        <v>12G010 9596</v>
      </c>
      <c r="C718" s="637" t="str">
        <f>T("Byggforskning")</f>
        <v>Byggforskning</v>
      </c>
      <c r="D718" s="428">
        <v>37363.076459999997</v>
      </c>
    </row>
    <row r="719" spans="1:12">
      <c r="A719" s="429" t="str">
        <f t="shared" si="21"/>
        <v>18</v>
      </c>
      <c r="B719" s="429" t="str">
        <f>T("1801001")</f>
        <v>1801001</v>
      </c>
      <c r="C719" s="637" t="str">
        <f>T("Bostadspolitisk utveckling")</f>
        <v>Bostadspolitisk utveckling</v>
      </c>
    </row>
    <row r="720" spans="1:12">
      <c r="A720" s="429" t="str">
        <f t="shared" si="21"/>
        <v>18</v>
      </c>
      <c r="B720" s="429" t="str">
        <f>T("1801001 2012")</f>
        <v>1801001 2012</v>
      </c>
      <c r="C720" s="637" t="str">
        <f>T("Statens bostadskreditnämnd: Förvaltningskostnader")</f>
        <v>Statens bostadskreditnämnd: Förvaltningskostnader</v>
      </c>
      <c r="D720" s="428">
        <v>12808.57029</v>
      </c>
      <c r="E720" s="428">
        <v>11855.913479999999</v>
      </c>
      <c r="F720" s="428">
        <v>11607.02908</v>
      </c>
      <c r="G720" s="428">
        <v>10846.16937</v>
      </c>
      <c r="H720" s="428">
        <v>10866.49228</v>
      </c>
      <c r="I720" s="428">
        <v>10103.756890000001</v>
      </c>
      <c r="J720" s="428">
        <v>9698.0453699999998</v>
      </c>
      <c r="K720" s="428">
        <v>12948.232760000001</v>
      </c>
      <c r="L720" s="428">
        <v>10690.322609999999</v>
      </c>
    </row>
    <row r="721" spans="1:12">
      <c r="A721" s="429" t="str">
        <f t="shared" si="21"/>
        <v>18</v>
      </c>
      <c r="B721" s="429" t="str">
        <f>T("1801002")</f>
        <v>1801002</v>
      </c>
      <c r="C721" s="637" t="str">
        <f>T("Omstrukturering av kommunala bostadsföretag")</f>
        <v>Omstrukturering av kommunala bostadsföretag</v>
      </c>
      <c r="I721" s="428">
        <v>-1168.104</v>
      </c>
      <c r="J721" s="428">
        <v>119350.38913</v>
      </c>
      <c r="K721" s="428">
        <v>153111.315</v>
      </c>
      <c r="L721" s="428">
        <v>80698.145999999993</v>
      </c>
    </row>
    <row r="722" spans="1:12">
      <c r="A722" s="429" t="str">
        <f t="shared" si="21"/>
        <v>18</v>
      </c>
      <c r="B722" s="429" t="str">
        <f>T("1801003")</f>
        <v>1801003</v>
      </c>
      <c r="C722" s="637" t="str">
        <f>T("Stöd för att underlätta för enskilda att ordna bostad")</f>
        <v>Stöd för att underlätta för enskilda att ordna bostad</v>
      </c>
    </row>
    <row r="723" spans="1:12">
      <c r="A723" s="429" t="str">
        <f t="shared" si="21"/>
        <v>18</v>
      </c>
      <c r="B723" s="429" t="str">
        <f>T("1801004")</f>
        <v>1801004</v>
      </c>
      <c r="C723" s="637" t="str">
        <f>T("Innovativt byggande")</f>
        <v>Innovativt byggande</v>
      </c>
    </row>
    <row r="724" spans="1:12">
      <c r="A724" s="429" t="str">
        <f t="shared" si="21"/>
        <v>18</v>
      </c>
      <c r="B724" s="429" t="str">
        <f>T("1801004 2012")</f>
        <v>1801004 2012</v>
      </c>
      <c r="C724" s="637" t="str">
        <f>T("Räntebidrag m.m.")</f>
        <v>Räntebidrag m.m.</v>
      </c>
      <c r="D724" s="428">
        <v>20803809.037110001</v>
      </c>
      <c r="E724" s="428">
        <v>10814271.4877</v>
      </c>
      <c r="F724" s="428">
        <v>7366622.6573200002</v>
      </c>
      <c r="G724" s="428">
        <v>3931383.7684999998</v>
      </c>
      <c r="H724" s="428">
        <v>1688655.0109999999</v>
      </c>
      <c r="I724" s="428">
        <v>1368225.4595000001</v>
      </c>
      <c r="J724" s="428">
        <v>1403477.827</v>
      </c>
      <c r="K724" s="428">
        <v>1571719.2279999999</v>
      </c>
      <c r="L724" s="428">
        <v>1603443.534</v>
      </c>
    </row>
    <row r="725" spans="1:12">
      <c r="A725" s="429" t="str">
        <f t="shared" si="21"/>
        <v>18</v>
      </c>
      <c r="B725" s="429" t="str">
        <f>T("1801005")</f>
        <v>1801005</v>
      </c>
      <c r="C725" s="637" t="str">
        <f>T("Boverket")</f>
        <v>Boverket</v>
      </c>
      <c r="D725" s="428">
        <v>138676.72959999999</v>
      </c>
      <c r="E725" s="428">
        <v>129519.86341999999</v>
      </c>
      <c r="F725" s="428">
        <v>124304.88042</v>
      </c>
      <c r="G725" s="428">
        <v>129117.24322</v>
      </c>
      <c r="H725" s="428">
        <v>136424.39183000001</v>
      </c>
      <c r="I725" s="428">
        <v>135824.34680999999</v>
      </c>
      <c r="J725" s="428">
        <v>145177.18074000001</v>
      </c>
      <c r="K725" s="428">
        <v>150565.88451</v>
      </c>
      <c r="L725" s="428">
        <v>158725.60109000001</v>
      </c>
    </row>
    <row r="726" spans="1:12">
      <c r="A726" s="429" t="str">
        <f t="shared" si="21"/>
        <v>18</v>
      </c>
      <c r="B726" s="429" t="str">
        <f>T("1801006")</f>
        <v>1801006</v>
      </c>
      <c r="C726" s="637" t="str">
        <f>T("Bidrag till åtgärder mot radon i bostäder")</f>
        <v>Bidrag till åtgärder mot radon i bostäder</v>
      </c>
      <c r="D726" s="428">
        <v>8332.3889999999992</v>
      </c>
      <c r="E726" s="428">
        <v>8696</v>
      </c>
      <c r="F726" s="428">
        <v>3302.9850000000001</v>
      </c>
      <c r="G726" s="428">
        <v>5312.4179999999997</v>
      </c>
      <c r="H726" s="428">
        <v>9890.1200000000008</v>
      </c>
      <c r="I726" s="428">
        <v>8503.3738599999997</v>
      </c>
      <c r="J726" s="428">
        <v>10563.36</v>
      </c>
      <c r="K726" s="428">
        <v>12026.07717</v>
      </c>
      <c r="L726" s="428">
        <v>20221.678769999999</v>
      </c>
    </row>
    <row r="727" spans="1:12">
      <c r="A727" s="429" t="str">
        <f t="shared" si="21"/>
        <v>18</v>
      </c>
      <c r="B727" s="429" t="str">
        <f>T("1801007")</f>
        <v>1801007</v>
      </c>
      <c r="C727" s="637" t="str">
        <f>T("Statens geotekniska institut")</f>
        <v>Statens geotekniska institut</v>
      </c>
      <c r="D727" s="428">
        <v>21066.774430000001</v>
      </c>
      <c r="E727" s="428">
        <v>21931.206099999999</v>
      </c>
      <c r="F727" s="428">
        <v>26528.052899999999</v>
      </c>
      <c r="G727" s="428">
        <v>24733.15941</v>
      </c>
      <c r="H727" s="428">
        <v>25443.591469999999</v>
      </c>
      <c r="I727" s="428">
        <v>26099.75661</v>
      </c>
      <c r="J727" s="428">
        <v>28243.468410000001</v>
      </c>
      <c r="K727" s="428">
        <v>28451.95952</v>
      </c>
      <c r="L727" s="428">
        <v>29328.668580000001</v>
      </c>
    </row>
    <row r="728" spans="1:12">
      <c r="A728" s="429" t="str">
        <f t="shared" si="21"/>
        <v>18</v>
      </c>
      <c r="B728" s="429" t="str">
        <f>T("1801008")</f>
        <v>1801008</v>
      </c>
      <c r="C728" s="637" t="str">
        <f>T("Lantmäteriet")</f>
        <v>Lantmäteriet</v>
      </c>
      <c r="D728" s="428">
        <v>525882.18437000003</v>
      </c>
      <c r="E728" s="428">
        <v>402164.02338999999</v>
      </c>
      <c r="F728" s="428">
        <v>390481.96750999999</v>
      </c>
      <c r="G728" s="428">
        <v>405585.05761000002</v>
      </c>
      <c r="H728" s="428">
        <v>416867.14895</v>
      </c>
      <c r="I728" s="428">
        <v>424467.23645000003</v>
      </c>
      <c r="J728" s="428">
        <v>395346.47555999999</v>
      </c>
      <c r="K728" s="428">
        <v>348722.77575999999</v>
      </c>
      <c r="L728" s="428">
        <v>329631.21416999999</v>
      </c>
    </row>
    <row r="729" spans="1:12">
      <c r="A729" s="429" t="str">
        <f t="shared" si="21"/>
        <v>18</v>
      </c>
      <c r="B729" s="429" t="str">
        <f>T("1801009")</f>
        <v>1801009</v>
      </c>
      <c r="C729" s="637" t="str">
        <f>T("Statens va-nämnd")</f>
        <v>Statens va-nämnd</v>
      </c>
      <c r="D729" s="428">
        <v>4970.6767799999998</v>
      </c>
      <c r="E729" s="428">
        <v>5055.7468900000003</v>
      </c>
      <c r="F729" s="428">
        <v>5480.8618399999996</v>
      </c>
      <c r="G729" s="428">
        <v>5737.1605900000004</v>
      </c>
      <c r="H729" s="428">
        <v>6052.2791500000003</v>
      </c>
      <c r="I729" s="428">
        <v>5903.6141200000002</v>
      </c>
      <c r="J729" s="428">
        <v>8187.6976000000004</v>
      </c>
      <c r="K729" s="428">
        <v>7548.2707</v>
      </c>
      <c r="L729" s="428">
        <v>7338.06675</v>
      </c>
    </row>
    <row r="730" spans="1:12">
      <c r="A730" s="429" t="str">
        <f t="shared" si="21"/>
        <v>18</v>
      </c>
      <c r="B730" s="429" t="str">
        <f>T("1801010")</f>
        <v>1801010</v>
      </c>
      <c r="C730" s="637" t="str">
        <f>T("Stöd gällande utveckling i strandnära lägen")</f>
        <v>Stöd gällande utveckling i strandnära lägen</v>
      </c>
    </row>
    <row r="731" spans="1:12">
      <c r="A731" s="429" t="str">
        <f t="shared" si="21"/>
        <v>18</v>
      </c>
      <c r="B731" s="429" t="str">
        <f>T("1801011")</f>
        <v>1801011</v>
      </c>
      <c r="C731" s="637" t="str">
        <f>T("Utvecklingsprojekt för jämställda offentliga rum")</f>
        <v>Utvecklingsprojekt för jämställda offentliga rum</v>
      </c>
    </row>
    <row r="732" spans="1:12">
      <c r="A732" s="429" t="str">
        <f t="shared" si="21"/>
        <v>18</v>
      </c>
      <c r="B732" s="429" t="str">
        <f>T("1802001")</f>
        <v>1802001</v>
      </c>
      <c r="C732" s="637" t="str">
        <f>T("Marknadsdomstolen")</f>
        <v>Marknadsdomstolen</v>
      </c>
      <c r="D732" s="428">
        <v>4436.1485400000001</v>
      </c>
      <c r="E732" s="428">
        <v>5533.7640300000003</v>
      </c>
      <c r="F732" s="428">
        <v>5533.9179000000004</v>
      </c>
      <c r="G732" s="428">
        <v>6315.0694700000004</v>
      </c>
      <c r="H732" s="428">
        <v>7782.3663900000001</v>
      </c>
      <c r="I732" s="428">
        <v>7433.0615900000003</v>
      </c>
      <c r="J732" s="428">
        <v>8001.7660800000003</v>
      </c>
      <c r="K732" s="428">
        <v>9723.6890000000003</v>
      </c>
      <c r="L732" s="428">
        <v>8588.7323899999992</v>
      </c>
    </row>
    <row r="733" spans="1:12">
      <c r="A733" s="429" t="str">
        <f t="shared" si="21"/>
        <v>18</v>
      </c>
      <c r="B733" s="429" t="str">
        <f>T("1802002")</f>
        <v>1802002</v>
      </c>
      <c r="C733" s="637" t="str">
        <f>T("Konsumentverket")</f>
        <v>Konsumentverket</v>
      </c>
      <c r="D733" s="428">
        <v>72573.001829999994</v>
      </c>
      <c r="E733" s="428">
        <v>63756.9139</v>
      </c>
      <c r="F733" s="428">
        <v>78218.668160000001</v>
      </c>
      <c r="G733" s="428">
        <v>80594.001010000007</v>
      </c>
      <c r="H733" s="428">
        <v>91788.776459999994</v>
      </c>
      <c r="I733" s="428">
        <v>103899.92786</v>
      </c>
      <c r="J733" s="428">
        <v>106796.51122</v>
      </c>
      <c r="K733" s="428">
        <v>105924.09077</v>
      </c>
      <c r="L733" s="428">
        <v>103304.29711</v>
      </c>
    </row>
    <row r="734" spans="1:12">
      <c r="A734" s="429" t="str">
        <f t="shared" si="21"/>
        <v>18</v>
      </c>
      <c r="B734" s="429" t="str">
        <f>T("1802003")</f>
        <v>1802003</v>
      </c>
      <c r="C734" s="637" t="str">
        <f>T("Allmänna reklamationsnämnden")</f>
        <v>Allmänna reklamationsnämnden</v>
      </c>
      <c r="D734" s="428">
        <v>15544.00742</v>
      </c>
      <c r="E734" s="428">
        <v>14467.262049999999</v>
      </c>
      <c r="F734" s="428">
        <v>14758.543669999999</v>
      </c>
      <c r="G734" s="428">
        <v>16401.63911</v>
      </c>
      <c r="H734" s="428">
        <v>18178.845730000001</v>
      </c>
      <c r="I734" s="428">
        <v>20581.177940000001</v>
      </c>
      <c r="J734" s="428">
        <v>21432.653549999999</v>
      </c>
      <c r="K734" s="428">
        <v>23329.06424</v>
      </c>
      <c r="L734" s="428">
        <v>22970.32501</v>
      </c>
    </row>
    <row r="735" spans="1:12">
      <c r="A735" s="429" t="str">
        <f t="shared" si="21"/>
        <v>18</v>
      </c>
      <c r="B735" s="429" t="str">
        <f>T("1802004")</f>
        <v>1802004</v>
      </c>
      <c r="C735" s="637" t="str">
        <f>T("Fastighetsmäklarinspektionen")</f>
        <v>Fastighetsmäklarinspektionen</v>
      </c>
      <c r="D735" s="428">
        <v>6121.5357100000001</v>
      </c>
      <c r="E735" s="428">
        <v>6620.04097</v>
      </c>
      <c r="F735" s="428">
        <v>6752.1206000000002</v>
      </c>
      <c r="G735" s="428">
        <v>7054.2420599999996</v>
      </c>
      <c r="H735" s="428">
        <v>7471.9969700000001</v>
      </c>
      <c r="I735" s="428">
        <v>8453.5953499999996</v>
      </c>
      <c r="J735" s="428">
        <v>8100.5137299999997</v>
      </c>
      <c r="K735" s="428">
        <v>9418.3205400000006</v>
      </c>
      <c r="L735" s="428">
        <v>10081.076359999999</v>
      </c>
    </row>
    <row r="736" spans="1:12">
      <c r="A736" s="429" t="str">
        <f t="shared" si="21"/>
        <v>18</v>
      </c>
      <c r="B736" s="429" t="str">
        <f>T("1802005")</f>
        <v>1802005</v>
      </c>
      <c r="C736" s="637" t="str">
        <f>T("Åtgärder på konsumentområdet")</f>
        <v>Åtgärder på konsumentområdet</v>
      </c>
      <c r="H736" s="428">
        <v>7156.2577300000003</v>
      </c>
      <c r="I736" s="428">
        <v>38209.183709999998</v>
      </c>
      <c r="J736" s="428">
        <v>15102.800509999999</v>
      </c>
      <c r="K736" s="428">
        <v>19217.662</v>
      </c>
      <c r="L736" s="428">
        <v>17481.41</v>
      </c>
    </row>
    <row r="737" spans="1:12">
      <c r="A737" s="429" t="str">
        <f t="shared" si="21"/>
        <v>18</v>
      </c>
      <c r="B737" s="429" t="str">
        <f>T("1802006")</f>
        <v>1802006</v>
      </c>
      <c r="C737" s="637" t="str">
        <f>T("Bidrag till miljömärkning av produkter")</f>
        <v>Bidrag till miljömärkning av produkter</v>
      </c>
      <c r="D737" s="428">
        <v>4600</v>
      </c>
      <c r="E737" s="428">
        <v>4600</v>
      </c>
      <c r="F737" s="428">
        <v>2800</v>
      </c>
      <c r="G737" s="428">
        <v>3850</v>
      </c>
      <c r="H737" s="428">
        <v>3800</v>
      </c>
      <c r="I737" s="428">
        <v>4400</v>
      </c>
      <c r="J737" s="428">
        <v>4400</v>
      </c>
      <c r="K737" s="428">
        <v>4400</v>
      </c>
      <c r="L737" s="428">
        <v>4374</v>
      </c>
    </row>
    <row r="738" spans="1:12">
      <c r="A738" s="429" t="str">
        <f t="shared" si="21"/>
        <v>18</v>
      </c>
      <c r="B738" s="429" t="str">
        <f>T("183104 2007")</f>
        <v>183104 2007</v>
      </c>
      <c r="C738" s="637" t="str">
        <f>T("Statens bostadskreditnämnd: Garantiverksamhet")</f>
        <v>Statens bostadskreditnämnd: Garantiverksamhet</v>
      </c>
      <c r="D738" s="428">
        <v>1114448.87733</v>
      </c>
      <c r="E738" s="428">
        <v>2696535.30559</v>
      </c>
      <c r="F738" s="428">
        <v>1246946.5195200001</v>
      </c>
      <c r="G738" s="428">
        <v>336819.82392</v>
      </c>
      <c r="H738" s="428">
        <v>1000000</v>
      </c>
      <c r="I738" s="428">
        <v>200000</v>
      </c>
      <c r="J738" s="428">
        <v>100000</v>
      </c>
      <c r="K738" s="428">
        <v>16666</v>
      </c>
      <c r="L738" s="428">
        <v>156800</v>
      </c>
    </row>
    <row r="739" spans="1:12">
      <c r="A739" s="429" t="str">
        <f t="shared" si="21"/>
        <v>18</v>
      </c>
      <c r="B739" s="429" t="str">
        <f>T("183107 2003")</f>
        <v>183107 2003</v>
      </c>
      <c r="C739" s="637" t="str">
        <f>T("Investeringsbidrag för anordnande av bostäder för studenter")</f>
        <v>Investeringsbidrag för anordnande av bostäder för studenter</v>
      </c>
      <c r="H739" s="428">
        <v>43364.089</v>
      </c>
      <c r="I739" s="428">
        <v>106269</v>
      </c>
      <c r="J739" s="428">
        <v>159910.79399999999</v>
      </c>
      <c r="K739" s="428">
        <v>50877.349929999997</v>
      </c>
      <c r="L739" s="428">
        <v>23456.814999999999</v>
      </c>
    </row>
    <row r="740" spans="1:12">
      <c r="A740" s="429" t="str">
        <f t="shared" si="21"/>
        <v>18</v>
      </c>
      <c r="B740" s="429" t="str">
        <f>T("183110 2007")</f>
        <v>183110 2007</v>
      </c>
      <c r="C740" s="637" t="str">
        <f>T("Byggkostnadsforum m.m.")</f>
        <v>Byggkostnadsforum m.m.</v>
      </c>
      <c r="H740" s="428">
        <v>5000</v>
      </c>
      <c r="I740" s="428">
        <v>14678.674999999999</v>
      </c>
      <c r="J740" s="428">
        <v>46682.966999999997</v>
      </c>
      <c r="K740" s="428">
        <v>28171.378000000001</v>
      </c>
      <c r="L740" s="428">
        <v>50374.61404</v>
      </c>
    </row>
    <row r="741" spans="1:12">
      <c r="A741" s="429" t="str">
        <f t="shared" si="21"/>
        <v>18</v>
      </c>
      <c r="B741" s="429" t="str">
        <f>T("183110 2008")</f>
        <v>183110 2008</v>
      </c>
      <c r="C741" s="637" t="str">
        <f>T("Fonden för fukt- och mögelskador")</f>
        <v>Fonden för fukt- och mögelskador</v>
      </c>
      <c r="D741" s="428">
        <v>43500</v>
      </c>
      <c r="E741" s="428">
        <v>28100</v>
      </c>
      <c r="F741" s="428">
        <v>34500</v>
      </c>
      <c r="G741" s="428">
        <v>36918.761930000001</v>
      </c>
      <c r="H741" s="428">
        <v>45048.847869999998</v>
      </c>
      <c r="I741" s="428">
        <v>36624.889819999997</v>
      </c>
      <c r="J741" s="428">
        <v>28727.87775</v>
      </c>
      <c r="K741" s="428">
        <v>20442.713080000001</v>
      </c>
      <c r="L741" s="428">
        <v>17822.945169999999</v>
      </c>
    </row>
    <row r="742" spans="1:12">
      <c r="A742" s="429" t="str">
        <f t="shared" si="21"/>
        <v>18</v>
      </c>
      <c r="B742" s="429" t="str">
        <f>T("183111 2006")</f>
        <v>183111 2006</v>
      </c>
      <c r="C742" s="637" t="str">
        <f>T("Investeringsbidrag för anordnande av hyresbostäder")</f>
        <v>Investeringsbidrag för anordnande av hyresbostäder</v>
      </c>
      <c r="I742" s="428">
        <v>40702</v>
      </c>
      <c r="J742" s="428">
        <v>215614.8</v>
      </c>
      <c r="K742" s="428">
        <v>288519.51899999997</v>
      </c>
      <c r="L742" s="428">
        <v>375484.66200000001</v>
      </c>
    </row>
    <row r="743" spans="1:12">
      <c r="A743" s="429" t="str">
        <f t="shared" si="21"/>
        <v>18</v>
      </c>
      <c r="B743" s="429" t="str">
        <f>T("183112 2005")</f>
        <v>183112 2005</v>
      </c>
      <c r="C743" s="637" t="str">
        <f>T("Statens bostadsnämnd")</f>
        <v>Statens bostadsnämnd</v>
      </c>
      <c r="I743" s="428">
        <v>1583.7751000000001</v>
      </c>
      <c r="J743" s="428">
        <v>5109.7752399999999</v>
      </c>
      <c r="K743" s="428">
        <v>5273.6566599999996</v>
      </c>
      <c r="L743" s="428">
        <v>4769.8635299999996</v>
      </c>
    </row>
    <row r="744" spans="1:12">
      <c r="A744" s="429" t="str">
        <f t="shared" si="21"/>
        <v>18</v>
      </c>
      <c r="B744" s="429" t="str">
        <f>T("183112 2007")</f>
        <v>183112 2007</v>
      </c>
      <c r="C744" s="637" t="str">
        <f>T("Ungdomsbostadssamordnare")</f>
        <v>Ungdomsbostadssamordnare</v>
      </c>
      <c r="L744" s="428">
        <v>1254.2607</v>
      </c>
    </row>
    <row r="745" spans="1:12">
      <c r="A745" s="429" t="str">
        <f t="shared" si="21"/>
        <v>18</v>
      </c>
      <c r="B745" s="429" t="str">
        <f>T("183114 2005")</f>
        <v>183114 2005</v>
      </c>
      <c r="C745" s="637" t="str">
        <f>T("Bidrag till installation av hissar")</f>
        <v>Bidrag till installation av hissar</v>
      </c>
      <c r="K745" s="428">
        <v>483.59899999999999</v>
      </c>
      <c r="L745" s="428">
        <v>9725.991</v>
      </c>
    </row>
    <row r="746" spans="1:12">
      <c r="A746" s="429" t="str">
        <f t="shared" si="21"/>
        <v>18</v>
      </c>
      <c r="B746" s="429" t="str">
        <f>T("183401 2003")</f>
        <v>183401 2003</v>
      </c>
      <c r="C746" s="637" t="str">
        <f>T("Stöd till lokala investeringsprogram för ekologisk hållbarhet")</f>
        <v>Stöd till lokala investeringsprogram för ekologisk hållbarhet</v>
      </c>
      <c r="E746" s="428">
        <v>617133.02237999998</v>
      </c>
      <c r="F746" s="428">
        <v>904883.84975000005</v>
      </c>
      <c r="G746" s="428">
        <v>606844.89344000001</v>
      </c>
      <c r="H746" s="428">
        <v>1131034.55222</v>
      </c>
      <c r="I746" s="428">
        <v>648712.85944999999</v>
      </c>
      <c r="J746" s="428">
        <v>441620.52620999998</v>
      </c>
      <c r="K746" s="428">
        <v>186524.67199999999</v>
      </c>
      <c r="L746" s="428">
        <v>62753.972999999998</v>
      </c>
    </row>
    <row r="747" spans="1:12">
      <c r="A747" s="429" t="str">
        <f t="shared" si="21"/>
        <v>18</v>
      </c>
      <c r="B747" s="429" t="str">
        <f>T("183401 2004")</f>
        <v>183401 2004</v>
      </c>
      <c r="C747" s="637" t="str">
        <f>T("Statens institut för ekologisk hållbarhet")</f>
        <v>Statens institut för ekologisk hållbarhet</v>
      </c>
      <c r="F747" s="428">
        <v>3353.7058999999999</v>
      </c>
      <c r="G747" s="428">
        <v>5737.8452100000004</v>
      </c>
      <c r="H747" s="428">
        <v>5493.0690800000002</v>
      </c>
      <c r="I747" s="428">
        <v>5849.1073500000002</v>
      </c>
      <c r="J747" s="428">
        <v>6778.8007699999998</v>
      </c>
      <c r="K747" s="428">
        <v>7807.2257</v>
      </c>
    </row>
    <row r="748" spans="1:12">
      <c r="A748" s="429" t="str">
        <f t="shared" si="21"/>
        <v>18</v>
      </c>
      <c r="B748" s="429" t="str">
        <f>T("18A003 1999")</f>
        <v>18A003 1999</v>
      </c>
      <c r="C748" s="637" t="str">
        <f>T("Vissa äldre låne- och bidragsstöd för bostadsändamål m.m")</f>
        <v>Vissa äldre låne- och bidragsstöd för bostadsändamål m.m</v>
      </c>
      <c r="D748" s="428">
        <v>50834.59</v>
      </c>
      <c r="E748" s="428">
        <v>3438.0050000000001</v>
      </c>
      <c r="F748" s="428">
        <v>7352.3649999999998</v>
      </c>
      <c r="G748" s="428">
        <v>-33.030999999999999</v>
      </c>
    </row>
    <row r="749" spans="1:12">
      <c r="A749" s="429" t="str">
        <f t="shared" si="21"/>
        <v>18</v>
      </c>
      <c r="B749" s="429" t="str">
        <f>T("18A009 2000")</f>
        <v>18A009 2000</v>
      </c>
      <c r="C749" s="637" t="str">
        <f>T("Bonusränta för ungdomsbosparande, 2000")</f>
        <v>Bonusränta för ungdomsbosparande, 2000</v>
      </c>
      <c r="D749" s="428">
        <v>4431.5019400000001</v>
      </c>
      <c r="E749" s="428">
        <v>5091.9213600000003</v>
      </c>
      <c r="F749" s="428">
        <v>3336.0238199999999</v>
      </c>
      <c r="G749" s="428">
        <v>4390.7190700000001</v>
      </c>
      <c r="H749" s="428">
        <v>6025.2809299999999</v>
      </c>
    </row>
    <row r="750" spans="1:12">
      <c r="A750" s="429" t="str">
        <f t="shared" si="21"/>
        <v>18</v>
      </c>
      <c r="B750" s="429" t="str">
        <f>T("18A011 2000")</f>
        <v>18A011 2000</v>
      </c>
      <c r="C750" s="637" t="str">
        <f>T("Internationellt samarbete")</f>
        <v>Internationellt samarbete</v>
      </c>
      <c r="F750" s="428">
        <v>10304.991959999999</v>
      </c>
      <c r="G750" s="428">
        <v>13589.42455</v>
      </c>
      <c r="H750" s="428">
        <v>11358.58714</v>
      </c>
      <c r="I750" s="428">
        <v>242.69900000000001</v>
      </c>
      <c r="J750" s="428">
        <v>3308.7201</v>
      </c>
      <c r="K750" s="428">
        <v>17.990780000000001</v>
      </c>
    </row>
    <row r="751" spans="1:12">
      <c r="A751" s="429" t="str">
        <f t="shared" si="21"/>
        <v>18</v>
      </c>
      <c r="B751" s="429" t="str">
        <f>T("18A012 1999")</f>
        <v>18A012 1999</v>
      </c>
      <c r="C751" s="637" t="str">
        <f>T("Investeringsbidrag för anordnande av bostäder för studenter")</f>
        <v>Investeringsbidrag för anordnande av bostäder för studenter</v>
      </c>
      <c r="F751" s="428">
        <v>31242.974999999999</v>
      </c>
      <c r="G751" s="428">
        <v>10179.1</v>
      </c>
      <c r="H751" s="428">
        <v>6150</v>
      </c>
    </row>
    <row r="752" spans="1:12">
      <c r="A752" s="429" t="str">
        <f t="shared" si="21"/>
        <v>18</v>
      </c>
      <c r="B752" s="429" t="str">
        <f>T("18A013 2000")</f>
        <v>18A013 2000</v>
      </c>
      <c r="C752" s="637" t="str">
        <f>T("Vissa investeringsbidrag")</f>
        <v>Vissa investeringsbidrag</v>
      </c>
      <c r="G752" s="428">
        <v>5.3659999999999997</v>
      </c>
      <c r="H752" s="428">
        <v>1706.4</v>
      </c>
      <c r="I752" s="428">
        <v>48.25</v>
      </c>
    </row>
    <row r="753" spans="1:12">
      <c r="A753" s="430" t="s">
        <v>1652</v>
      </c>
      <c r="B753" s="430"/>
      <c r="C753" s="430" t="str">
        <f>T("Samhällsplanering, bostadsförsörjning, byggande samt konsumentpolitik")</f>
        <v>Samhällsplanering, bostadsförsörjning, byggande samt konsumentpolitik</v>
      </c>
      <c r="D753" s="431">
        <v>22869399.100809999</v>
      </c>
      <c r="E753" s="431">
        <v>14838770.476260001</v>
      </c>
      <c r="F753" s="431">
        <v>10278312.115350001</v>
      </c>
      <c r="G753" s="431">
        <v>5641382.8314699996</v>
      </c>
      <c r="H753" s="431">
        <v>4685558.1041999999</v>
      </c>
      <c r="I753" s="431">
        <v>3215647.6424099999</v>
      </c>
      <c r="J753" s="431">
        <v>3291632.94997</v>
      </c>
      <c r="K753" s="431">
        <v>3061890.6741200001</v>
      </c>
      <c r="L753" s="431">
        <v>3109320.19728</v>
      </c>
    </row>
    <row r="754" spans="1:12">
      <c r="A754" s="429" t="str">
        <f t="shared" ref="A754:A776" si="22">T("19")</f>
        <v>19</v>
      </c>
      <c r="B754" s="429" t="str">
        <f>T("10C001 9596")</f>
        <v>10C001 9596</v>
      </c>
      <c r="C754" s="637" t="str">
        <f>T("Lokaliseringsbidrag m.m")</f>
        <v>Lokaliseringsbidrag m.m</v>
      </c>
      <c r="D754" s="428">
        <v>160166.69330000001</v>
      </c>
      <c r="E754" s="428">
        <v>167589.09090000001</v>
      </c>
      <c r="F754" s="428">
        <v>49615.156080000001</v>
      </c>
    </row>
    <row r="755" spans="1:12">
      <c r="A755" s="429" t="str">
        <f t="shared" si="22"/>
        <v>19</v>
      </c>
      <c r="B755" s="429" t="str">
        <f>T("10C002 9596")</f>
        <v>10C002 9596</v>
      </c>
      <c r="C755" s="637" t="str">
        <f>T("Regionala utvecklingsinsatser m.m")</f>
        <v>Regionala utvecklingsinsatser m.m</v>
      </c>
      <c r="D755" s="428">
        <v>970919.88067999994</v>
      </c>
      <c r="E755" s="428">
        <v>689474.75060000003</v>
      </c>
      <c r="F755" s="428">
        <v>215024.0472</v>
      </c>
      <c r="G755" s="428">
        <v>0</v>
      </c>
    </row>
    <row r="756" spans="1:12">
      <c r="A756" s="429" t="str">
        <f t="shared" si="22"/>
        <v>19</v>
      </c>
      <c r="B756" s="429" t="str">
        <f>T("10C006 9495")</f>
        <v>10C006 9495</v>
      </c>
      <c r="C756" s="637" t="str">
        <f>T("Särskilda regionalpolitiska infrastrukturåtgärder m.m")</f>
        <v>Särskilda regionalpolitiska infrastrukturåtgärder m.m</v>
      </c>
      <c r="D756" s="428">
        <v>65061.695509999998</v>
      </c>
      <c r="E756" s="428">
        <v>65151.061950000003</v>
      </c>
      <c r="F756" s="428">
        <v>0</v>
      </c>
    </row>
    <row r="757" spans="1:12">
      <c r="A757" s="429" t="str">
        <f t="shared" si="22"/>
        <v>19</v>
      </c>
      <c r="B757" s="429" t="str">
        <f>T("1901001")</f>
        <v>1901001</v>
      </c>
      <c r="C757" s="637" t="str">
        <f>T("Regionala tillväxtåtgärder")</f>
        <v>Regionala tillväxtåtgärder</v>
      </c>
      <c r="F757" s="428">
        <v>627455.50441000005</v>
      </c>
      <c r="G757" s="428">
        <v>1170282.8591400001</v>
      </c>
      <c r="H757" s="428">
        <v>1304867.0358599999</v>
      </c>
      <c r="I757" s="428">
        <v>1453387.5795</v>
      </c>
      <c r="J757" s="428">
        <v>1494580.6328799999</v>
      </c>
      <c r="K757" s="428">
        <v>1481115.1053500001</v>
      </c>
      <c r="L757" s="428">
        <v>1475645.3630900001</v>
      </c>
    </row>
    <row r="758" spans="1:12">
      <c r="A758" s="429" t="str">
        <f t="shared" si="22"/>
        <v>19</v>
      </c>
      <c r="B758" s="429" t="str">
        <f>T("1901002")</f>
        <v>1901002</v>
      </c>
      <c r="C758" s="637" t="str">
        <f>T("Transportbidrag")</f>
        <v>Transportbidrag</v>
      </c>
      <c r="D758" s="428">
        <v>351536.65399999998</v>
      </c>
      <c r="E758" s="428">
        <v>351474.28399999999</v>
      </c>
      <c r="F758" s="428">
        <v>320671.20799999998</v>
      </c>
      <c r="G758" s="428">
        <v>320899.53999999998</v>
      </c>
      <c r="H758" s="428">
        <v>377657.09600000002</v>
      </c>
      <c r="I758" s="428">
        <v>353350.54200000002</v>
      </c>
      <c r="J758" s="428">
        <v>357139.99400000001</v>
      </c>
      <c r="K758" s="428">
        <v>355255.04700000002</v>
      </c>
      <c r="L758" s="428">
        <v>374365.092</v>
      </c>
    </row>
    <row r="759" spans="1:12">
      <c r="A759" s="429" t="str">
        <f t="shared" si="22"/>
        <v>19</v>
      </c>
      <c r="B759" s="429" t="str">
        <f>T("1901003")</f>
        <v>1901003</v>
      </c>
      <c r="C759" s="637" t="str">
        <f>T("Europeiska regionala utvecklingsfonden perioden 2007-2013")</f>
        <v>Europeiska regionala utvecklingsfonden perioden 2007-2013</v>
      </c>
    </row>
    <row r="760" spans="1:12">
      <c r="A760" s="429" t="str">
        <f t="shared" si="22"/>
        <v>19</v>
      </c>
      <c r="B760" s="429" t="str">
        <f>T("1901003 2009")</f>
        <v>1901003 2009</v>
      </c>
      <c r="C760" s="637" t="str">
        <f>T("Glesbygdsverket")</f>
        <v>Glesbygdsverket</v>
      </c>
      <c r="D760" s="428">
        <v>24573.024249999999</v>
      </c>
      <c r="E760" s="428">
        <v>22096.370510000001</v>
      </c>
      <c r="F760" s="428">
        <v>27165.869200000001</v>
      </c>
      <c r="G760" s="428">
        <v>26314.451209999999</v>
      </c>
      <c r="H760" s="428">
        <v>24448.675569999999</v>
      </c>
      <c r="I760" s="428">
        <v>26467.8341</v>
      </c>
      <c r="J760" s="428">
        <v>25870.177919999998</v>
      </c>
      <c r="K760" s="428">
        <v>26286.308580000001</v>
      </c>
      <c r="L760" s="428">
        <v>25435.947550000001</v>
      </c>
    </row>
    <row r="761" spans="1:12">
      <c r="A761" s="429" t="str">
        <f t="shared" si="22"/>
        <v>19</v>
      </c>
      <c r="B761" s="429" t="str">
        <f>T("193302 2008")</f>
        <v>193302 2008</v>
      </c>
      <c r="C761" s="637" t="str">
        <f>T("Landsbygdslån")</f>
        <v>Landsbygdslån</v>
      </c>
      <c r="D761" s="428">
        <v>80513.100000000006</v>
      </c>
      <c r="E761" s="428">
        <v>81754.5</v>
      </c>
      <c r="F761" s="428">
        <v>113365.306</v>
      </c>
      <c r="G761" s="428">
        <v>61839.699000000001</v>
      </c>
      <c r="H761" s="428">
        <v>13118.5605</v>
      </c>
      <c r="I761" s="428">
        <v>4477.5</v>
      </c>
      <c r="J761" s="428">
        <v>9832.5</v>
      </c>
      <c r="K761" s="428">
        <v>6614.5</v>
      </c>
      <c r="L761" s="428">
        <v>6687.5</v>
      </c>
    </row>
    <row r="762" spans="1:12">
      <c r="A762" s="429" t="str">
        <f t="shared" si="22"/>
        <v>19</v>
      </c>
      <c r="B762" s="429" t="str">
        <f>T("193303 2002")</f>
        <v>193303 2002</v>
      </c>
      <c r="C762" s="637" t="str">
        <f>T("Avsättning för kreditgarantier inom regionalpolitiken")</f>
        <v>Avsättning för kreditgarantier inom regionalpolitiken</v>
      </c>
      <c r="D762" s="428">
        <v>10473.88377</v>
      </c>
      <c r="E762" s="428">
        <v>7775.8958599999996</v>
      </c>
      <c r="F762" s="428">
        <v>3473.6930000000002</v>
      </c>
      <c r="G762" s="428">
        <v>968.27700000000004</v>
      </c>
      <c r="H762" s="428">
        <v>246.18600000000001</v>
      </c>
      <c r="I762" s="428">
        <v>11000</v>
      </c>
    </row>
    <row r="763" spans="1:12">
      <c r="A763" s="429" t="str">
        <f t="shared" si="22"/>
        <v>19</v>
      </c>
      <c r="B763" s="429" t="str">
        <f>T("193304 2001")</f>
        <v>193304 2001</v>
      </c>
      <c r="C763" s="637" t="str">
        <f>T("Ersättning för nedsättning av socialavgifter")</f>
        <v>Ersättning för nedsättning av socialavgifter</v>
      </c>
      <c r="D763" s="428">
        <v>401925.18618000002</v>
      </c>
      <c r="E763" s="428">
        <v>421340.90263999999</v>
      </c>
      <c r="F763" s="428">
        <v>381949.36803999997</v>
      </c>
      <c r="G763" s="428">
        <v>68901.723010000002</v>
      </c>
      <c r="H763" s="428">
        <v>9015.59699</v>
      </c>
    </row>
    <row r="764" spans="1:12">
      <c r="A764" s="429" t="str">
        <f t="shared" si="22"/>
        <v>19</v>
      </c>
      <c r="B764" s="429" t="str">
        <f>T("193305 2008")</f>
        <v>193305 2008</v>
      </c>
      <c r="C764" s="637" t="str">
        <f>T("Europeiska regionala utvecklingsfonden perioden 2000-2006")</f>
        <v>Europeiska regionala utvecklingsfonden perioden 2000-2006</v>
      </c>
      <c r="G764" s="428">
        <v>0</v>
      </c>
      <c r="H764" s="428">
        <v>482179.65642999997</v>
      </c>
      <c r="I764" s="428">
        <v>1282434.0112600001</v>
      </c>
      <c r="J764" s="428">
        <v>1418330.46248</v>
      </c>
      <c r="K764" s="428">
        <v>1329638.15729</v>
      </c>
      <c r="L764" s="428">
        <v>1305782.30488</v>
      </c>
    </row>
    <row r="765" spans="1:12">
      <c r="A765" s="429" t="str">
        <f t="shared" si="22"/>
        <v>19</v>
      </c>
      <c r="B765" s="429" t="str">
        <f>T("193306 2006")</f>
        <v>193306 2006</v>
      </c>
      <c r="C765" s="637" t="str">
        <f>T("Insatser med anledning av försvarsomställningen")</f>
        <v>Insatser med anledning av försvarsomställningen</v>
      </c>
      <c r="L765" s="428">
        <v>95209.604000000007</v>
      </c>
    </row>
    <row r="766" spans="1:12">
      <c r="A766" s="429" t="str">
        <f t="shared" si="22"/>
        <v>19</v>
      </c>
      <c r="B766" s="429" t="str">
        <f>T("193307 2001")</f>
        <v>193307 2001</v>
      </c>
      <c r="C766" s="637" t="str">
        <f>T("Europeiska regionala utvecklingsfonden perioden 1995-1999")</f>
        <v>Europeiska regionala utvecklingsfonden perioden 1995-1999</v>
      </c>
      <c r="D766" s="428">
        <v>352113.36891999998</v>
      </c>
      <c r="E766" s="428">
        <v>655575.13049999997</v>
      </c>
      <c r="F766" s="428">
        <v>973212.96499999997</v>
      </c>
      <c r="G766" s="428">
        <v>736489.12100000004</v>
      </c>
      <c r="H766" s="428">
        <v>703860.44900000002</v>
      </c>
    </row>
    <row r="767" spans="1:12">
      <c r="A767" s="429" t="str">
        <f t="shared" si="22"/>
        <v>19</v>
      </c>
      <c r="B767" s="429" t="str">
        <f>T("193307 2002")</f>
        <v>193307 2002</v>
      </c>
      <c r="C767" s="637" t="str">
        <f>T("Särskilda regionala utvecklingsprogram")</f>
        <v>Särskilda regionala utvecklingsprogram</v>
      </c>
      <c r="I767" s="428">
        <v>59500</v>
      </c>
      <c r="J767" s="428">
        <v>73500</v>
      </c>
      <c r="K767" s="428">
        <v>100000</v>
      </c>
      <c r="L767" s="428">
        <v>1474.81879</v>
      </c>
    </row>
    <row r="768" spans="1:12">
      <c r="A768" s="429" t="str">
        <f t="shared" si="22"/>
        <v>19</v>
      </c>
      <c r="B768" s="429" t="str">
        <f>T("193309 2001")</f>
        <v>193309 2001</v>
      </c>
      <c r="C768" s="637" t="str">
        <f>T("Utgifter för lokalisering av statliga arbetstillfällen till vissa kommuner")</f>
        <v>Utgifter för lokalisering av statliga arbetstillfällen till vissa kommuner</v>
      </c>
      <c r="H768" s="428">
        <v>32000</v>
      </c>
      <c r="I768" s="428">
        <v>19500</v>
      </c>
      <c r="J768" s="428">
        <v>45200</v>
      </c>
      <c r="K768" s="428">
        <v>2362.5</v>
      </c>
      <c r="L768" s="428">
        <v>937.5</v>
      </c>
    </row>
    <row r="769" spans="1:12">
      <c r="A769" s="429" t="str">
        <f t="shared" si="22"/>
        <v>19</v>
      </c>
      <c r="B769" s="429" t="str">
        <f>T("19A001 1998")</f>
        <v>19A001 1998</v>
      </c>
      <c r="C769" s="637" t="str">
        <f>T("Regionalpolitiska åtgärder")</f>
        <v>Regionalpolitiska åtgärder</v>
      </c>
      <c r="D769" s="428">
        <v>271317.97262000002</v>
      </c>
      <c r="E769" s="428">
        <v>954064.26447000005</v>
      </c>
      <c r="F769" s="428">
        <v>737784.30403999996</v>
      </c>
      <c r="G769" s="428">
        <v>463673.63024999999</v>
      </c>
      <c r="H769" s="428">
        <v>221062.51162999999</v>
      </c>
      <c r="I769" s="428">
        <v>0</v>
      </c>
    </row>
    <row r="770" spans="1:12">
      <c r="A770" s="429" t="str">
        <f t="shared" si="22"/>
        <v>19</v>
      </c>
      <c r="B770" s="429" t="str">
        <f>T("19A005 1997")</f>
        <v>19A005 1997</v>
      </c>
      <c r="C770" s="637" t="str">
        <f>T("Sysselsättningsbidrag")</f>
        <v>Sysselsättningsbidrag</v>
      </c>
      <c r="D770" s="428">
        <v>244808.94</v>
      </c>
      <c r="E770" s="428">
        <v>-9808.94</v>
      </c>
    </row>
    <row r="771" spans="1:12">
      <c r="A771" s="429" t="str">
        <f t="shared" si="22"/>
        <v>19</v>
      </c>
      <c r="B771" s="429" t="str">
        <f>T("19A009 1998")</f>
        <v>19A009 1998</v>
      </c>
      <c r="C771" s="637" t="str">
        <f>T("Utgifter för lokalisering av statliga arbetstillfällen till Söderhamn")</f>
        <v>Utgifter för lokalisering av statliga arbetstillfällen till Söderhamn</v>
      </c>
      <c r="E771" s="428">
        <v>21944.75</v>
      </c>
      <c r="F771" s="428">
        <v>39598.25</v>
      </c>
      <c r="G771" s="428">
        <v>4200</v>
      </c>
      <c r="H771" s="428">
        <v>6200</v>
      </c>
    </row>
    <row r="772" spans="1:12">
      <c r="A772" s="429" t="str">
        <f t="shared" si="22"/>
        <v>19</v>
      </c>
      <c r="B772" s="429" t="str">
        <f>T("19A009 1999")</f>
        <v>19A009 1999</v>
      </c>
      <c r="C772" s="637" t="str">
        <f>T("Kapitaltillskott till Stiftelsen Norrlandsfonden")</f>
        <v>Kapitaltillskott till Stiftelsen Norrlandsfonden</v>
      </c>
      <c r="F772" s="428">
        <v>200000</v>
      </c>
    </row>
    <row r="773" spans="1:12">
      <c r="A773" s="429" t="str">
        <f t="shared" si="22"/>
        <v>19</v>
      </c>
      <c r="B773" s="429" t="str">
        <f>T("19A010 2000")</f>
        <v>19A010 2000</v>
      </c>
      <c r="C773" s="637" t="str">
        <f>T("Flygplatsbolag i Ljungbyhed")</f>
        <v>Flygplatsbolag i Ljungbyhed</v>
      </c>
      <c r="F773" s="428">
        <v>3000</v>
      </c>
      <c r="G773" s="428">
        <v>6000</v>
      </c>
    </row>
    <row r="774" spans="1:12">
      <c r="A774" s="429" t="str">
        <f t="shared" si="22"/>
        <v>19</v>
      </c>
      <c r="B774" s="429" t="str">
        <f>T("19A011 1999")</f>
        <v>19A011 1999</v>
      </c>
      <c r="C774" s="637" t="str">
        <f>T("Regionalpolitiska infrastrukturprojekt m.m")</f>
        <v>Regionalpolitiska infrastrukturprojekt m.m</v>
      </c>
      <c r="F774" s="428">
        <v>19158.055639999999</v>
      </c>
      <c r="G774" s="428">
        <v>32672.591820000001</v>
      </c>
      <c r="H774" s="428">
        <v>4095.1456600000001</v>
      </c>
      <c r="I774" s="428">
        <v>0</v>
      </c>
    </row>
    <row r="775" spans="1:12">
      <c r="A775" s="429" t="str">
        <f t="shared" si="22"/>
        <v>19</v>
      </c>
      <c r="B775" s="429" t="str">
        <f>T("19A011 2000")</f>
        <v>19A011 2000</v>
      </c>
      <c r="C775" s="637" t="str">
        <f>T("Regionalpolitiska insatser")</f>
        <v>Regionalpolitiska insatser</v>
      </c>
      <c r="G775" s="428">
        <v>103904.73005</v>
      </c>
      <c r="H775" s="428">
        <v>28510.967939999999</v>
      </c>
      <c r="I775" s="428">
        <v>9009.3140000000003</v>
      </c>
      <c r="J775" s="428">
        <v>-3403.82863</v>
      </c>
    </row>
    <row r="776" spans="1:12">
      <c r="A776" s="429" t="str">
        <f t="shared" si="22"/>
        <v>19</v>
      </c>
      <c r="B776" s="429" t="str">
        <f>T("19A012 2000")</f>
        <v>19A012 2000</v>
      </c>
      <c r="C776" s="637" t="str">
        <f>T("Medel för tillfälligt småföretagsstöd m.m.")</f>
        <v>Medel för tillfälligt småföretagsstöd m.m.</v>
      </c>
      <c r="G776" s="428">
        <v>2012.9763499999999</v>
      </c>
      <c r="H776" s="428">
        <v>1282.6659999999999</v>
      </c>
    </row>
    <row r="777" spans="1:12">
      <c r="A777" s="430" t="s">
        <v>1653</v>
      </c>
      <c r="B777" s="430"/>
      <c r="C777" s="430" t="str">
        <f>T("Regional tillväxt")</f>
        <v>Regional tillväxt</v>
      </c>
      <c r="D777" s="431">
        <v>2933410.3992300001</v>
      </c>
      <c r="E777" s="431">
        <v>3428432.0614299998</v>
      </c>
      <c r="F777" s="431">
        <v>3711473.7266099998</v>
      </c>
      <c r="G777" s="431">
        <v>2998159.59883</v>
      </c>
      <c r="H777" s="431">
        <v>3208544.54758</v>
      </c>
      <c r="I777" s="431">
        <v>3219126.7808599998</v>
      </c>
      <c r="J777" s="431">
        <v>3421049.9386499999</v>
      </c>
      <c r="K777" s="431">
        <v>3301271.6182200001</v>
      </c>
      <c r="L777" s="431">
        <v>3285538.1303099999</v>
      </c>
    </row>
    <row r="778" spans="1:12">
      <c r="A778" s="429" t="str">
        <f t="shared" ref="A778:A826" si="23">T("20")</f>
        <v>20</v>
      </c>
      <c r="B778" s="429" t="str">
        <f>T("14A002 9596")</f>
        <v>14A002 9596</v>
      </c>
      <c r="C778" s="637" t="str">
        <f>T("Bidrag till miljöarbete")</f>
        <v>Bidrag till miljöarbete</v>
      </c>
      <c r="D778" s="428">
        <v>57809.590519999998</v>
      </c>
      <c r="E778" s="428">
        <v>48973.82548</v>
      </c>
      <c r="F778" s="428">
        <v>178.35</v>
      </c>
    </row>
    <row r="779" spans="1:12">
      <c r="A779" s="429" t="str">
        <f t="shared" si="23"/>
        <v>20</v>
      </c>
      <c r="B779" s="429" t="str">
        <f>T("14A003 9596")</f>
        <v>14A003 9596</v>
      </c>
      <c r="C779" s="637" t="str">
        <f>T("Bidrag till kalkningsverksamhet för sjöar och vattendrag")</f>
        <v>Bidrag till kalkningsverksamhet för sjöar och vattendrag</v>
      </c>
      <c r="D779" s="428">
        <v>62806.227800000001</v>
      </c>
      <c r="E779" s="428">
        <v>1847.04196</v>
      </c>
      <c r="F779" s="428">
        <v>1300.34384</v>
      </c>
    </row>
    <row r="780" spans="1:12">
      <c r="A780" s="429" t="str">
        <f t="shared" si="23"/>
        <v>20</v>
      </c>
      <c r="B780" s="429" t="str">
        <f>T("14A004 9596")</f>
        <v>14A004 9596</v>
      </c>
      <c r="C780" s="637" t="str">
        <f>T("Investeringar inom miljöområdet")</f>
        <v>Investeringar inom miljöområdet</v>
      </c>
      <c r="D780" s="428">
        <v>27085.293000000001</v>
      </c>
      <c r="E780" s="428">
        <v>17960.710999999999</v>
      </c>
      <c r="F780" s="428">
        <v>-2847.4</v>
      </c>
    </row>
    <row r="781" spans="1:12">
      <c r="A781" s="429" t="str">
        <f t="shared" si="23"/>
        <v>20</v>
      </c>
      <c r="B781" s="429" t="str">
        <f>T("14A005 9596")</f>
        <v>14A005 9596</v>
      </c>
      <c r="C781" s="637" t="str">
        <f>T("Miljöforskning")</f>
        <v>Miljöforskning</v>
      </c>
      <c r="D781" s="428">
        <v>2232.4</v>
      </c>
    </row>
    <row r="782" spans="1:12">
      <c r="A782" s="429" t="str">
        <f t="shared" si="23"/>
        <v>20</v>
      </c>
      <c r="B782" s="429" t="str">
        <f>T("14A006 9495")</f>
        <v>14A006 9495</v>
      </c>
      <c r="C782" s="637" t="str">
        <f>T("Landskapsvårdande åtgärder")</f>
        <v>Landskapsvårdande åtgärder</v>
      </c>
      <c r="D782" s="428">
        <v>1966.32737</v>
      </c>
      <c r="E782" s="428">
        <v>129.79517999999999</v>
      </c>
    </row>
    <row r="783" spans="1:12">
      <c r="A783" s="429" t="str">
        <f t="shared" si="23"/>
        <v>20</v>
      </c>
      <c r="B783" s="429" t="str">
        <f>T("14A007 9596")</f>
        <v>14A007 9596</v>
      </c>
      <c r="C783" s="637" t="str">
        <f>T("Forskning för en kretsloppsanpassad samhällsutveckling")</f>
        <v>Forskning för en kretsloppsanpassad samhällsutveckling</v>
      </c>
      <c r="D783" s="428">
        <v>17882.520540000001</v>
      </c>
      <c r="E783" s="428">
        <v>17139.363379999999</v>
      </c>
    </row>
    <row r="784" spans="1:12">
      <c r="A784" s="429" t="str">
        <f t="shared" si="23"/>
        <v>20</v>
      </c>
      <c r="B784" s="429" t="str">
        <f>T("14A008 9495")</f>
        <v>14A008 9495</v>
      </c>
      <c r="C784" s="637" t="str">
        <f>T("Miljöinsatser i Östersjöregionen")</f>
        <v>Miljöinsatser i Östersjöregionen</v>
      </c>
      <c r="D784" s="428">
        <v>37872.538569999997</v>
      </c>
      <c r="E784" s="428">
        <v>29290.948810000002</v>
      </c>
    </row>
    <row r="785" spans="1:12">
      <c r="A785" s="429" t="str">
        <f t="shared" si="23"/>
        <v>20</v>
      </c>
      <c r="B785" s="429" t="str">
        <f>T("14A008 9596")</f>
        <v>14A008 9596</v>
      </c>
      <c r="C785" s="637" t="str">
        <f>T("Investeringsbidrag för främjande av omställning i ekologiskt hållbar riktning")</f>
        <v>Investeringsbidrag för främjande av omställning i ekologiskt hållbar riktning</v>
      </c>
      <c r="D785" s="428">
        <v>85606.669550000006</v>
      </c>
      <c r="E785" s="428">
        <v>62128.343630000003</v>
      </c>
      <c r="F785" s="428">
        <v>104402.0472</v>
      </c>
      <c r="G785" s="428">
        <v>0</v>
      </c>
    </row>
    <row r="786" spans="1:12">
      <c r="A786" s="429" t="str">
        <f t="shared" si="23"/>
        <v>20</v>
      </c>
      <c r="B786" s="429" t="str">
        <f>T("14A011 9596")</f>
        <v>14A011 9596</v>
      </c>
      <c r="C786" s="637" t="str">
        <f>T("Särskilda projekt")</f>
        <v>Särskilda projekt</v>
      </c>
      <c r="D786" s="428">
        <v>2475.0975600000002</v>
      </c>
      <c r="E786" s="428">
        <v>1000</v>
      </c>
    </row>
    <row r="787" spans="1:12">
      <c r="A787" s="429" t="str">
        <f t="shared" si="23"/>
        <v>20</v>
      </c>
      <c r="B787" s="429" t="str">
        <f>T("14A013 9596")</f>
        <v>14A013 9596</v>
      </c>
      <c r="C787" s="637" t="str">
        <f>T("Visst internationellt miljösamarbete")</f>
        <v>Visst internationellt miljösamarbete</v>
      </c>
      <c r="D787" s="428">
        <v>1308.62544</v>
      </c>
      <c r="E787" s="428">
        <v>2312.5239000000001</v>
      </c>
      <c r="F787" s="428">
        <v>7844.9143899999999</v>
      </c>
      <c r="G787" s="428">
        <v>0</v>
      </c>
    </row>
    <row r="788" spans="1:12">
      <c r="A788" s="429" t="str">
        <f t="shared" si="23"/>
        <v>20</v>
      </c>
      <c r="B788" s="429" t="str">
        <f>T("14A016 9495")</f>
        <v>14A016 9495</v>
      </c>
      <c r="C788" s="637" t="str">
        <f>T("Åtgärder för att rena Dalälven")</f>
        <v>Åtgärder för att rena Dalälven</v>
      </c>
      <c r="D788" s="428">
        <v>2463</v>
      </c>
      <c r="E788" s="428">
        <v>2842.056</v>
      </c>
    </row>
    <row r="789" spans="1:12">
      <c r="A789" s="429" t="str">
        <f t="shared" si="23"/>
        <v>20</v>
      </c>
      <c r="B789" s="429" t="str">
        <f>T("14E001 9495")</f>
        <v>14E001 9495</v>
      </c>
      <c r="C789" s="637" t="str">
        <f>T("Bidrag till internationellt samarbete kring den byggda miljön")</f>
        <v>Bidrag till internationellt samarbete kring den byggda miljön</v>
      </c>
      <c r="D789" s="428">
        <v>29.110040000000001</v>
      </c>
      <c r="E789" s="428">
        <v>377.07100000000003</v>
      </c>
    </row>
    <row r="790" spans="1:12">
      <c r="A790" s="429" t="str">
        <f t="shared" si="23"/>
        <v>20</v>
      </c>
      <c r="B790" s="429" t="str">
        <f>T("18A005 2000")</f>
        <v>18A005 2000</v>
      </c>
      <c r="C790" s="637" t="str">
        <f>T("Byggforskningsrådet: Förvaltningskostnader")</f>
        <v>Byggforskningsrådet: Förvaltningskostnader</v>
      </c>
      <c r="D790" s="428">
        <v>22310.80545</v>
      </c>
      <c r="E790" s="428">
        <v>22590.693060000001</v>
      </c>
      <c r="F790" s="428">
        <v>23976.737560000001</v>
      </c>
      <c r="G790" s="428">
        <v>24669.41704</v>
      </c>
    </row>
    <row r="791" spans="1:12">
      <c r="A791" s="429" t="str">
        <f t="shared" si="23"/>
        <v>20</v>
      </c>
      <c r="B791" s="429" t="str">
        <f>T("18A006 2000")</f>
        <v>18A006 2000</v>
      </c>
      <c r="C791" s="637" t="str">
        <f>T("Byggforskning")</f>
        <v>Byggforskning</v>
      </c>
      <c r="D791" s="428">
        <v>129179.10103000001</v>
      </c>
      <c r="E791" s="428">
        <v>158586.92157999999</v>
      </c>
      <c r="F791" s="428">
        <v>91719.953550000006</v>
      </c>
      <c r="G791" s="428">
        <v>125726.16400999999</v>
      </c>
      <c r="H791" s="428">
        <v>0</v>
      </c>
    </row>
    <row r="792" spans="1:12">
      <c r="A792" s="429" t="str">
        <f t="shared" si="23"/>
        <v>20</v>
      </c>
      <c r="B792" s="429" t="str">
        <f>T("2001001")</f>
        <v>2001001</v>
      </c>
      <c r="C792" s="637" t="str">
        <f>T("Naturvårdsverket")</f>
        <v>Naturvårdsverket</v>
      </c>
      <c r="D792" s="428">
        <v>395217.49679</v>
      </c>
      <c r="E792" s="428">
        <v>253808.42090999999</v>
      </c>
      <c r="F792" s="428">
        <v>282072.05002999998</v>
      </c>
      <c r="G792" s="428">
        <v>287653.89821999997</v>
      </c>
      <c r="H792" s="428">
        <v>304326.26322000002</v>
      </c>
      <c r="I792" s="428">
        <v>303633.76707</v>
      </c>
      <c r="J792" s="428">
        <v>315711.31569999998</v>
      </c>
      <c r="K792" s="428">
        <v>324866.72025000001</v>
      </c>
      <c r="L792" s="428">
        <v>316412.64487000002</v>
      </c>
    </row>
    <row r="793" spans="1:12">
      <c r="A793" s="429" t="str">
        <f t="shared" si="23"/>
        <v>20</v>
      </c>
      <c r="B793" s="429" t="str">
        <f>T("2001002")</f>
        <v>2001002</v>
      </c>
      <c r="C793" s="637" t="str">
        <f>T("Miljöövervakning m.m.")</f>
        <v>Miljöövervakning m.m.</v>
      </c>
      <c r="D793" s="428">
        <v>96859.754329999996</v>
      </c>
      <c r="E793" s="428">
        <v>98317.394579999993</v>
      </c>
      <c r="F793" s="428">
        <v>127121.87823</v>
      </c>
      <c r="G793" s="428">
        <v>153757.7003</v>
      </c>
      <c r="H793" s="428">
        <v>202744.20631000001</v>
      </c>
      <c r="I793" s="428">
        <v>203004.29608</v>
      </c>
      <c r="J793" s="428">
        <v>211041.03047999999</v>
      </c>
      <c r="K793" s="428">
        <v>238906.75493</v>
      </c>
      <c r="L793" s="428">
        <v>221218.68177</v>
      </c>
    </row>
    <row r="794" spans="1:12">
      <c r="A794" s="429" t="str">
        <f t="shared" si="23"/>
        <v>20</v>
      </c>
      <c r="B794" s="429" t="str">
        <f>T("2001003")</f>
        <v>2001003</v>
      </c>
      <c r="C794" s="637" t="str">
        <f>T("Åtgärder för värdefull natur")</f>
        <v>Åtgärder för värdefull natur</v>
      </c>
      <c r="F794" s="428">
        <v>614920.35097000003</v>
      </c>
      <c r="G794" s="428">
        <v>690218.08788999997</v>
      </c>
      <c r="H794" s="428">
        <v>815353.40483999997</v>
      </c>
      <c r="I794" s="428">
        <v>915312.43429999996</v>
      </c>
      <c r="J794" s="428">
        <v>937444.01026000001</v>
      </c>
      <c r="K794" s="428">
        <v>1066366.3297999999</v>
      </c>
      <c r="L794" s="428">
        <v>2017949.7463</v>
      </c>
    </row>
    <row r="795" spans="1:12">
      <c r="A795" s="429" t="str">
        <f t="shared" si="23"/>
        <v>20</v>
      </c>
      <c r="B795" s="429" t="str">
        <f>T("2001004")</f>
        <v>2001004</v>
      </c>
      <c r="C795" s="637" t="str">
        <f>T("Sanering och återställning av förorenade områden")</f>
        <v>Sanering och återställning av förorenade områden</v>
      </c>
      <c r="F795" s="428">
        <v>26007.381000000001</v>
      </c>
      <c r="G795" s="428">
        <v>63456.959889999998</v>
      </c>
      <c r="H795" s="428">
        <v>126534.26459000001</v>
      </c>
      <c r="I795" s="428">
        <v>417538.96529000002</v>
      </c>
      <c r="J795" s="428">
        <v>172570.12312999999</v>
      </c>
      <c r="K795" s="428">
        <v>470325.80563000002</v>
      </c>
      <c r="L795" s="428">
        <v>439223.23329</v>
      </c>
    </row>
    <row r="796" spans="1:12">
      <c r="A796" s="429" t="str">
        <f t="shared" si="23"/>
        <v>20</v>
      </c>
      <c r="B796" s="429" t="str">
        <f>T("2001005")</f>
        <v>2001005</v>
      </c>
      <c r="C796" s="637" t="str">
        <f>T("Miljöforskning")</f>
        <v>Miljöforskning</v>
      </c>
      <c r="G796" s="428">
        <v>49278.952720000001</v>
      </c>
      <c r="H796" s="428">
        <v>57418.321989999997</v>
      </c>
      <c r="I796" s="428">
        <v>58739.250930000002</v>
      </c>
      <c r="J796" s="428">
        <v>82784.130220000006</v>
      </c>
      <c r="K796" s="428">
        <v>84078.108590000003</v>
      </c>
      <c r="L796" s="428">
        <v>83849.444940000001</v>
      </c>
    </row>
    <row r="797" spans="1:12">
      <c r="A797" s="429" t="str">
        <f t="shared" si="23"/>
        <v>20</v>
      </c>
      <c r="B797" s="429" t="str">
        <f>T("2001006")</f>
        <v>2001006</v>
      </c>
      <c r="C797" s="637" t="str">
        <f>T("Kemikalieinspektionen")</f>
        <v>Kemikalieinspektionen</v>
      </c>
      <c r="D797" s="428">
        <v>83704.457269999999</v>
      </c>
      <c r="E797" s="428">
        <v>80660.668189999997</v>
      </c>
      <c r="F797" s="428">
        <v>78206.353579999995</v>
      </c>
      <c r="G797" s="428">
        <v>79678.262889999998</v>
      </c>
      <c r="H797" s="428">
        <v>85868.645420000001</v>
      </c>
      <c r="I797" s="428">
        <v>89760.345960000006</v>
      </c>
      <c r="J797" s="428">
        <v>102496.51691000001</v>
      </c>
      <c r="K797" s="428">
        <v>106682.21777</v>
      </c>
      <c r="L797" s="428">
        <v>108191.22139999999</v>
      </c>
    </row>
    <row r="798" spans="1:12">
      <c r="A798" s="429" t="str">
        <f t="shared" si="23"/>
        <v>20</v>
      </c>
      <c r="B798" s="429" t="str">
        <f>T("2001007")</f>
        <v>2001007</v>
      </c>
      <c r="C798" s="637" t="str">
        <f>T("Internationellt miljösamarbete")</f>
        <v>Internationellt miljösamarbete</v>
      </c>
      <c r="D798" s="428">
        <v>38617.376640000002</v>
      </c>
      <c r="E798" s="428">
        <v>39153.985079999999</v>
      </c>
      <c r="F798" s="428">
        <v>34304.113559999998</v>
      </c>
      <c r="G798" s="428">
        <v>36487.029900000001</v>
      </c>
      <c r="H798" s="428">
        <v>41829.173009999999</v>
      </c>
      <c r="I798" s="428">
        <v>43403.760219999996</v>
      </c>
      <c r="J798" s="428">
        <v>67140.893219999998</v>
      </c>
      <c r="K798" s="428">
        <v>70796.927119999993</v>
      </c>
      <c r="L798" s="428">
        <v>72445.332569999999</v>
      </c>
    </row>
    <row r="799" spans="1:12">
      <c r="A799" s="429" t="str">
        <f t="shared" si="23"/>
        <v>20</v>
      </c>
      <c r="B799" s="429" t="str">
        <f>T("2001008")</f>
        <v>2001008</v>
      </c>
      <c r="C799" s="637" t="str">
        <f>T("Supermiljöbilspremie")</f>
        <v>Supermiljöbilspremie</v>
      </c>
    </row>
    <row r="800" spans="1:12">
      <c r="A800" s="429" t="str">
        <f t="shared" si="23"/>
        <v>20</v>
      </c>
      <c r="B800" s="429" t="str">
        <f>T("2001008 2011")</f>
        <v>2001008 2011</v>
      </c>
      <c r="C800" s="637" t="str">
        <f>T("Stockholms internationella miljöinstitut")</f>
        <v>Stockholms internationella miljöinstitut</v>
      </c>
      <c r="D800" s="428">
        <v>12000</v>
      </c>
      <c r="E800" s="428">
        <v>12000</v>
      </c>
      <c r="F800" s="428">
        <v>12000</v>
      </c>
      <c r="G800" s="428">
        <v>12000</v>
      </c>
      <c r="H800" s="428">
        <v>12000</v>
      </c>
      <c r="I800" s="428">
        <v>12000</v>
      </c>
      <c r="J800" s="428">
        <v>12000</v>
      </c>
      <c r="K800" s="428">
        <v>12000</v>
      </c>
      <c r="L800" s="428">
        <v>11928</v>
      </c>
    </row>
    <row r="801" spans="1:12">
      <c r="A801" s="429" t="str">
        <f t="shared" si="23"/>
        <v>20</v>
      </c>
      <c r="B801" s="429" t="str">
        <f>T("2001009")</f>
        <v>2001009</v>
      </c>
      <c r="C801" s="637" t="str">
        <f>T("Sveriges meteorologiska och hydrologiska institut")</f>
        <v>Sveriges meteorologiska och hydrologiska institut</v>
      </c>
      <c r="D801" s="428">
        <v>123385</v>
      </c>
      <c r="E801" s="428">
        <v>186312.05369</v>
      </c>
      <c r="F801" s="428">
        <v>205307.13456999999</v>
      </c>
      <c r="G801" s="428">
        <v>192768.33077</v>
      </c>
      <c r="H801" s="428">
        <v>226899.29126999999</v>
      </c>
      <c r="I801" s="428">
        <v>237136.18182</v>
      </c>
      <c r="J801" s="428">
        <v>231425.25909000001</v>
      </c>
      <c r="K801" s="428">
        <v>251633.39571000001</v>
      </c>
      <c r="L801" s="428">
        <v>248136.32256</v>
      </c>
    </row>
    <row r="802" spans="1:12">
      <c r="A802" s="429" t="str">
        <f t="shared" si="23"/>
        <v>20</v>
      </c>
      <c r="B802" s="429" t="str">
        <f>T("2001010")</f>
        <v>2001010</v>
      </c>
      <c r="C802" s="637" t="str">
        <f>T("Klimatanpassning")</f>
        <v>Klimatanpassning</v>
      </c>
    </row>
    <row r="803" spans="1:12">
      <c r="A803" s="429" t="str">
        <f t="shared" si="23"/>
        <v>20</v>
      </c>
      <c r="B803" s="429" t="str">
        <f>T("2001011")</f>
        <v>2001011</v>
      </c>
      <c r="C803" s="637" t="str">
        <f>T("Inspire")</f>
        <v>Inspire</v>
      </c>
    </row>
    <row r="804" spans="1:12">
      <c r="A804" s="429" t="str">
        <f t="shared" si="23"/>
        <v>20</v>
      </c>
      <c r="B804" s="429" t="str">
        <f>T("2001011 2009")</f>
        <v>2001011 2009</v>
      </c>
      <c r="C804" s="637" t="str">
        <f>T("Miljöbilspremie")</f>
        <v>Miljöbilspremie</v>
      </c>
    </row>
    <row r="805" spans="1:12">
      <c r="A805" s="429" t="str">
        <f t="shared" si="23"/>
        <v>20</v>
      </c>
      <c r="B805" s="429" t="str">
        <f>T("2001012")</f>
        <v>2001012</v>
      </c>
      <c r="C805" s="637" t="str">
        <f>T("Åtgärder för havs- och vattenmiljö")</f>
        <v>Åtgärder för havs- och vattenmiljö</v>
      </c>
    </row>
    <row r="806" spans="1:12">
      <c r="A806" s="429" t="str">
        <f t="shared" si="23"/>
        <v>20</v>
      </c>
      <c r="B806" s="429" t="str">
        <f>T("2001013")</f>
        <v>2001013</v>
      </c>
      <c r="C806" s="637" t="str">
        <f>T("Insatser för internationella klimatinvesteringar")</f>
        <v>Insatser för internationella klimatinvesteringar</v>
      </c>
    </row>
    <row r="807" spans="1:12">
      <c r="A807" s="429" t="str">
        <f t="shared" si="23"/>
        <v>20</v>
      </c>
      <c r="B807" s="429" t="str">
        <f>T("2001014")</f>
        <v>2001014</v>
      </c>
      <c r="C807" s="637" t="str">
        <f>T("Internationellt miljö- och kärnsäkerhetssamarbete med Ryssland")</f>
        <v>Internationellt miljö- och kärnsäkerhetssamarbete med Ryssland</v>
      </c>
    </row>
    <row r="808" spans="1:12">
      <c r="A808" s="429" t="str">
        <f t="shared" si="23"/>
        <v>20</v>
      </c>
      <c r="B808" s="429" t="str">
        <f>T("2001015")</f>
        <v>2001015</v>
      </c>
      <c r="C808" s="637" t="str">
        <f>T("Hållbara städer")</f>
        <v>Hållbara städer</v>
      </c>
    </row>
    <row r="809" spans="1:12">
      <c r="A809" s="429" t="str">
        <f t="shared" si="23"/>
        <v>20</v>
      </c>
      <c r="B809" s="429" t="str">
        <f>T("2001016")</f>
        <v>2001016</v>
      </c>
      <c r="C809" s="637" t="str">
        <f>T("Skydd av värdefull natur")</f>
        <v>Skydd av värdefull natur</v>
      </c>
    </row>
    <row r="810" spans="1:12">
      <c r="A810" s="429" t="str">
        <f t="shared" si="23"/>
        <v>20</v>
      </c>
      <c r="B810" s="429" t="str">
        <f>T("2001017")</f>
        <v>2001017</v>
      </c>
      <c r="C810" s="637" t="str">
        <f>T("Havs- och vattenmyndigheten")</f>
        <v>Havs- och vattenmyndigheten</v>
      </c>
    </row>
    <row r="811" spans="1:12">
      <c r="A811" s="429" t="str">
        <f t="shared" si="23"/>
        <v>20</v>
      </c>
      <c r="B811" s="429" t="str">
        <f>T("2002001")</f>
        <v>2002001</v>
      </c>
      <c r="C811" s="637" t="str">
        <f>T("Forskningsrådet för miljö, areella näringar och samhällsbyggande: Förvaltningskostnader")</f>
        <v>Forskningsrådet för miljö, areella näringar och samhällsbyggande: Förvaltningskostnader</v>
      </c>
      <c r="H811" s="428">
        <v>46174.778919999997</v>
      </c>
      <c r="I811" s="428">
        <v>39638.362990000001</v>
      </c>
      <c r="J811" s="428">
        <v>37612.019690000001</v>
      </c>
      <c r="K811" s="428">
        <v>38974.360780000003</v>
      </c>
      <c r="L811" s="428">
        <v>44815.510779999997</v>
      </c>
    </row>
    <row r="812" spans="1:12">
      <c r="A812" s="429" t="str">
        <f t="shared" si="23"/>
        <v>20</v>
      </c>
      <c r="B812" s="429" t="str">
        <f>T("2002002")</f>
        <v>2002002</v>
      </c>
      <c r="C812" s="637" t="str">
        <f>T("Forskningsrådet för miljö, areella näringar och samhällsbyggande: Forskning")</f>
        <v>Forskningsrådet för miljö, areella näringar och samhällsbyggande: Forskning</v>
      </c>
      <c r="H812" s="428">
        <v>169606.67791</v>
      </c>
      <c r="I812" s="428">
        <v>255852.64017999999</v>
      </c>
      <c r="J812" s="428">
        <v>279885.27422999998</v>
      </c>
      <c r="K812" s="428">
        <v>289622.74634000001</v>
      </c>
      <c r="L812" s="428">
        <v>308207.84295999998</v>
      </c>
    </row>
    <row r="813" spans="1:12">
      <c r="A813" s="429" t="str">
        <f t="shared" si="23"/>
        <v>20</v>
      </c>
      <c r="B813" s="429" t="str">
        <f>T("203410 2008")</f>
        <v>203410 2008</v>
      </c>
      <c r="C813" s="637" t="str">
        <f>T("Stöd till klimatinvesteringar")</f>
        <v>Stöd till klimatinvesteringar</v>
      </c>
      <c r="I813" s="428">
        <v>4886.6364199999998</v>
      </c>
      <c r="J813" s="428">
        <v>11133.328030000001</v>
      </c>
      <c r="K813" s="428">
        <v>100910.71794</v>
      </c>
      <c r="L813" s="428">
        <v>114554.84113</v>
      </c>
    </row>
    <row r="814" spans="1:12">
      <c r="A814" s="429" t="str">
        <f t="shared" si="23"/>
        <v>20</v>
      </c>
      <c r="B814" s="429" t="str">
        <f>T("203412 2002")</f>
        <v>203412 2002</v>
      </c>
      <c r="C814" s="637" t="str">
        <f>T("Internationellt samarbete i fråga om kärnsäkerhet m.m.")</f>
        <v>Internationellt samarbete i fråga om kärnsäkerhet m.m.</v>
      </c>
      <c r="D814" s="428">
        <v>28727.80113</v>
      </c>
      <c r="E814" s="428">
        <v>25380.487690000002</v>
      </c>
      <c r="F814" s="428">
        <v>24339.480640000002</v>
      </c>
      <c r="G814" s="428">
        <v>25067.068490000001</v>
      </c>
      <c r="H814" s="428">
        <v>28092.074089999998</v>
      </c>
      <c r="I814" s="428">
        <v>28231.206409999999</v>
      </c>
      <c r="J814" s="428">
        <v>0</v>
      </c>
    </row>
    <row r="815" spans="1:12">
      <c r="A815" s="429" t="str">
        <f t="shared" si="23"/>
        <v>20</v>
      </c>
      <c r="B815" s="429" t="str">
        <f>T("203413 2003")</f>
        <v>203413 2003</v>
      </c>
      <c r="C815" s="637" t="str">
        <f>T("Information om klimatfrågor")</f>
        <v>Information om klimatfrågor</v>
      </c>
      <c r="I815" s="428">
        <v>28415.775000000001</v>
      </c>
      <c r="J815" s="428">
        <v>30768.33238</v>
      </c>
      <c r="K815" s="428">
        <v>751.62026000000003</v>
      </c>
    </row>
    <row r="816" spans="1:12">
      <c r="A816" s="429" t="str">
        <f t="shared" si="23"/>
        <v>20</v>
      </c>
      <c r="B816" s="429" t="str">
        <f>T("20A003 1998")</f>
        <v>20A003 1998</v>
      </c>
      <c r="C816" s="637" t="str">
        <f>T("Bidrag till kalkningsverksamhet för sjöar och vattendrag")</f>
        <v>Bidrag till kalkningsverksamhet för sjöar och vattendrag</v>
      </c>
      <c r="D816" s="428">
        <v>105840.96136</v>
      </c>
      <c r="E816" s="428">
        <v>154359.89092999999</v>
      </c>
    </row>
    <row r="817" spans="1:12">
      <c r="A817" s="429" t="str">
        <f t="shared" si="23"/>
        <v>20</v>
      </c>
      <c r="B817" s="429" t="str">
        <f>T("20A004 1998")</f>
        <v>20A004 1998</v>
      </c>
      <c r="C817" s="637" t="str">
        <f>T("Investeringar och skötsel för miljönaturvård")</f>
        <v>Investeringar och skötsel för miljönaturvård</v>
      </c>
      <c r="D817" s="428">
        <v>200230.65705000001</v>
      </c>
      <c r="E817" s="428">
        <v>265037.55920999998</v>
      </c>
    </row>
    <row r="818" spans="1:12">
      <c r="A818" s="429" t="str">
        <f t="shared" si="23"/>
        <v>20</v>
      </c>
      <c r="B818" s="429" t="str">
        <f>T("20A005 1997")</f>
        <v>20A005 1997</v>
      </c>
      <c r="C818" s="637" t="str">
        <f>T("Miljö- och kretsloppsforskning")</f>
        <v>Miljö- och kretsloppsforskning</v>
      </c>
      <c r="D818" s="428">
        <v>93439.735530000005</v>
      </c>
      <c r="E818" s="428">
        <v>11024.15597</v>
      </c>
      <c r="F818" s="428">
        <v>30890.448960000002</v>
      </c>
      <c r="G818" s="428">
        <v>0</v>
      </c>
    </row>
    <row r="819" spans="1:12">
      <c r="A819" s="429" t="str">
        <f t="shared" si="23"/>
        <v>20</v>
      </c>
      <c r="B819" s="429" t="str">
        <f>T("20A005 1998")</f>
        <v>20A005 1998</v>
      </c>
      <c r="C819" s="637" t="str">
        <f>T("Koncessionsnämnden för miljöskydd")</f>
        <v>Koncessionsnämnden för miljöskydd</v>
      </c>
      <c r="D819" s="428">
        <v>18471.90972</v>
      </c>
      <c r="E819" s="428">
        <v>19896.898740000001</v>
      </c>
      <c r="F819" s="428">
        <v>1530.9709700000001</v>
      </c>
    </row>
    <row r="820" spans="1:12">
      <c r="A820" s="429" t="str">
        <f t="shared" si="23"/>
        <v>20</v>
      </c>
      <c r="B820" s="429" t="str">
        <f>T("20A005 1999")</f>
        <v>20A005 1999</v>
      </c>
      <c r="C820" s="637" t="str">
        <f>T("Åtgärder för att rena Dalälven")</f>
        <v>Åtgärder för att rena Dalälven</v>
      </c>
      <c r="F820" s="428">
        <v>2063</v>
      </c>
      <c r="G820" s="428">
        <v>1966.1</v>
      </c>
      <c r="H820" s="428">
        <v>948.5</v>
      </c>
      <c r="I820" s="428">
        <v>1988</v>
      </c>
    </row>
    <row r="821" spans="1:12">
      <c r="A821" s="429" t="str">
        <f t="shared" si="23"/>
        <v>20</v>
      </c>
      <c r="B821" s="429" t="str">
        <f>T("20A006 1997")</f>
        <v>20A006 1997</v>
      </c>
      <c r="C821" s="637" t="str">
        <f>T("Sanering och återställning av miljöskadade områden")</f>
        <v>Sanering och återställning av miljöskadade områden</v>
      </c>
      <c r="D821" s="428">
        <v>26408.596030000001</v>
      </c>
      <c r="E821" s="428">
        <v>11211.395850000001</v>
      </c>
      <c r="F821" s="428">
        <v>5995.2959000000001</v>
      </c>
      <c r="G821" s="428">
        <v>3000</v>
      </c>
    </row>
    <row r="822" spans="1:12">
      <c r="A822" s="429" t="str">
        <f t="shared" si="23"/>
        <v>20</v>
      </c>
      <c r="B822" s="429" t="str">
        <f>T("20A009 1999")</f>
        <v>20A009 1999</v>
      </c>
      <c r="C822" s="637" t="str">
        <f>T("Stiftelsen Institutet för vatten o luftvårdsforskning")</f>
        <v>Stiftelsen Institutet för vatten o luftvårdsforskning</v>
      </c>
      <c r="F822" s="428">
        <v>12000</v>
      </c>
    </row>
    <row r="823" spans="1:12">
      <c r="A823" s="429" t="str">
        <f t="shared" si="23"/>
        <v>20</v>
      </c>
      <c r="B823" s="429" t="str">
        <f>T("20A009 2000")</f>
        <v>20A009 2000</v>
      </c>
      <c r="C823" s="637" t="str">
        <f>T("Investeringsbidrag för främjande av omställning i ekologiskt hållbar riktning")</f>
        <v>Investeringsbidrag för främjande av omställning i ekologiskt hållbar riktning</v>
      </c>
      <c r="G823" s="428">
        <v>38640.86752</v>
      </c>
      <c r="H823" s="428">
        <v>16715.515210000001</v>
      </c>
      <c r="I823" s="428">
        <v>12400.122869999999</v>
      </c>
      <c r="J823" s="428">
        <v>5577.87</v>
      </c>
    </row>
    <row r="824" spans="1:12">
      <c r="A824" s="429" t="str">
        <f t="shared" si="23"/>
        <v>20</v>
      </c>
      <c r="B824" s="429" t="str">
        <f>T("20A010 1999")</f>
        <v>20A010 1999</v>
      </c>
      <c r="C824" s="637" t="str">
        <f>T("Miljöinsatser i Östersjöregionen")</f>
        <v>Miljöinsatser i Östersjöregionen</v>
      </c>
      <c r="F824" s="428">
        <v>38285.392610000003</v>
      </c>
      <c r="G824" s="428">
        <v>24403.21859</v>
      </c>
      <c r="H824" s="428">
        <v>6029.6769299999996</v>
      </c>
      <c r="I824" s="428">
        <v>21443.512999999999</v>
      </c>
    </row>
    <row r="825" spans="1:12">
      <c r="A825" s="429" t="str">
        <f t="shared" si="23"/>
        <v>20</v>
      </c>
      <c r="B825" s="429" t="str">
        <f>T("20A011 1997")</f>
        <v>20A011 1997</v>
      </c>
      <c r="C825" s="637" t="str">
        <f>T("Utbildning och information om miljöbalken")</f>
        <v>Utbildning och information om miljöbalken</v>
      </c>
      <c r="E825" s="428">
        <v>3218.79655</v>
      </c>
      <c r="F825" s="428">
        <v>2972.5944199999999</v>
      </c>
      <c r="G825" s="428">
        <v>1510.5969600000001</v>
      </c>
    </row>
    <row r="826" spans="1:12">
      <c r="A826" s="429" t="str">
        <f t="shared" si="23"/>
        <v>20</v>
      </c>
      <c r="B826" s="429" t="str">
        <f>T("23G002 2000")</f>
        <v>23G002 2000</v>
      </c>
      <c r="C826" s="637" t="str">
        <f>T("Skogs- och jordbrukets forskningsråd: Förvaltningskostnader")</f>
        <v>Skogs- och jordbrukets forskningsråd: Förvaltningskostnader</v>
      </c>
      <c r="D826" s="428">
        <v>10853.187610000001</v>
      </c>
      <c r="E826" s="428">
        <v>10286.7583</v>
      </c>
      <c r="F826" s="428">
        <v>10862.161959999999</v>
      </c>
      <c r="G826" s="428">
        <v>12152.950919999999</v>
      </c>
      <c r="H826" s="428">
        <v>0</v>
      </c>
    </row>
    <row r="827" spans="1:12">
      <c r="A827" s="430" t="s">
        <v>1654</v>
      </c>
      <c r="B827" s="430"/>
      <c r="C827" s="430" t="str">
        <f>T("Allmän miljö- och naturvård")</f>
        <v>Allmän miljö- och naturvård</v>
      </c>
      <c r="D827" s="431">
        <v>1684784.2403299999</v>
      </c>
      <c r="E827" s="431">
        <v>1535847.76067</v>
      </c>
      <c r="F827" s="431">
        <v>1735453.55394</v>
      </c>
      <c r="G827" s="431">
        <v>1822435.6061100001</v>
      </c>
      <c r="H827" s="431">
        <v>2140540.7937099999</v>
      </c>
      <c r="I827" s="431">
        <v>2673385.2585399998</v>
      </c>
      <c r="J827" s="431">
        <v>2497590.1033399999</v>
      </c>
      <c r="K827" s="431">
        <v>3055915.7051200001</v>
      </c>
      <c r="L827" s="431">
        <v>3986932.8225699998</v>
      </c>
    </row>
    <row r="828" spans="1:12">
      <c r="A828" s="429" t="str">
        <f t="shared" ref="A828:A861" si="24">T("21")</f>
        <v>21</v>
      </c>
      <c r="B828" s="429" t="str">
        <f>T("09J003 9293")</f>
        <v>09J003 9293</v>
      </c>
      <c r="C828" s="637" t="str">
        <f>T("Främjande av biobränsleanvändningen")</f>
        <v>Främjande av biobränsleanvändningen</v>
      </c>
      <c r="D828" s="428">
        <v>0</v>
      </c>
    </row>
    <row r="829" spans="1:12">
      <c r="A829" s="429" t="str">
        <f t="shared" si="24"/>
        <v>21</v>
      </c>
      <c r="B829" s="429" t="str">
        <f>T("12E007 9596")</f>
        <v>12E007 9596</v>
      </c>
      <c r="C829" s="637" t="str">
        <f>T("Insatser för ny energiteknik")</f>
        <v>Insatser för ny energiteknik</v>
      </c>
      <c r="D829" s="428">
        <v>132732.21864000001</v>
      </c>
      <c r="E829" s="428">
        <v>47922.064740000002</v>
      </c>
      <c r="F829" s="428">
        <v>76391.555519999994</v>
      </c>
      <c r="G829" s="428">
        <v>0</v>
      </c>
    </row>
    <row r="830" spans="1:12">
      <c r="A830" s="429" t="str">
        <f t="shared" si="24"/>
        <v>21</v>
      </c>
      <c r="B830" s="429" t="str">
        <f>T("12E009 9596")</f>
        <v>12E009 9596</v>
      </c>
      <c r="C830" s="637" t="str">
        <f>T("Energiforskning")</f>
        <v>Energiforskning</v>
      </c>
      <c r="D830" s="428">
        <v>14078.474490000001</v>
      </c>
    </row>
    <row r="831" spans="1:12">
      <c r="A831" s="429" t="str">
        <f t="shared" si="24"/>
        <v>21</v>
      </c>
      <c r="B831" s="429" t="str">
        <f>T("12E010 9394")</f>
        <v>12E010 9394</v>
      </c>
      <c r="C831" s="637" t="str">
        <f>T("Insatser för utbyggnad av fjärrvärmenäten")</f>
        <v>Insatser för utbyggnad av fjärrvärmenäten</v>
      </c>
      <c r="D831" s="428">
        <v>4797.3140000000003</v>
      </c>
    </row>
    <row r="832" spans="1:12">
      <c r="A832" s="429" t="str">
        <f t="shared" si="24"/>
        <v>21</v>
      </c>
      <c r="B832" s="429" t="str">
        <f>T("12E011 9596")</f>
        <v>12E011 9596</v>
      </c>
      <c r="C832" s="637" t="str">
        <f>T("Åtgärder för energieffektiviseringar i bl a Baltikum och Östeuropa")</f>
        <v>Åtgärder för energieffektiviseringar i bl a Baltikum och Östeuropa</v>
      </c>
      <c r="D832" s="428">
        <v>45435.459929999997</v>
      </c>
      <c r="E832" s="428">
        <v>37575.714240000001</v>
      </c>
      <c r="F832" s="428">
        <v>10775.46904</v>
      </c>
      <c r="G832" s="428">
        <v>0</v>
      </c>
    </row>
    <row r="833" spans="1:12">
      <c r="A833" s="429" t="str">
        <f t="shared" si="24"/>
        <v>21</v>
      </c>
      <c r="B833" s="429" t="str">
        <f>T("2101001")</f>
        <v>2101001</v>
      </c>
      <c r="C833" s="637" t="str">
        <f>T("Statens energimyndighet: Förvaltningskostnader")</f>
        <v>Statens energimyndighet: Förvaltningskostnader</v>
      </c>
      <c r="E833" s="428">
        <v>118048.26991</v>
      </c>
      <c r="F833" s="428">
        <v>131680.45421</v>
      </c>
      <c r="G833" s="428">
        <v>122553.05860999999</v>
      </c>
      <c r="H833" s="428">
        <v>131491.42741</v>
      </c>
      <c r="I833" s="428">
        <v>127180.15925</v>
      </c>
      <c r="J833" s="428">
        <v>140299.23207</v>
      </c>
      <c r="K833" s="428">
        <v>148057.96119999999</v>
      </c>
      <c r="L833" s="428">
        <v>183475.45316</v>
      </c>
    </row>
    <row r="834" spans="1:12">
      <c r="A834" s="429" t="str">
        <f t="shared" si="24"/>
        <v>21</v>
      </c>
      <c r="B834" s="429" t="str">
        <f>T("2101002")</f>
        <v>2101002</v>
      </c>
      <c r="C834" s="637" t="str">
        <f>T("Regionala och lokala insatser för energieffektivisering m.m.")</f>
        <v>Regionala och lokala insatser för energieffektivisering m.m.</v>
      </c>
      <c r="J834" s="428">
        <v>110712.30726</v>
      </c>
      <c r="K834" s="428">
        <v>127158.91809000001</v>
      </c>
      <c r="L834" s="428">
        <v>157287.53961000001</v>
      </c>
    </row>
    <row r="835" spans="1:12">
      <c r="A835" s="429" t="str">
        <f t="shared" si="24"/>
        <v>21</v>
      </c>
      <c r="B835" s="429" t="str">
        <f>T("2101003")</f>
        <v>2101003</v>
      </c>
      <c r="C835" s="637" t="str">
        <f>T("Insatser för uthållig energianvändning")</f>
        <v>Insatser för uthållig energianvändning</v>
      </c>
      <c r="J835" s="428">
        <v>6589.8309799999997</v>
      </c>
      <c r="K835" s="428">
        <v>27319.71888</v>
      </c>
      <c r="L835" s="428">
        <v>68238.852700000003</v>
      </c>
    </row>
    <row r="836" spans="1:12">
      <c r="A836" s="429" t="str">
        <f t="shared" si="24"/>
        <v>21</v>
      </c>
      <c r="B836" s="429" t="str">
        <f>T("2101004")</f>
        <v>2101004</v>
      </c>
      <c r="C836" s="637" t="str">
        <f>T("Stöd för marknadsintroduktion av vindkraft")</f>
        <v>Stöd för marknadsintroduktion av vindkraft</v>
      </c>
      <c r="J836" s="428">
        <v>1461.7294899999999</v>
      </c>
      <c r="K836" s="428">
        <v>52110.158199999998</v>
      </c>
      <c r="L836" s="428">
        <v>53623.947719999996</v>
      </c>
    </row>
    <row r="837" spans="1:12">
      <c r="A837" s="429" t="str">
        <f t="shared" si="24"/>
        <v>21</v>
      </c>
      <c r="B837" s="429" t="str">
        <f>T("2101005")</f>
        <v>2101005</v>
      </c>
      <c r="C837" s="637" t="str">
        <f>T("Energiforskning")</f>
        <v>Energiforskning</v>
      </c>
      <c r="D837" s="428">
        <v>197838.19978</v>
      </c>
      <c r="E837" s="428">
        <v>243592.10894000001</v>
      </c>
      <c r="F837" s="428">
        <v>205098.42955</v>
      </c>
      <c r="G837" s="428">
        <v>370761.01431</v>
      </c>
      <c r="H837" s="428">
        <v>455620.98641999997</v>
      </c>
      <c r="I837" s="428">
        <v>500485.00358999998</v>
      </c>
      <c r="J837" s="428">
        <v>521854.62167000002</v>
      </c>
      <c r="K837" s="428">
        <v>536108.83592999994</v>
      </c>
      <c r="L837" s="428">
        <v>408906.58737999998</v>
      </c>
    </row>
    <row r="838" spans="1:12">
      <c r="A838" s="429" t="str">
        <f t="shared" si="24"/>
        <v>21</v>
      </c>
      <c r="B838" s="429" t="str">
        <f>T("2101006")</f>
        <v>2101006</v>
      </c>
      <c r="C838" s="637" t="str">
        <f>T("Ersättning för vissa kostnader vid avveckling av Barsebäcksverket")</f>
        <v>Ersättning för vissa kostnader vid avveckling av Barsebäcksverket</v>
      </c>
      <c r="G838" s="428">
        <v>438824.06</v>
      </c>
      <c r="H838" s="428">
        <v>335341.57500000001</v>
      </c>
      <c r="I838" s="428">
        <v>350719.56300000002</v>
      </c>
      <c r="J838" s="428">
        <v>344211.69699999999</v>
      </c>
      <c r="K838" s="428">
        <v>305589.45400000003</v>
      </c>
      <c r="L838" s="428">
        <v>229924.36300000001</v>
      </c>
    </row>
    <row r="839" spans="1:12">
      <c r="A839" s="429" t="str">
        <f t="shared" si="24"/>
        <v>21</v>
      </c>
      <c r="B839" s="429" t="str">
        <f>T("2101007")</f>
        <v>2101007</v>
      </c>
      <c r="C839" s="637" t="str">
        <f>T("Planeringsstöd för vindkraft m.m.")</f>
        <v>Planeringsstöd för vindkraft m.m.</v>
      </c>
    </row>
    <row r="840" spans="1:12">
      <c r="A840" s="429" t="str">
        <f t="shared" si="24"/>
        <v>21</v>
      </c>
      <c r="B840" s="429" t="str">
        <f>T("2101008")</f>
        <v>2101008</v>
      </c>
      <c r="C840" s="637" t="str">
        <f>T("Energimarknadsinspektionen: Förvaltningskostnader")</f>
        <v>Energimarknadsinspektionen: Förvaltningskostnader</v>
      </c>
    </row>
    <row r="841" spans="1:12">
      <c r="A841" s="429" t="str">
        <f t="shared" si="24"/>
        <v>21</v>
      </c>
      <c r="B841" s="429" t="str">
        <f>T("2101008 2009")</f>
        <v>2101008 2009</v>
      </c>
      <c r="C841" s="637" t="str">
        <f>T("Stöd för energiinvesteringar i offentliga lokaler")</f>
        <v>Stöd för energiinvesteringar i offentliga lokaler</v>
      </c>
    </row>
    <row r="842" spans="1:12">
      <c r="A842" s="429" t="str">
        <f t="shared" si="24"/>
        <v>21</v>
      </c>
      <c r="B842" s="429" t="str">
        <f>T("2101008 2010")</f>
        <v>2101008 2010</v>
      </c>
      <c r="C842" s="637" t="str">
        <f>T("Stöd för konvertering från direktverkande elvärme m.m.")</f>
        <v>Stöd för konvertering från direktverkande elvärme m.m.</v>
      </c>
    </row>
    <row r="843" spans="1:12">
      <c r="A843" s="429" t="str">
        <f t="shared" si="24"/>
        <v>21</v>
      </c>
      <c r="B843" s="429" t="str">
        <f>T("2101008 2011")</f>
        <v>2101008 2011</v>
      </c>
      <c r="C843" s="637" t="str">
        <f>T("Stöd för installation av solvärme")</f>
        <v>Stöd för installation av solvärme</v>
      </c>
    </row>
    <row r="844" spans="1:12">
      <c r="A844" s="429" t="str">
        <f t="shared" si="24"/>
        <v>21</v>
      </c>
      <c r="B844" s="429" t="str">
        <f>T("2101009")</f>
        <v>2101009</v>
      </c>
      <c r="C844" s="637" t="str">
        <f>T("Energiteknik")</f>
        <v>Energiteknik</v>
      </c>
    </row>
    <row r="845" spans="1:12">
      <c r="A845" s="429" t="str">
        <f t="shared" si="24"/>
        <v>21</v>
      </c>
      <c r="B845" s="429" t="str">
        <f>T("2101010")</f>
        <v>2101010</v>
      </c>
      <c r="C845" s="637" t="str">
        <f>T("Elberedskap")</f>
        <v>Elberedskap</v>
      </c>
    </row>
    <row r="846" spans="1:12">
      <c r="A846" s="429" t="str">
        <f t="shared" si="24"/>
        <v>21</v>
      </c>
      <c r="B846" s="429" t="str">
        <f>T("2101011")</f>
        <v>2101011</v>
      </c>
      <c r="C846" s="637" t="str">
        <f>T("Energieffektiviseringsprogram")</f>
        <v>Energieffektiviseringsprogram</v>
      </c>
    </row>
    <row r="847" spans="1:12">
      <c r="A847" s="429" t="str">
        <f t="shared" si="24"/>
        <v>21</v>
      </c>
      <c r="B847" s="429" t="str">
        <f>T("2101011 2009")</f>
        <v>2101011 2009</v>
      </c>
      <c r="C847" s="637" t="str">
        <f>T("Stöd för installation av energieffektiva fönster m.m. i småhus")</f>
        <v>Stöd för installation av energieffektiva fönster m.m. i småhus</v>
      </c>
    </row>
    <row r="848" spans="1:12">
      <c r="A848" s="429" t="str">
        <f t="shared" si="24"/>
        <v>21</v>
      </c>
      <c r="B848" s="429" t="str">
        <f>T("2101012")</f>
        <v>2101012</v>
      </c>
      <c r="C848" s="637" t="str">
        <f>T("Avgifter till internationella organisationer")</f>
        <v>Avgifter till internationella organisationer</v>
      </c>
    </row>
    <row r="849" spans="1:12">
      <c r="A849" s="429" t="str">
        <f t="shared" si="24"/>
        <v>21</v>
      </c>
      <c r="B849" s="429" t="str">
        <f>T("213502 2002")</f>
        <v>213502 2002</v>
      </c>
      <c r="C849" s="637" t="str">
        <f>T("Bidrag för att minska elanvändning")</f>
        <v>Bidrag för att minska elanvändning</v>
      </c>
      <c r="E849" s="428">
        <v>130005.47606</v>
      </c>
      <c r="F849" s="428">
        <v>194945.66414000001</v>
      </c>
      <c r="G849" s="428">
        <v>116839.4825</v>
      </c>
      <c r="H849" s="428">
        <v>73457.776249999995</v>
      </c>
      <c r="I849" s="428">
        <v>177126.48524000001</v>
      </c>
      <c r="J849" s="428">
        <v>172383.82285</v>
      </c>
      <c r="K849" s="428">
        <v>111446.93502</v>
      </c>
      <c r="L849" s="428">
        <v>39427.703009999997</v>
      </c>
    </row>
    <row r="850" spans="1:12">
      <c r="A850" s="429" t="str">
        <f t="shared" si="24"/>
        <v>21</v>
      </c>
      <c r="B850" s="429" t="str">
        <f>T("213503 2002")</f>
        <v>213503 2002</v>
      </c>
      <c r="C850" s="637" t="str">
        <f>T("Bidrag till investeringar i elproduktion från förnybara energikällor")</f>
        <v>Bidrag till investeringar i elproduktion från förnybara energikällor</v>
      </c>
      <c r="D850" s="428">
        <v>248.2</v>
      </c>
      <c r="E850" s="428">
        <v>56598.937189999997</v>
      </c>
      <c r="F850" s="428">
        <v>86770.310140000001</v>
      </c>
      <c r="G850" s="428">
        <v>175874.69518000001</v>
      </c>
      <c r="H850" s="428">
        <v>227911.16785999999</v>
      </c>
      <c r="I850" s="428">
        <v>172163.27152000001</v>
      </c>
      <c r="J850" s="428">
        <v>62105.193570000003</v>
      </c>
      <c r="K850" s="428">
        <v>147007.43541000001</v>
      </c>
    </row>
    <row r="851" spans="1:12">
      <c r="A851" s="429" t="str">
        <f t="shared" si="24"/>
        <v>21</v>
      </c>
      <c r="B851" s="429" t="str">
        <f>T("213504 2002")</f>
        <v>213504 2002</v>
      </c>
      <c r="C851" s="637" t="str">
        <f>T("Åtgärder för effektivare energianvändning")</f>
        <v>Åtgärder för effektivare energianvändning</v>
      </c>
      <c r="D851" s="428">
        <v>3502.3451</v>
      </c>
      <c r="E851" s="428">
        <v>63292.799570000003</v>
      </c>
      <c r="F851" s="428">
        <v>58688.068619999998</v>
      </c>
      <c r="G851" s="428">
        <v>62677.01872</v>
      </c>
      <c r="H851" s="428">
        <v>80378.466509999998</v>
      </c>
      <c r="I851" s="428">
        <v>76381.513309999995</v>
      </c>
      <c r="J851" s="428">
        <v>10041.82573</v>
      </c>
    </row>
    <row r="852" spans="1:12">
      <c r="A852" s="429" t="str">
        <f t="shared" si="24"/>
        <v>21</v>
      </c>
      <c r="B852" s="429" t="str">
        <f>T("213506 2004")</f>
        <v>213506 2004</v>
      </c>
      <c r="C852" s="637" t="str">
        <f>T("Energiteknikstöd")</f>
        <v>Energiteknikstöd</v>
      </c>
      <c r="E852" s="428">
        <v>65716.115990000006</v>
      </c>
      <c r="F852" s="428">
        <v>153863.97477999999</v>
      </c>
      <c r="G852" s="428">
        <v>115272.31669000001</v>
      </c>
      <c r="H852" s="428">
        <v>224436.3756</v>
      </c>
      <c r="I852" s="428">
        <v>217870.29514999999</v>
      </c>
      <c r="J852" s="428">
        <v>151723.01006999999</v>
      </c>
      <c r="K852" s="428">
        <v>186191.91140000001</v>
      </c>
      <c r="L852" s="428">
        <v>52883.286529999998</v>
      </c>
    </row>
    <row r="853" spans="1:12">
      <c r="A853" s="429" t="str">
        <f t="shared" si="24"/>
        <v>21</v>
      </c>
      <c r="B853" s="429" t="str">
        <f>T("213506 2007")</f>
        <v>213506 2007</v>
      </c>
      <c r="C853" s="637" t="str">
        <f>T("Energipolitiskt motiverade internationella klimatinsatser")</f>
        <v>Energipolitiskt motiverade internationella klimatinsatser</v>
      </c>
      <c r="E853" s="428">
        <v>4096.2134100000003</v>
      </c>
      <c r="F853" s="428">
        <v>29955.065210000001</v>
      </c>
      <c r="G853" s="428">
        <v>18840.519789999998</v>
      </c>
      <c r="H853" s="428">
        <v>25396.175309999999</v>
      </c>
      <c r="I853" s="428">
        <v>25381.510419999999</v>
      </c>
      <c r="J853" s="428">
        <v>42103.551679999997</v>
      </c>
      <c r="K853" s="428">
        <v>192547.00722</v>
      </c>
      <c r="L853" s="428">
        <v>37927.601929999997</v>
      </c>
    </row>
    <row r="854" spans="1:12">
      <c r="A854" s="429" t="str">
        <f t="shared" si="24"/>
        <v>21</v>
      </c>
      <c r="B854" s="429" t="str">
        <f>T("213507 2004")</f>
        <v>213507 2004</v>
      </c>
      <c r="C854" s="637" t="str">
        <f>T("Introduktion av ny energiteknik")</f>
        <v>Introduktion av ny energiteknik</v>
      </c>
      <c r="E854" s="428">
        <v>43254.429199999999</v>
      </c>
      <c r="F854" s="428">
        <v>80438.429329999999</v>
      </c>
      <c r="G854" s="428">
        <v>46758.120369999997</v>
      </c>
      <c r="H854" s="428">
        <v>102546.84013</v>
      </c>
      <c r="I854" s="428">
        <v>175278.65362999999</v>
      </c>
      <c r="J854" s="428">
        <v>195947.29652</v>
      </c>
      <c r="K854" s="428">
        <v>235427.47422999999</v>
      </c>
      <c r="L854" s="428">
        <v>164542.30877</v>
      </c>
    </row>
    <row r="855" spans="1:12">
      <c r="A855" s="429" t="str">
        <f t="shared" si="24"/>
        <v>21</v>
      </c>
      <c r="B855" s="429" t="str">
        <f>T("213509 2003")</f>
        <v>213509 2003</v>
      </c>
      <c r="C855" s="637" t="str">
        <f>T("Skydd för småskalig elproduktion")</f>
        <v>Skydd för småskalig elproduktion</v>
      </c>
      <c r="G855" s="428">
        <v>172719.587</v>
      </c>
      <c r="H855" s="428">
        <v>239540.35694999999</v>
      </c>
      <c r="I855" s="428">
        <v>243486.45595</v>
      </c>
      <c r="J855" s="428">
        <v>105625.351</v>
      </c>
    </row>
    <row r="856" spans="1:12">
      <c r="A856" s="429" t="str">
        <f t="shared" si="24"/>
        <v>21</v>
      </c>
      <c r="B856" s="429" t="str">
        <f>T("21A001 1997")</f>
        <v>21A001 1997</v>
      </c>
      <c r="C856" s="637" t="str">
        <f>T("Vissa åtgärder för effektivare användning av energi")</f>
        <v>Vissa åtgärder för effektivare användning av energi</v>
      </c>
      <c r="D856" s="428">
        <v>25515.873049999998</v>
      </c>
      <c r="E856" s="428">
        <v>28721.220399999998</v>
      </c>
      <c r="F856" s="428">
        <v>17910.137330000001</v>
      </c>
      <c r="G856" s="428">
        <v>14449.26777</v>
      </c>
    </row>
    <row r="857" spans="1:12">
      <c r="A857" s="429" t="str">
        <f t="shared" si="24"/>
        <v>21</v>
      </c>
      <c r="B857" s="429" t="str">
        <f>T("21A002 1998")</f>
        <v>21A002 1998</v>
      </c>
      <c r="C857" s="637" t="str">
        <f>T("Kostnader för bildandet av en ny energimyndighet")</f>
        <v>Kostnader för bildandet av en ny energimyndighet</v>
      </c>
      <c r="D857" s="428">
        <v>1305.1646000000001</v>
      </c>
      <c r="E857" s="428">
        <v>26458.398140000001</v>
      </c>
      <c r="F857" s="428">
        <v>14934.54637</v>
      </c>
      <c r="G857" s="428">
        <v>12301.890890000001</v>
      </c>
    </row>
    <row r="858" spans="1:12">
      <c r="A858" s="429" t="str">
        <f t="shared" si="24"/>
        <v>21</v>
      </c>
      <c r="B858" s="429" t="str">
        <f>T("21B005")</f>
        <v>21B005</v>
      </c>
      <c r="C858" s="637" t="str">
        <f>T("Bidrag till Energiteknikfonden")</f>
        <v>Bidrag till Energiteknikfonden</v>
      </c>
      <c r="D858" s="428">
        <v>67044.679999999993</v>
      </c>
    </row>
    <row r="859" spans="1:12">
      <c r="A859" s="429" t="str">
        <f t="shared" si="24"/>
        <v>21</v>
      </c>
      <c r="B859" s="429" t="str">
        <f>T("21B009 1999")</f>
        <v>21B009 1999</v>
      </c>
      <c r="C859" s="637" t="str">
        <f>T("Åtgärder för el- och värmeförsörjningen i Sydsverige")</f>
        <v>Åtgärder för el- och värmeförsörjningen i Sydsverige</v>
      </c>
      <c r="E859" s="428">
        <v>1810.4995200000001</v>
      </c>
      <c r="F859" s="428">
        <v>39999.050799999997</v>
      </c>
      <c r="G859" s="428">
        <v>62914.307939999999</v>
      </c>
      <c r="H859" s="428">
        <v>54327.381930000003</v>
      </c>
      <c r="I859" s="428">
        <v>187391.89181999999</v>
      </c>
      <c r="J859" s="428">
        <v>41308.996480000002</v>
      </c>
    </row>
    <row r="860" spans="1:12">
      <c r="A860" s="429" t="str">
        <f t="shared" si="24"/>
        <v>21</v>
      </c>
      <c r="B860" s="429" t="str">
        <f>T("21C001 1997")</f>
        <v>21C001 1997</v>
      </c>
      <c r="C860" s="637" t="str">
        <f>T("Statens oljelager: Förvaltningskostnader")</f>
        <v>Statens oljelager: Förvaltningskostnader</v>
      </c>
      <c r="D860" s="428">
        <v>66298.455390000003</v>
      </c>
    </row>
    <row r="861" spans="1:12">
      <c r="A861" s="429" t="str">
        <f t="shared" si="24"/>
        <v>21</v>
      </c>
      <c r="B861" s="429" t="str">
        <f>T("21C002 1997")</f>
        <v>21C002 1997</v>
      </c>
      <c r="C861" s="637" t="str">
        <f>T("Statens oljelager: Kapitalkostnader")</f>
        <v>Statens oljelager: Kapitalkostnader</v>
      </c>
      <c r="D861" s="428">
        <v>34662.236230000002</v>
      </c>
    </row>
    <row r="862" spans="1:12">
      <c r="A862" s="430" t="s">
        <v>1655</v>
      </c>
      <c r="B862" s="430"/>
      <c r="C862" s="430" t="str">
        <f>T("Energi")</f>
        <v>Energi</v>
      </c>
      <c r="D862" s="431">
        <v>593458.62121000001</v>
      </c>
      <c r="E862" s="431">
        <v>867092.24731000001</v>
      </c>
      <c r="F862" s="431">
        <v>1101451.1550400001</v>
      </c>
      <c r="G862" s="431">
        <v>1730785.33977</v>
      </c>
      <c r="H862" s="431">
        <v>1950448.5293699999</v>
      </c>
      <c r="I862" s="431">
        <v>2253464.8028799999</v>
      </c>
      <c r="J862" s="431">
        <v>1906368.46637</v>
      </c>
      <c r="K862" s="431">
        <v>2068965.8095799999</v>
      </c>
      <c r="L862" s="431">
        <v>1396237.64381</v>
      </c>
    </row>
    <row r="863" spans="1:12">
      <c r="A863" s="429" t="str">
        <f t="shared" ref="A863:A926" si="25">T("22")</f>
        <v>22</v>
      </c>
      <c r="B863" s="429" t="str">
        <f>T("06A002 9495")</f>
        <v>06A002 9495</v>
      </c>
      <c r="C863" s="637" t="str">
        <f>T("Drift och underhåll av statliga vägar")</f>
        <v>Drift och underhåll av statliga vägar</v>
      </c>
      <c r="D863" s="428">
        <v>2263.6512499999999</v>
      </c>
      <c r="E863" s="428">
        <v>1699.7229600000001</v>
      </c>
    </row>
    <row r="864" spans="1:12">
      <c r="A864" s="429" t="str">
        <f t="shared" si="25"/>
        <v>22</v>
      </c>
      <c r="B864" s="429" t="str">
        <f>T("06A005 9596")</f>
        <v>06A005 9596</v>
      </c>
      <c r="C864" s="637" t="str">
        <f>T("Bidrag till drift och byggande av enskilda vägar")</f>
        <v>Bidrag till drift och byggande av enskilda vägar</v>
      </c>
      <c r="D864" s="428">
        <v>5311.3842299999997</v>
      </c>
    </row>
    <row r="865" spans="1:12">
      <c r="A865" s="429" t="str">
        <f t="shared" si="25"/>
        <v>22</v>
      </c>
      <c r="B865" s="429" t="str">
        <f>T("06A006 9394")</f>
        <v>06A006 9394</v>
      </c>
      <c r="C865" s="637" t="str">
        <f>T("Östersjösamarbete om trafik och miljö")</f>
        <v>Östersjösamarbete om trafik och miljö</v>
      </c>
      <c r="D865" s="428">
        <v>4749.4305000000004</v>
      </c>
    </row>
    <row r="866" spans="1:12">
      <c r="A866" s="429" t="str">
        <f t="shared" si="25"/>
        <v>22</v>
      </c>
      <c r="B866" s="429" t="str">
        <f>T("06A015 9495")</f>
        <v>06A015 9495</v>
      </c>
      <c r="C866" s="637" t="str">
        <f>T("Underhållsåtgärder för sysselsättning och tillväxt")</f>
        <v>Underhållsåtgärder för sysselsättning och tillväxt</v>
      </c>
      <c r="D866" s="428">
        <v>129573.45958</v>
      </c>
      <c r="E866" s="428">
        <v>60341</v>
      </c>
    </row>
    <row r="867" spans="1:12">
      <c r="A867" s="429" t="str">
        <f t="shared" si="25"/>
        <v>22</v>
      </c>
      <c r="B867" s="429" t="str">
        <f>T("06A016 9495")</f>
        <v>06A016 9495</v>
      </c>
      <c r="C867" s="637" t="str">
        <f>T("Sysselsättningsskapande åtgärder inom kommunikationsdepartem")</f>
        <v>Sysselsättningsskapande åtgärder inom kommunikationsdepartem</v>
      </c>
      <c r="D867" s="428">
        <v>158856.48874999999</v>
      </c>
      <c r="E867" s="428">
        <v>43164.629350000003</v>
      </c>
    </row>
    <row r="868" spans="1:12">
      <c r="A868" s="429" t="str">
        <f t="shared" si="25"/>
        <v>22</v>
      </c>
      <c r="B868" s="429" t="str">
        <f>T("06B008 9596")</f>
        <v>06B008 9596</v>
      </c>
      <c r="C868" s="637" t="str">
        <f>T("Utredningsarbete med anledning av M/S Estonias förlisning")</f>
        <v>Utredningsarbete med anledning av M/S Estonias förlisning</v>
      </c>
      <c r="D868" s="428">
        <v>0</v>
      </c>
    </row>
    <row r="869" spans="1:12">
      <c r="A869" s="429" t="str">
        <f t="shared" si="25"/>
        <v>22</v>
      </c>
      <c r="B869" s="429" t="str">
        <f>T("06D002 9596")</f>
        <v>06D002 9596</v>
      </c>
      <c r="C869" s="637" t="str">
        <f>T("Upphandling av särskilda samhällsåtaganden")</f>
        <v>Upphandling av särskilda samhällsåtaganden</v>
      </c>
      <c r="D869" s="428">
        <v>187443.26456000001</v>
      </c>
      <c r="E869" s="428">
        <v>100107.18425000001</v>
      </c>
      <c r="F869" s="428">
        <v>6.8999999999999997E-4</v>
      </c>
    </row>
    <row r="870" spans="1:12">
      <c r="A870" s="429" t="str">
        <f t="shared" si="25"/>
        <v>22</v>
      </c>
      <c r="B870" s="429" t="str">
        <f>T("06D004 9596")</f>
        <v>06D004 9596</v>
      </c>
      <c r="C870" s="637" t="str">
        <f>T("Kostnader förenade med statens ägande i SOS Alarmering AB")</f>
        <v>Kostnader förenade med statens ägande i SOS Alarmering AB</v>
      </c>
      <c r="D870" s="428">
        <v>4000</v>
      </c>
      <c r="E870" s="428">
        <v>4969</v>
      </c>
    </row>
    <row r="871" spans="1:12">
      <c r="A871" s="429" t="str">
        <f t="shared" si="25"/>
        <v>22</v>
      </c>
      <c r="B871" s="429" t="str">
        <f>T("06D005 9596")</f>
        <v>06D005 9596</v>
      </c>
      <c r="C871" s="637" t="str">
        <f>T("Informationsteknik: Telekommunikation m.m")</f>
        <v>Informationsteknik: Telekommunikation m.m</v>
      </c>
      <c r="D871" s="428">
        <v>35049.834000000003</v>
      </c>
      <c r="E871" s="428">
        <v>0</v>
      </c>
      <c r="F871" s="428">
        <v>0</v>
      </c>
    </row>
    <row r="872" spans="1:12">
      <c r="A872" s="429" t="str">
        <f t="shared" si="25"/>
        <v>22</v>
      </c>
      <c r="B872" s="429" t="str">
        <f>T("06E002 9596")</f>
        <v>06E002 9596</v>
      </c>
      <c r="C872" s="637" t="str">
        <f>T("Köp av interregional persontrafik på järnväg m.m")</f>
        <v>Köp av interregional persontrafik på järnväg m.m</v>
      </c>
      <c r="D872" s="428">
        <v>2720.2701499999998</v>
      </c>
    </row>
    <row r="873" spans="1:12">
      <c r="A873" s="429" t="str">
        <f t="shared" si="25"/>
        <v>22</v>
      </c>
      <c r="B873" s="429" t="str">
        <f>T("06E003 9596")</f>
        <v>06E003 9596</v>
      </c>
      <c r="C873" s="637" t="str">
        <f>T("Ersättning till trafikhuvudmännen för köp av viss kollektivt")</f>
        <v>Ersättning till trafikhuvudmännen för köp av viss kollektivt</v>
      </c>
      <c r="D873" s="428">
        <v>1195.6503700000001</v>
      </c>
    </row>
    <row r="874" spans="1:12">
      <c r="A874" s="429" t="str">
        <f t="shared" si="25"/>
        <v>22</v>
      </c>
      <c r="B874" s="429" t="str">
        <f>T("06F006 9596")</f>
        <v>06F006 9596</v>
      </c>
      <c r="C874" s="637" t="str">
        <f>T("Transportinformatik")</f>
        <v>Transportinformatik</v>
      </c>
      <c r="D874" s="428">
        <v>122.41370000000001</v>
      </c>
      <c r="E874" s="428">
        <v>0</v>
      </c>
      <c r="F874" s="428">
        <v>0</v>
      </c>
    </row>
    <row r="875" spans="1:12">
      <c r="A875" s="429" t="str">
        <f t="shared" si="25"/>
        <v>22</v>
      </c>
      <c r="B875" s="429" t="str">
        <f>T("06G003 9596")</f>
        <v>06G003 9596</v>
      </c>
      <c r="C875" s="637" t="str">
        <f>T("EUMETSAT")</f>
        <v>EUMETSAT</v>
      </c>
      <c r="D875" s="428">
        <v>0</v>
      </c>
      <c r="E875" s="428">
        <v>17545.12674</v>
      </c>
    </row>
    <row r="876" spans="1:12">
      <c r="A876" s="429" t="str">
        <f t="shared" si="25"/>
        <v>22</v>
      </c>
      <c r="B876" s="429" t="str">
        <f>T("2201001")</f>
        <v>2201001</v>
      </c>
      <c r="C876" s="637" t="str">
        <f>T("Utveckling av statens transportinfrastruktur")</f>
        <v>Utveckling av statens transportinfrastruktur</v>
      </c>
    </row>
    <row r="877" spans="1:12">
      <c r="A877" s="429" t="str">
        <f t="shared" si="25"/>
        <v>22</v>
      </c>
      <c r="B877" s="429" t="str">
        <f>T("2201001 2010")</f>
        <v>2201001 2010</v>
      </c>
      <c r="C877" s="637" t="str">
        <f>T("Vägverket: Administration")</f>
        <v>Vägverket: Administration</v>
      </c>
      <c r="D877" s="428">
        <v>478000.54389999999</v>
      </c>
      <c r="E877" s="428">
        <v>1069890.6307600001</v>
      </c>
      <c r="F877" s="428">
        <v>1062774.99954</v>
      </c>
      <c r="G877" s="428">
        <v>1069519.7050000001</v>
      </c>
      <c r="H877" s="428">
        <v>1008737.83933</v>
      </c>
      <c r="I877" s="428">
        <v>1009252.19517</v>
      </c>
      <c r="J877" s="428">
        <v>958879.48360000004</v>
      </c>
      <c r="K877" s="428">
        <v>1001850.4363300001</v>
      </c>
      <c r="L877" s="428">
        <v>975243.19519999996</v>
      </c>
    </row>
    <row r="878" spans="1:12">
      <c r="A878" s="429" t="str">
        <f t="shared" si="25"/>
        <v>22</v>
      </c>
      <c r="B878" s="429" t="str">
        <f>T("2201001 2013")</f>
        <v>2201001 2013</v>
      </c>
      <c r="C878" s="637" t="str">
        <f>T("Väghållning")</f>
        <v>Väghållning</v>
      </c>
      <c r="E878" s="428">
        <v>11905192.82027</v>
      </c>
      <c r="F878" s="428">
        <v>12131807.305539999</v>
      </c>
      <c r="G878" s="428">
        <v>13001563.89796</v>
      </c>
      <c r="H878" s="428">
        <v>13492329.09571</v>
      </c>
      <c r="I878" s="428">
        <v>13421518.06862</v>
      </c>
      <c r="J878" s="428">
        <v>14232652.132169999</v>
      </c>
      <c r="K878" s="428">
        <v>16220177.882379999</v>
      </c>
      <c r="L878" s="428">
        <v>16953888.539919998</v>
      </c>
    </row>
    <row r="879" spans="1:12">
      <c r="A879" s="429" t="str">
        <f t="shared" si="25"/>
        <v>22</v>
      </c>
      <c r="B879" s="429" t="str">
        <f>T("2201002")</f>
        <v>2201002</v>
      </c>
      <c r="C879" s="637" t="str">
        <f>T("Vidmakthållande av statens transportinfrastruktur")</f>
        <v>Vidmakthållande av statens transportinfrastruktur</v>
      </c>
    </row>
    <row r="880" spans="1:12">
      <c r="A880" s="429" t="str">
        <f t="shared" si="25"/>
        <v>22</v>
      </c>
      <c r="B880" s="429" t="str">
        <f>T("2201002 2013")</f>
        <v>2201002 2013</v>
      </c>
      <c r="C880" s="637" t="str">
        <f>T("Banhållning")</f>
        <v>Banhållning</v>
      </c>
      <c r="E880" s="428">
        <v>7595938.8574700002</v>
      </c>
      <c r="F880" s="428">
        <v>7113025.5049400004</v>
      </c>
      <c r="G880" s="428">
        <v>5991074</v>
      </c>
      <c r="H880" s="428">
        <v>6930369.1434899997</v>
      </c>
      <c r="I880" s="428">
        <v>7031507.199</v>
      </c>
      <c r="J880" s="428">
        <v>6856995.1399999997</v>
      </c>
      <c r="K880" s="428">
        <v>8550722.1669999994</v>
      </c>
      <c r="L880" s="428">
        <v>10652101.80235</v>
      </c>
    </row>
    <row r="881" spans="1:12">
      <c r="A881" s="429" t="str">
        <f t="shared" si="25"/>
        <v>22</v>
      </c>
      <c r="B881" s="429" t="str">
        <f>T("2201003")</f>
        <v>2201003</v>
      </c>
      <c r="C881" s="637" t="str">
        <f>T("Trafikverket")</f>
        <v>Trafikverket</v>
      </c>
    </row>
    <row r="882" spans="1:12">
      <c r="A882" s="429" t="str">
        <f t="shared" si="25"/>
        <v>22</v>
      </c>
      <c r="B882" s="429" t="str">
        <f>T("2201003 2010")</f>
        <v>2201003 2010</v>
      </c>
      <c r="C882" s="637" t="str">
        <f>T("Banverket: Administration")</f>
        <v>Banverket: Administration</v>
      </c>
      <c r="D882" s="428">
        <v>729690.07409000001</v>
      </c>
      <c r="E882" s="428">
        <v>776746.99088000006</v>
      </c>
      <c r="F882" s="428">
        <v>902092.00911999994</v>
      </c>
      <c r="G882" s="428">
        <v>800325</v>
      </c>
      <c r="H882" s="428">
        <v>663784.08063999994</v>
      </c>
      <c r="I882" s="428">
        <v>742457.50029999996</v>
      </c>
      <c r="J882" s="428">
        <v>754959.80052000005</v>
      </c>
      <c r="K882" s="428">
        <v>750595.91547000001</v>
      </c>
      <c r="L882" s="428">
        <v>740745.06495000003</v>
      </c>
    </row>
    <row r="883" spans="1:12">
      <c r="A883" s="429" t="str">
        <f t="shared" si="25"/>
        <v>22</v>
      </c>
      <c r="B883" s="429" t="str">
        <f>T("2201004")</f>
        <v>2201004</v>
      </c>
      <c r="C883" s="637" t="str">
        <f>T("Ersättning för sjöräddning, fritidsbåtsändamål m.m.")</f>
        <v>Ersättning för sjöräddning, fritidsbåtsändamål m.m.</v>
      </c>
      <c r="D883" s="428">
        <v>44454</v>
      </c>
      <c r="E883" s="428">
        <v>44415</v>
      </c>
      <c r="F883" s="428">
        <v>44415</v>
      </c>
      <c r="G883" s="428">
        <v>61000</v>
      </c>
      <c r="H883" s="428">
        <v>61000</v>
      </c>
      <c r="I883" s="428">
        <v>71000</v>
      </c>
      <c r="J883" s="428">
        <v>71000</v>
      </c>
      <c r="K883" s="428">
        <v>71000</v>
      </c>
      <c r="L883" s="428">
        <v>70574</v>
      </c>
    </row>
    <row r="884" spans="1:12">
      <c r="A884" s="429" t="str">
        <f t="shared" si="25"/>
        <v>22</v>
      </c>
      <c r="B884" s="429" t="str">
        <f>T("2201005")</f>
        <v>2201005</v>
      </c>
      <c r="C884" s="637" t="str">
        <f>T("Ersättning till viss kanaltrafik m.m.")</f>
        <v>Ersättning till viss kanaltrafik m.m.</v>
      </c>
      <c r="D884" s="428">
        <v>62660</v>
      </c>
      <c r="E884" s="428">
        <v>62660</v>
      </c>
      <c r="F884" s="428">
        <v>62660</v>
      </c>
      <c r="G884" s="428">
        <v>62660</v>
      </c>
      <c r="H884" s="428">
        <v>62660</v>
      </c>
      <c r="I884" s="428">
        <v>70860.842999999993</v>
      </c>
      <c r="J884" s="428">
        <v>62660</v>
      </c>
      <c r="K884" s="428">
        <v>62660</v>
      </c>
      <c r="L884" s="428">
        <v>59285</v>
      </c>
    </row>
    <row r="885" spans="1:12">
      <c r="A885" s="429" t="str">
        <f t="shared" si="25"/>
        <v>22</v>
      </c>
      <c r="B885" s="429" t="str">
        <f>T("2201006")</f>
        <v>2201006</v>
      </c>
      <c r="C885" s="637" t="str">
        <f>T("Driftbidrag till icke statliga flygplatser")</f>
        <v>Driftbidrag till icke statliga flygplatser</v>
      </c>
      <c r="D885" s="428">
        <v>15200</v>
      </c>
      <c r="E885" s="428">
        <v>15200</v>
      </c>
      <c r="F885" s="428">
        <v>105000</v>
      </c>
      <c r="G885" s="428">
        <v>102443</v>
      </c>
      <c r="H885" s="428">
        <v>100385.478</v>
      </c>
      <c r="I885" s="428">
        <v>98356</v>
      </c>
      <c r="J885" s="428">
        <v>94900</v>
      </c>
      <c r="K885" s="428">
        <v>81100</v>
      </c>
      <c r="L885" s="428">
        <v>80614</v>
      </c>
    </row>
    <row r="886" spans="1:12">
      <c r="A886" s="429" t="str">
        <f t="shared" si="25"/>
        <v>22</v>
      </c>
      <c r="B886" s="429" t="str">
        <f>T("2201007")</f>
        <v>2201007</v>
      </c>
      <c r="C886" s="637" t="str">
        <f>T("Trafikavtal")</f>
        <v>Trafikavtal</v>
      </c>
      <c r="G886" s="428">
        <v>713698.68767000001</v>
      </c>
      <c r="H886" s="428">
        <v>761344.16816999996</v>
      </c>
      <c r="I886" s="428">
        <v>717325.20146000001</v>
      </c>
      <c r="J886" s="428">
        <v>847205.05552000005</v>
      </c>
      <c r="K886" s="428">
        <v>877077.04099999997</v>
      </c>
      <c r="L886" s="428">
        <v>848746.66830999998</v>
      </c>
    </row>
    <row r="887" spans="1:12">
      <c r="A887" s="429" t="str">
        <f t="shared" si="25"/>
        <v>22</v>
      </c>
      <c r="B887" s="429" t="str">
        <f>T("2201008")</f>
        <v>2201008</v>
      </c>
      <c r="C887" s="637" t="str">
        <f>T("Viss internationell verksamhet")</f>
        <v>Viss internationell verksamhet</v>
      </c>
      <c r="D887" s="428">
        <v>4730.9969199999996</v>
      </c>
      <c r="E887" s="428">
        <v>5516.4980100000002</v>
      </c>
      <c r="F887" s="428">
        <v>3985.97064</v>
      </c>
      <c r="G887" s="428">
        <v>6006.1953599999997</v>
      </c>
      <c r="H887" s="428">
        <v>11807.235699999999</v>
      </c>
      <c r="I887" s="428">
        <v>6701.1822599999996</v>
      </c>
      <c r="J887" s="428">
        <v>5263.4852000000001</v>
      </c>
      <c r="K887" s="428">
        <v>2277.9712100000002</v>
      </c>
      <c r="L887" s="428">
        <v>1823.7541000000001</v>
      </c>
    </row>
    <row r="888" spans="1:12">
      <c r="A888" s="429" t="str">
        <f t="shared" si="25"/>
        <v>22</v>
      </c>
      <c r="B888" s="429" t="str">
        <f>T("2201008 2010")</f>
        <v>2201008 2010</v>
      </c>
      <c r="C888" s="637" t="str">
        <f>T("Sjöfartsregistret")</f>
        <v>Sjöfartsregistret</v>
      </c>
      <c r="J888" s="428">
        <v>4369</v>
      </c>
      <c r="K888" s="428">
        <v>4524</v>
      </c>
      <c r="L888" s="428">
        <v>5752</v>
      </c>
    </row>
    <row r="889" spans="1:12">
      <c r="A889" s="429" t="str">
        <f t="shared" si="25"/>
        <v>22</v>
      </c>
      <c r="B889" s="429" t="str">
        <f>T("2201009")</f>
        <v>2201009</v>
      </c>
      <c r="C889" s="637" t="str">
        <f>T("Statens väg- och transportforskningsinstitut")</f>
        <v>Statens väg- och transportforskningsinstitut</v>
      </c>
      <c r="D889" s="428">
        <v>30177.771000000001</v>
      </c>
      <c r="E889" s="428">
        <v>33024.43</v>
      </c>
      <c r="F889" s="428">
        <v>32049.755000000001</v>
      </c>
      <c r="G889" s="428">
        <v>32790.987000000001</v>
      </c>
      <c r="H889" s="428">
        <v>32583.464</v>
      </c>
      <c r="I889" s="428">
        <v>32574.778999999999</v>
      </c>
      <c r="J889" s="428">
        <v>32745.518</v>
      </c>
      <c r="K889" s="428">
        <v>34892.239000000001</v>
      </c>
      <c r="L889" s="428">
        <v>33362</v>
      </c>
    </row>
    <row r="890" spans="1:12">
      <c r="A890" s="429" t="str">
        <f t="shared" si="25"/>
        <v>22</v>
      </c>
      <c r="B890" s="429" t="str">
        <f>T("2201009 2010")</f>
        <v>2201009 2010</v>
      </c>
      <c r="C890" s="637" t="str">
        <f>T("Rederinämnden: Administration")</f>
        <v>Rederinämnden: Administration</v>
      </c>
      <c r="I890" s="428">
        <v>1480.24542</v>
      </c>
      <c r="J890" s="428">
        <v>1075.28703</v>
      </c>
      <c r="K890" s="428">
        <v>1153.4112399999999</v>
      </c>
      <c r="L890" s="428">
        <v>1008.00256</v>
      </c>
    </row>
    <row r="891" spans="1:12">
      <c r="A891" s="429" t="str">
        <f t="shared" si="25"/>
        <v>22</v>
      </c>
      <c r="B891" s="429" t="str">
        <f>T("2201010")</f>
        <v>2201010</v>
      </c>
      <c r="C891" s="637" t="str">
        <f>T("Från EU-budgeten finansierade stöd till Transeuropeiska nätverk")</f>
        <v>Från EU-budgeten finansierade stöd till Transeuropeiska nätverk</v>
      </c>
      <c r="D891" s="428">
        <v>117102.57150000001</v>
      </c>
      <c r="E891" s="428">
        <v>152639.47099999999</v>
      </c>
      <c r="F891" s="428">
        <v>94530.295800000007</v>
      </c>
      <c r="G891" s="428">
        <v>196149.24561000001</v>
      </c>
      <c r="H891" s="428">
        <v>27826.75</v>
      </c>
      <c r="I891" s="428">
        <v>91071.80515</v>
      </c>
      <c r="J891" s="428">
        <v>78148.636289999995</v>
      </c>
      <c r="K891" s="428">
        <v>90951.559609999997</v>
      </c>
      <c r="L891" s="428">
        <v>300365.72983999999</v>
      </c>
    </row>
    <row r="892" spans="1:12">
      <c r="A892" s="429" t="str">
        <f t="shared" si="25"/>
        <v>22</v>
      </c>
      <c r="B892" s="429" t="str">
        <f>T("2201011")</f>
        <v>2201011</v>
      </c>
      <c r="C892" s="637" t="str">
        <f>T("Trängselskatt i Stockholm")</f>
        <v>Trängselskatt i Stockholm</v>
      </c>
    </row>
    <row r="893" spans="1:12">
      <c r="A893" s="429" t="str">
        <f t="shared" si="25"/>
        <v>22</v>
      </c>
      <c r="B893" s="429" t="str">
        <f>T("2201011 2010")</f>
        <v>2201011 2010</v>
      </c>
      <c r="C893" s="637" t="str">
        <f>T("Rikstrafiken: Administration")</f>
        <v>Rikstrafiken: Administration</v>
      </c>
      <c r="F893" s="428">
        <v>6972.8677500000003</v>
      </c>
      <c r="G893" s="428">
        <v>11714.386</v>
      </c>
      <c r="H893" s="428">
        <v>12094.7875</v>
      </c>
      <c r="I893" s="428">
        <v>10710.25851</v>
      </c>
      <c r="J893" s="428">
        <v>12025.921130000001</v>
      </c>
      <c r="K893" s="428">
        <v>18550.595850000002</v>
      </c>
      <c r="L893" s="428">
        <v>17833.35311</v>
      </c>
    </row>
    <row r="894" spans="1:12">
      <c r="A894" s="429" t="str">
        <f t="shared" si="25"/>
        <v>22</v>
      </c>
      <c r="B894" s="429" t="str">
        <f>T("2201012")</f>
        <v>2201012</v>
      </c>
      <c r="C894" s="637" t="str">
        <f>T("Transportstyrelsen")</f>
        <v>Transportstyrelsen</v>
      </c>
    </row>
    <row r="895" spans="1:12">
      <c r="A895" s="429" t="str">
        <f t="shared" si="25"/>
        <v>22</v>
      </c>
      <c r="B895" s="429" t="str">
        <f>T("2201013")</f>
        <v>2201013</v>
      </c>
      <c r="C895" s="637" t="str">
        <f>T("Trafikanalys")</f>
        <v>Trafikanalys</v>
      </c>
    </row>
    <row r="896" spans="1:12">
      <c r="A896" s="429" t="str">
        <f t="shared" si="25"/>
        <v>22</v>
      </c>
      <c r="B896" s="429" t="str">
        <f>T("2201014")</f>
        <v>2201014</v>
      </c>
      <c r="C896" s="637" t="str">
        <f>T("Trängselskatt i Göteborg")</f>
        <v>Trängselskatt i Göteborg</v>
      </c>
    </row>
    <row r="897" spans="1:12">
      <c r="A897" s="429" t="str">
        <f t="shared" si="25"/>
        <v>22</v>
      </c>
      <c r="B897" s="429" t="str">
        <f>T("2201015 2010")</f>
        <v>2201015 2010</v>
      </c>
      <c r="C897" s="637" t="str">
        <f>T("Statens institut för kommunikationsanalys")</f>
        <v>Statens institut för kommunikationsanalys</v>
      </c>
      <c r="D897" s="428">
        <v>30089.914779999999</v>
      </c>
      <c r="E897" s="428">
        <v>39490.320189999999</v>
      </c>
      <c r="F897" s="428">
        <v>44752.643219999998</v>
      </c>
      <c r="G897" s="428">
        <v>44033.211880000003</v>
      </c>
      <c r="H897" s="428">
        <v>43233.899879999997</v>
      </c>
      <c r="I897" s="428">
        <v>48877.347300000001</v>
      </c>
      <c r="J897" s="428">
        <v>49026.540630000003</v>
      </c>
      <c r="K897" s="428">
        <v>49567.570679999997</v>
      </c>
      <c r="L897" s="428">
        <v>48022.843180000003</v>
      </c>
    </row>
    <row r="898" spans="1:12">
      <c r="A898" s="429" t="str">
        <f t="shared" si="25"/>
        <v>22</v>
      </c>
      <c r="B898" s="429" t="str">
        <f>T("2201015 2013")</f>
        <v>2201015 2013</v>
      </c>
      <c r="C898" s="637" t="str">
        <f>T("Avveckling av affärsverket Statens Järnvägar")</f>
        <v>Avveckling av affärsverket Statens Järnvägar</v>
      </c>
    </row>
    <row r="899" spans="1:12">
      <c r="A899" s="429" t="str">
        <f t="shared" si="25"/>
        <v>22</v>
      </c>
      <c r="B899" s="429" t="str">
        <f>T("2202001")</f>
        <v>2202001</v>
      </c>
      <c r="C899" s="637" t="str">
        <f>T("Post- och telestyrelsen: Förvaltningskostnader för vissa myndighetsuppgifter")</f>
        <v>Post- och telestyrelsen: Förvaltningskostnader för vissa myndighetsuppgifter</v>
      </c>
      <c r="D899" s="428">
        <v>134376.48240000001</v>
      </c>
      <c r="E899" s="428">
        <v>134820.24627</v>
      </c>
      <c r="F899" s="428">
        <v>161714.35161000001</v>
      </c>
      <c r="G899" s="428">
        <v>10023.676299999999</v>
      </c>
      <c r="H899" s="428">
        <v>38740.772519999999</v>
      </c>
      <c r="I899" s="428">
        <v>12788.586859999999</v>
      </c>
      <c r="J899" s="428">
        <v>19711.39774</v>
      </c>
      <c r="K899" s="428">
        <v>13357.92136</v>
      </c>
      <c r="L899" s="428">
        <v>14224.52959</v>
      </c>
    </row>
    <row r="900" spans="1:12">
      <c r="A900" s="429" t="str">
        <f t="shared" si="25"/>
        <v>22</v>
      </c>
      <c r="B900" s="429" t="str">
        <f>T("2202002")</f>
        <v>2202002</v>
      </c>
      <c r="C900" s="637" t="str">
        <f>T("Ersättning för särskilda tjänster till funktionshindrade")</f>
        <v>Ersättning för särskilda tjänster till funktionshindrade</v>
      </c>
      <c r="D900" s="428">
        <v>88948.968519999995</v>
      </c>
      <c r="E900" s="428">
        <v>150790.88897999999</v>
      </c>
      <c r="F900" s="428">
        <v>168034.7641</v>
      </c>
      <c r="G900" s="428">
        <v>147246.46079000001</v>
      </c>
      <c r="H900" s="428">
        <v>137347.67636000001</v>
      </c>
      <c r="I900" s="428">
        <v>131735.33299</v>
      </c>
      <c r="J900" s="428">
        <v>131808.81586</v>
      </c>
      <c r="K900" s="428">
        <v>98175.191409999999</v>
      </c>
      <c r="L900" s="428">
        <v>115639.73054999999</v>
      </c>
    </row>
    <row r="901" spans="1:12">
      <c r="A901" s="429" t="str">
        <f t="shared" si="25"/>
        <v>22</v>
      </c>
      <c r="B901" s="429" t="str">
        <f>T("2202003")</f>
        <v>2202003</v>
      </c>
      <c r="C901" s="637" t="str">
        <f>T("Grundläggande betaltjänster")</f>
        <v>Grundläggande betaltjänster</v>
      </c>
      <c r="D901" s="428">
        <v>200000</v>
      </c>
      <c r="E901" s="428">
        <v>200000</v>
      </c>
      <c r="F901" s="428">
        <v>200000</v>
      </c>
      <c r="G901" s="428">
        <v>200000</v>
      </c>
      <c r="H901" s="428">
        <v>200000</v>
      </c>
      <c r="I901" s="428">
        <v>400000</v>
      </c>
      <c r="J901" s="428">
        <v>400000</v>
      </c>
      <c r="K901" s="428">
        <v>400000</v>
      </c>
      <c r="L901" s="428">
        <v>400000</v>
      </c>
    </row>
    <row r="902" spans="1:12">
      <c r="A902" s="429" t="str">
        <f t="shared" si="25"/>
        <v>22</v>
      </c>
      <c r="B902" s="429" t="str">
        <f>T("2202004")</f>
        <v>2202004</v>
      </c>
      <c r="C902" s="637" t="str">
        <f>T("Informationsteknik: Telekommunikation m.m.")</f>
        <v>Informationsteknik: Telekommunikation m.m.</v>
      </c>
      <c r="D902" s="428">
        <v>16451.24598</v>
      </c>
      <c r="E902" s="428">
        <v>20365.99667</v>
      </c>
      <c r="F902" s="428">
        <v>39328.013149999999</v>
      </c>
      <c r="G902" s="428">
        <v>37827.732889999999</v>
      </c>
      <c r="H902" s="428">
        <v>32708.702000000001</v>
      </c>
      <c r="I902" s="428">
        <v>49374.470430000001</v>
      </c>
      <c r="J902" s="428">
        <v>42557.007989999998</v>
      </c>
      <c r="K902" s="428">
        <v>20713.394029999999</v>
      </c>
      <c r="L902" s="428">
        <v>21972.467700000001</v>
      </c>
    </row>
    <row r="903" spans="1:12">
      <c r="A903" s="429" t="str">
        <f t="shared" si="25"/>
        <v>22</v>
      </c>
      <c r="B903" s="429" t="str">
        <f>T("2202005")</f>
        <v>2202005</v>
      </c>
      <c r="C903" s="637" t="str">
        <f>T("Driftsäker och tillgänglig elektronisk kommunikation")</f>
        <v>Driftsäker och tillgänglig elektronisk kommunikation</v>
      </c>
    </row>
    <row r="904" spans="1:12">
      <c r="A904" s="429" t="str">
        <f t="shared" si="25"/>
        <v>22</v>
      </c>
      <c r="B904" s="429" t="str">
        <f>T("2202005 2009")</f>
        <v>2202005 2009</v>
      </c>
      <c r="C904" s="637" t="str">
        <f>T("Samförläggning och kanalisation m.m.")</f>
        <v>Samförläggning och kanalisation m.m.</v>
      </c>
    </row>
    <row r="905" spans="1:12">
      <c r="A905" s="429" t="str">
        <f t="shared" si="25"/>
        <v>22</v>
      </c>
      <c r="B905" s="429" t="str">
        <f>T("2202006")</f>
        <v>2202006</v>
      </c>
      <c r="C905" s="637" t="str">
        <f>T("Gemensamma e-förvaltningsprojekt av strategisk betydelse")</f>
        <v>Gemensamma e-förvaltningsprojekt av strategisk betydelse</v>
      </c>
    </row>
    <row r="906" spans="1:12">
      <c r="A906" s="429" t="str">
        <f t="shared" si="25"/>
        <v>22</v>
      </c>
      <c r="B906" s="429" t="str">
        <f>T("223605 2003")</f>
        <v>223605 2003</v>
      </c>
      <c r="C906" s="637" t="str">
        <f>T("Ersättning till Statens järnvägar för kostnader i samband med utdelning från AB Swedcarrier m.m.")</f>
        <v>Ersättning till Statens järnvägar för kostnader i samband med utdelning från AB Swedcarrier m.m.</v>
      </c>
      <c r="E906" s="428">
        <v>26315</v>
      </c>
      <c r="G906" s="428">
        <v>169956</v>
      </c>
      <c r="H906" s="428">
        <v>64088.694000000003</v>
      </c>
      <c r="I906" s="428">
        <v>86486.975999999995</v>
      </c>
      <c r="J906" s="428">
        <v>39008.249250000001</v>
      </c>
      <c r="K906" s="428">
        <v>12634.380999999999</v>
      </c>
      <c r="L906" s="428">
        <v>1681.576</v>
      </c>
    </row>
    <row r="907" spans="1:12">
      <c r="A907" s="429" t="str">
        <f t="shared" si="25"/>
        <v>22</v>
      </c>
      <c r="B907" s="429" t="str">
        <f>T("223609 2002")</f>
        <v>223609 2002</v>
      </c>
      <c r="C907" s="637" t="str">
        <f>T("Bidrag till sjöfarten")</f>
        <v>Bidrag till sjöfarten</v>
      </c>
      <c r="D907" s="428">
        <v>403657.09214000002</v>
      </c>
      <c r="E907" s="428">
        <v>483049.00607</v>
      </c>
      <c r="F907" s="428">
        <v>435717.37234</v>
      </c>
      <c r="G907" s="428">
        <v>527866.46426000004</v>
      </c>
      <c r="H907" s="428">
        <v>506373.03107999999</v>
      </c>
      <c r="I907" s="428">
        <v>177077.929</v>
      </c>
    </row>
    <row r="908" spans="1:12">
      <c r="A908" s="429" t="str">
        <f t="shared" si="25"/>
        <v>22</v>
      </c>
      <c r="B908" s="429" t="str">
        <f>T("223616 2008")</f>
        <v>223616 2008</v>
      </c>
      <c r="C908" s="637" t="str">
        <f>T("Järnvägsstyrelsen")</f>
        <v>Järnvägsstyrelsen</v>
      </c>
      <c r="K908" s="428">
        <v>16895.381420000002</v>
      </c>
      <c r="L908" s="428">
        <v>39004.14084</v>
      </c>
    </row>
    <row r="909" spans="1:12">
      <c r="A909" s="429" t="str">
        <f t="shared" si="25"/>
        <v>22</v>
      </c>
      <c r="B909" s="429" t="str">
        <f>T("223706 2004")</f>
        <v>223706 2004</v>
      </c>
      <c r="C909" s="637" t="str">
        <f>T("Gemensam radiokommunikation för skydd och säkerhet")</f>
        <v>Gemensam radiokommunikation för skydd och säkerhet</v>
      </c>
      <c r="J909" s="428">
        <v>5623.8912300000002</v>
      </c>
      <c r="K909" s="428">
        <v>12724.458070000001</v>
      </c>
      <c r="L909" s="428">
        <v>46310.22752</v>
      </c>
    </row>
    <row r="910" spans="1:12">
      <c r="A910" s="429" t="str">
        <f t="shared" si="25"/>
        <v>22</v>
      </c>
      <c r="B910" s="429" t="str">
        <f>T("223707 2004")</f>
        <v>223707 2004</v>
      </c>
      <c r="C910" s="637" t="str">
        <f>T("IT-infrastruktur: Regionala transportnät m.m.")</f>
        <v>IT-infrastruktur: Regionala transportnät m.m.</v>
      </c>
      <c r="H910" s="428">
        <v>49490.940519999996</v>
      </c>
      <c r="I910" s="428">
        <v>168723.79466000001</v>
      </c>
      <c r="J910" s="428">
        <v>430033.97427000001</v>
      </c>
      <c r="K910" s="428">
        <v>603209.30122999998</v>
      </c>
      <c r="L910" s="428">
        <v>260818.52770000001</v>
      </c>
    </row>
    <row r="911" spans="1:12">
      <c r="A911" s="429" t="str">
        <f t="shared" si="25"/>
        <v>22</v>
      </c>
      <c r="B911" s="429" t="str">
        <f>T("22A002 1997")</f>
        <v>22A002 1997</v>
      </c>
      <c r="C911" s="637" t="str">
        <f>T("Drift och underhåll av statliga vägar")</f>
        <v>Drift och underhåll av statliga vägar</v>
      </c>
      <c r="D911" s="428">
        <v>5826105.2971900003</v>
      </c>
      <c r="E911" s="428">
        <v>314575.61689</v>
      </c>
    </row>
    <row r="912" spans="1:12">
      <c r="A912" s="429" t="str">
        <f t="shared" si="25"/>
        <v>22</v>
      </c>
      <c r="B912" s="429" t="str">
        <f>T("22A003 1997")</f>
        <v>22A003 1997</v>
      </c>
      <c r="C912" s="637" t="str">
        <f>T("Byggande av vägar")</f>
        <v>Byggande av vägar</v>
      </c>
      <c r="D912" s="428">
        <v>4339809.2397100003</v>
      </c>
      <c r="E912" s="428">
        <v>209159.12497999999</v>
      </c>
    </row>
    <row r="913" spans="1:12">
      <c r="A913" s="429" t="str">
        <f t="shared" si="25"/>
        <v>22</v>
      </c>
      <c r="B913" s="429" t="str">
        <f>T("22A004 1997")</f>
        <v>22A004 1997</v>
      </c>
      <c r="C913" s="637" t="str">
        <f>T("Byggande av länstrafikanläggningar")</f>
        <v>Byggande av länstrafikanläggningar</v>
      </c>
      <c r="D913" s="428">
        <v>1831292.43817</v>
      </c>
      <c r="E913" s="428">
        <v>436077.65103000001</v>
      </c>
      <c r="I913"/>
      <c r="J913"/>
      <c r="K913"/>
      <c r="L913"/>
    </row>
    <row r="914" spans="1:12">
      <c r="A914" s="429" t="str">
        <f t="shared" si="25"/>
        <v>22</v>
      </c>
      <c r="B914" s="429" t="str">
        <f>T("22A005 1997")</f>
        <v>22A005 1997</v>
      </c>
      <c r="C914" s="637" t="str">
        <f>T("Bidrag till drift och byggande av enskilda vägar")</f>
        <v>Bidrag till drift och byggande av enskilda vägar</v>
      </c>
      <c r="D914" s="428">
        <v>605506.24350999994</v>
      </c>
      <c r="I914"/>
      <c r="J914"/>
      <c r="K914"/>
      <c r="L914"/>
    </row>
    <row r="915" spans="1:12">
      <c r="A915" s="429" t="str">
        <f t="shared" si="25"/>
        <v>22</v>
      </c>
      <c r="B915" s="429" t="str">
        <f>T("22A006 1997")</f>
        <v>22A006 1997</v>
      </c>
      <c r="C915" s="637" t="str">
        <f>T("Vägverket: Kostnader för registerverksamhet")</f>
        <v>Vägverket: Kostnader för registerverksamhet</v>
      </c>
      <c r="D915" s="428">
        <v>374260.22863000003</v>
      </c>
      <c r="E915" s="428">
        <v>67325.141440000007</v>
      </c>
      <c r="I915"/>
      <c r="J915"/>
      <c r="K915"/>
      <c r="L915"/>
    </row>
    <row r="916" spans="1:12">
      <c r="A916" s="429" t="str">
        <f t="shared" si="25"/>
        <v>22</v>
      </c>
      <c r="B916" s="429" t="str">
        <f>T("22A006 2000")</f>
        <v>22A006 2000</v>
      </c>
      <c r="C916" s="637" t="str">
        <f>T("Nationellt investeringsprogram för infrastrukturutveckling")</f>
        <v>Nationellt investeringsprogram för infrastrukturutveckling</v>
      </c>
      <c r="F916" s="428">
        <v>1639585</v>
      </c>
      <c r="G916" s="428">
        <v>1648525</v>
      </c>
      <c r="I916"/>
      <c r="J916"/>
      <c r="K916"/>
      <c r="L916"/>
    </row>
    <row r="917" spans="1:12">
      <c r="A917" s="429" t="str">
        <f t="shared" si="25"/>
        <v>22</v>
      </c>
      <c r="B917" s="429" t="str">
        <f>T("22A008 1997")</f>
        <v>22A008 1997</v>
      </c>
      <c r="C917" s="637" t="str">
        <f>T("Drift och vidmakthållande av statliga järnvägar")</f>
        <v>Drift och vidmakthållande av statliga järnvägar</v>
      </c>
      <c r="D917" s="428">
        <v>3017247.5116599998</v>
      </c>
      <c r="I917"/>
      <c r="J917"/>
      <c r="K917"/>
      <c r="L917"/>
    </row>
    <row r="918" spans="1:12">
      <c r="A918" s="429" t="str">
        <f t="shared" si="25"/>
        <v>22</v>
      </c>
      <c r="B918" s="429" t="str">
        <f>T("22A009 1997")</f>
        <v>22A009 1997</v>
      </c>
      <c r="C918" s="637" t="str">
        <f>T("Nyinvesteringar i stomjärnvägar samt ersättning för vissa kapitalkostnader")</f>
        <v>Nyinvesteringar i stomjärnvägar samt ersättning för vissa kapitalkostnader</v>
      </c>
      <c r="D918" s="428">
        <v>4389047</v>
      </c>
      <c r="E918" s="428">
        <v>1777092</v>
      </c>
      <c r="I918"/>
      <c r="J918"/>
      <c r="K918"/>
      <c r="L918"/>
    </row>
    <row r="919" spans="1:12">
      <c r="A919" s="429" t="str">
        <f t="shared" si="25"/>
        <v>22</v>
      </c>
      <c r="B919" s="429" t="str">
        <f>T("22B002 1999")</f>
        <v>22B002 1999</v>
      </c>
      <c r="C919" s="637" t="str">
        <f>T("Transportstöd till Gotland")</f>
        <v>Transportstöd till Gotland</v>
      </c>
      <c r="D919" s="428">
        <v>165361.27799999999</v>
      </c>
      <c r="E919" s="428">
        <v>492746.65107000002</v>
      </c>
      <c r="F919" s="428">
        <v>204658.791</v>
      </c>
      <c r="G919" s="428">
        <v>4435.3010000000004</v>
      </c>
      <c r="I919"/>
      <c r="J919"/>
      <c r="K919"/>
      <c r="L919"/>
    </row>
    <row r="920" spans="1:12">
      <c r="A920" s="429" t="str">
        <f t="shared" si="25"/>
        <v>22</v>
      </c>
      <c r="B920" s="429" t="str">
        <f>T("22B005 1997")</f>
        <v>22B005 1997</v>
      </c>
      <c r="C920" s="637" t="str">
        <f>T("Övervakning av M/S Estonia")</f>
        <v>Övervakning av M/S Estonia</v>
      </c>
      <c r="D920" s="428">
        <v>14204.184999999999</v>
      </c>
      <c r="I920"/>
      <c r="J920"/>
      <c r="K920"/>
      <c r="L920"/>
    </row>
    <row r="921" spans="1:12">
      <c r="A921" s="429" t="str">
        <f t="shared" si="25"/>
        <v>22</v>
      </c>
      <c r="B921" s="429" t="str">
        <f>T("22B006 1998")</f>
        <v>22B006 1998</v>
      </c>
      <c r="C921" s="637" t="str">
        <f>T("Utredningsarbete med anledning av M/S Estonias förlisning")</f>
        <v>Utredningsarbete med anledning av M/S Estonias förlisning</v>
      </c>
      <c r="E921" s="428">
        <v>1190.8028300000001</v>
      </c>
      <c r="I921"/>
      <c r="J921"/>
      <c r="K921"/>
      <c r="L921"/>
    </row>
    <row r="922" spans="1:12">
      <c r="A922" s="429" t="str">
        <f t="shared" si="25"/>
        <v>22</v>
      </c>
      <c r="B922" s="429" t="str">
        <f>T("22B006 1999")</f>
        <v>22B006 1999</v>
      </c>
      <c r="C922" s="637" t="str">
        <f>T("Vissa kostnader med anledning av M/S Estonias förlisning")</f>
        <v>Vissa kostnader med anledning av M/S Estonias förlisning</v>
      </c>
      <c r="F922" s="428">
        <v>18061.53</v>
      </c>
      <c r="G922" s="428">
        <v>0</v>
      </c>
      <c r="I922"/>
      <c r="J922"/>
      <c r="K922"/>
      <c r="L922"/>
    </row>
    <row r="923" spans="1:12">
      <c r="A923" s="429" t="str">
        <f t="shared" si="25"/>
        <v>22</v>
      </c>
      <c r="B923" s="429" t="str">
        <f>T("22B007 1997")</f>
        <v>22B007 1997</v>
      </c>
      <c r="C923" s="637" t="str">
        <f>T("Utredningsarbete, m m med anledning av M/S Estonias förlisning")</f>
        <v>Utredningsarbete, m m med anledning av M/S Estonias förlisning</v>
      </c>
      <c r="D923" s="428">
        <v>3584.0425700000001</v>
      </c>
      <c r="I923"/>
      <c r="J923"/>
      <c r="K923"/>
      <c r="L923"/>
    </row>
    <row r="924" spans="1:12">
      <c r="A924" s="429" t="str">
        <f t="shared" si="25"/>
        <v>22</v>
      </c>
      <c r="B924" s="429" t="str">
        <f>T("22B008 1997")</f>
        <v>22B008 1997</v>
      </c>
      <c r="C924" s="637" t="str">
        <f>T("Vissa kostnader för övertäckning av M/S Estonia")</f>
        <v>Vissa kostnader för övertäckning av M/S Estonia</v>
      </c>
      <c r="D924" s="428">
        <v>2165.2851799999999</v>
      </c>
      <c r="I924"/>
      <c r="J924"/>
      <c r="K924"/>
      <c r="L924"/>
    </row>
    <row r="925" spans="1:12">
      <c r="A925" s="429" t="str">
        <f t="shared" si="25"/>
        <v>22</v>
      </c>
      <c r="B925" s="429" t="str">
        <f>T("22D002 1999")</f>
        <v>22D002 1999</v>
      </c>
      <c r="C925" s="637" t="str">
        <f>T("Köp av interregionalpersontrafik")</f>
        <v>Köp av interregionalpersontrafik</v>
      </c>
      <c r="D925" s="428">
        <v>317989</v>
      </c>
      <c r="E925" s="428">
        <v>385533.39661</v>
      </c>
      <c r="F925" s="428">
        <v>389616.99599999998</v>
      </c>
      <c r="G925" s="428">
        <v>11403.483</v>
      </c>
      <c r="H925" s="428">
        <v>7012.9030000000002</v>
      </c>
      <c r="I925"/>
      <c r="J925"/>
      <c r="K925"/>
      <c r="L925"/>
    </row>
    <row r="926" spans="1:12">
      <c r="A926" s="429" t="str">
        <f t="shared" si="25"/>
        <v>22</v>
      </c>
      <c r="B926" s="429" t="str">
        <f>T("22D003 1999")</f>
        <v>22D003 1999</v>
      </c>
      <c r="C926" s="637" t="str">
        <f>T("Ersättning till trafikhuvudmännen för köp av viss kollektivtrafik")</f>
        <v>Ersättning till trafikhuvudmännen för köp av viss kollektivtrafik</v>
      </c>
      <c r="D926" s="428">
        <v>194817</v>
      </c>
      <c r="E926" s="428">
        <v>198191.7</v>
      </c>
      <c r="F926" s="428">
        <v>195103.3</v>
      </c>
      <c r="I926"/>
      <c r="J926"/>
      <c r="K926"/>
      <c r="L926"/>
    </row>
    <row r="927" spans="1:12">
      <c r="A927" s="429" t="str">
        <f t="shared" ref="A927:A928" si="26">T("22")</f>
        <v>22</v>
      </c>
      <c r="B927" s="429" t="str">
        <f>T("22E003 1997")</f>
        <v>22E003 1997</v>
      </c>
      <c r="C927" s="637" t="str">
        <f>T("Bidrag till forskning om el- och hybridfordon")</f>
        <v>Bidrag till forskning om el- och hybridfordon</v>
      </c>
      <c r="D927" s="428">
        <v>11272.25153</v>
      </c>
      <c r="E927" s="428">
        <v>19343.295849999999</v>
      </c>
      <c r="F927" s="428">
        <v>29360.41704</v>
      </c>
      <c r="G927" s="428">
        <v>8629.3851200000008</v>
      </c>
      <c r="I927"/>
      <c r="J927"/>
      <c r="K927"/>
      <c r="L927"/>
    </row>
    <row r="928" spans="1:12">
      <c r="A928" s="429" t="str">
        <f t="shared" si="26"/>
        <v>22</v>
      </c>
      <c r="B928" s="429" t="str">
        <f>T("22E006 1997")</f>
        <v>22E006 1997</v>
      </c>
      <c r="C928" s="637" t="str">
        <f>T("EUMETSAT, WMO och ECMWF")</f>
        <v>EUMETSAT, WMO och ECMWF</v>
      </c>
      <c r="D928" s="428">
        <v>53892.996800000001</v>
      </c>
      <c r="E928" s="428">
        <v>11707.003199999999</v>
      </c>
      <c r="I928"/>
      <c r="J928"/>
      <c r="K928"/>
      <c r="L928"/>
    </row>
    <row r="929" spans="1:12">
      <c r="A929" s="430" t="s">
        <v>1656</v>
      </c>
      <c r="B929" s="430"/>
      <c r="C929" s="430" t="str">
        <f>T("Kommunikationer")</f>
        <v>Kommunikationer</v>
      </c>
      <c r="D929" s="431">
        <v>24033379.506269999</v>
      </c>
      <c r="E929" s="431">
        <v>26856825.20377</v>
      </c>
      <c r="F929" s="431">
        <v>25085246.887479998</v>
      </c>
      <c r="G929" s="431">
        <v>24858891.819839999</v>
      </c>
      <c r="H929" s="431">
        <v>24243918.661899999</v>
      </c>
      <c r="I929" s="431">
        <v>24379879.715130001</v>
      </c>
      <c r="J929" s="431">
        <v>25130649.336429998</v>
      </c>
      <c r="K929" s="431">
        <v>28994810.818289999</v>
      </c>
      <c r="L929" s="431">
        <v>31689017.153420001</v>
      </c>
    </row>
    <row r="930" spans="1:12">
      <c r="A930" s="429" t="str">
        <f t="shared" ref="A930:A993" si="27">T("23")</f>
        <v>23</v>
      </c>
      <c r="B930" s="429" t="str">
        <f>T("09B004 9596")</f>
        <v>09B004 9596</v>
      </c>
      <c r="C930" s="637" t="str">
        <f>T("Rådgivning och utbildning")</f>
        <v>Rådgivning och utbildning</v>
      </c>
      <c r="D930" s="428">
        <v>-199</v>
      </c>
      <c r="E930" s="428">
        <v>229.15073000000001</v>
      </c>
    </row>
    <row r="931" spans="1:12">
      <c r="A931" s="429" t="str">
        <f t="shared" si="27"/>
        <v>23</v>
      </c>
      <c r="B931" s="429" t="str">
        <f>T("09B017 9596")</f>
        <v>09B017 9596</v>
      </c>
      <c r="C931" s="637" t="str">
        <f>T("Från EG-budg finansierad komp för revalvering av jordbruksomräkningskursen")</f>
        <v>Från EG-budg finansierad komp för revalvering av jordbruksomräkningskursen</v>
      </c>
      <c r="D931" s="428">
        <v>126920</v>
      </c>
      <c r="E931" s="428">
        <v>203067.9</v>
      </c>
      <c r="F931" s="428">
        <v>24.635999999999999</v>
      </c>
    </row>
    <row r="932" spans="1:12">
      <c r="A932" s="429" t="str">
        <f t="shared" si="27"/>
        <v>23</v>
      </c>
      <c r="B932" s="429" t="str">
        <f>T("09C002 9596")</f>
        <v>09C002 9596</v>
      </c>
      <c r="C932" s="637" t="str">
        <f>T("Främjande av fiskerinäringen")</f>
        <v>Främjande av fiskerinäringen</v>
      </c>
      <c r="D932" s="428">
        <v>0</v>
      </c>
    </row>
    <row r="933" spans="1:12">
      <c r="A933" s="429" t="str">
        <f t="shared" si="27"/>
        <v>23</v>
      </c>
      <c r="B933" s="429" t="str">
        <f>T("09D002 9596")</f>
        <v>09D002 9596</v>
      </c>
      <c r="C933" s="637" t="str">
        <f>T("Främjande av rennäringen")</f>
        <v>Främjande av rennäringen</v>
      </c>
      <c r="D933" s="428">
        <v>5487.7117600000001</v>
      </c>
      <c r="E933" s="428">
        <v>1889.5273099999999</v>
      </c>
      <c r="F933" s="428">
        <v>3088.60878</v>
      </c>
    </row>
    <row r="934" spans="1:12">
      <c r="A934" s="429" t="str">
        <f t="shared" si="27"/>
        <v>23</v>
      </c>
      <c r="B934" s="429" t="str">
        <f>T("09D006 9596")</f>
        <v>09D006 9596</v>
      </c>
      <c r="C934" s="637" t="str">
        <f>T("Stöd till innehavare av fjällägenheter m.m")</f>
        <v>Stöd till innehavare av fjällägenheter m.m</v>
      </c>
      <c r="D934" s="428">
        <v>1148.6630600000001</v>
      </c>
      <c r="E934" s="428">
        <v>145.79208</v>
      </c>
    </row>
    <row r="935" spans="1:12">
      <c r="A935" s="429" t="str">
        <f t="shared" si="27"/>
        <v>23</v>
      </c>
      <c r="B935" s="429" t="str">
        <f>T("09E005 9596")</f>
        <v>09E005 9596</v>
      </c>
      <c r="C935" s="637" t="str">
        <f>T("Djurhälsovård och djurskyddsfrämjande åtgärder")</f>
        <v>Djurhälsovård och djurskyddsfrämjande åtgärder</v>
      </c>
      <c r="D935" s="428">
        <v>345.95137999999997</v>
      </c>
      <c r="E935" s="428">
        <v>0.18285000000000001</v>
      </c>
    </row>
    <row r="936" spans="1:12">
      <c r="A936" s="429" t="str">
        <f t="shared" si="27"/>
        <v>23</v>
      </c>
      <c r="B936" s="429" t="str">
        <f>T("09G008 9596")</f>
        <v>09G008 9596</v>
      </c>
      <c r="C936" s="637" t="str">
        <f>T("Konsument- och marknadsföringsåtgärder inom livsmedelsområdet")</f>
        <v>Konsument- och marknadsföringsåtgärder inom livsmedelsområdet</v>
      </c>
      <c r="D936" s="428">
        <v>11508.09989</v>
      </c>
      <c r="E936" s="428">
        <v>5634.2552500000002</v>
      </c>
      <c r="F936" s="428">
        <v>739.89170000000001</v>
      </c>
    </row>
    <row r="937" spans="1:12">
      <c r="A937" s="429" t="str">
        <f t="shared" si="27"/>
        <v>23</v>
      </c>
      <c r="B937" s="429" t="str">
        <f>T("09H002 9596")</f>
        <v>09H002 9596</v>
      </c>
      <c r="C937" s="637" t="str">
        <f>T("Skogs- och jordbrukets forskningsråd: Forskning")</f>
        <v>Skogs- och jordbrukets forskningsråd: Forskning</v>
      </c>
      <c r="D937" s="428">
        <v>73942.518400000001</v>
      </c>
    </row>
    <row r="938" spans="1:12">
      <c r="A938" s="429" t="str">
        <f t="shared" si="27"/>
        <v>23</v>
      </c>
      <c r="B938" s="429" t="str">
        <f>T("09H004 9596")</f>
        <v>09H004 9596</v>
      </c>
      <c r="C938" s="637" t="str">
        <f>T("Stöd till kollektiv forskning")</f>
        <v>Stöd till kollektiv forskning</v>
      </c>
      <c r="D938" s="428">
        <v>4774.1615000000002</v>
      </c>
    </row>
    <row r="939" spans="1:12">
      <c r="A939" s="429" t="str">
        <f t="shared" si="27"/>
        <v>23</v>
      </c>
      <c r="B939" s="429" t="str">
        <f>T("12B005 9596")</f>
        <v>12B005 9596</v>
      </c>
      <c r="C939" s="637" t="str">
        <f>T("Insatser för skogsbruket")</f>
        <v>Insatser för skogsbruket</v>
      </c>
      <c r="D939" s="428">
        <v>43054.561529999999</v>
      </c>
      <c r="E939" s="428">
        <v>9822.3325600000007</v>
      </c>
      <c r="F939" s="428">
        <v>4588.1161700000002</v>
      </c>
    </row>
    <row r="940" spans="1:12">
      <c r="A940" s="429" t="str">
        <f t="shared" si="27"/>
        <v>23</v>
      </c>
      <c r="B940" s="429" t="str">
        <f>T("12B006 9596")</f>
        <v>12B006 9596</v>
      </c>
      <c r="C940" s="637" t="str">
        <f>T("Bidrag till skogsfröplantager")</f>
        <v>Bidrag till skogsfröplantager</v>
      </c>
      <c r="D940" s="428">
        <v>1179.1020000000001</v>
      </c>
      <c r="E940" s="428">
        <v>1327.7470000000001</v>
      </c>
    </row>
    <row r="941" spans="1:12">
      <c r="A941" s="429" t="str">
        <f t="shared" si="27"/>
        <v>23</v>
      </c>
      <c r="B941" s="429" t="str">
        <f>T("2301001")</f>
        <v>2301001</v>
      </c>
      <c r="C941" s="637" t="str">
        <f>T("Skogsstyrelsen")</f>
        <v>Skogsstyrelsen</v>
      </c>
      <c r="D941" s="428">
        <v>300263.87108000001</v>
      </c>
      <c r="E941" s="428">
        <v>250852.99593</v>
      </c>
      <c r="F941" s="428">
        <v>272515.13803999999</v>
      </c>
      <c r="G941" s="428">
        <v>282233.63887999998</v>
      </c>
      <c r="H941" s="428">
        <v>290757.25706999999</v>
      </c>
      <c r="I941" s="428">
        <v>293598.22852</v>
      </c>
      <c r="J941" s="428">
        <v>301836.27591000003</v>
      </c>
      <c r="K941" s="428">
        <v>315915.99735999998</v>
      </c>
      <c r="L941" s="428">
        <v>303118.99826000002</v>
      </c>
    </row>
    <row r="942" spans="1:12">
      <c r="A942" s="429" t="str">
        <f t="shared" si="27"/>
        <v>23</v>
      </c>
      <c r="B942" s="429" t="str">
        <f>T("2301002")</f>
        <v>2301002</v>
      </c>
      <c r="C942" s="637" t="str">
        <f>T("Insatser för skogsbruket")</f>
        <v>Insatser för skogsbruket</v>
      </c>
      <c r="D942" s="428">
        <v>45820.186029999997</v>
      </c>
      <c r="E942" s="428">
        <v>65595.576879999993</v>
      </c>
      <c r="F942" s="428">
        <v>75859.300390000004</v>
      </c>
      <c r="G942" s="428">
        <v>98805.714470000006</v>
      </c>
      <c r="H942" s="428">
        <v>159570.10003999999</v>
      </c>
      <c r="I942" s="428">
        <v>227526.15655000001</v>
      </c>
      <c r="J942" s="428">
        <v>237024.22661000001</v>
      </c>
      <c r="K942" s="428">
        <v>214411.38256999999</v>
      </c>
      <c r="L942" s="428">
        <v>275445.37599999999</v>
      </c>
    </row>
    <row r="943" spans="1:12">
      <c r="A943" s="429" t="str">
        <f t="shared" si="27"/>
        <v>23</v>
      </c>
      <c r="B943" s="429" t="str">
        <f>T("2301003")</f>
        <v>2301003</v>
      </c>
      <c r="C943" s="637" t="str">
        <f>T("Statens veterinärmedicinska anstalt")</f>
        <v>Statens veterinärmedicinska anstalt</v>
      </c>
      <c r="D943" s="428">
        <v>72164.081999999995</v>
      </c>
      <c r="E943" s="428">
        <v>74880.089000000007</v>
      </c>
      <c r="F943" s="428">
        <v>80611.043999999994</v>
      </c>
      <c r="G943" s="428">
        <v>85147.520000000004</v>
      </c>
      <c r="H943" s="428">
        <v>94542.346590000001</v>
      </c>
      <c r="I943" s="428">
        <v>95883.315359999993</v>
      </c>
      <c r="J943" s="428">
        <v>114609.67810999999</v>
      </c>
      <c r="K943" s="428">
        <v>98873.073250000001</v>
      </c>
      <c r="L943" s="428">
        <v>96686.549180000002</v>
      </c>
    </row>
    <row r="944" spans="1:12">
      <c r="A944" s="429" t="str">
        <f t="shared" si="27"/>
        <v>23</v>
      </c>
      <c r="B944" s="429" t="str">
        <f>T("2301003 2012")</f>
        <v>2301003 2012</v>
      </c>
      <c r="C944" s="637" t="str">
        <f>T("Internationellt skogssamarbete")</f>
        <v>Internationellt skogssamarbete</v>
      </c>
      <c r="D944" s="428">
        <v>896.34461999999996</v>
      </c>
      <c r="E944" s="428">
        <v>657.51337000000001</v>
      </c>
      <c r="F944" s="428">
        <v>779.40715</v>
      </c>
      <c r="G944" s="428">
        <v>705.78948000000003</v>
      </c>
      <c r="H944" s="428">
        <v>968.70015000000001</v>
      </c>
      <c r="I944" s="428">
        <v>849.51742999999999</v>
      </c>
      <c r="J944" s="428">
        <v>2190.7286600000002</v>
      </c>
      <c r="K944" s="428">
        <v>1187.3446100000001</v>
      </c>
      <c r="L944" s="428">
        <v>1081.4533300000001</v>
      </c>
    </row>
    <row r="945" spans="1:12">
      <c r="A945" s="429" t="str">
        <f t="shared" si="27"/>
        <v>23</v>
      </c>
      <c r="B945" s="429" t="str">
        <f>T("2301004")</f>
        <v>2301004</v>
      </c>
      <c r="C945" s="637" t="str">
        <f>T("Bidrag till veterinär fältverksamhet")</f>
        <v>Bidrag till veterinär fältverksamhet</v>
      </c>
      <c r="D945" s="428">
        <v>85491</v>
      </c>
      <c r="E945" s="428">
        <v>78109</v>
      </c>
      <c r="F945" s="428">
        <v>80277</v>
      </c>
      <c r="G945" s="428">
        <v>75669</v>
      </c>
      <c r="H945" s="428">
        <v>85753</v>
      </c>
      <c r="I945" s="428">
        <v>87553</v>
      </c>
      <c r="J945" s="428">
        <v>89392</v>
      </c>
      <c r="K945" s="428">
        <v>93257</v>
      </c>
      <c r="L945" s="428">
        <v>94147</v>
      </c>
    </row>
    <row r="946" spans="1:12">
      <c r="A946" s="429" t="str">
        <f t="shared" si="27"/>
        <v>23</v>
      </c>
      <c r="B946" s="429" t="str">
        <f>T("2301005")</f>
        <v>2301005</v>
      </c>
      <c r="C946" s="637" t="str">
        <f>T("Djurhälsovård och djurskyddsfrämjande åtgärder")</f>
        <v>Djurhälsovård och djurskyddsfrämjande åtgärder</v>
      </c>
      <c r="D946" s="428">
        <v>12509.76964</v>
      </c>
      <c r="E946" s="428">
        <v>20947.518110000001</v>
      </c>
      <c r="F946" s="428">
        <v>20077.216540000001</v>
      </c>
      <c r="G946" s="428">
        <v>22696.654549999999</v>
      </c>
      <c r="H946" s="428">
        <v>25721.924480000001</v>
      </c>
      <c r="I946" s="428">
        <v>22636.17972</v>
      </c>
      <c r="J946" s="428">
        <v>22382.751749999999</v>
      </c>
      <c r="K946" s="428">
        <v>14812.01513</v>
      </c>
      <c r="L946" s="428">
        <v>14716.188120000001</v>
      </c>
    </row>
    <row r="947" spans="1:12">
      <c r="A947" s="429" t="str">
        <f t="shared" si="27"/>
        <v>23</v>
      </c>
      <c r="B947" s="429" t="str">
        <f>T("2301006")</f>
        <v>2301006</v>
      </c>
      <c r="C947" s="637" t="str">
        <f>T("Bekämpande av smittsamma husdjurssjukdomar")</f>
        <v>Bekämpande av smittsamma husdjurssjukdomar</v>
      </c>
      <c r="D947" s="428">
        <v>94326.928029999995</v>
      </c>
      <c r="E947" s="428">
        <v>120481.73533</v>
      </c>
      <c r="F947" s="428">
        <v>125684.82789</v>
      </c>
      <c r="G947" s="428">
        <v>93940.997529999993</v>
      </c>
      <c r="H947" s="428">
        <v>121579.66718</v>
      </c>
      <c r="I947" s="428">
        <v>100159.75019000001</v>
      </c>
      <c r="J947" s="428">
        <v>107806.59050999999</v>
      </c>
      <c r="K947" s="428">
        <v>93295.789850000001</v>
      </c>
      <c r="L947" s="428">
        <v>132103.39438000001</v>
      </c>
    </row>
    <row r="948" spans="1:12">
      <c r="A948" s="429" t="str">
        <f t="shared" si="27"/>
        <v>23</v>
      </c>
      <c r="B948" s="429" t="str">
        <f>T("2301007")</f>
        <v>2301007</v>
      </c>
      <c r="C948" s="637" t="str">
        <f>T("Ersättningar för viltskador m.m.")</f>
        <v>Ersättningar för viltskador m.m.</v>
      </c>
      <c r="D948" s="428">
        <v>30748.692429999999</v>
      </c>
      <c r="E948" s="428">
        <v>49916.440190000001</v>
      </c>
      <c r="F948" s="428">
        <v>58889.52162</v>
      </c>
      <c r="G948" s="428">
        <v>64585.95134</v>
      </c>
      <c r="H948" s="428">
        <v>71696.369860000006</v>
      </c>
      <c r="I948" s="428">
        <v>85933.322899999999</v>
      </c>
      <c r="J948" s="428">
        <v>84257.779429999995</v>
      </c>
      <c r="K948" s="428">
        <v>83561.585500000001</v>
      </c>
      <c r="L948" s="428">
        <v>86908.873000000007</v>
      </c>
    </row>
    <row r="949" spans="1:12">
      <c r="A949" s="429" t="str">
        <f t="shared" si="27"/>
        <v>23</v>
      </c>
      <c r="B949" s="429" t="str">
        <f>T("2301008")</f>
        <v>2301008</v>
      </c>
      <c r="C949" s="637" t="str">
        <f>T("Statens jordbruksverk")</f>
        <v>Statens jordbruksverk</v>
      </c>
      <c r="D949" s="428">
        <v>220687.45587000001</v>
      </c>
      <c r="E949" s="428">
        <v>206052.81301000001</v>
      </c>
      <c r="F949" s="428">
        <v>244516.10133</v>
      </c>
      <c r="G949" s="428">
        <v>255306.92113999999</v>
      </c>
      <c r="H949" s="428">
        <v>297451.06164000003</v>
      </c>
      <c r="I949" s="428">
        <v>304762.96520999999</v>
      </c>
      <c r="J949" s="428">
        <v>301374.44855999999</v>
      </c>
      <c r="K949" s="428">
        <v>349637.66973000002</v>
      </c>
      <c r="L949" s="428">
        <v>333108.53975</v>
      </c>
    </row>
    <row r="950" spans="1:12">
      <c r="A950" s="429" t="str">
        <f t="shared" si="27"/>
        <v>23</v>
      </c>
      <c r="B950" s="429" t="str">
        <f>T("2301009")</f>
        <v>2301009</v>
      </c>
      <c r="C950" s="637" t="str">
        <f>T("Bekämpande av växtskadegörare")</f>
        <v>Bekämpande av växtskadegörare</v>
      </c>
      <c r="D950" s="428">
        <v>2647.2801399999998</v>
      </c>
      <c r="E950" s="428">
        <v>2114.2522899999999</v>
      </c>
      <c r="F950" s="428">
        <v>2414.3184000000001</v>
      </c>
      <c r="G950" s="428">
        <v>2670.8510000000001</v>
      </c>
      <c r="H950" s="428">
        <v>2746.806</v>
      </c>
      <c r="I950" s="428">
        <v>3124</v>
      </c>
      <c r="J950" s="428">
        <v>2570.8919999999998</v>
      </c>
      <c r="K950" s="428">
        <v>2557.4589999999998</v>
      </c>
      <c r="L950" s="428">
        <v>2562.6579999999999</v>
      </c>
    </row>
    <row r="951" spans="1:12">
      <c r="A951" s="429" t="str">
        <f t="shared" si="27"/>
        <v>23</v>
      </c>
      <c r="B951" s="429" t="str">
        <f>T("2301010")</f>
        <v>2301010</v>
      </c>
      <c r="C951" s="637" t="str">
        <f>T("Gårdsstöd m.m.")</f>
        <v>Gårdsstöd m.m.</v>
      </c>
      <c r="D951" s="428">
        <v>4320267.8947000001</v>
      </c>
      <c r="E951" s="428">
        <v>4372510.2180000003</v>
      </c>
      <c r="F951" s="428">
        <v>3910079.5861</v>
      </c>
      <c r="G951" s="428">
        <v>1263913.58317</v>
      </c>
      <c r="H951" s="428">
        <v>8910313.8631599993</v>
      </c>
      <c r="I951" s="428">
        <v>5542837.6422300003</v>
      </c>
      <c r="J951" s="428">
        <v>1416772.82121</v>
      </c>
      <c r="K951" s="428">
        <v>5012078.6936799996</v>
      </c>
      <c r="L951" s="428">
        <v>6487476.1747700004</v>
      </c>
    </row>
    <row r="952" spans="1:12">
      <c r="A952" s="429" t="str">
        <f t="shared" si="27"/>
        <v>23</v>
      </c>
      <c r="B952" s="429" t="str">
        <f>T("2301011")</f>
        <v>2301011</v>
      </c>
      <c r="C952" s="637" t="str">
        <f>T("Intervention för jordbruksprodukter m.m.")</f>
        <v>Intervention för jordbruksprodukter m.m.</v>
      </c>
      <c r="D952" s="428">
        <v>1134926.0947199999</v>
      </c>
      <c r="E952" s="428">
        <v>1582446.3100099999</v>
      </c>
      <c r="F952" s="428">
        <v>1585519.0632799999</v>
      </c>
      <c r="G952" s="428">
        <v>1403345.22884</v>
      </c>
      <c r="H952" s="428">
        <v>957222.18883</v>
      </c>
      <c r="I952" s="428">
        <v>916775.12650999997</v>
      </c>
      <c r="J952" s="428">
        <v>1003069.61321</v>
      </c>
      <c r="K952" s="428">
        <v>869459.81455999997</v>
      </c>
      <c r="L952" s="428">
        <v>1422888.5272900001</v>
      </c>
    </row>
    <row r="953" spans="1:12">
      <c r="A953" s="429" t="str">
        <f t="shared" si="27"/>
        <v>23</v>
      </c>
      <c r="B953" s="429" t="str">
        <f>T("2301012")</f>
        <v>2301012</v>
      </c>
      <c r="C953" s="637" t="str">
        <f>T("Finansiella korrigeringar m.m.")</f>
        <v>Finansiella korrigeringar m.m.</v>
      </c>
      <c r="D953" s="428">
        <v>59296.297189999997</v>
      </c>
      <c r="E953" s="428">
        <v>42491.627359999999</v>
      </c>
      <c r="F953" s="428">
        <v>66050.133239999996</v>
      </c>
      <c r="G953" s="428">
        <v>23515.05084</v>
      </c>
      <c r="H953" s="428">
        <v>52340.864099999999</v>
      </c>
      <c r="I953" s="428">
        <v>111113.91265</v>
      </c>
      <c r="J953" s="428">
        <v>46583.808449999997</v>
      </c>
      <c r="K953" s="428">
        <v>25576.66965</v>
      </c>
      <c r="L953" s="428">
        <v>114800.6789</v>
      </c>
    </row>
    <row r="954" spans="1:12">
      <c r="A954" s="429" t="str">
        <f t="shared" si="27"/>
        <v>23</v>
      </c>
      <c r="B954" s="429" t="str">
        <f>T("2301013")</f>
        <v>2301013</v>
      </c>
      <c r="C954" s="637" t="str">
        <f>T("Strukturstöd till fisket m.m.")</f>
        <v>Strukturstöd till fisket m.m.</v>
      </c>
      <c r="D954" s="428">
        <v>27202.485089999998</v>
      </c>
      <c r="E954" s="428">
        <v>17915.17614</v>
      </c>
      <c r="F954" s="428">
        <v>22716.361629999999</v>
      </c>
      <c r="G954" s="428">
        <v>-569.12599999999998</v>
      </c>
      <c r="H954" s="428">
        <v>2860.8135000000002</v>
      </c>
      <c r="I954" s="428">
        <v>39756.036679999997</v>
      </c>
      <c r="J954" s="428">
        <v>37280.117460000001</v>
      </c>
      <c r="K954" s="428">
        <v>16858.86838</v>
      </c>
      <c r="L954" s="428">
        <v>29758.766070000001</v>
      </c>
    </row>
    <row r="955" spans="1:12">
      <c r="A955" s="429" t="str">
        <f t="shared" si="27"/>
        <v>23</v>
      </c>
      <c r="B955" s="429" t="str">
        <f>T("2301014")</f>
        <v>2301014</v>
      </c>
      <c r="C955" s="637" t="str">
        <f>T("Från EU-budgeten finansierade strukturstöd till fisket m.m.")</f>
        <v>Från EU-budgeten finansierade strukturstöd till fisket m.m.</v>
      </c>
      <c r="D955" s="428">
        <v>77564.736999999994</v>
      </c>
      <c r="E955" s="428">
        <v>53726.15928</v>
      </c>
      <c r="F955" s="428">
        <v>74959.991529999999</v>
      </c>
      <c r="G955" s="428">
        <v>63615.2255</v>
      </c>
      <c r="H955" s="428">
        <v>69911.611499999999</v>
      </c>
      <c r="I955" s="428">
        <v>46004.327929999999</v>
      </c>
      <c r="J955" s="428">
        <v>51699.54767</v>
      </c>
      <c r="K955" s="428">
        <v>74958.116829999999</v>
      </c>
      <c r="L955" s="428">
        <v>89211.784839999993</v>
      </c>
    </row>
    <row r="956" spans="1:12">
      <c r="A956" s="429" t="str">
        <f t="shared" si="27"/>
        <v>23</v>
      </c>
      <c r="B956" s="429" t="str">
        <f>T("2301014 2011")</f>
        <v>2301014 2011</v>
      </c>
      <c r="C956" s="637" t="str">
        <f>T("Fiskeriverket")</f>
        <v>Fiskeriverket</v>
      </c>
      <c r="D956" s="428">
        <v>61528.668619999997</v>
      </c>
      <c r="E956" s="428">
        <v>57072.220119999998</v>
      </c>
      <c r="F956" s="428">
        <v>60238.601949999997</v>
      </c>
      <c r="G956" s="428">
        <v>66519.167079999999</v>
      </c>
      <c r="H956" s="428">
        <v>68142.272110000005</v>
      </c>
      <c r="I956" s="428">
        <v>80526.315359999993</v>
      </c>
      <c r="J956" s="428">
        <v>119033.44476</v>
      </c>
      <c r="K956" s="428">
        <v>142808.77056</v>
      </c>
      <c r="L956" s="428">
        <v>98593.858680000005</v>
      </c>
    </row>
    <row r="957" spans="1:12">
      <c r="A957" s="429" t="str">
        <f t="shared" si="27"/>
        <v>23</v>
      </c>
      <c r="B957" s="429" t="str">
        <f>T("2301015")</f>
        <v>2301015</v>
      </c>
      <c r="C957" s="637" t="str">
        <f>T("Livsmedelsverket")</f>
        <v>Livsmedelsverket</v>
      </c>
      <c r="D957" s="428">
        <v>116406.7436</v>
      </c>
      <c r="E957" s="428">
        <v>119213.73828000001</v>
      </c>
      <c r="F957" s="428">
        <v>113276.65362</v>
      </c>
      <c r="G957" s="428">
        <v>109362.21242</v>
      </c>
      <c r="H957" s="428">
        <v>132738.76925000001</v>
      </c>
      <c r="I957" s="428">
        <v>127241.78152999999</v>
      </c>
      <c r="J957" s="428">
        <v>141625.84735</v>
      </c>
      <c r="K957" s="428">
        <v>145031.59443999999</v>
      </c>
      <c r="L957" s="428">
        <v>153128.18780000001</v>
      </c>
    </row>
    <row r="958" spans="1:12">
      <c r="A958" s="429" t="str">
        <f t="shared" si="27"/>
        <v>23</v>
      </c>
      <c r="B958" s="429" t="str">
        <f>T("2301016")</f>
        <v>2301016</v>
      </c>
      <c r="C958" s="637" t="str">
        <f>T("Konkurrenskraftig livsmedelssektor")</f>
        <v>Konkurrenskraftig livsmedelssektor</v>
      </c>
      <c r="E958" s="428">
        <v>5000</v>
      </c>
      <c r="F958" s="428">
        <v>15000</v>
      </c>
      <c r="G958" s="428">
        <v>12350.85305</v>
      </c>
      <c r="H958" s="428">
        <v>16254.610199999999</v>
      </c>
      <c r="I958" s="428">
        <v>18406.040590000001</v>
      </c>
      <c r="J958" s="428">
        <v>6794.0799500000003</v>
      </c>
      <c r="K958" s="428">
        <v>5407.4870000000001</v>
      </c>
      <c r="L958" s="428">
        <v>15401.114949999999</v>
      </c>
    </row>
    <row r="959" spans="1:12">
      <c r="A959" s="429" t="str">
        <f t="shared" si="27"/>
        <v>23</v>
      </c>
      <c r="B959" s="429" t="str">
        <f>T("2301017")</f>
        <v>2301017</v>
      </c>
      <c r="C959" s="637" t="str">
        <f>T("Bidrag till vissa internationella organisationer m.m.")</f>
        <v>Bidrag till vissa internationella organisationer m.m.</v>
      </c>
      <c r="D959" s="428">
        <v>37089.813800000004</v>
      </c>
      <c r="E959" s="428">
        <v>37560.457860000002</v>
      </c>
      <c r="F959" s="428">
        <v>35556.938199999997</v>
      </c>
      <c r="G959" s="428">
        <v>36990.918380000003</v>
      </c>
      <c r="H959" s="428">
        <v>40941.339339999999</v>
      </c>
      <c r="I959" s="428">
        <v>41645.388299999999</v>
      </c>
      <c r="J959" s="428">
        <v>35507.823349999999</v>
      </c>
      <c r="K959" s="428">
        <v>36812.45809</v>
      </c>
      <c r="L959" s="428">
        <v>35176.213510000001</v>
      </c>
    </row>
    <row r="960" spans="1:12">
      <c r="A960" s="429" t="str">
        <f t="shared" si="27"/>
        <v>23</v>
      </c>
      <c r="B960" s="429" t="str">
        <f>T("2301017 2011")</f>
        <v>2301017 2011</v>
      </c>
      <c r="C960" s="637" t="str">
        <f>T("Fiskevård")</f>
        <v>Fiskevård</v>
      </c>
      <c r="D960" s="428">
        <v>5567.7663300000004</v>
      </c>
      <c r="E960" s="428">
        <v>18532.246719999999</v>
      </c>
      <c r="F960" s="428">
        <v>20276.072670000001</v>
      </c>
      <c r="G960" s="428">
        <v>18860.981199999998</v>
      </c>
      <c r="H960" s="428">
        <v>19916.11967</v>
      </c>
      <c r="I960" s="428">
        <v>14874.408289999999</v>
      </c>
      <c r="J960" s="428">
        <v>23760.284189999998</v>
      </c>
      <c r="K960" s="428">
        <v>19339.497749999999</v>
      </c>
      <c r="L960" s="428">
        <v>28838.37601</v>
      </c>
    </row>
    <row r="961" spans="1:12">
      <c r="A961" s="429" t="str">
        <f t="shared" si="27"/>
        <v>23</v>
      </c>
      <c r="B961" s="429" t="str">
        <f>T("2301017 2012")</f>
        <v>2301017 2012</v>
      </c>
      <c r="C961" s="637" t="str">
        <f>T("Livsmedelsstatistik")</f>
        <v>Livsmedelsstatistik</v>
      </c>
      <c r="D961" s="428">
        <v>29441.820759999999</v>
      </c>
      <c r="E961" s="428">
        <v>23409.895270000001</v>
      </c>
      <c r="F961" s="428">
        <v>25916.770540000001</v>
      </c>
      <c r="G961" s="428">
        <v>26706.95061</v>
      </c>
      <c r="H961" s="428">
        <v>21669.596519999999</v>
      </c>
      <c r="I961" s="428">
        <v>22648.410400000001</v>
      </c>
      <c r="J961" s="428">
        <v>21739.36824</v>
      </c>
      <c r="K961" s="428">
        <v>23252.942279999999</v>
      </c>
      <c r="L961" s="428">
        <v>21468.968990000001</v>
      </c>
    </row>
    <row r="962" spans="1:12">
      <c r="A962" s="429" t="str">
        <f t="shared" si="27"/>
        <v>23</v>
      </c>
      <c r="B962" s="429" t="str">
        <f>T("2301018")</f>
        <v>2301018</v>
      </c>
      <c r="C962" s="637" t="str">
        <f>T("Åtgärder för landsbygdens miljö och struktur")</f>
        <v>Åtgärder för landsbygdens miljö och struktur</v>
      </c>
      <c r="G962" s="428">
        <v>2366378.6768399999</v>
      </c>
      <c r="H962" s="428">
        <v>2067617.0360000001</v>
      </c>
      <c r="I962" s="428">
        <v>2320141.5817200001</v>
      </c>
      <c r="J962" s="428">
        <v>2072701.5975800001</v>
      </c>
      <c r="K962" s="428">
        <v>1497216.25642</v>
      </c>
      <c r="L962" s="428">
        <v>3104269.99168</v>
      </c>
    </row>
    <row r="963" spans="1:12">
      <c r="A963" s="429" t="str">
        <f t="shared" si="27"/>
        <v>23</v>
      </c>
      <c r="B963" s="429" t="str">
        <f>T("2301018 2012")</f>
        <v>2301018 2012</v>
      </c>
      <c r="C963" s="637" t="str">
        <f>T("Jordbruks- och livsmedelsstatistik finansierad från EU-budgeten")</f>
        <v>Jordbruks- och livsmedelsstatistik finansierad från EU-budgeten</v>
      </c>
      <c r="D963" s="428">
        <v>4500</v>
      </c>
      <c r="E963" s="428">
        <v>4000</v>
      </c>
      <c r="F963" s="428">
        <v>7190</v>
      </c>
      <c r="G963" s="428">
        <v>3700</v>
      </c>
      <c r="H963" s="428">
        <v>3710</v>
      </c>
      <c r="I963" s="428">
        <v>3700</v>
      </c>
      <c r="J963" s="428">
        <v>7400</v>
      </c>
      <c r="K963" s="428">
        <v>6500</v>
      </c>
      <c r="L963" s="428">
        <v>7356</v>
      </c>
    </row>
    <row r="964" spans="1:12">
      <c r="A964" s="429" t="str">
        <f t="shared" si="27"/>
        <v>23</v>
      </c>
      <c r="B964" s="429" t="str">
        <f>T("2301019")</f>
        <v>2301019</v>
      </c>
      <c r="C964" s="637" t="str">
        <f>T("Från EU-budgeten finansierade åtgärder för landsbygdens miljö och struktur")</f>
        <v>Från EU-budgeten finansierade åtgärder för landsbygdens miljö och struktur</v>
      </c>
      <c r="G964" s="428">
        <v>1808252.40677</v>
      </c>
      <c r="H964" s="428">
        <v>1601672.34097</v>
      </c>
      <c r="I964" s="428">
        <v>1759292.07412</v>
      </c>
      <c r="J964" s="428">
        <v>1558062.26358</v>
      </c>
      <c r="K964" s="428">
        <v>1128999.3993899999</v>
      </c>
      <c r="L964" s="428">
        <v>2419144.2829</v>
      </c>
    </row>
    <row r="965" spans="1:12">
      <c r="A965" s="429" t="str">
        <f t="shared" si="27"/>
        <v>23</v>
      </c>
      <c r="B965" s="429" t="str">
        <f>T("2301020")</f>
        <v>2301020</v>
      </c>
      <c r="C965" s="637" t="str">
        <f>T("Miljöförbättrande åtgärder i jordbruket")</f>
        <v>Miljöförbättrande åtgärder i jordbruket</v>
      </c>
      <c r="D965" s="428">
        <v>20958.172299999998</v>
      </c>
      <c r="E965" s="428">
        <v>43709.781600000002</v>
      </c>
      <c r="F965" s="428">
        <v>34986.35252</v>
      </c>
      <c r="G965" s="428">
        <v>25667.8397</v>
      </c>
      <c r="H965" s="428">
        <v>29337.518199999999</v>
      </c>
      <c r="I965" s="428">
        <v>28335.523939999999</v>
      </c>
      <c r="J965" s="428">
        <v>27478.511289999999</v>
      </c>
      <c r="K965" s="428">
        <v>39008.915679999998</v>
      </c>
      <c r="L965" s="428">
        <v>11066.58462</v>
      </c>
    </row>
    <row r="966" spans="1:12">
      <c r="A966" s="429" t="str">
        <f t="shared" si="27"/>
        <v>23</v>
      </c>
      <c r="B966" s="429" t="str">
        <f>T("2301021")</f>
        <v>2301021</v>
      </c>
      <c r="C966" s="637" t="str">
        <f>T("Stöd till jordbrukets rationalisering m.m.")</f>
        <v>Stöd till jordbrukets rationalisering m.m.</v>
      </c>
      <c r="D966" s="428">
        <v>13599.28544</v>
      </c>
      <c r="E966" s="428">
        <v>18084.147229999999</v>
      </c>
      <c r="F966" s="428">
        <v>17765.68</v>
      </c>
      <c r="G966" s="428">
        <v>12468.5983</v>
      </c>
      <c r="H966" s="428">
        <v>13495.8215</v>
      </c>
      <c r="I966" s="428">
        <v>30232.077079999999</v>
      </c>
      <c r="J966" s="428">
        <v>2739.3739999999998</v>
      </c>
      <c r="K966" s="428">
        <v>3013</v>
      </c>
      <c r="L966" s="428">
        <v>2982</v>
      </c>
    </row>
    <row r="967" spans="1:12">
      <c r="A967" s="429" t="str">
        <f t="shared" si="27"/>
        <v>23</v>
      </c>
      <c r="B967" s="429" t="str">
        <f>T("2301022")</f>
        <v>2301022</v>
      </c>
      <c r="C967" s="637" t="str">
        <f>T("Stöd till innehavare av fjällägenheter m.m.")</f>
        <v>Stöd till innehavare av fjällägenheter m.m.</v>
      </c>
      <c r="D967" s="428">
        <v>630.17704000000003</v>
      </c>
      <c r="E967" s="428">
        <v>1551.2173299999999</v>
      </c>
      <c r="F967" s="428">
        <v>1648.9757500000001</v>
      </c>
      <c r="G967" s="428">
        <v>2189.2485000000001</v>
      </c>
      <c r="H967" s="428">
        <v>1558.58419</v>
      </c>
      <c r="I967" s="428">
        <v>1600.1504199999999</v>
      </c>
      <c r="J967" s="428">
        <v>1550.133</v>
      </c>
      <c r="K967" s="428">
        <v>1526.3119999999999</v>
      </c>
      <c r="L967" s="428">
        <v>1529</v>
      </c>
    </row>
    <row r="968" spans="1:12">
      <c r="A968" s="429" t="str">
        <f t="shared" si="27"/>
        <v>23</v>
      </c>
      <c r="B968" s="429" t="str">
        <f>T("2301023")</f>
        <v>2301023</v>
      </c>
      <c r="C968" s="637" t="str">
        <f>T("Främjande av rennäringen m.m.")</f>
        <v>Främjande av rennäringen m.m.</v>
      </c>
      <c r="D968" s="428">
        <v>31266.26223</v>
      </c>
      <c r="E968" s="428">
        <v>34360.978889999999</v>
      </c>
      <c r="F968" s="428">
        <v>39097.810469999997</v>
      </c>
      <c r="G968" s="428">
        <v>41322.432569999997</v>
      </c>
      <c r="H968" s="428">
        <v>50418.238420000001</v>
      </c>
      <c r="I968" s="428">
        <v>56377.673269999999</v>
      </c>
      <c r="J968" s="428">
        <v>41070.943079999997</v>
      </c>
      <c r="K968" s="428">
        <v>43534.544620000001</v>
      </c>
      <c r="L968" s="428">
        <v>45905.044929999996</v>
      </c>
    </row>
    <row r="969" spans="1:12">
      <c r="A969" s="429" t="str">
        <f t="shared" si="27"/>
        <v>23</v>
      </c>
      <c r="B969" s="429" t="str">
        <f>T("2301024")</f>
        <v>2301024</v>
      </c>
      <c r="C969" s="637" t="str">
        <f>T("Sveriges lantbruksuniversitet")</f>
        <v>Sveriges lantbruksuniversitet</v>
      </c>
      <c r="D969" s="428">
        <v>980773</v>
      </c>
      <c r="E969" s="428">
        <v>1021979</v>
      </c>
      <c r="F969" s="428">
        <v>1080919</v>
      </c>
      <c r="G969" s="428">
        <v>1163379</v>
      </c>
      <c r="H969" s="428">
        <v>1157109</v>
      </c>
      <c r="I969" s="428">
        <v>1209038</v>
      </c>
      <c r="J969" s="428">
        <v>1227964</v>
      </c>
      <c r="K969" s="428">
        <v>1289479</v>
      </c>
      <c r="L969" s="428">
        <v>1348063</v>
      </c>
    </row>
    <row r="970" spans="1:12">
      <c r="A970" s="429" t="str">
        <f t="shared" si="27"/>
        <v>23</v>
      </c>
      <c r="B970" s="429" t="str">
        <f>T("2301025")</f>
        <v>2301025</v>
      </c>
      <c r="C970" s="637" t="str">
        <f>T("Forskningsrådet för miljö, areella näringar och samhällsbyggande: Forskning och samfinansierad forskning")</f>
        <v>Forskningsrådet för miljö, areella näringar och samhällsbyggande: Forskning och samfinansierad forskning</v>
      </c>
      <c r="D970" s="428">
        <v>141190.63548</v>
      </c>
      <c r="E970" s="428">
        <v>220922.58695</v>
      </c>
      <c r="F970" s="428">
        <v>227762.70996000001</v>
      </c>
      <c r="G970" s="428">
        <v>224645.73057000001</v>
      </c>
      <c r="H970" s="428">
        <v>236529.23907000001</v>
      </c>
      <c r="I970" s="428">
        <v>231515.17577</v>
      </c>
      <c r="J970" s="428">
        <v>233398.54819999999</v>
      </c>
      <c r="K970" s="428">
        <v>231071.79743000001</v>
      </c>
      <c r="L970" s="428">
        <v>234412.22688</v>
      </c>
    </row>
    <row r="971" spans="1:12">
      <c r="A971" s="429" t="str">
        <f t="shared" si="27"/>
        <v>23</v>
      </c>
      <c r="B971" s="429" t="str">
        <f>T("2301026")</f>
        <v>2301026</v>
      </c>
      <c r="C971" s="637" t="str">
        <f>T("Bidrag till Skogs- och lantbruksakademien")</f>
        <v>Bidrag till Skogs- och lantbruksakademien</v>
      </c>
      <c r="D971" s="428">
        <v>882</v>
      </c>
      <c r="E971" s="428">
        <v>901</v>
      </c>
      <c r="F971" s="428">
        <v>920</v>
      </c>
      <c r="G971" s="428">
        <v>929</v>
      </c>
      <c r="H971" s="428">
        <v>1149</v>
      </c>
      <c r="I971" s="428">
        <v>1184</v>
      </c>
      <c r="J971" s="428">
        <v>1184</v>
      </c>
      <c r="K971" s="428">
        <v>1184</v>
      </c>
      <c r="L971" s="428">
        <v>1177</v>
      </c>
    </row>
    <row r="972" spans="1:12">
      <c r="A972" s="429" t="str">
        <f t="shared" si="27"/>
        <v>23</v>
      </c>
      <c r="B972" s="429" t="str">
        <f>T("2301032 2009")</f>
        <v>2301032 2009</v>
      </c>
      <c r="C972" s="637" t="str">
        <f>T("Avvecklingsmyndigheten för Livsmedelsekonomiska institutet")</f>
        <v>Avvecklingsmyndigheten för Livsmedelsekonomiska institutet</v>
      </c>
    </row>
    <row r="973" spans="1:12">
      <c r="A973" s="429" t="str">
        <f t="shared" si="27"/>
        <v>23</v>
      </c>
      <c r="B973" s="429" t="str">
        <f>T("234104 2008")</f>
        <v>234104 2008</v>
      </c>
      <c r="C973" s="637" t="str">
        <f>T("Från EG-budgeten finansierade medel för skogsskadeövervakning")</f>
        <v>Från EG-budgeten finansierade medel för skogsskadeövervakning</v>
      </c>
      <c r="D973" s="428">
        <v>1174.7062800000001</v>
      </c>
      <c r="E973" s="428">
        <v>8459.0459100000007</v>
      </c>
      <c r="F973" s="428">
        <v>3736.6188099999999</v>
      </c>
      <c r="G973" s="428">
        <v>3236.52369</v>
      </c>
      <c r="H973" s="428">
        <v>1961.5978299999999</v>
      </c>
      <c r="I973" s="428">
        <v>9167.8091000000004</v>
      </c>
      <c r="J973" s="428">
        <v>2762.6164699999999</v>
      </c>
      <c r="K973" s="428">
        <v>1273.5723800000001</v>
      </c>
      <c r="L973" s="428">
        <v>290.31547999999998</v>
      </c>
    </row>
    <row r="974" spans="1:12">
      <c r="A974" s="429" t="str">
        <f t="shared" si="27"/>
        <v>23</v>
      </c>
      <c r="B974" s="429" t="str">
        <f>T("234204 2003")</f>
        <v>234204 2003</v>
      </c>
      <c r="C974" s="637" t="str">
        <f>T("Centrala försöksdjursnämnden")</f>
        <v>Centrala försöksdjursnämnden</v>
      </c>
      <c r="D974" s="428">
        <v>7187.6182500000004</v>
      </c>
      <c r="E974" s="428">
        <v>6450.4124000000002</v>
      </c>
      <c r="F974" s="428">
        <v>7773.6702999999998</v>
      </c>
      <c r="G974" s="428">
        <v>8226.9759599999998</v>
      </c>
      <c r="H974" s="428">
        <v>8028.85034</v>
      </c>
      <c r="I974" s="428">
        <v>8687.8580399999992</v>
      </c>
      <c r="J974" s="428">
        <v>18762.223000000002</v>
      </c>
      <c r="L974" s="428">
        <v>-266.15163999999999</v>
      </c>
    </row>
    <row r="975" spans="1:12">
      <c r="A975" s="429" t="str">
        <f t="shared" si="27"/>
        <v>23</v>
      </c>
      <c r="B975" s="429" t="str">
        <f>T("234206 2007")</f>
        <v>234206 2007</v>
      </c>
      <c r="C975" s="637" t="str">
        <f>T("Djurskyddsmyndigheten")</f>
        <v>Djurskyddsmyndigheten</v>
      </c>
      <c r="J975" s="428">
        <v>3106.8041800000001</v>
      </c>
      <c r="K975" s="428">
        <v>52132.920319999997</v>
      </c>
      <c r="L975" s="428">
        <v>86372.846390000006</v>
      </c>
    </row>
    <row r="976" spans="1:12">
      <c r="A976" s="429" t="str">
        <f t="shared" si="27"/>
        <v>23</v>
      </c>
      <c r="B976" s="429" t="str">
        <f>T("234302 2005")</f>
        <v>234302 2005</v>
      </c>
      <c r="C976" s="637" t="str">
        <f>T("Statens utsädeskontroll")</f>
        <v>Statens utsädeskontroll</v>
      </c>
      <c r="D976" s="428">
        <v>570.82021999999995</v>
      </c>
      <c r="E976" s="428">
        <v>583.28764000000001</v>
      </c>
      <c r="F976" s="428">
        <v>926.93485999999996</v>
      </c>
      <c r="G976" s="428">
        <v>560.86292000000003</v>
      </c>
      <c r="H976" s="428">
        <v>781.55242999999996</v>
      </c>
      <c r="I976" s="428">
        <v>730.9348</v>
      </c>
      <c r="J976" s="428">
        <v>760.74432000000002</v>
      </c>
      <c r="K976" s="428">
        <v>899.34430999999995</v>
      </c>
      <c r="L976" s="428">
        <v>829.94052999999997</v>
      </c>
    </row>
    <row r="977" spans="1:12">
      <c r="A977" s="429" t="str">
        <f t="shared" si="27"/>
        <v>23</v>
      </c>
      <c r="B977" s="429" t="str">
        <f>T("234303 2005")</f>
        <v>234303 2005</v>
      </c>
      <c r="C977" s="637" t="str">
        <f>T("Statens växtsortnämnd")</f>
        <v>Statens växtsortnämnd</v>
      </c>
      <c r="D977" s="428">
        <v>1390.9394299999999</v>
      </c>
      <c r="E977" s="428">
        <v>1475.57762</v>
      </c>
      <c r="F977" s="428">
        <v>1462.8853099999999</v>
      </c>
      <c r="G977" s="428">
        <v>1819.50038</v>
      </c>
      <c r="H977" s="428">
        <v>1893.38246</v>
      </c>
      <c r="I977" s="428">
        <v>2020.9526000000001</v>
      </c>
      <c r="J977" s="428">
        <v>2143.7342800000001</v>
      </c>
      <c r="K977" s="428">
        <v>2018.30934</v>
      </c>
      <c r="L977" s="428">
        <v>2025.4089799999999</v>
      </c>
    </row>
    <row r="978" spans="1:12">
      <c r="A978" s="429" t="str">
        <f t="shared" si="27"/>
        <v>23</v>
      </c>
      <c r="B978" s="429" t="str">
        <f>T("234311 2008")</f>
        <v>234311 2008</v>
      </c>
      <c r="C978" s="637" t="str">
        <f>T("Livsmedelsekonomiska institutet")</f>
        <v>Livsmedelsekonomiska institutet</v>
      </c>
      <c r="F978" s="428">
        <v>3337.40897</v>
      </c>
      <c r="G978" s="428">
        <v>7723.9790300000004</v>
      </c>
      <c r="H978" s="428">
        <v>7485.2633999999998</v>
      </c>
      <c r="I978" s="428">
        <v>9472.6735399999998</v>
      </c>
      <c r="J978" s="428">
        <v>8311.3976399999992</v>
      </c>
      <c r="K978" s="428">
        <v>8817.6499899999999</v>
      </c>
      <c r="L978" s="428">
        <v>9528.4697199999991</v>
      </c>
    </row>
    <row r="979" spans="1:12">
      <c r="A979" s="429" t="str">
        <f t="shared" si="27"/>
        <v>23</v>
      </c>
      <c r="B979" s="429" t="str">
        <f>T("234406 2006")</f>
        <v>234406 2006</v>
      </c>
      <c r="C979" s="637" t="str">
        <f>T("Återföring av skatt på handelsgödsel och bekämpningsmedel m.m.")</f>
        <v>Återföring av skatt på handelsgödsel och bekämpningsmedel m.m.</v>
      </c>
      <c r="I979" s="428">
        <v>63227.134050000001</v>
      </c>
      <c r="J979" s="428">
        <v>236173.2616</v>
      </c>
      <c r="K979" s="428">
        <v>252088.27280000001</v>
      </c>
      <c r="L979" s="428">
        <v>265869.15340000001</v>
      </c>
    </row>
    <row r="980" spans="1:12">
      <c r="A980" s="429" t="str">
        <f t="shared" si="27"/>
        <v>23</v>
      </c>
      <c r="B980" s="429" t="str">
        <f>T("234406 2007")</f>
        <v>234406 2007</v>
      </c>
      <c r="C980" s="637" t="str">
        <f>T("Åtgärder för att främja ekologisk produktion")</f>
        <v>Åtgärder för att främja ekologisk produktion</v>
      </c>
      <c r="K980" s="428">
        <v>14188.557000000001</v>
      </c>
      <c r="L980" s="428">
        <v>29077.560959999999</v>
      </c>
    </row>
    <row r="981" spans="1:12">
      <c r="A981" s="429" t="str">
        <f t="shared" si="27"/>
        <v>23</v>
      </c>
      <c r="B981" s="429" t="str">
        <f>T("234502 2004")</f>
        <v>234502 2004</v>
      </c>
      <c r="C981" s="637" t="str">
        <f>T("Informationssatsning om samerna")</f>
        <v>Informationssatsning om samerna</v>
      </c>
      <c r="I981" s="428">
        <v>3100.5</v>
      </c>
      <c r="J981" s="428">
        <v>1667.9644000000001</v>
      </c>
      <c r="K981" s="428">
        <v>6473.0034800000003</v>
      </c>
      <c r="L981" s="428">
        <v>2080.5507699999998</v>
      </c>
    </row>
    <row r="982" spans="1:12">
      <c r="A982" s="429" t="str">
        <f t="shared" si="27"/>
        <v>23</v>
      </c>
      <c r="B982" s="429" t="str">
        <f>T("23B003 1997")</f>
        <v>23B003 1997</v>
      </c>
      <c r="C982" s="637" t="str">
        <f>T("Stöd till avbytarverksamhet m.m.")</f>
        <v>Stöd till avbytarverksamhet m.m.</v>
      </c>
      <c r="D982" s="428">
        <v>11678.199000000001</v>
      </c>
    </row>
    <row r="983" spans="1:12">
      <c r="A983" s="429" t="str">
        <f t="shared" si="27"/>
        <v>23</v>
      </c>
      <c r="B983" s="429" t="str">
        <f>T("23B003 2000")</f>
        <v>23B003 2000</v>
      </c>
      <c r="C983" s="637" t="str">
        <f>T("Djurregister")</f>
        <v>Djurregister</v>
      </c>
      <c r="D983" s="428">
        <v>5554.04331</v>
      </c>
      <c r="E983" s="428">
        <v>20521.495790000001</v>
      </c>
      <c r="F983" s="428">
        <v>18109.271980000001</v>
      </c>
      <c r="G983" s="428">
        <v>15983.49505</v>
      </c>
    </row>
    <row r="984" spans="1:12">
      <c r="A984" s="429" t="str">
        <f t="shared" si="27"/>
        <v>23</v>
      </c>
      <c r="B984" s="429" t="str">
        <f>T("23B008 1999")</f>
        <v>23B008 1999</v>
      </c>
      <c r="C984" s="637" t="str">
        <f>T("Strukturstöd inom livsmedelssektorn")</f>
        <v>Strukturstöd inom livsmedelssektorn</v>
      </c>
      <c r="D984" s="428">
        <v>48464.95809</v>
      </c>
      <c r="E984" s="428">
        <v>80631.471609999993</v>
      </c>
      <c r="F984" s="428">
        <v>96282.019910000003</v>
      </c>
    </row>
    <row r="985" spans="1:12">
      <c r="A985" s="429" t="str">
        <f t="shared" si="27"/>
        <v>23</v>
      </c>
      <c r="B985" s="429" t="str">
        <f>T("23B009 1999")</f>
        <v>23B009 1999</v>
      </c>
      <c r="C985" s="637" t="str">
        <f>T("Från EG-budgeten finansierat strukturstöd")</f>
        <v>Från EG-budgeten finansierat strukturstöd</v>
      </c>
      <c r="D985" s="428">
        <v>90197.788369999995</v>
      </c>
      <c r="E985" s="428">
        <v>89780.925390000004</v>
      </c>
      <c r="F985" s="428">
        <v>99987.868990000003</v>
      </c>
    </row>
    <row r="986" spans="1:12">
      <c r="A986" s="429" t="str">
        <f t="shared" si="27"/>
        <v>23</v>
      </c>
      <c r="B986" s="429" t="str">
        <f>T("23B010 1999")</f>
        <v>23B010 1999</v>
      </c>
      <c r="C986" s="637" t="str">
        <f>T("Regionala stöd till jordbruket")</f>
        <v>Regionala stöd till jordbruket</v>
      </c>
      <c r="D986" s="428">
        <v>743020.15159999998</v>
      </c>
      <c r="E986" s="428">
        <v>728102.25887999998</v>
      </c>
      <c r="F986" s="428">
        <v>667629.85467000003</v>
      </c>
    </row>
    <row r="987" spans="1:12">
      <c r="A987" s="429" t="str">
        <f t="shared" si="27"/>
        <v>23</v>
      </c>
      <c r="B987" s="429" t="str">
        <f>T("23B011 1999")</f>
        <v>23B011 1999</v>
      </c>
      <c r="C987" s="637" t="str">
        <f>T("Från EG-budgeten finansierade  regionalastöd till jordbruket")</f>
        <v>Från EG-budgeten finansierade  regionalastöd till jordbruket</v>
      </c>
      <c r="D987" s="428">
        <v>208016.32107999999</v>
      </c>
      <c r="E987" s="428">
        <v>256471.18070999999</v>
      </c>
      <c r="F987" s="428">
        <v>317160.43404000002</v>
      </c>
      <c r="G987" s="428">
        <v>0</v>
      </c>
    </row>
    <row r="988" spans="1:12">
      <c r="A988" s="429" t="str">
        <f t="shared" si="27"/>
        <v>23</v>
      </c>
      <c r="B988" s="429" t="str">
        <f>T("23B012 1999")</f>
        <v>23B012 1999</v>
      </c>
      <c r="C988" s="637" t="str">
        <f>T("Kompletterande åtgärder inom jordbruket")</f>
        <v>Kompletterande åtgärder inom jordbruket</v>
      </c>
      <c r="D988" s="428">
        <v>672235.81226000004</v>
      </c>
      <c r="E988" s="428">
        <v>931372.64534000005</v>
      </c>
      <c r="F988" s="428">
        <v>1204441.9750000001</v>
      </c>
    </row>
    <row r="989" spans="1:12">
      <c r="A989" s="429" t="str">
        <f t="shared" si="27"/>
        <v>23</v>
      </c>
      <c r="B989" s="429" t="str">
        <f>T("23B013 1999")</f>
        <v>23B013 1999</v>
      </c>
      <c r="C989" s="637" t="str">
        <f>T("Från EG-budgeten finansierade kompletterande åtgärder inom jordbruket")</f>
        <v>Från EG-budgeten finansierade kompletterande åtgärder inom jordbruket</v>
      </c>
      <c r="D989" s="428">
        <v>745392.72513000004</v>
      </c>
      <c r="E989" s="428">
        <v>877046.32278000005</v>
      </c>
      <c r="F989" s="428">
        <v>1135279.2823600001</v>
      </c>
    </row>
    <row r="990" spans="1:12">
      <c r="A990" s="429" t="str">
        <f t="shared" si="27"/>
        <v>23</v>
      </c>
      <c r="B990" s="429" t="str">
        <f>T("23B013 2000")</f>
        <v>23B013 2000</v>
      </c>
      <c r="C990" s="637" t="str">
        <f>T("Jordbrukets blockdatabas")</f>
        <v>Jordbrukets blockdatabas</v>
      </c>
      <c r="D990" s="428">
        <v>86791.765190000006</v>
      </c>
      <c r="E990" s="428">
        <v>26670.225900000001</v>
      </c>
      <c r="F990" s="428">
        <v>20265.812269999999</v>
      </c>
      <c r="G990" s="428">
        <v>17141.90065</v>
      </c>
    </row>
    <row r="991" spans="1:12">
      <c r="A991" s="429" t="str">
        <f t="shared" si="27"/>
        <v>23</v>
      </c>
      <c r="B991" s="429" t="str">
        <f>T("23B019 1997")</f>
        <v>23B019 1997</v>
      </c>
      <c r="C991" s="637" t="str">
        <f>T("Vissa saneringsåtgärder i Solna")</f>
        <v>Vissa saneringsåtgärder i Solna</v>
      </c>
      <c r="D991" s="428">
        <v>2000</v>
      </c>
    </row>
    <row r="992" spans="1:12">
      <c r="A992" s="429" t="str">
        <f t="shared" si="27"/>
        <v>23</v>
      </c>
      <c r="B992" s="429" t="str">
        <f>T("23E006 1997")</f>
        <v>23E006 1997</v>
      </c>
      <c r="C992" s="637" t="str">
        <f>T("Gränskontroll av livsmedel och levande djur")</f>
        <v>Gränskontroll av livsmedel och levande djur</v>
      </c>
      <c r="F992" s="428">
        <v>11076.406000000001</v>
      </c>
    </row>
    <row r="993" spans="1:12">
      <c r="A993" s="429" t="str">
        <f t="shared" si="27"/>
        <v>23</v>
      </c>
      <c r="B993" s="429" t="str">
        <f>T("23F002 1999")</f>
        <v>23F002 1999</v>
      </c>
      <c r="C993" s="637" t="str">
        <f>T("Livsmedelsekonomiska samarbetsnämnden: Avvecklingskostnader")</f>
        <v>Livsmedelsekonomiska samarbetsnämnden: Avvecklingskostnader</v>
      </c>
      <c r="D993" s="428">
        <v>3969.70271</v>
      </c>
      <c r="E993" s="428">
        <v>4768.8609399999996</v>
      </c>
      <c r="F993" s="428">
        <v>2716.0725400000001</v>
      </c>
      <c r="G993" s="428">
        <v>200.65880000000001</v>
      </c>
      <c r="H993" s="428">
        <v>747</v>
      </c>
    </row>
    <row r="994" spans="1:12">
      <c r="A994" s="429" t="str">
        <f t="shared" ref="A994:A996" si="28">T("23")</f>
        <v>23</v>
      </c>
      <c r="B994" s="429" t="str">
        <f>T("23F003 2000")</f>
        <v>23F003 2000</v>
      </c>
      <c r="C994" s="637" t="str">
        <f>T("Kostnader för livsmedelsberedskap")</f>
        <v>Kostnader för livsmedelsberedskap</v>
      </c>
      <c r="D994" s="428">
        <v>25809.057069999999</v>
      </c>
      <c r="E994" s="428">
        <v>25378.025300000001</v>
      </c>
      <c r="F994" s="428">
        <v>14244.05846</v>
      </c>
      <c r="G994" s="428">
        <v>4876.1253200000001</v>
      </c>
    </row>
    <row r="995" spans="1:12">
      <c r="A995" s="429" t="str">
        <f t="shared" si="28"/>
        <v>23</v>
      </c>
      <c r="B995" s="429" t="str">
        <f>T("23H002 1998")</f>
        <v>23H002 1998</v>
      </c>
      <c r="C995" s="637" t="str">
        <f>T("Bidrag till skogsvård m.m")</f>
        <v>Bidrag till skogsvård m.m</v>
      </c>
      <c r="D995" s="428">
        <v>5017.2745000000004</v>
      </c>
      <c r="E995" s="428">
        <v>1075.982</v>
      </c>
      <c r="F995" s="428">
        <v>10</v>
      </c>
    </row>
    <row r="996" spans="1:12">
      <c r="A996" s="429" t="str">
        <f t="shared" si="28"/>
        <v>23</v>
      </c>
      <c r="B996" s="429" t="str">
        <f>T("23H005 1999")</f>
        <v>23H005 1999</v>
      </c>
      <c r="C996" s="637" t="str">
        <f>T("Skogsvårdsavgiftsprojekt")</f>
        <v>Skogsvårdsavgiftsprojekt</v>
      </c>
      <c r="G996" s="428">
        <v>12165</v>
      </c>
    </row>
    <row r="997" spans="1:12">
      <c r="A997" s="430" t="s">
        <v>1657</v>
      </c>
      <c r="B997" s="430"/>
      <c r="C997" s="430" t="str">
        <f>T("Areella näringar, landsbygd och livsmedel")</f>
        <v>Areella näringar, landsbygd och livsmedel</v>
      </c>
      <c r="D997" s="431">
        <v>10855281.116149999</v>
      </c>
      <c r="E997" s="431">
        <v>11825899.301139999</v>
      </c>
      <c r="F997" s="431">
        <v>11914386.40394</v>
      </c>
      <c r="G997" s="431">
        <v>9727242.0385299996</v>
      </c>
      <c r="H997" s="431">
        <v>16626593.706</v>
      </c>
      <c r="I997" s="431">
        <v>13921679.944800001</v>
      </c>
      <c r="J997" s="431">
        <v>9614550.2440000009</v>
      </c>
      <c r="K997" s="431">
        <v>12218519.085379999</v>
      </c>
      <c r="L997" s="431">
        <v>17408334.907430001</v>
      </c>
    </row>
    <row r="998" spans="1:12">
      <c r="A998" s="429" t="str">
        <f t="shared" ref="A998:A1061" si="29">T("24")</f>
        <v>24</v>
      </c>
      <c r="B998" s="429" t="str">
        <f>T("03E002 9596")</f>
        <v>03E002 9596</v>
      </c>
      <c r="C998" s="637" t="str">
        <f>T("Exportfrämjande verksamhet")</f>
        <v>Exportfrämjande verksamhet</v>
      </c>
      <c r="D998" s="428">
        <v>3524.7489999999998</v>
      </c>
      <c r="E998" s="428">
        <v>1159.2595699999999</v>
      </c>
      <c r="F998" s="428">
        <v>599.37049999999999</v>
      </c>
    </row>
    <row r="999" spans="1:12">
      <c r="A999" s="429" t="str">
        <f t="shared" si="29"/>
        <v>24</v>
      </c>
      <c r="B999" s="429" t="str">
        <f>T("12A002 9596")</f>
        <v>12A002 9596</v>
      </c>
      <c r="C999" s="637" t="str">
        <f>T("Småföretagsutveckling")</f>
        <v>Småföretagsutveckling</v>
      </c>
      <c r="D999" s="428">
        <v>29873.156999999999</v>
      </c>
      <c r="E999" s="428">
        <v>17608.32819</v>
      </c>
      <c r="F999" s="428">
        <v>30973.081549999999</v>
      </c>
    </row>
    <row r="1000" spans="1:12">
      <c r="A1000" s="429" t="str">
        <f t="shared" si="29"/>
        <v>24</v>
      </c>
      <c r="B1000" s="429" t="str">
        <f>T("12A004 9596")</f>
        <v>12A004 9596</v>
      </c>
      <c r="C1000" s="637" t="str">
        <f>T("Bidrag till tekniköverföring")</f>
        <v>Bidrag till tekniköverföring</v>
      </c>
      <c r="D1000" s="428">
        <v>18484.323390000001</v>
      </c>
      <c r="E1000" s="428">
        <v>21284.301500000001</v>
      </c>
      <c r="F1000" s="428">
        <v>4748.5440399999998</v>
      </c>
    </row>
    <row r="1001" spans="1:12">
      <c r="A1001" s="429" t="str">
        <f t="shared" si="29"/>
        <v>24</v>
      </c>
      <c r="B1001" s="429" t="str">
        <f>T("12A005 9596")</f>
        <v>12A005 9596</v>
      </c>
      <c r="C1001" s="637" t="str">
        <f>T("Investeringsfrämjande")</f>
        <v>Investeringsfrämjande</v>
      </c>
      <c r="D1001" s="428">
        <v>32733.61145</v>
      </c>
      <c r="E1001" s="428">
        <v>2820.6873799999998</v>
      </c>
      <c r="F1001" s="428">
        <v>525</v>
      </c>
    </row>
    <row r="1002" spans="1:12">
      <c r="A1002" s="429" t="str">
        <f t="shared" si="29"/>
        <v>24</v>
      </c>
      <c r="B1002" s="429" t="str">
        <f>T("12A006 9596")</f>
        <v>12A006 9596</v>
      </c>
      <c r="C1002" s="637" t="str">
        <f>T("Turistfrämjande")</f>
        <v>Turistfrämjande</v>
      </c>
      <c r="D1002" s="428">
        <v>4177.4584699999996</v>
      </c>
      <c r="F1002" s="428">
        <v>195.5</v>
      </c>
    </row>
    <row r="1003" spans="1:12">
      <c r="A1003" s="429" t="str">
        <f t="shared" si="29"/>
        <v>24</v>
      </c>
      <c r="B1003" s="429" t="str">
        <f>T("12A015 9596")</f>
        <v>12A015 9596</v>
      </c>
      <c r="C1003" s="637" t="str">
        <f>T("Vissa exportinsatser m.m.")</f>
        <v>Vissa exportinsatser m.m.</v>
      </c>
      <c r="D1003" s="428">
        <v>17000</v>
      </c>
    </row>
    <row r="1004" spans="1:12">
      <c r="A1004" s="429" t="str">
        <f t="shared" si="29"/>
        <v>24</v>
      </c>
      <c r="B1004" s="429" t="str">
        <f>T("12A016 9596")</f>
        <v>12A016 9596</v>
      </c>
      <c r="C1004" s="637" t="str">
        <f>T("Program för småföretagsutveckling, förnyelse och tillväxt")</f>
        <v>Program för småföretagsutveckling, förnyelse och tillväxt</v>
      </c>
      <c r="D1004" s="428">
        <v>210225.69326</v>
      </c>
      <c r="E1004" s="428">
        <v>245953.00310999999</v>
      </c>
      <c r="F1004" s="428">
        <v>257876.11785000001</v>
      </c>
      <c r="G1004" s="428">
        <v>0</v>
      </c>
    </row>
    <row r="1005" spans="1:12">
      <c r="A1005" s="429" t="str">
        <f t="shared" si="29"/>
        <v>24</v>
      </c>
      <c r="B1005" s="429" t="str">
        <f>T("12C006 9596")</f>
        <v>12C006 9596</v>
      </c>
      <c r="C1005" s="637" t="str">
        <f>T("SWEDAC: Bidrag till riksmätplatser")</f>
        <v>SWEDAC: Bidrag till riksmätplatser</v>
      </c>
      <c r="D1005" s="428">
        <v>947.20371</v>
      </c>
    </row>
    <row r="1006" spans="1:12">
      <c r="A1006" s="429" t="str">
        <f t="shared" si="29"/>
        <v>24</v>
      </c>
      <c r="B1006" s="429" t="str">
        <f>T("12D002 9596")</f>
        <v>12D002 9596</v>
      </c>
      <c r="C1006" s="637" t="str">
        <f>T("Konkurrensforskning")</f>
        <v>Konkurrensforskning</v>
      </c>
      <c r="D1006" s="428">
        <v>5767.3663100000003</v>
      </c>
      <c r="E1006" s="428">
        <v>6371.1168799999996</v>
      </c>
    </row>
    <row r="1007" spans="1:12">
      <c r="A1007" s="429" t="str">
        <f t="shared" si="29"/>
        <v>24</v>
      </c>
      <c r="B1007" s="429" t="str">
        <f>T("12F001 9596")</f>
        <v>12F001 9596</v>
      </c>
      <c r="C1007" s="637" t="str">
        <f>T("Teknisk forskning och utveckling")</f>
        <v>Teknisk forskning och utveckling</v>
      </c>
      <c r="D1007" s="428">
        <v>0</v>
      </c>
    </row>
    <row r="1008" spans="1:12">
      <c r="A1008" s="429" t="str">
        <f t="shared" si="29"/>
        <v>24</v>
      </c>
      <c r="B1008" s="429" t="str">
        <f>T("12G014 9394")</f>
        <v>12G014 9394</v>
      </c>
      <c r="C1008" s="637" t="str">
        <f>T("Förvaltning av viss statlig gruvegendom")</f>
        <v>Förvaltning av viss statlig gruvegendom</v>
      </c>
      <c r="D1008" s="428">
        <v>6930.7144200000002</v>
      </c>
    </row>
    <row r="1009" spans="1:12">
      <c r="A1009" s="429" t="str">
        <f t="shared" si="29"/>
        <v>24</v>
      </c>
      <c r="B1009" s="429" t="str">
        <f>T("13C004 9596")</f>
        <v>13C004 9596</v>
      </c>
      <c r="C1009" s="637" t="str">
        <f>T("Stöd till konsumentorganisationer")</f>
        <v>Stöd till konsumentorganisationer</v>
      </c>
      <c r="D1009" s="428">
        <v>1124.5853099999999</v>
      </c>
    </row>
    <row r="1010" spans="1:12">
      <c r="A1010" s="429" t="str">
        <f t="shared" si="29"/>
        <v>24</v>
      </c>
      <c r="B1010" s="429" t="str">
        <f>T("13C005 9596")</f>
        <v>13C005 9596</v>
      </c>
      <c r="C1010" s="637" t="str">
        <f>T("Konsumentforskning")</f>
        <v>Konsumentforskning</v>
      </c>
      <c r="D1010" s="428">
        <v>1337.15</v>
      </c>
      <c r="E1010" s="428">
        <v>750.87363000000005</v>
      </c>
      <c r="F1010" s="428">
        <v>295.88637999999997</v>
      </c>
    </row>
    <row r="1011" spans="1:12">
      <c r="A1011" s="429" t="str">
        <f t="shared" si="29"/>
        <v>24</v>
      </c>
      <c r="B1011" s="429" t="str">
        <f>T("13E002 9596")</f>
        <v>13E002 9596</v>
      </c>
      <c r="C1011" s="637" t="str">
        <f>T("Stöd till kooperativ utveckling")</f>
        <v>Stöd till kooperativ utveckling</v>
      </c>
      <c r="D1011" s="428">
        <v>1073.182</v>
      </c>
    </row>
    <row r="1012" spans="1:12">
      <c r="A1012" s="429" t="str">
        <f t="shared" si="29"/>
        <v>24</v>
      </c>
      <c r="B1012" s="429" t="str">
        <f>T("19A007 2000")</f>
        <v>19A007 2000</v>
      </c>
      <c r="C1012" s="637" t="str">
        <f>T("Statens institut för regionalforskning")</f>
        <v>Statens institut för regionalforskning</v>
      </c>
      <c r="D1012" s="428">
        <v>6367.6312600000001</v>
      </c>
      <c r="E1012" s="428">
        <v>8720.9903699999995</v>
      </c>
      <c r="F1012" s="428">
        <v>8384.5051800000001</v>
      </c>
      <c r="G1012" s="428">
        <v>7896.58871</v>
      </c>
    </row>
    <row r="1013" spans="1:12">
      <c r="A1013" s="429" t="str">
        <f t="shared" si="29"/>
        <v>24</v>
      </c>
      <c r="B1013" s="429" t="str">
        <f>T("22E002 2000")</f>
        <v>22E002 2000</v>
      </c>
      <c r="C1013" s="637" t="str">
        <f>T("Kommunikationsforskningsberedningen")</f>
        <v>Kommunikationsforskningsberedningen</v>
      </c>
      <c r="D1013" s="428">
        <v>169891.07754999999</v>
      </c>
      <c r="E1013" s="428">
        <v>165219.83859999999</v>
      </c>
      <c r="F1013" s="428">
        <v>198250.05348999999</v>
      </c>
      <c r="G1013" s="428">
        <v>149685.99361</v>
      </c>
    </row>
    <row r="1014" spans="1:12">
      <c r="A1014" s="429" t="str">
        <f t="shared" si="29"/>
        <v>24</v>
      </c>
      <c r="B1014" s="429" t="str">
        <f>T("2401001")</f>
        <v>2401001</v>
      </c>
      <c r="C1014" s="637" t="str">
        <f>T("Verket för innovationssystem")</f>
        <v>Verket för innovationssystem</v>
      </c>
      <c r="H1014" s="428">
        <v>114233.49922</v>
      </c>
      <c r="I1014" s="428">
        <v>113108.7789</v>
      </c>
      <c r="J1014" s="428">
        <v>108464.82844</v>
      </c>
      <c r="K1014" s="428">
        <v>118037.07004000001</v>
      </c>
      <c r="L1014" s="428">
        <v>112581.43801</v>
      </c>
    </row>
    <row r="1015" spans="1:12">
      <c r="A1015" s="429" t="str">
        <f t="shared" si="29"/>
        <v>24</v>
      </c>
      <c r="B1015" s="429" t="str">
        <f>T("2401002")</f>
        <v>2401002</v>
      </c>
      <c r="C1015" s="637" t="str">
        <f>T("Verket för innovationssystem: Forskning och utveckling")</f>
        <v>Verket för innovationssystem: Forskning och utveckling</v>
      </c>
      <c r="H1015" s="428">
        <v>990982.10716000001</v>
      </c>
      <c r="I1015" s="428">
        <v>957743.57745999994</v>
      </c>
      <c r="J1015" s="428">
        <v>969252.66180999996</v>
      </c>
      <c r="K1015" s="428">
        <v>1106328.88843</v>
      </c>
      <c r="L1015" s="428">
        <v>1148266.0969</v>
      </c>
    </row>
    <row r="1016" spans="1:12">
      <c r="A1016" s="429" t="str">
        <f t="shared" si="29"/>
        <v>24</v>
      </c>
      <c r="B1016" s="429" t="str">
        <f>T("2401003")</f>
        <v>2401003</v>
      </c>
      <c r="C1016" s="637" t="str">
        <f>T("Institutens strategiska kompetensmedel m.m.")</f>
        <v>Institutens strategiska kompetensmedel m.m.</v>
      </c>
    </row>
    <row r="1017" spans="1:12">
      <c r="A1017" s="429" t="str">
        <f t="shared" si="29"/>
        <v>24</v>
      </c>
      <c r="B1017" s="429" t="str">
        <f>T("2401004")</f>
        <v>2401004</v>
      </c>
      <c r="C1017" s="637" t="str">
        <f>T("Tillväxtverket")</f>
        <v>Tillväxtverket</v>
      </c>
    </row>
    <row r="1018" spans="1:12">
      <c r="A1018" s="429" t="str">
        <f t="shared" si="29"/>
        <v>24</v>
      </c>
      <c r="B1018" s="429" t="str">
        <f>T("2401004 2009")</f>
        <v>2401004 2009</v>
      </c>
      <c r="C1018" s="637" t="str">
        <f>T("Verket för Näringslivsutveckling: Förvaltningskostnader")</f>
        <v>Verket för Näringslivsutveckling: Förvaltningskostnader</v>
      </c>
      <c r="H1018" s="428">
        <v>215812.92353</v>
      </c>
      <c r="I1018" s="428">
        <v>211603.17850000001</v>
      </c>
      <c r="J1018" s="428">
        <v>209320.35178999999</v>
      </c>
      <c r="K1018" s="428">
        <v>216878.06159</v>
      </c>
      <c r="L1018" s="428">
        <v>196594.09789</v>
      </c>
    </row>
    <row r="1019" spans="1:12">
      <c r="A1019" s="429" t="str">
        <f t="shared" si="29"/>
        <v>24</v>
      </c>
      <c r="B1019" s="429" t="str">
        <f>T("2401005")</f>
        <v>2401005</v>
      </c>
      <c r="C1019" s="637" t="str">
        <f>T("Näringslivsutveckling m.m.")</f>
        <v>Näringslivsutveckling m.m.</v>
      </c>
      <c r="H1019" s="428">
        <v>169760.03031</v>
      </c>
      <c r="I1019" s="428">
        <v>161752.9627</v>
      </c>
      <c r="J1019" s="428">
        <v>194842.40340000001</v>
      </c>
      <c r="K1019" s="428">
        <v>258406.99351</v>
      </c>
      <c r="L1019" s="428">
        <v>190324.37573999999</v>
      </c>
    </row>
    <row r="1020" spans="1:12">
      <c r="A1020" s="429" t="str">
        <f t="shared" si="29"/>
        <v>24</v>
      </c>
      <c r="B1020" s="429" t="str">
        <f>T("2401006")</f>
        <v>2401006</v>
      </c>
      <c r="C1020" s="637" t="str">
        <f>T("Myndigheten för tillväxtpolitiska utvärderingar och analyser")</f>
        <v>Myndigheten för tillväxtpolitiska utvärderingar och analyser</v>
      </c>
    </row>
    <row r="1021" spans="1:12">
      <c r="A1021" s="429" t="str">
        <f t="shared" si="29"/>
        <v>24</v>
      </c>
      <c r="B1021" s="429" t="str">
        <f>T("2401006 2009")</f>
        <v>2401006 2009</v>
      </c>
      <c r="C1021" s="637" t="str">
        <f>T("Institutet för tillväxtpolitiska studier: Förvaltningskostnader")</f>
        <v>Institutet för tillväxtpolitiska studier: Förvaltningskostnader</v>
      </c>
      <c r="H1021" s="428">
        <v>62826.171320000001</v>
      </c>
      <c r="I1021" s="428">
        <v>71044.061660000007</v>
      </c>
      <c r="J1021" s="428">
        <v>70489.573770000003</v>
      </c>
      <c r="K1021" s="428">
        <v>73364.082649999997</v>
      </c>
      <c r="L1021" s="428">
        <v>72100.187680000003</v>
      </c>
    </row>
    <row r="1022" spans="1:12">
      <c r="A1022" s="429" t="str">
        <f t="shared" si="29"/>
        <v>24</v>
      </c>
      <c r="B1022" s="429" t="str">
        <f>T("2401007")</f>
        <v>2401007</v>
      </c>
      <c r="C1022" s="637" t="str">
        <f>T("Turistfrämjande")</f>
        <v>Turistfrämjande</v>
      </c>
      <c r="D1022" s="428">
        <v>78407.418279999998</v>
      </c>
      <c r="E1022" s="428">
        <v>80295.786479999995</v>
      </c>
      <c r="F1022" s="428">
        <v>79307.414430000004</v>
      </c>
      <c r="G1022" s="428">
        <v>83234.116139999998</v>
      </c>
      <c r="H1022" s="428">
        <v>82216.716939999998</v>
      </c>
      <c r="I1022" s="428">
        <v>90427.321060000002</v>
      </c>
      <c r="J1022" s="428">
        <v>90333.866320000001</v>
      </c>
      <c r="K1022" s="428">
        <v>103099.08336</v>
      </c>
      <c r="L1022" s="428">
        <v>100513.63068</v>
      </c>
    </row>
    <row r="1023" spans="1:12">
      <c r="A1023" s="429" t="str">
        <f t="shared" si="29"/>
        <v>24</v>
      </c>
      <c r="B1023" s="429" t="str">
        <f>T("2401008")</f>
        <v>2401008</v>
      </c>
      <c r="C1023" s="637" t="str">
        <f>T("Sveriges geologiska undersökning: Geologisk undersökningsverksamhet m.m.")</f>
        <v>Sveriges geologiska undersökning: Geologisk undersökningsverksamhet m.m.</v>
      </c>
      <c r="E1023" s="428">
        <v>173719.10907000001</v>
      </c>
      <c r="F1023" s="428">
        <v>183530.15517000001</v>
      </c>
      <c r="G1023" s="428">
        <v>163524.30389000001</v>
      </c>
      <c r="H1023" s="428">
        <v>153739.96708999999</v>
      </c>
      <c r="I1023" s="428">
        <v>164959.77314999999</v>
      </c>
      <c r="J1023" s="428">
        <v>168835.45274000001</v>
      </c>
      <c r="K1023" s="428">
        <v>172965.41649999999</v>
      </c>
      <c r="L1023" s="428">
        <v>169289.20230999999</v>
      </c>
    </row>
    <row r="1024" spans="1:12">
      <c r="A1024" s="429" t="str">
        <f t="shared" si="29"/>
        <v>24</v>
      </c>
      <c r="B1024" s="429" t="str">
        <f>T("2401009")</f>
        <v>2401009</v>
      </c>
      <c r="C1024" s="637" t="str">
        <f>T("Sveriges geologiska undersökning: Geovetenskaplig forskning")</f>
        <v>Sveriges geologiska undersökning: Geovetenskaplig forskning</v>
      </c>
      <c r="D1024" s="428">
        <v>3601</v>
      </c>
      <c r="E1024" s="428">
        <v>4164</v>
      </c>
      <c r="F1024" s="428">
        <v>6355</v>
      </c>
      <c r="G1024" s="428">
        <v>5024</v>
      </c>
      <c r="H1024" s="428">
        <v>5328.3280000000004</v>
      </c>
      <c r="I1024" s="428">
        <v>12665</v>
      </c>
      <c r="J1024" s="428">
        <v>9221.5</v>
      </c>
      <c r="K1024" s="428">
        <v>5240.1719999999996</v>
      </c>
      <c r="L1024" s="428">
        <v>5231</v>
      </c>
    </row>
    <row r="1025" spans="1:12">
      <c r="A1025" s="429" t="str">
        <f t="shared" si="29"/>
        <v>24</v>
      </c>
      <c r="B1025" s="429" t="str">
        <f>T("2401010")</f>
        <v>2401010</v>
      </c>
      <c r="C1025" s="637" t="str">
        <f>T("Sveriges geologiska undersökning: Miljösäkring av oljelagringsanläggningar, m.m.")</f>
        <v>Sveriges geologiska undersökning: Miljösäkring av oljelagringsanläggningar, m.m.</v>
      </c>
      <c r="E1025" s="428">
        <v>37037.502099999998</v>
      </c>
      <c r="F1025" s="428">
        <v>37988.129289999997</v>
      </c>
      <c r="G1025" s="428">
        <v>71880.979550000004</v>
      </c>
      <c r="H1025" s="428">
        <v>47271.41289</v>
      </c>
      <c r="I1025" s="428">
        <v>50047.312250000003</v>
      </c>
      <c r="J1025" s="428">
        <v>27545.74108</v>
      </c>
      <c r="K1025" s="428">
        <v>20447.78916</v>
      </c>
      <c r="L1025" s="428">
        <v>22288.974340000001</v>
      </c>
    </row>
    <row r="1026" spans="1:12">
      <c r="A1026" s="429" t="str">
        <f t="shared" si="29"/>
        <v>24</v>
      </c>
      <c r="B1026" s="429" t="str">
        <f>T("2401011")</f>
        <v>2401011</v>
      </c>
      <c r="C1026" s="637" t="str">
        <f>T("Patentbesvärsrätten")</f>
        <v>Patentbesvärsrätten</v>
      </c>
      <c r="D1026" s="428">
        <v>10960.016369999999</v>
      </c>
      <c r="E1026" s="428">
        <v>11666.145200000001</v>
      </c>
      <c r="F1026" s="428">
        <v>11787.62039</v>
      </c>
      <c r="G1026" s="428">
        <v>12855.381219999999</v>
      </c>
      <c r="H1026" s="428">
        <v>14752.26838</v>
      </c>
      <c r="I1026" s="428">
        <v>15503.395860000001</v>
      </c>
      <c r="J1026" s="428">
        <v>15887.97659</v>
      </c>
      <c r="K1026" s="428">
        <v>15348.08114</v>
      </c>
      <c r="L1026" s="428">
        <v>16239.611150000001</v>
      </c>
    </row>
    <row r="1027" spans="1:12">
      <c r="A1027" s="429" t="str">
        <f t="shared" si="29"/>
        <v>24</v>
      </c>
      <c r="B1027" s="429" t="str">
        <f>T("2401012")</f>
        <v>2401012</v>
      </c>
      <c r="C1027" s="637" t="str">
        <f>T("Bolagsverket: Finansiering av likvidatorer")</f>
        <v>Bolagsverket: Finansiering av likvidatorer</v>
      </c>
      <c r="G1027" s="428">
        <v>4000</v>
      </c>
      <c r="I1027" s="428">
        <v>7711.7399699999996</v>
      </c>
      <c r="J1027" s="428">
        <v>8727.6796099999992</v>
      </c>
      <c r="K1027" s="428">
        <v>7451.57269</v>
      </c>
      <c r="L1027" s="428">
        <v>8857.4753000000001</v>
      </c>
    </row>
    <row r="1028" spans="1:12">
      <c r="A1028" s="429" t="str">
        <f t="shared" si="29"/>
        <v>24</v>
      </c>
      <c r="B1028" s="429" t="str">
        <f>T("2401013")</f>
        <v>2401013</v>
      </c>
      <c r="C1028" s="637" t="str">
        <f>T("Bidrag till terminologisk verksamhet")</f>
        <v>Bidrag till terminologisk verksamhet</v>
      </c>
      <c r="D1028" s="428">
        <v>77802</v>
      </c>
      <c r="E1028" s="428">
        <v>70589</v>
      </c>
      <c r="F1028" s="428">
        <v>76973</v>
      </c>
      <c r="G1028" s="428">
        <v>78870.5</v>
      </c>
      <c r="H1028" s="428">
        <v>79360</v>
      </c>
      <c r="I1028" s="428">
        <v>73852</v>
      </c>
      <c r="J1028" s="428">
        <v>70364</v>
      </c>
      <c r="K1028" s="428">
        <v>71475</v>
      </c>
      <c r="L1028" s="428">
        <v>70955</v>
      </c>
    </row>
    <row r="1029" spans="1:12">
      <c r="A1029" s="429" t="str">
        <f t="shared" si="29"/>
        <v>24</v>
      </c>
      <c r="B1029" s="429" t="str">
        <f>T("2401014")</f>
        <v>2401014</v>
      </c>
      <c r="C1029" s="637" t="str">
        <f>T("Bidrag till Ingenjörsvetenskapsakademien")</f>
        <v>Bidrag till Ingenjörsvetenskapsakademien</v>
      </c>
      <c r="D1029" s="428">
        <v>5467</v>
      </c>
      <c r="E1029" s="428">
        <v>5359</v>
      </c>
      <c r="F1029" s="428">
        <v>5359</v>
      </c>
      <c r="G1029" s="428">
        <v>5359</v>
      </c>
      <c r="H1029" s="428">
        <v>5359</v>
      </c>
      <c r="I1029" s="428">
        <v>5359</v>
      </c>
      <c r="J1029" s="428">
        <v>5359</v>
      </c>
      <c r="K1029" s="428">
        <v>5359</v>
      </c>
      <c r="L1029" s="428">
        <v>5327</v>
      </c>
    </row>
    <row r="1030" spans="1:12">
      <c r="A1030" s="429" t="str">
        <f t="shared" si="29"/>
        <v>24</v>
      </c>
      <c r="B1030" s="429" t="str">
        <f>T("2401015")</f>
        <v>2401015</v>
      </c>
      <c r="C1030" s="637" t="str">
        <f>T("Konkurrensverket")</f>
        <v>Konkurrensverket</v>
      </c>
      <c r="D1030" s="428">
        <v>68112.637059999994</v>
      </c>
      <c r="E1030" s="428">
        <v>69488.430110000001</v>
      </c>
      <c r="F1030" s="428">
        <v>64162.835520000001</v>
      </c>
      <c r="G1030" s="428">
        <v>70274.918430000005</v>
      </c>
      <c r="H1030" s="428">
        <v>76299.271389999994</v>
      </c>
      <c r="I1030" s="428">
        <v>77549.074510000006</v>
      </c>
      <c r="J1030" s="428">
        <v>78368.581139999995</v>
      </c>
      <c r="K1030" s="428">
        <v>84564.273249999998</v>
      </c>
      <c r="L1030" s="428">
        <v>81989.181209999995</v>
      </c>
    </row>
    <row r="1031" spans="1:12">
      <c r="A1031" s="429" t="str">
        <f t="shared" si="29"/>
        <v>24</v>
      </c>
      <c r="B1031" s="429" t="str">
        <f>T("2401015 2011")</f>
        <v>2401015 2011</v>
      </c>
      <c r="C1031" s="637" t="str">
        <f>T("Rymdverksamhet")</f>
        <v>Rymdverksamhet</v>
      </c>
      <c r="D1031" s="428">
        <v>551831.40183999995</v>
      </c>
      <c r="E1031" s="428">
        <v>534672.27873000002</v>
      </c>
      <c r="F1031" s="428">
        <v>531248.89725000004</v>
      </c>
      <c r="G1031" s="428">
        <v>534655.67368000001</v>
      </c>
      <c r="H1031" s="428">
        <v>541255.43903999997</v>
      </c>
      <c r="I1031" s="428">
        <v>526573.10418000002</v>
      </c>
      <c r="J1031" s="428">
        <v>498628.99232999998</v>
      </c>
      <c r="K1031" s="428">
        <v>554309.01930000004</v>
      </c>
      <c r="L1031" s="428">
        <v>792536.52781</v>
      </c>
    </row>
    <row r="1032" spans="1:12">
      <c r="A1032" s="429" t="str">
        <f t="shared" si="29"/>
        <v>24</v>
      </c>
      <c r="B1032" s="429" t="str">
        <f>T("2401016")</f>
        <v>2401016</v>
      </c>
      <c r="C1032" s="637" t="str">
        <f>T("Konkurrensforskning")</f>
        <v>Konkurrensforskning</v>
      </c>
      <c r="D1032" s="428">
        <v>-18.106000000000002</v>
      </c>
      <c r="E1032" s="428">
        <v>852.84631000000002</v>
      </c>
      <c r="F1032" s="428">
        <v>5663.4553999999998</v>
      </c>
      <c r="G1032" s="428">
        <v>7799.2890500000003</v>
      </c>
      <c r="H1032" s="428">
        <v>8388.2965899999999</v>
      </c>
      <c r="I1032" s="428">
        <v>6517.7926100000004</v>
      </c>
      <c r="J1032" s="428">
        <v>6320.37122</v>
      </c>
      <c r="K1032" s="428">
        <v>7376.8898600000002</v>
      </c>
      <c r="L1032" s="428">
        <v>4253.3780200000001</v>
      </c>
    </row>
    <row r="1033" spans="1:12">
      <c r="A1033" s="429" t="str">
        <f t="shared" si="29"/>
        <v>24</v>
      </c>
      <c r="B1033" s="429" t="str">
        <f>T("2401017")</f>
        <v>2401017</v>
      </c>
      <c r="C1033" s="637" t="str">
        <f>T("Upprustning och drift av Göta kanal")</f>
        <v>Upprustning och drift av Göta kanal</v>
      </c>
      <c r="D1033" s="428">
        <v>15000</v>
      </c>
      <c r="E1033" s="428">
        <v>15000</v>
      </c>
      <c r="F1033" s="428">
        <v>15000</v>
      </c>
      <c r="G1033" s="428">
        <v>15000</v>
      </c>
      <c r="H1033" s="428">
        <v>15000</v>
      </c>
      <c r="I1033" s="428">
        <v>15000</v>
      </c>
      <c r="J1033" s="428">
        <v>15000</v>
      </c>
      <c r="K1033" s="428">
        <v>15000</v>
      </c>
      <c r="L1033" s="428">
        <v>14910</v>
      </c>
    </row>
    <row r="1034" spans="1:12">
      <c r="A1034" s="429" t="str">
        <f t="shared" si="29"/>
        <v>24</v>
      </c>
      <c r="B1034" s="429" t="str">
        <f>T("2401018")</f>
        <v>2401018</v>
      </c>
      <c r="C1034" s="637" t="str">
        <f>T("Omstrukturering och genomlysning av statligt ägda företag")</f>
        <v>Omstrukturering och genomlysning av statligt ägda företag</v>
      </c>
      <c r="D1034" s="428">
        <v>132106.2028</v>
      </c>
      <c r="E1034" s="428">
        <v>2433.0610499999998</v>
      </c>
      <c r="F1034" s="428">
        <v>61488.523580000001</v>
      </c>
      <c r="G1034" s="428">
        <v>12882.30999</v>
      </c>
      <c r="H1034" s="428">
        <v>44119.963589999999</v>
      </c>
      <c r="I1034" s="428">
        <v>43152.042670000003</v>
      </c>
      <c r="J1034" s="428">
        <v>21185.6387</v>
      </c>
      <c r="K1034" s="428">
        <v>16421.67974</v>
      </c>
      <c r="L1034" s="428">
        <v>4245.5966200000003</v>
      </c>
    </row>
    <row r="1035" spans="1:12">
      <c r="A1035" s="429" t="str">
        <f t="shared" si="29"/>
        <v>24</v>
      </c>
      <c r="B1035" s="429" t="str">
        <f>T("2401019")</f>
        <v>2401019</v>
      </c>
      <c r="C1035" s="637" t="str">
        <f>T("Kapitalinsatser i statliga bolag")</f>
        <v>Kapitalinsatser i statliga bolag</v>
      </c>
      <c r="L1035" s="428">
        <v>-2615.3130000000001</v>
      </c>
    </row>
    <row r="1036" spans="1:12">
      <c r="A1036" s="429" t="str">
        <f t="shared" si="29"/>
        <v>24</v>
      </c>
      <c r="B1036" s="429" t="str">
        <f>T("2401020")</f>
        <v>2401020</v>
      </c>
      <c r="C1036" s="637" t="str">
        <f>T("Avgifter till vissa internationella organisationer")</f>
        <v>Avgifter till vissa internationella organisationer</v>
      </c>
      <c r="D1036" s="428">
        <v>17505.7094</v>
      </c>
      <c r="E1036" s="428">
        <v>18762.887409999999</v>
      </c>
      <c r="F1036" s="428">
        <v>16907.68</v>
      </c>
      <c r="G1036" s="428">
        <v>5687.6683700000003</v>
      </c>
      <c r="H1036" s="428">
        <v>6684.61463</v>
      </c>
      <c r="I1036" s="428">
        <v>6770.6893499999996</v>
      </c>
      <c r="J1036" s="428">
        <v>6274.7848299999996</v>
      </c>
      <c r="K1036" s="428">
        <v>6184.5497500000001</v>
      </c>
      <c r="L1036" s="428">
        <v>6064.6538</v>
      </c>
    </row>
    <row r="1037" spans="1:12">
      <c r="A1037" s="429" t="str">
        <f t="shared" si="29"/>
        <v>24</v>
      </c>
      <c r="B1037" s="429" t="str">
        <f>T("2401021")</f>
        <v>2401021</v>
      </c>
      <c r="C1037" s="637" t="str">
        <f>T("Finansiering av rättegångskostnader")</f>
        <v>Finansiering av rättegångskostnader</v>
      </c>
    </row>
    <row r="1038" spans="1:12">
      <c r="A1038" s="429" t="str">
        <f t="shared" si="29"/>
        <v>24</v>
      </c>
      <c r="B1038" s="429" t="str">
        <f>T("2401022")</f>
        <v>2401022</v>
      </c>
      <c r="C1038" s="637" t="str">
        <f>T("Bidrag till företagsutveckling och innovation")</f>
        <v>Bidrag till företagsutveckling och innovation</v>
      </c>
    </row>
    <row r="1039" spans="1:12">
      <c r="A1039" s="429" t="str">
        <f t="shared" si="29"/>
        <v>24</v>
      </c>
      <c r="B1039" s="429" t="str">
        <f>T("2401024 2010")</f>
        <v>2401024 2010</v>
      </c>
      <c r="C1039" s="637" t="str">
        <f>T("Utvecklingsprogram för ökad konkurrenskraft")</f>
        <v>Utvecklingsprogram för ökad konkurrenskraft</v>
      </c>
    </row>
    <row r="1040" spans="1:12">
      <c r="A1040" s="429" t="str">
        <f t="shared" si="29"/>
        <v>24</v>
      </c>
      <c r="B1040" s="429" t="str">
        <f>T("2401025 2011")</f>
        <v>2401025 2011</v>
      </c>
      <c r="C1040" s="637" t="str">
        <f>T("Avgifter till internationella organisationer")</f>
        <v>Avgifter till internationella organisationer</v>
      </c>
    </row>
    <row r="1041" spans="1:12">
      <c r="A1041" s="429" t="str">
        <f t="shared" si="29"/>
        <v>24</v>
      </c>
      <c r="B1041" s="429" t="str">
        <f>T("2401026 2010")</f>
        <v>2401026 2010</v>
      </c>
      <c r="C1041" s="637" t="str">
        <f>T("Avvecklingsanslag för Nutek, ITPS och Glesbygdsverket")</f>
        <v>Avvecklingsanslag för Nutek, ITPS och Glesbygdsverket</v>
      </c>
    </row>
    <row r="1042" spans="1:12">
      <c r="A1042" s="429" t="str">
        <f t="shared" si="29"/>
        <v>24</v>
      </c>
      <c r="B1042" s="429" t="str">
        <f>T("2401026 2011")</f>
        <v>2401026 2011</v>
      </c>
      <c r="C1042" s="637" t="str">
        <f>T("Bolagsverket")</f>
        <v>Bolagsverket</v>
      </c>
    </row>
    <row r="1043" spans="1:12">
      <c r="A1043" s="429" t="str">
        <f t="shared" si="29"/>
        <v>24</v>
      </c>
      <c r="B1043" s="429" t="str">
        <f>T("2402001")</f>
        <v>2402001</v>
      </c>
      <c r="C1043" s="637" t="str">
        <f>T("Styrelsen för ackreditering och teknisk kontroll: Myndighetsverksamhet")</f>
        <v>Styrelsen för ackreditering och teknisk kontroll: Myndighetsverksamhet</v>
      </c>
      <c r="D1043" s="428">
        <v>10786.587820000001</v>
      </c>
      <c r="E1043" s="428">
        <v>17522.651180000001</v>
      </c>
      <c r="F1043" s="428">
        <v>15763</v>
      </c>
      <c r="G1043" s="428">
        <v>17569.400000000001</v>
      </c>
      <c r="H1043" s="428">
        <v>17111.741000000002</v>
      </c>
      <c r="I1043" s="428">
        <v>18662.047999999999</v>
      </c>
      <c r="J1043" s="428">
        <v>19280.78</v>
      </c>
      <c r="K1043" s="428">
        <v>20131.237000000001</v>
      </c>
      <c r="L1043" s="428">
        <v>20791.843000000001</v>
      </c>
    </row>
    <row r="1044" spans="1:12">
      <c r="A1044" s="429" t="str">
        <f t="shared" si="29"/>
        <v>24</v>
      </c>
      <c r="B1044" s="429" t="str">
        <f>T("2402002")</f>
        <v>2402002</v>
      </c>
      <c r="C1044" s="637" t="str">
        <f>T("Kommerskollegium")</f>
        <v>Kommerskollegium</v>
      </c>
      <c r="D1044" s="428">
        <v>48794.897259999998</v>
      </c>
      <c r="E1044" s="428">
        <v>45343.967660000002</v>
      </c>
      <c r="F1044" s="428">
        <v>51022.045700000002</v>
      </c>
      <c r="G1044" s="428">
        <v>57878.041089999999</v>
      </c>
      <c r="H1044" s="428">
        <v>58326.9493</v>
      </c>
      <c r="I1044" s="428">
        <v>57213.93922</v>
      </c>
      <c r="J1044" s="428">
        <v>61259.161440000003</v>
      </c>
      <c r="K1044" s="428">
        <v>67531.439679999996</v>
      </c>
      <c r="L1044" s="428">
        <v>65055.526830000003</v>
      </c>
    </row>
    <row r="1045" spans="1:12">
      <c r="A1045" s="429" t="str">
        <f t="shared" si="29"/>
        <v>24</v>
      </c>
      <c r="B1045" s="429" t="str">
        <f>T("2402003")</f>
        <v>2402003</v>
      </c>
      <c r="C1045" s="637" t="str">
        <f>T("Exportfrämjande verksamhet")</f>
        <v>Exportfrämjande verksamhet</v>
      </c>
      <c r="D1045" s="428">
        <v>136051</v>
      </c>
      <c r="E1045" s="428">
        <v>127656</v>
      </c>
      <c r="F1045" s="428">
        <v>152445.09082000001</v>
      </c>
      <c r="G1045" s="428">
        <v>171632.36627</v>
      </c>
      <c r="H1045" s="428">
        <v>171742.39822</v>
      </c>
      <c r="I1045" s="428">
        <v>185387.57532</v>
      </c>
      <c r="J1045" s="428">
        <v>195680.28864000001</v>
      </c>
      <c r="K1045" s="428">
        <v>190800.09137000001</v>
      </c>
      <c r="L1045" s="428">
        <v>309035.69128000003</v>
      </c>
    </row>
    <row r="1046" spans="1:12">
      <c r="A1046" s="429" t="str">
        <f t="shared" si="29"/>
        <v>24</v>
      </c>
      <c r="B1046" s="429" t="str">
        <f>T("2402004")</f>
        <v>2402004</v>
      </c>
      <c r="C1046" s="637" t="str">
        <f>T("Investeringsfrämjande")</f>
        <v>Investeringsfrämjande</v>
      </c>
      <c r="D1046" s="428">
        <v>14516.49137</v>
      </c>
      <c r="E1046" s="428">
        <v>47192.721640000003</v>
      </c>
      <c r="F1046" s="428">
        <v>55386.127410000001</v>
      </c>
      <c r="G1046" s="428">
        <v>58679.931519999998</v>
      </c>
      <c r="H1046" s="428">
        <v>54705.653389999999</v>
      </c>
      <c r="I1046" s="428">
        <v>57385.422059999997</v>
      </c>
      <c r="J1046" s="428">
        <v>72936.579379999996</v>
      </c>
      <c r="K1046" s="428">
        <v>69002.473970000006</v>
      </c>
      <c r="L1046" s="428">
        <v>69929.638309999995</v>
      </c>
    </row>
    <row r="1047" spans="1:12">
      <c r="A1047" s="429" t="str">
        <f t="shared" si="29"/>
        <v>24</v>
      </c>
      <c r="B1047" s="429" t="str">
        <f>T("2402005")</f>
        <v>2402005</v>
      </c>
      <c r="C1047" s="637" t="str">
        <f>T("Avgifter till internationella handelsorganisationer")</f>
        <v>Avgifter till internationella handelsorganisationer</v>
      </c>
      <c r="G1047" s="428">
        <v>12857.87861</v>
      </c>
      <c r="H1047" s="428">
        <v>12944.00261</v>
      </c>
      <c r="I1047" s="428">
        <v>14074.519850000001</v>
      </c>
      <c r="J1047" s="428">
        <v>15147.57819</v>
      </c>
      <c r="K1047" s="428">
        <v>15898.51455</v>
      </c>
      <c r="L1047" s="428">
        <v>15224.96579</v>
      </c>
    </row>
    <row r="1048" spans="1:12">
      <c r="A1048" s="429" t="str">
        <f t="shared" si="29"/>
        <v>24</v>
      </c>
      <c r="B1048" s="429" t="str">
        <f>T("2402006")</f>
        <v>2402006</v>
      </c>
      <c r="C1048" s="637" t="str">
        <f>T("Bidrag till standardiseringen")</f>
        <v>Bidrag till standardiseringen</v>
      </c>
    </row>
    <row r="1049" spans="1:12">
      <c r="A1049" s="429" t="str">
        <f t="shared" si="29"/>
        <v>24</v>
      </c>
      <c r="B1049" s="429" t="str">
        <f>T("243810 2007")</f>
        <v>243810 2007</v>
      </c>
      <c r="C1049" s="637" t="str">
        <f>T("Upprätthållande av nationell metrologi m.m.")</f>
        <v>Upprätthållande av nationell metrologi m.m.</v>
      </c>
      <c r="D1049" s="428">
        <v>8760</v>
      </c>
      <c r="E1049" s="428">
        <v>8270.9700400000002</v>
      </c>
      <c r="F1049" s="428">
        <v>12951.03998</v>
      </c>
      <c r="G1049" s="428">
        <v>16565.876530000001</v>
      </c>
      <c r="H1049" s="428">
        <v>18626.3102</v>
      </c>
      <c r="I1049" s="428">
        <v>27939.24209</v>
      </c>
      <c r="J1049" s="428">
        <v>25982.39199</v>
      </c>
      <c r="K1049" s="428">
        <v>28141.364989999998</v>
      </c>
      <c r="L1049" s="428">
        <v>28118.52475</v>
      </c>
    </row>
    <row r="1050" spans="1:12">
      <c r="A1050" s="429" t="str">
        <f t="shared" si="29"/>
        <v>24</v>
      </c>
      <c r="B1050" s="429" t="str">
        <f>T("243818 2004")</f>
        <v>243818 2004</v>
      </c>
      <c r="C1050" s="637" t="str">
        <f>T("Täckande av förluster vid viss garantigivning m.m.")</f>
        <v>Täckande av förluster vid viss garantigivning m.m.</v>
      </c>
      <c r="D1050" s="428">
        <v>4164.1710000000003</v>
      </c>
      <c r="E1050" s="428">
        <v>4977.3959999999997</v>
      </c>
      <c r="F1050" s="428">
        <v>3370.5</v>
      </c>
      <c r="G1050" s="428">
        <v>3119.7460000000001</v>
      </c>
      <c r="H1050" s="428">
        <v>2741.6179999999999</v>
      </c>
      <c r="I1050" s="428">
        <v>2327.511</v>
      </c>
      <c r="J1050" s="428">
        <v>1873.9939999999999</v>
      </c>
      <c r="K1050" s="428">
        <v>400.125</v>
      </c>
    </row>
    <row r="1051" spans="1:12">
      <c r="A1051" s="429" t="str">
        <f t="shared" si="29"/>
        <v>24</v>
      </c>
      <c r="B1051" s="429" t="str">
        <f>T("243904 2004")</f>
        <v>243904 2004</v>
      </c>
      <c r="C1051" s="637" t="str">
        <f>T("AB Svensk Exportkredits statsstödda exportkreditgivning")</f>
        <v>AB Svensk Exportkredits statsstödda exportkreditgivning</v>
      </c>
      <c r="D1051" s="428">
        <v>19521.550999999999</v>
      </c>
      <c r="E1051" s="428">
        <v>11509.425999999999</v>
      </c>
      <c r="F1051" s="428">
        <v>5873.8710000000001</v>
      </c>
      <c r="G1051" s="428">
        <v>2175.00083</v>
      </c>
      <c r="H1051" s="428">
        <v>447.89600000000002</v>
      </c>
      <c r="I1051" s="428">
        <v>198.596</v>
      </c>
      <c r="J1051" s="428">
        <v>32.192</v>
      </c>
    </row>
    <row r="1052" spans="1:12">
      <c r="A1052" s="429" t="str">
        <f t="shared" si="29"/>
        <v>24</v>
      </c>
      <c r="B1052" s="429" t="str">
        <f>T("243906 2003")</f>
        <v>243906 2003</v>
      </c>
      <c r="C1052" s="637" t="str">
        <f>T("Näringslivsutveckling i Östersjöregionen")</f>
        <v>Näringslivsutveckling i Östersjöregionen</v>
      </c>
      <c r="F1052" s="428">
        <v>43000</v>
      </c>
      <c r="G1052" s="428">
        <v>124042.91283</v>
      </c>
      <c r="H1052" s="428">
        <v>113194.74308</v>
      </c>
      <c r="I1052" s="428">
        <v>217561.08043</v>
      </c>
      <c r="J1052" s="428">
        <v>137375.95634999999</v>
      </c>
      <c r="K1052" s="428">
        <v>204011.53894999999</v>
      </c>
      <c r="L1052" s="428">
        <v>19400.642830000001</v>
      </c>
    </row>
    <row r="1053" spans="1:12">
      <c r="A1053" s="429" t="str">
        <f t="shared" si="29"/>
        <v>24</v>
      </c>
      <c r="B1053" s="429" t="str">
        <f>T("24A001 2000")</f>
        <v>24A001 2000</v>
      </c>
      <c r="C1053" s="637" t="str">
        <f>T("Närings- och teknikutvecklingsverket: Förvaltningskostnader")</f>
        <v>Närings- och teknikutvecklingsverket: Förvaltningskostnader</v>
      </c>
      <c r="D1053" s="428">
        <v>325178.63834</v>
      </c>
      <c r="E1053" s="428">
        <v>232996.50399999999</v>
      </c>
      <c r="F1053" s="428">
        <v>234701.29954000001</v>
      </c>
      <c r="G1053" s="428">
        <v>229364.73056</v>
      </c>
    </row>
    <row r="1054" spans="1:12">
      <c r="A1054" s="429" t="str">
        <f t="shared" si="29"/>
        <v>24</v>
      </c>
      <c r="B1054" s="429" t="str">
        <f>T("24A002 2000")</f>
        <v>24A002 2000</v>
      </c>
      <c r="C1054" s="637" t="str">
        <f>T("Småföretagsutveckling")</f>
        <v>Småföretagsutveckling</v>
      </c>
      <c r="D1054" s="428">
        <v>86421.425570000007</v>
      </c>
      <c r="E1054" s="428">
        <v>105894.444</v>
      </c>
      <c r="F1054" s="428">
        <v>163744.85576000001</v>
      </c>
      <c r="G1054" s="428">
        <v>192395.79367000001</v>
      </c>
    </row>
    <row r="1055" spans="1:12">
      <c r="A1055" s="429" t="str">
        <f t="shared" si="29"/>
        <v>24</v>
      </c>
      <c r="B1055" s="429" t="str">
        <f>T("24A003 2000")</f>
        <v>24A003 2000</v>
      </c>
      <c r="C1055" s="637" t="str">
        <f>T("Stöd till kooperativ utveckling")</f>
        <v>Stöd till kooperativ utveckling</v>
      </c>
      <c r="D1055" s="428">
        <v>5634.9960000000001</v>
      </c>
      <c r="E1055" s="428">
        <v>15661.716700000001</v>
      </c>
      <c r="F1055" s="428">
        <v>18003</v>
      </c>
      <c r="G1055" s="428">
        <v>18524.927350000002</v>
      </c>
    </row>
    <row r="1056" spans="1:12">
      <c r="A1056" s="429" t="str">
        <f t="shared" si="29"/>
        <v>24</v>
      </c>
      <c r="B1056" s="429" t="str">
        <f>T("24A008 2000")</f>
        <v>24A008 2000</v>
      </c>
      <c r="C1056" s="637" t="str">
        <f>T("Fortsatt program för småföretagsutveckling förnyelse och tillväxt")</f>
        <v>Fortsatt program för småföretagsutveckling förnyelse och tillväxt</v>
      </c>
      <c r="G1056" s="428">
        <v>60487.830090000003</v>
      </c>
      <c r="H1056" s="428">
        <v>65079.639089999997</v>
      </c>
      <c r="I1056" s="428">
        <v>19243.56349</v>
      </c>
      <c r="J1056" s="428">
        <v>1933.3199</v>
      </c>
    </row>
    <row r="1057" spans="1:12">
      <c r="A1057" s="429" t="str">
        <f t="shared" si="29"/>
        <v>24</v>
      </c>
      <c r="B1057" s="429" t="str">
        <f>T("24A009 1997")</f>
        <v>24A009 1997</v>
      </c>
      <c r="C1057" s="637" t="str">
        <f>T("Sveriges geologiska undersökning: Geologisk undersökningsverksamhet m.m")</f>
        <v>Sveriges geologiska undersökning: Geologisk undersökningsverksamhet m.m</v>
      </c>
      <c r="D1057" s="428">
        <v>120958.51246</v>
      </c>
    </row>
    <row r="1058" spans="1:12">
      <c r="A1058" s="429" t="str">
        <f t="shared" si="29"/>
        <v>24</v>
      </c>
      <c r="B1058" s="429" t="str">
        <f>T("24A009 2000")</f>
        <v>24A009 2000</v>
      </c>
      <c r="C1058" s="637" t="str">
        <f>T("Miljöteknikdelegationen")</f>
        <v>Miljöteknikdelegationen</v>
      </c>
      <c r="G1058" s="428">
        <v>10000</v>
      </c>
    </row>
    <row r="1059" spans="1:12">
      <c r="A1059" s="429" t="str">
        <f t="shared" si="29"/>
        <v>24</v>
      </c>
      <c r="B1059" s="429" t="str">
        <f>T("24B007 1999")</f>
        <v>24B007 1999</v>
      </c>
      <c r="C1059" s="637" t="str">
        <f>T("Patent och registreringsverket: Finansiering av viss verksamhet (likvidatorer)")</f>
        <v>Patent och registreringsverket: Finansiering av viss verksamhet (likvidatorer)</v>
      </c>
      <c r="F1059" s="428">
        <v>5375.8204299999998</v>
      </c>
      <c r="G1059" s="428">
        <v>1636.5582899999999</v>
      </c>
      <c r="H1059" s="428">
        <v>7808.1966499999999</v>
      </c>
    </row>
    <row r="1060" spans="1:12">
      <c r="A1060" s="429" t="str">
        <f t="shared" si="29"/>
        <v>24</v>
      </c>
      <c r="B1060" s="429" t="str">
        <f>T("24D001 2000")</f>
        <v>24D001 2000</v>
      </c>
      <c r="C1060" s="637" t="str">
        <f>T("Teknisk forskning och utveckling")</f>
        <v>Teknisk forskning och utveckling</v>
      </c>
      <c r="D1060" s="428">
        <v>681439.79570999998</v>
      </c>
      <c r="E1060" s="428">
        <v>630132.39439999999</v>
      </c>
      <c r="F1060" s="428">
        <v>868507.27659000002</v>
      </c>
      <c r="G1060" s="428">
        <v>1566376.6211099999</v>
      </c>
    </row>
    <row r="1061" spans="1:12">
      <c r="A1061" s="429" t="str">
        <f t="shared" si="29"/>
        <v>24</v>
      </c>
      <c r="B1061" s="429" t="str">
        <f>T("24D004 2000")</f>
        <v>24D004 2000</v>
      </c>
      <c r="C1061" s="637" t="str">
        <f>T("Bidrag till Stiftelsen Sveriges teknisk-vetenskapliga attachéverksamhet")</f>
        <v>Bidrag till Stiftelsen Sveriges teknisk-vetenskapliga attachéverksamhet</v>
      </c>
      <c r="D1061" s="428">
        <v>32533</v>
      </c>
      <c r="E1061" s="428">
        <v>29892</v>
      </c>
      <c r="F1061" s="428">
        <v>29892</v>
      </c>
      <c r="G1061" s="428">
        <v>29892</v>
      </c>
    </row>
    <row r="1062" spans="1:12">
      <c r="A1062" s="429" t="str">
        <f t="shared" ref="A1062:A1065" si="30">T("24")</f>
        <v>24</v>
      </c>
      <c r="B1062" s="429" t="str">
        <f>T("24E003 1998")</f>
        <v>24E003 1998</v>
      </c>
      <c r="C1062" s="637" t="str">
        <f>T("Exportkreditnämnden")</f>
        <v>Exportkreditnämnden</v>
      </c>
      <c r="D1062" s="428">
        <v>108686.62300000001</v>
      </c>
      <c r="E1062" s="428">
        <v>7351.5680000000002</v>
      </c>
    </row>
    <row r="1063" spans="1:12">
      <c r="A1063" s="429" t="str">
        <f t="shared" si="30"/>
        <v>24</v>
      </c>
      <c r="B1063" s="429" t="str">
        <f>T("24E006 1998")</f>
        <v>24E006 1998</v>
      </c>
      <c r="C1063" s="637" t="str">
        <f>T("Världsutställningen i Hannover år 2000")</f>
        <v>Världsutställningen i Hannover år 2000</v>
      </c>
      <c r="E1063" s="428">
        <v>5000</v>
      </c>
      <c r="F1063" s="428">
        <v>20000</v>
      </c>
      <c r="G1063" s="428">
        <v>2000</v>
      </c>
    </row>
    <row r="1064" spans="1:12">
      <c r="A1064" s="429" t="str">
        <f t="shared" si="30"/>
        <v>24</v>
      </c>
      <c r="B1064" s="429" t="str">
        <f>T("24F005 2000")</f>
        <v>24F005 2000</v>
      </c>
      <c r="C1064" s="637" t="str">
        <f>T("Stöd till konsumentorganisationer")</f>
        <v>Stöd till konsumentorganisationer</v>
      </c>
      <c r="D1064" s="428">
        <v>3456.68869</v>
      </c>
      <c r="E1064" s="428">
        <v>4108.1040000000003</v>
      </c>
      <c r="F1064" s="428">
        <v>4118.1000000000004</v>
      </c>
      <c r="G1064" s="428">
        <v>5431.4634999999998</v>
      </c>
      <c r="H1064" s="428">
        <v>700</v>
      </c>
    </row>
    <row r="1065" spans="1:12">
      <c r="A1065" s="429" t="str">
        <f t="shared" si="30"/>
        <v>24</v>
      </c>
      <c r="B1065" s="429" t="str">
        <f>T("24F006 2000")</f>
        <v>24F006 2000</v>
      </c>
      <c r="C1065" s="637" t="str">
        <f>T("Stöd till konsumentforskning")</f>
        <v>Stöd till konsumentforskning</v>
      </c>
      <c r="D1065" s="428">
        <v>1558.6556</v>
      </c>
      <c r="E1065" s="428">
        <v>1175.1698699999999</v>
      </c>
      <c r="F1065" s="428">
        <v>2359.6184199999998</v>
      </c>
      <c r="G1065" s="428">
        <v>712.29453000000001</v>
      </c>
    </row>
    <row r="1066" spans="1:12">
      <c r="A1066" s="430" t="s">
        <v>1658</v>
      </c>
      <c r="B1066" s="430"/>
      <c r="C1066" s="430" t="str">
        <f>T("Näringsliv")</f>
        <v>Näringsliv</v>
      </c>
      <c r="D1066" s="431">
        <v>3078696.2167000002</v>
      </c>
      <c r="E1066" s="431">
        <v>2788613.4791799998</v>
      </c>
      <c r="F1066" s="431">
        <v>3284133.41567</v>
      </c>
      <c r="G1066" s="431">
        <v>3809974.0954200001</v>
      </c>
      <c r="H1066" s="431">
        <v>3156819.1576200002</v>
      </c>
      <c r="I1066" s="431">
        <v>3211334.30229</v>
      </c>
      <c r="J1066" s="431">
        <v>3105925.6456599999</v>
      </c>
      <c r="K1066" s="431">
        <v>3454174.4084800002</v>
      </c>
      <c r="L1066" s="431">
        <v>3547508.9472500002</v>
      </c>
    </row>
    <row r="1067" spans="1:12">
      <c r="A1067" s="429" t="str">
        <f t="shared" ref="A1067:A1075" si="31">T("25")</f>
        <v>25</v>
      </c>
      <c r="B1067" s="429" t="str">
        <f>T("2501001")</f>
        <v>2501001</v>
      </c>
      <c r="C1067" s="637" t="str">
        <f>T("Kommunalekonomisk utjämning")</f>
        <v>Kommunalekonomisk utjämning</v>
      </c>
      <c r="L1067" s="428">
        <v>55201770.325000003</v>
      </c>
    </row>
    <row r="1068" spans="1:12">
      <c r="A1068" s="429" t="str">
        <f t="shared" si="31"/>
        <v>25</v>
      </c>
      <c r="B1068" s="429" t="str">
        <f>T("2501002")</f>
        <v>2501002</v>
      </c>
      <c r="C1068" s="637" t="str">
        <f>T("Utjämningsbidrag för LSS-kostnader")</f>
        <v>Utjämningsbidrag för LSS-kostnader</v>
      </c>
      <c r="K1068" s="428">
        <v>1007669.637</v>
      </c>
      <c r="L1068" s="428">
        <v>1767149.534</v>
      </c>
    </row>
    <row r="1069" spans="1:12">
      <c r="A1069" s="429" t="str">
        <f t="shared" si="31"/>
        <v>25</v>
      </c>
      <c r="B1069" s="429" t="str">
        <f>T("2501003")</f>
        <v>2501003</v>
      </c>
      <c r="C1069" s="637" t="str">
        <f>T("Bidrag till kommunalekonomiska organisationer")</f>
        <v>Bidrag till kommunalekonomiska organisationer</v>
      </c>
      <c r="D1069" s="428">
        <v>500</v>
      </c>
      <c r="E1069" s="428">
        <v>700</v>
      </c>
      <c r="F1069" s="428">
        <v>700</v>
      </c>
      <c r="G1069" s="428">
        <v>500</v>
      </c>
      <c r="H1069" s="428">
        <v>500</v>
      </c>
      <c r="I1069" s="428">
        <v>500</v>
      </c>
      <c r="J1069" s="428">
        <v>500</v>
      </c>
      <c r="K1069" s="428">
        <v>600</v>
      </c>
      <c r="L1069" s="428">
        <v>600</v>
      </c>
    </row>
    <row r="1070" spans="1:12">
      <c r="A1070" s="429" t="str">
        <f t="shared" si="31"/>
        <v>25</v>
      </c>
      <c r="B1070" s="429" t="str">
        <f>T("2501004 2009")</f>
        <v>2501004 2009</v>
      </c>
      <c r="C1070" s="637" t="str">
        <f>T("Tillfälligt konjunkturstöd till kommuner och landsting")</f>
        <v>Tillfälligt konjunkturstöd till kommuner och landsting</v>
      </c>
    </row>
    <row r="1071" spans="1:12">
      <c r="A1071" s="429" t="str">
        <f t="shared" si="31"/>
        <v>25</v>
      </c>
      <c r="B1071" s="429" t="str">
        <f>T("254801 2004")</f>
        <v>254801 2004</v>
      </c>
      <c r="C1071" s="637" t="str">
        <f>T("Generellt statsbidrag till kommuner och landsting")</f>
        <v>Generellt statsbidrag till kommuner och landsting</v>
      </c>
      <c r="D1071" s="428">
        <v>65981107.213</v>
      </c>
      <c r="E1071" s="428">
        <v>74904529.716999993</v>
      </c>
      <c r="F1071" s="428">
        <v>78655791.530000001</v>
      </c>
      <c r="G1071" s="428">
        <v>78028410.187000006</v>
      </c>
      <c r="H1071" s="428">
        <v>78265505.986000001</v>
      </c>
      <c r="I1071" s="428">
        <v>76241753.687000006</v>
      </c>
      <c r="J1071" s="428">
        <v>42997992.353</v>
      </c>
      <c r="K1071" s="428">
        <v>41447163.914999999</v>
      </c>
    </row>
    <row r="1072" spans="1:12">
      <c r="A1072" s="429" t="str">
        <f t="shared" si="31"/>
        <v>25</v>
      </c>
      <c r="B1072" s="429" t="str">
        <f>T("254802 2006")</f>
        <v>254802 2006</v>
      </c>
      <c r="C1072" s="637" t="str">
        <f>T("Bidrag till särskilda insatser i vissa kommuner och landsting")</f>
        <v>Bidrag till särskilda insatser i vissa kommuner och landsting</v>
      </c>
      <c r="D1072" s="428">
        <v>646928</v>
      </c>
      <c r="E1072" s="428">
        <v>612747.74571000005</v>
      </c>
      <c r="F1072" s="428">
        <v>759545.02281999995</v>
      </c>
      <c r="G1072" s="428">
        <v>315663.67937000003</v>
      </c>
      <c r="H1072" s="428">
        <v>1511967.12078</v>
      </c>
      <c r="I1072" s="428">
        <v>1081266.63209</v>
      </c>
      <c r="J1072" s="428">
        <v>1858765.11858</v>
      </c>
      <c r="K1072" s="428">
        <v>447661.14158</v>
      </c>
      <c r="L1072" s="428">
        <v>355582.02598999999</v>
      </c>
    </row>
    <row r="1073" spans="1:12">
      <c r="A1073" s="429" t="str">
        <f t="shared" si="31"/>
        <v>25</v>
      </c>
      <c r="B1073" s="429" t="str">
        <f>T("254803 2004")</f>
        <v>254803 2004</v>
      </c>
      <c r="C1073" s="637" t="str">
        <f>T("Statligt utjämningsbidrag till kommuner och landsting")</f>
        <v>Statligt utjämningsbidrag till kommuner och landsting</v>
      </c>
      <c r="D1073" s="428">
        <v>20701939.473000001</v>
      </c>
      <c r="E1073" s="428">
        <v>21266258.530000001</v>
      </c>
      <c r="F1073" s="428">
        <v>20526422.991999999</v>
      </c>
      <c r="G1073" s="428">
        <v>19189970.142000001</v>
      </c>
      <c r="H1073" s="428">
        <v>20861414</v>
      </c>
      <c r="I1073" s="428">
        <v>23759182.370999999</v>
      </c>
      <c r="J1073" s="428">
        <v>26293039.708999999</v>
      </c>
      <c r="K1073" s="428">
        <v>25830731.381000001</v>
      </c>
    </row>
    <row r="1074" spans="1:12">
      <c r="A1074" s="429" t="str">
        <f t="shared" si="31"/>
        <v>25</v>
      </c>
      <c r="B1074" s="429" t="str">
        <f>T("254805 2004")</f>
        <v>254805 2004</v>
      </c>
      <c r="C1074" s="637" t="str">
        <f>T("Bidrag för ökad tillgänglighet i hälso- och sjukvården")</f>
        <v>Bidrag för ökad tillgänglighet i hälso- och sjukvården</v>
      </c>
      <c r="I1074" s="428">
        <v>1249999.8810000001</v>
      </c>
      <c r="J1074" s="428">
        <v>1250000</v>
      </c>
      <c r="K1074" s="428">
        <v>1100000</v>
      </c>
    </row>
    <row r="1075" spans="1:12">
      <c r="A1075" s="429" t="str">
        <f t="shared" si="31"/>
        <v>25</v>
      </c>
      <c r="B1075" s="429" t="str">
        <f>T("25A005 1999")</f>
        <v>25A005 1999</v>
      </c>
      <c r="C1075" s="637" t="str">
        <f>T("Bidrag till kommuners och landstings skatteinkomster år 1997 ")</f>
        <v xml:space="preserve">Bidrag till kommuners och landstings skatteinkomster år 1997 </v>
      </c>
      <c r="F1075" s="428">
        <v>2600000</v>
      </c>
    </row>
    <row r="1076" spans="1:12">
      <c r="A1076" s="430" t="s">
        <v>1659</v>
      </c>
      <c r="B1076" s="430"/>
      <c r="C1076" s="430" t="str">
        <f>T("Allmänna bidrag till kommuner")</f>
        <v>Allmänna bidrag till kommuner</v>
      </c>
      <c r="D1076" s="431">
        <v>87330474.686000004</v>
      </c>
      <c r="E1076" s="431">
        <v>96784235.992709994</v>
      </c>
      <c r="F1076" s="431">
        <v>102542459.54482</v>
      </c>
      <c r="G1076" s="431">
        <v>97534544.008369997</v>
      </c>
      <c r="H1076" s="431">
        <v>100639387.10677999</v>
      </c>
      <c r="I1076" s="431">
        <v>102332702.57109</v>
      </c>
      <c r="J1076" s="431">
        <v>72400297.180580005</v>
      </c>
      <c r="K1076" s="431">
        <v>69833826.074579999</v>
      </c>
      <c r="L1076" s="431">
        <v>57325101.884989999</v>
      </c>
    </row>
    <row r="1077" spans="1:12">
      <c r="A1077" s="429" t="str">
        <f>T("26")</f>
        <v>26</v>
      </c>
      <c r="B1077" s="429" t="str">
        <f>T("2601001")</f>
        <v>2601001</v>
      </c>
      <c r="C1077" s="637" t="str">
        <f>T("Räntor på statsskulden")</f>
        <v>Räntor på statsskulden</v>
      </c>
      <c r="D1077" s="428">
        <v>98360112.834629998</v>
      </c>
      <c r="E1077" s="428">
        <v>113311175.54889999</v>
      </c>
      <c r="F1077" s="428">
        <v>89825155.549129993</v>
      </c>
      <c r="G1077" s="428">
        <v>90191942.048950002</v>
      </c>
      <c r="H1077" s="428">
        <v>81070600.147479996</v>
      </c>
      <c r="I1077" s="428">
        <v>67183173.507880002</v>
      </c>
      <c r="J1077" s="428">
        <v>42015254.066260003</v>
      </c>
      <c r="K1077" s="428">
        <v>52596424.035800003</v>
      </c>
      <c r="L1077" s="428">
        <v>32560800.811969999</v>
      </c>
    </row>
    <row r="1078" spans="1:12">
      <c r="A1078" s="429" t="str">
        <f>T("26")</f>
        <v>26</v>
      </c>
      <c r="B1078" s="429" t="str">
        <f>T("2601002")</f>
        <v>2601002</v>
      </c>
      <c r="C1078" s="637" t="str">
        <f>T("Oförutsedda utgifter")</f>
        <v>Oförutsedda utgifter</v>
      </c>
      <c r="D1078" s="428">
        <v>6769.3339999999998</v>
      </c>
      <c r="E1078" s="428">
        <v>869.16800000000001</v>
      </c>
      <c r="F1078" s="428">
        <v>20.416499999999999</v>
      </c>
      <c r="G1078" s="428">
        <v>4115</v>
      </c>
      <c r="H1078" s="428">
        <v>2742.8431700000001</v>
      </c>
      <c r="I1078" s="428">
        <v>450</v>
      </c>
      <c r="J1078" s="428">
        <v>6281.2444999999998</v>
      </c>
      <c r="K1078" s="428">
        <v>1019.5890000000001</v>
      </c>
      <c r="L1078" s="428">
        <v>1635.2396000000001</v>
      </c>
    </row>
    <row r="1079" spans="1:12">
      <c r="A1079" s="429" t="str">
        <f>T("26")</f>
        <v>26</v>
      </c>
      <c r="B1079" s="429" t="str">
        <f>T("2601003")</f>
        <v>2601003</v>
      </c>
      <c r="C1079" s="637" t="str">
        <f>T("Riksgäldskontorets provisionsutgifter")</f>
        <v>Riksgäldskontorets provisionsutgifter</v>
      </c>
      <c r="E1079" s="428">
        <v>93181.608489999999</v>
      </c>
      <c r="F1079" s="428">
        <v>59533.49093</v>
      </c>
      <c r="G1079" s="428">
        <v>17256.565289999999</v>
      </c>
      <c r="H1079" s="428">
        <v>186531.29824999999</v>
      </c>
      <c r="I1079" s="428">
        <v>156031.50446</v>
      </c>
      <c r="J1079" s="428">
        <v>151812.45533999999</v>
      </c>
      <c r="K1079" s="428">
        <v>120743.41334</v>
      </c>
      <c r="L1079" s="428">
        <v>94947.189700000003</v>
      </c>
    </row>
    <row r="1080" spans="1:12">
      <c r="A1080" s="429" t="str">
        <f>T("26")</f>
        <v>26</v>
      </c>
      <c r="B1080" s="429" t="str">
        <f>T("2601004 2009")</f>
        <v>2601004 2009</v>
      </c>
      <c r="C1080" s="637" t="str">
        <f>T("Övergångseffekter av kostnadsmässig avräkning")</f>
        <v>Övergångseffekter av kostnadsmässig avräkning</v>
      </c>
    </row>
    <row r="1081" spans="1:12">
      <c r="A1081" s="429" t="str">
        <f>T("26")</f>
        <v>26</v>
      </c>
      <c r="B1081" s="429" t="str">
        <f>T("269205 2008")</f>
        <v>269205 2008</v>
      </c>
      <c r="C1081" s="637" t="str">
        <f>T("Tillskott till stabilitetsfonden")</f>
        <v>Tillskott till stabilitetsfonden</v>
      </c>
    </row>
    <row r="1082" spans="1:12">
      <c r="A1082" s="430" t="s">
        <v>1660</v>
      </c>
      <c r="B1082" s="430"/>
      <c r="C1082" s="430" t="str">
        <f>T("Statsskuldsräntor m.m.")</f>
        <v>Statsskuldsräntor m.m.</v>
      </c>
      <c r="D1082" s="431">
        <v>98366882.168630004</v>
      </c>
      <c r="E1082" s="431">
        <v>113405226.32539</v>
      </c>
      <c r="F1082" s="431">
        <v>89884709.456560001</v>
      </c>
      <c r="G1082" s="431">
        <v>90213313.614240006</v>
      </c>
      <c r="H1082" s="431">
        <v>81259874.288900003</v>
      </c>
      <c r="I1082" s="431">
        <v>67339655.012339994</v>
      </c>
      <c r="J1082" s="431">
        <v>42173347.766099997</v>
      </c>
      <c r="K1082" s="431">
        <v>52718187.038139999</v>
      </c>
      <c r="L1082" s="431">
        <v>32657383.241269998</v>
      </c>
    </row>
    <row r="1083" spans="1:12">
      <c r="A1083" s="429" t="str">
        <f>T("27")</f>
        <v>27</v>
      </c>
      <c r="B1083" s="429" t="str">
        <f>T("2701001")</f>
        <v>2701001</v>
      </c>
      <c r="C1083" s="637" t="str">
        <f>T("Avgiften till Europeiska unionen")</f>
        <v>Avgiften till Europeiska unionen</v>
      </c>
      <c r="F1083" s="428">
        <v>20883956.914179999</v>
      </c>
      <c r="G1083" s="428">
        <v>22295012.41773</v>
      </c>
      <c r="H1083" s="428">
        <v>23271537.978560001</v>
      </c>
      <c r="I1083" s="428">
        <v>20648274.405639999</v>
      </c>
      <c r="J1083" s="428">
        <v>18321913.958969999</v>
      </c>
      <c r="K1083" s="428">
        <v>25563070.923280001</v>
      </c>
      <c r="L1083" s="428">
        <v>25635130.45707</v>
      </c>
    </row>
    <row r="1084" spans="1:12">
      <c r="A1084" s="429" t="str">
        <f>T("27")</f>
        <v>27</v>
      </c>
      <c r="B1084" s="429" t="str">
        <f>T("27A001 1998")</f>
        <v>27A001 1998</v>
      </c>
      <c r="C1084" s="637" t="str">
        <f>T("Tullavgift")</f>
        <v>Tullavgift</v>
      </c>
      <c r="D1084" s="428">
        <v>2861029.1192399999</v>
      </c>
      <c r="E1084" s="428">
        <v>3030331.28144</v>
      </c>
      <c r="F1084" s="428">
        <v>0</v>
      </c>
    </row>
    <row r="1085" spans="1:12">
      <c r="A1085" s="429" t="str">
        <f>T("27")</f>
        <v>27</v>
      </c>
      <c r="B1085" s="429" t="str">
        <f>T("27A002 1998")</f>
        <v>27A002 1998</v>
      </c>
      <c r="C1085" s="637" t="str">
        <f>T("Särskilda jordbrukstullar och sockeravgifter")</f>
        <v>Särskilda jordbrukstullar och sockeravgifter</v>
      </c>
      <c r="D1085" s="428">
        <v>285587.8947</v>
      </c>
      <c r="E1085" s="428">
        <v>359357.7438</v>
      </c>
      <c r="F1085" s="428">
        <v>0</v>
      </c>
    </row>
    <row r="1086" spans="1:12">
      <c r="A1086" s="429" t="str">
        <f>T("27")</f>
        <v>27</v>
      </c>
      <c r="B1086" s="429" t="str">
        <f>T("27A003 1998")</f>
        <v>27A003 1998</v>
      </c>
      <c r="C1086" s="637" t="str">
        <f>T("Mervärdesskattebaserad avgift")</f>
        <v>Mervärdesskattebaserad avgift</v>
      </c>
      <c r="D1086" s="428">
        <v>10298473.52946</v>
      </c>
      <c r="E1086" s="428">
        <v>9148553.7328200005</v>
      </c>
    </row>
    <row r="1087" spans="1:12">
      <c r="A1087" s="429" t="str">
        <f>T("27")</f>
        <v>27</v>
      </c>
      <c r="B1087" s="429" t="str">
        <f>T("27A004 1998")</f>
        <v>27A004 1998</v>
      </c>
      <c r="C1087" s="637" t="str">
        <f>T("Avgift baserad på bruttonationalinkomsten")</f>
        <v>Avgift baserad på bruttonationalinkomsten</v>
      </c>
      <c r="D1087" s="428">
        <v>6735734.7226</v>
      </c>
      <c r="E1087" s="428">
        <v>8671707.5202699993</v>
      </c>
    </row>
    <row r="1088" spans="1:12">
      <c r="A1088" s="430" t="s">
        <v>1661</v>
      </c>
      <c r="B1088" s="430"/>
      <c r="C1088" s="430" t="str">
        <f>T("Avgiften till Europeiska unionen")</f>
        <v>Avgiften till Europeiska unionen</v>
      </c>
      <c r="D1088" s="431">
        <v>20180825.265999999</v>
      </c>
      <c r="E1088" s="431">
        <v>21209950.278329998</v>
      </c>
      <c r="F1088" s="431">
        <v>20883956.914179999</v>
      </c>
      <c r="G1088" s="431">
        <v>22295012.41773</v>
      </c>
      <c r="H1088" s="431">
        <v>23271537.978560001</v>
      </c>
      <c r="I1088" s="431">
        <v>20648274.405639999</v>
      </c>
      <c r="J1088" s="431">
        <v>18321913.958969999</v>
      </c>
      <c r="K1088" s="431">
        <v>25563070.923280001</v>
      </c>
      <c r="L1088" s="431">
        <v>25635130.45707</v>
      </c>
    </row>
    <row r="1089" spans="1:12">
      <c r="A1089" s="430"/>
      <c r="B1089" s="430"/>
      <c r="C1089" s="430"/>
      <c r="D1089" s="431"/>
      <c r="E1089" s="431"/>
      <c r="F1089" s="431"/>
      <c r="G1089" s="431"/>
      <c r="H1089" s="431"/>
      <c r="I1089" s="431"/>
      <c r="J1089" s="431"/>
      <c r="K1089" s="431"/>
      <c r="L1089" s="431"/>
    </row>
    <row r="1090" spans="1:12">
      <c r="A1090" s="727"/>
      <c r="B1090" s="721" t="s">
        <v>1662</v>
      </c>
      <c r="C1090" s="726" t="s">
        <v>1663</v>
      </c>
      <c r="D1090" s="723">
        <v>667551894.46975005</v>
      </c>
      <c r="E1090" s="723">
        <v>699093960.00218987</v>
      </c>
      <c r="F1090" s="723">
        <v>705221869.01048005</v>
      </c>
      <c r="G1090" s="723">
        <v>709565858.74821007</v>
      </c>
      <c r="H1090" s="723">
        <v>722036440.12592995</v>
      </c>
      <c r="I1090" s="723">
        <v>725331803.4360199</v>
      </c>
      <c r="J1090" s="723">
        <v>703470304.79691994</v>
      </c>
      <c r="K1090" s="723">
        <v>740723386.21236992</v>
      </c>
      <c r="L1090" s="723">
        <v>724956014.55957997</v>
      </c>
    </row>
    <row r="1091" spans="1:12">
      <c r="A1091" s="727"/>
      <c r="B1091" s="721" t="s">
        <v>1664</v>
      </c>
      <c r="C1091" s="726" t="s">
        <v>1665</v>
      </c>
      <c r="D1091" s="723">
        <v>569185012.30112004</v>
      </c>
      <c r="E1091" s="723">
        <v>585688733.67679989</v>
      </c>
      <c r="F1091" s="723">
        <v>615337159.55392003</v>
      </c>
      <c r="G1091" s="723">
        <v>619352545.13397002</v>
      </c>
      <c r="H1091" s="723">
        <v>640776565.83702993</v>
      </c>
      <c r="I1091" s="723">
        <v>657992148.42367995</v>
      </c>
      <c r="J1091" s="723">
        <v>661296957.03081989</v>
      </c>
      <c r="K1091" s="723">
        <v>688005199.17422986</v>
      </c>
      <c r="L1091" s="723">
        <v>692298631.31831002</v>
      </c>
    </row>
    <row r="1092" spans="1:12">
      <c r="A1092" s="429" t="str">
        <f>T("91")</f>
        <v>91</v>
      </c>
      <c r="B1092" s="429" t="str">
        <f>T("919601")</f>
        <v>919601</v>
      </c>
      <c r="C1092" s="637" t="str">
        <f>T("Kassamässig korrigering")</f>
        <v>Kassamässig korrigering</v>
      </c>
      <c r="D1092" s="428">
        <v>-1960878</v>
      </c>
      <c r="E1092" s="428">
        <v>385559</v>
      </c>
      <c r="F1092" s="428">
        <v>-44142026.258000001</v>
      </c>
      <c r="G1092" s="428">
        <v>-35411535.436899997</v>
      </c>
      <c r="H1092" s="428">
        <v>-34426466.071000002</v>
      </c>
      <c r="I1092" s="428">
        <v>-48595672.122400001</v>
      </c>
      <c r="J1092" s="428">
        <v>-7281577.2824999997</v>
      </c>
      <c r="K1092" s="428">
        <v>-6097817.5117100002</v>
      </c>
      <c r="L1092" s="428">
        <v>-3269155.5380000002</v>
      </c>
    </row>
    <row r="1093" spans="1:12">
      <c r="A1093" s="429" t="str">
        <f>T("92")</f>
        <v>92</v>
      </c>
      <c r="B1093" s="429" t="str">
        <f>T("929701")</f>
        <v>929701</v>
      </c>
      <c r="C1093" s="637" t="str">
        <f>T("Riksgäldskontorets nettoutlåning")</f>
        <v>Riksgäldskontorets nettoutlåning</v>
      </c>
      <c r="D1093" s="428">
        <v>-10435000</v>
      </c>
      <c r="E1093" s="428">
        <v>-2828000</v>
      </c>
      <c r="F1093" s="428">
        <v>-17932600</v>
      </c>
      <c r="G1093" s="428">
        <v>23914155.811999999</v>
      </c>
      <c r="H1093" s="428">
        <v>28768999.60585</v>
      </c>
      <c r="I1093" s="428">
        <v>50262276.9111</v>
      </c>
      <c r="J1093" s="428">
        <v>12094360.0385</v>
      </c>
      <c r="K1093" s="428">
        <v>10305228.024119999</v>
      </c>
      <c r="L1093" s="428">
        <v>10084423.47123</v>
      </c>
    </row>
    <row r="1094" spans="1:12">
      <c r="A1094" s="716"/>
      <c r="B1094" s="717" t="s">
        <v>1666</v>
      </c>
      <c r="C1094" s="718" t="s">
        <v>1667</v>
      </c>
      <c r="D1094" s="719">
        <f>D1090+D1092+D1093</f>
        <v>655156016.46975005</v>
      </c>
      <c r="E1094" s="719">
        <f t="shared" ref="E1094:L1094" si="32">E1090+E1092+E1093</f>
        <v>696651519.00218987</v>
      </c>
      <c r="F1094" s="719">
        <f t="shared" si="32"/>
        <v>643147242.75248003</v>
      </c>
      <c r="G1094" s="719">
        <f t="shared" si="32"/>
        <v>698068479.12331009</v>
      </c>
      <c r="H1094" s="719">
        <f t="shared" si="32"/>
        <v>716378973.66077995</v>
      </c>
      <c r="I1094" s="719">
        <f t="shared" si="32"/>
        <v>726998408.22471988</v>
      </c>
      <c r="J1094" s="719">
        <f t="shared" si="32"/>
        <v>708283087.55291986</v>
      </c>
      <c r="K1094" s="719">
        <f t="shared" si="32"/>
        <v>744930796.72477984</v>
      </c>
      <c r="L1094" s="719">
        <f t="shared" si="32"/>
        <v>731771282.49281001</v>
      </c>
    </row>
    <row r="1095" spans="1:12">
      <c r="A1095" s="429" t="str">
        <f>T("93")</f>
        <v>93</v>
      </c>
      <c r="B1095" s="429" t="str">
        <f>T("9301001")</f>
        <v>9301001</v>
      </c>
      <c r="C1095" s="637" t="str">
        <f>T("Ålderspensionssystemet vid sidan av statens budget")</f>
        <v>Ålderspensionssystemet vid sidan av statens budget</v>
      </c>
      <c r="D1095" s="428">
        <v>129707000</v>
      </c>
      <c r="E1095" s="428">
        <v>132340000</v>
      </c>
      <c r="F1095" s="428">
        <v>136193959.89199999</v>
      </c>
      <c r="G1095" s="428">
        <v>140657899.18000001</v>
      </c>
      <c r="H1095" s="428">
        <v>145507593.792</v>
      </c>
      <c r="I1095" s="428">
        <v>153644955.09900001</v>
      </c>
      <c r="J1095" s="428">
        <v>157779800.20199999</v>
      </c>
      <c r="K1095" s="428">
        <v>167541199.579</v>
      </c>
      <c r="L1095" s="428">
        <v>172033175.028</v>
      </c>
    </row>
    <row r="1096" spans="1:12">
      <c r="A1096" s="716"/>
      <c r="B1096" s="717" t="s">
        <v>1668</v>
      </c>
      <c r="C1096" s="718" t="s">
        <v>1669</v>
      </c>
      <c r="D1096" s="719">
        <f>D1091+D1095</f>
        <v>698892012.30112004</v>
      </c>
      <c r="E1096" s="719">
        <f t="shared" ref="E1096:L1096" si="33">E1091+E1095</f>
        <v>718028733.67679989</v>
      </c>
      <c r="F1096" s="719">
        <f t="shared" si="33"/>
        <v>751531119.44591999</v>
      </c>
      <c r="G1096" s="719">
        <f t="shared" si="33"/>
        <v>760010444.31397009</v>
      </c>
      <c r="H1096" s="719">
        <f t="shared" si="33"/>
        <v>786284159.62902999</v>
      </c>
      <c r="I1096" s="719">
        <f t="shared" si="33"/>
        <v>811637103.52267992</v>
      </c>
      <c r="J1096" s="719">
        <f t="shared" si="33"/>
        <v>819076757.23281991</v>
      </c>
      <c r="K1096" s="719">
        <f t="shared" si="33"/>
        <v>855546398.75322986</v>
      </c>
      <c r="L1096" s="719">
        <f t="shared" si="33"/>
        <v>864331806.34631002</v>
      </c>
    </row>
    <row r="1097" spans="1:12">
      <c r="A1097" s="720"/>
      <c r="B1097" s="721" t="s">
        <v>1670</v>
      </c>
      <c r="C1097" s="722" t="s">
        <v>201</v>
      </c>
      <c r="D1097" s="723">
        <v>723000000</v>
      </c>
      <c r="E1097" s="723">
        <v>720000000</v>
      </c>
      <c r="F1097" s="723">
        <v>753000000</v>
      </c>
      <c r="G1097" s="723">
        <v>765000000</v>
      </c>
      <c r="H1097" s="724">
        <v>791000000</v>
      </c>
      <c r="I1097" s="724">
        <v>812000000</v>
      </c>
      <c r="J1097" s="724">
        <v>822000000</v>
      </c>
      <c r="K1097" s="724">
        <v>858000000</v>
      </c>
      <c r="L1097" s="724">
        <v>870000000</v>
      </c>
    </row>
    <row r="1098" spans="1:12">
      <c r="A1098" s="720"/>
      <c r="B1098" s="725"/>
      <c r="C1098" s="726" t="s">
        <v>1671</v>
      </c>
      <c r="D1098" s="723">
        <f>D1097-D1096</f>
        <v>24107987.698879957</v>
      </c>
      <c r="E1098" s="723">
        <f t="shared" ref="E1098:L1098" si="34">E1097-E1096</f>
        <v>1971266.3232001066</v>
      </c>
      <c r="F1098" s="723">
        <f t="shared" si="34"/>
        <v>1468880.5540800095</v>
      </c>
      <c r="G1098" s="723">
        <f t="shared" si="34"/>
        <v>4989555.686029911</v>
      </c>
      <c r="H1098" s="723">
        <f t="shared" si="34"/>
        <v>4715840.3709700108</v>
      </c>
      <c r="I1098" s="723">
        <f t="shared" si="34"/>
        <v>362896.47732007504</v>
      </c>
      <c r="J1098" s="723">
        <f t="shared" si="34"/>
        <v>2923242.7671800852</v>
      </c>
      <c r="K1098" s="723">
        <f t="shared" si="34"/>
        <v>2453601.2467701435</v>
      </c>
      <c r="L1098" s="723">
        <f t="shared" si="34"/>
        <v>5668193.6536899805</v>
      </c>
    </row>
    <row r="1105" spans="1:12">
      <c r="A1105"/>
      <c r="B1105"/>
      <c r="C1105"/>
      <c r="D1105"/>
      <c r="E1105"/>
      <c r="F1105"/>
      <c r="G1105"/>
      <c r="H1105"/>
      <c r="I1105"/>
      <c r="J1105"/>
      <c r="K1105"/>
      <c r="L1105"/>
    </row>
    <row r="1106" spans="1:12">
      <c r="A1106"/>
      <c r="B1106"/>
      <c r="C1106"/>
      <c r="D1106"/>
      <c r="E1106"/>
      <c r="F1106"/>
      <c r="G1106"/>
      <c r="H1106"/>
      <c r="I1106"/>
      <c r="J1106"/>
      <c r="K1106"/>
      <c r="L1106"/>
    </row>
    <row r="1107" spans="1:12">
      <c r="A1107"/>
      <c r="B1107"/>
      <c r="C1107"/>
      <c r="D1107"/>
      <c r="E1107"/>
      <c r="F1107"/>
      <c r="G1107"/>
      <c r="H1107"/>
      <c r="I1107"/>
      <c r="J1107"/>
      <c r="K1107"/>
      <c r="L1107"/>
    </row>
    <row r="1108" spans="1:12">
      <c r="A1108"/>
      <c r="B1108"/>
      <c r="C1108"/>
      <c r="D1108"/>
      <c r="E1108"/>
      <c r="F1108"/>
      <c r="G1108"/>
      <c r="H1108"/>
      <c r="I1108"/>
      <c r="J1108"/>
      <c r="K1108"/>
      <c r="L1108"/>
    </row>
    <row r="1109" spans="1:12">
      <c r="A1109"/>
      <c r="B1109"/>
      <c r="C1109"/>
      <c r="D1109"/>
      <c r="E1109"/>
      <c r="F1109"/>
      <c r="G1109"/>
      <c r="H1109"/>
      <c r="I1109"/>
      <c r="J1109"/>
      <c r="K1109"/>
      <c r="L1109"/>
    </row>
    <row r="1110" spans="1:12">
      <c r="A1110"/>
      <c r="B1110"/>
      <c r="C1110"/>
      <c r="D1110"/>
      <c r="E1110"/>
      <c r="F1110"/>
      <c r="G1110"/>
      <c r="H1110"/>
      <c r="I1110"/>
      <c r="J1110"/>
      <c r="K1110"/>
      <c r="L1110"/>
    </row>
    <row r="1111" spans="1:12">
      <c r="A1111"/>
      <c r="B1111"/>
      <c r="C1111"/>
      <c r="D1111"/>
      <c r="E1111"/>
      <c r="F1111"/>
      <c r="G1111"/>
      <c r="H1111"/>
      <c r="I1111"/>
      <c r="J1111"/>
      <c r="K1111"/>
      <c r="L1111"/>
    </row>
    <row r="1112" spans="1:12">
      <c r="A1112"/>
      <c r="B1112"/>
      <c r="C1112"/>
      <c r="D1112"/>
      <c r="E1112"/>
      <c r="F1112"/>
      <c r="G1112"/>
      <c r="H1112"/>
      <c r="I1112"/>
      <c r="J1112"/>
      <c r="K1112"/>
      <c r="L1112"/>
    </row>
    <row r="1113" spans="1:12">
      <c r="A1113"/>
      <c r="B1113"/>
      <c r="C1113"/>
      <c r="D1113"/>
      <c r="E1113"/>
      <c r="F1113"/>
      <c r="G1113"/>
      <c r="H1113"/>
      <c r="I1113"/>
      <c r="J1113"/>
      <c r="K1113"/>
      <c r="L1113"/>
    </row>
    <row r="1114" spans="1:12">
      <c r="A1114"/>
      <c r="B1114"/>
      <c r="C1114"/>
      <c r="D1114"/>
      <c r="E1114"/>
      <c r="F1114"/>
      <c r="G1114"/>
      <c r="H1114"/>
      <c r="I1114"/>
      <c r="J1114"/>
      <c r="K1114"/>
      <c r="L1114"/>
    </row>
    <row r="1115" spans="1:12">
      <c r="A1115"/>
      <c r="B1115"/>
      <c r="C1115"/>
      <c r="D1115"/>
      <c r="E1115"/>
      <c r="F1115"/>
      <c r="G1115"/>
      <c r="H1115"/>
      <c r="I1115"/>
      <c r="J1115"/>
      <c r="K1115"/>
      <c r="L1115"/>
    </row>
    <row r="1116" spans="1:12">
      <c r="A1116"/>
      <c r="B1116"/>
      <c r="C1116"/>
      <c r="D1116"/>
      <c r="E1116"/>
      <c r="F1116"/>
      <c r="G1116"/>
      <c r="H1116"/>
      <c r="I1116"/>
      <c r="J1116"/>
      <c r="K1116"/>
      <c r="L1116"/>
    </row>
    <row r="1117" spans="1:12">
      <c r="A1117"/>
      <c r="B1117"/>
      <c r="C1117"/>
      <c r="D1117"/>
      <c r="E1117"/>
      <c r="F1117"/>
      <c r="G1117"/>
      <c r="H1117"/>
      <c r="I1117"/>
      <c r="J1117"/>
      <c r="K1117"/>
      <c r="L1117"/>
    </row>
    <row r="1118" spans="1:12">
      <c r="A1118"/>
      <c r="B1118"/>
      <c r="C1118"/>
      <c r="D1118"/>
      <c r="E1118"/>
      <c r="F1118"/>
      <c r="G1118"/>
      <c r="H1118"/>
      <c r="I1118"/>
      <c r="J1118"/>
      <c r="K1118"/>
      <c r="L1118"/>
    </row>
    <row r="1119" spans="1:12">
      <c r="A1119"/>
      <c r="B1119"/>
      <c r="C1119"/>
      <c r="D1119"/>
      <c r="E1119"/>
      <c r="F1119"/>
      <c r="G1119"/>
      <c r="H1119"/>
      <c r="I1119"/>
      <c r="J1119"/>
      <c r="K1119"/>
      <c r="L1119"/>
    </row>
    <row r="1120" spans="1:12">
      <c r="A1120"/>
      <c r="B1120"/>
      <c r="C1120"/>
      <c r="D1120"/>
      <c r="E1120"/>
      <c r="F1120"/>
      <c r="G1120"/>
      <c r="H1120"/>
      <c r="I1120"/>
      <c r="J1120"/>
      <c r="K1120"/>
      <c r="L1120"/>
    </row>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sheetData>
  <phoneticPr fontId="15" type="noConversion"/>
  <pageMargins left="0.62992125984251968" right="0.23622047244094491" top="0.55118110236220474" bottom="0.55118110236220474" header="0.31496062992125984" footer="0.31496062992125984"/>
  <pageSetup paperSize="9" scale="59" fitToHeight="1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32"/>
  <sheetViews>
    <sheetView workbookViewId="0">
      <selection activeCell="F49" sqref="F49"/>
    </sheetView>
  </sheetViews>
  <sheetFormatPr defaultRowHeight="12.75"/>
  <cols>
    <col min="1" max="1" width="5.33203125" style="429" customWidth="1"/>
    <col min="2" max="2" width="12.6640625" style="429" bestFit="1" customWidth="1"/>
    <col min="3" max="3" width="59" style="637" customWidth="1"/>
    <col min="4" max="12" width="12.83203125" style="428" customWidth="1"/>
  </cols>
  <sheetData>
    <row r="1" spans="1:12">
      <c r="A1" s="91" t="s">
        <v>2061</v>
      </c>
      <c r="B1" s="4"/>
      <c r="C1" s="467"/>
    </row>
    <row r="2" spans="1:12">
      <c r="A2" s="91" t="s">
        <v>1986</v>
      </c>
      <c r="B2" s="4"/>
      <c r="C2" s="467"/>
    </row>
    <row r="3" spans="1:12">
      <c r="A3" s="92" t="s">
        <v>1987</v>
      </c>
      <c r="B3" s="4"/>
      <c r="C3" s="467"/>
    </row>
    <row r="4" spans="1:12">
      <c r="A4" s="92"/>
      <c r="B4" s="4"/>
      <c r="C4" s="467"/>
    </row>
    <row r="5" spans="1:12" ht="13.5" thickBot="1">
      <c r="A5" s="715" t="s">
        <v>1633</v>
      </c>
      <c r="B5" s="715" t="s">
        <v>1080</v>
      </c>
      <c r="C5" s="715" t="s">
        <v>1634</v>
      </c>
      <c r="D5" s="715">
        <v>2006</v>
      </c>
      <c r="E5" s="715">
        <v>2007</v>
      </c>
      <c r="F5" s="715">
        <v>2008</v>
      </c>
      <c r="G5" s="715">
        <v>2009</v>
      </c>
      <c r="H5" s="715">
        <v>2010</v>
      </c>
      <c r="I5" s="715">
        <v>2011</v>
      </c>
      <c r="J5" s="715">
        <v>2012</v>
      </c>
      <c r="K5" s="715">
        <v>2013</v>
      </c>
      <c r="L5" s="715">
        <v>2014</v>
      </c>
    </row>
    <row r="6" spans="1:12">
      <c r="A6" s="429" t="str">
        <f t="shared" ref="A6:A38" si="0">T("01")</f>
        <v>01</v>
      </c>
      <c r="B6" s="429" t="str">
        <f>T("0101001")</f>
        <v>0101001</v>
      </c>
      <c r="C6" s="637" t="str">
        <f>T("Kungliga hov- och slottsstaten")</f>
        <v>Kungliga hov- och slottsstaten</v>
      </c>
      <c r="D6" s="428">
        <v>97223.482999999993</v>
      </c>
      <c r="E6" s="428">
        <v>98015.617289999995</v>
      </c>
      <c r="F6" s="428">
        <v>109388.35172999999</v>
      </c>
      <c r="G6" s="428">
        <v>101990.50551</v>
      </c>
      <c r="H6" s="428">
        <v>141395.77043</v>
      </c>
      <c r="I6" s="428">
        <v>120725.08289999999</v>
      </c>
      <c r="J6" s="428">
        <v>123498.69435999999</v>
      </c>
      <c r="K6" s="428">
        <v>124394.38857</v>
      </c>
      <c r="L6" s="428">
        <v>126718.2503</v>
      </c>
    </row>
    <row r="7" spans="1:12">
      <c r="A7" s="429" t="str">
        <f t="shared" si="0"/>
        <v>01</v>
      </c>
      <c r="B7" s="429" t="str">
        <f>T("0102001")</f>
        <v>0102001</v>
      </c>
      <c r="C7" s="637" t="str">
        <f>T("Riksdagens ledamöter och partier m.m.")</f>
        <v>Riksdagens ledamöter och partier m.m.</v>
      </c>
      <c r="D7" s="428">
        <v>784106.77931999997</v>
      </c>
      <c r="E7" s="428">
        <v>776211.49109999998</v>
      </c>
      <c r="F7" s="428">
        <v>762280.78243999998</v>
      </c>
      <c r="G7" s="428">
        <v>760564.11075999995</v>
      </c>
      <c r="H7" s="428">
        <v>799608.07898999995</v>
      </c>
      <c r="I7" s="428">
        <v>834160.75864999997</v>
      </c>
      <c r="J7" s="428">
        <v>791850.15142000001</v>
      </c>
      <c r="K7" s="428">
        <v>801714.71479</v>
      </c>
      <c r="L7" s="428">
        <v>836908.36315999995</v>
      </c>
    </row>
    <row r="8" spans="1:12">
      <c r="A8" s="429" t="str">
        <f t="shared" si="0"/>
        <v>01</v>
      </c>
      <c r="B8" s="429" t="str">
        <f>T("0102002")</f>
        <v>0102002</v>
      </c>
      <c r="C8" s="637" t="str">
        <f>T("Riksdagens förvaltningsanslag")</f>
        <v>Riksdagens förvaltningsanslag</v>
      </c>
      <c r="D8" s="428">
        <v>593788.16798000003</v>
      </c>
      <c r="E8" s="428">
        <v>740289.68345999997</v>
      </c>
      <c r="F8" s="428">
        <v>588329.94009000005</v>
      </c>
      <c r="G8" s="428">
        <v>636471.18264999997</v>
      </c>
      <c r="H8" s="428">
        <v>657136.16853999998</v>
      </c>
      <c r="I8" s="428">
        <v>662470.29159000004</v>
      </c>
      <c r="J8" s="428">
        <v>661043.48953999998</v>
      </c>
      <c r="K8" s="428">
        <v>690137.81489000004</v>
      </c>
      <c r="L8" s="428">
        <v>703161.59791999997</v>
      </c>
    </row>
    <row r="9" spans="1:12">
      <c r="A9" s="429" t="str">
        <f t="shared" si="0"/>
        <v>01</v>
      </c>
      <c r="B9" s="429" t="str">
        <f>T("0102003")</f>
        <v>0102003</v>
      </c>
      <c r="C9" s="637" t="str">
        <f>T("Riksdagens fastighetsanslag")</f>
        <v>Riksdagens fastighetsanslag</v>
      </c>
      <c r="J9" s="428">
        <v>51933.694190000002</v>
      </c>
      <c r="K9" s="428">
        <v>56738.721920000004</v>
      </c>
      <c r="L9" s="428">
        <v>70040.227029999995</v>
      </c>
    </row>
    <row r="10" spans="1:12">
      <c r="A10" s="429" t="str">
        <f t="shared" si="0"/>
        <v>01</v>
      </c>
      <c r="B10" s="429" t="str">
        <f>T("0102004")</f>
        <v>0102004</v>
      </c>
      <c r="C10" s="637" t="str">
        <f>T("Riksdagens ombudsmän (JO)")</f>
        <v>Riksdagens ombudsmän (JO)</v>
      </c>
      <c r="D10" s="428">
        <v>57229.287479999999</v>
      </c>
      <c r="E10" s="428">
        <v>58942.067159999999</v>
      </c>
      <c r="F10" s="428">
        <v>61815.127189999999</v>
      </c>
      <c r="G10" s="428">
        <v>69161.099849999999</v>
      </c>
      <c r="H10" s="428">
        <v>68292.446320000003</v>
      </c>
      <c r="I10" s="428">
        <v>73994.553469999999</v>
      </c>
      <c r="J10" s="428">
        <v>78471.192169999995</v>
      </c>
      <c r="K10" s="428">
        <v>83272.487729999993</v>
      </c>
      <c r="L10" s="428">
        <v>85109.662930000006</v>
      </c>
    </row>
    <row r="11" spans="1:12">
      <c r="A11" s="429" t="str">
        <f t="shared" si="0"/>
        <v>01</v>
      </c>
      <c r="B11" s="429" t="str">
        <f>T("0103001")</f>
        <v>0103001</v>
      </c>
      <c r="C11" s="637" t="str">
        <f>T("Sametinget")</f>
        <v>Sametinget</v>
      </c>
      <c r="D11" s="428">
        <v>21362.67715</v>
      </c>
      <c r="E11" s="428">
        <v>25706.133010000001</v>
      </c>
      <c r="F11" s="428">
        <v>32472.14673</v>
      </c>
      <c r="G11" s="428">
        <v>34646.84779</v>
      </c>
      <c r="H11" s="428">
        <v>32538.447349999999</v>
      </c>
      <c r="I11" s="428">
        <v>35773.956720000002</v>
      </c>
      <c r="J11" s="428">
        <v>33779.11032</v>
      </c>
      <c r="K11" s="428">
        <v>39621.84057</v>
      </c>
      <c r="L11" s="428">
        <v>38906.714890000003</v>
      </c>
    </row>
    <row r="12" spans="1:12">
      <c r="A12" s="429" t="str">
        <f t="shared" si="0"/>
        <v>01</v>
      </c>
      <c r="B12" s="429" t="str">
        <f>T("0104001")</f>
        <v>0104001</v>
      </c>
      <c r="C12" s="637" t="str">
        <f>T("Regeringskansliet m.m.")</f>
        <v>Regeringskansliet m.m.</v>
      </c>
      <c r="D12" s="428">
        <v>5436715.8513399996</v>
      </c>
      <c r="E12" s="428">
        <v>5554905.2125700004</v>
      </c>
      <c r="F12" s="428">
        <v>6069408.1852399996</v>
      </c>
      <c r="G12" s="428">
        <v>6841788.5708299996</v>
      </c>
      <c r="H12" s="428">
        <v>6304569.7836499996</v>
      </c>
      <c r="I12" s="428">
        <v>6106040.4901900003</v>
      </c>
      <c r="J12" s="428">
        <v>6472776.7579500005</v>
      </c>
      <c r="K12" s="428">
        <v>6577099.4127200004</v>
      </c>
      <c r="L12" s="428">
        <v>6925592.2376899999</v>
      </c>
    </row>
    <row r="13" spans="1:12">
      <c r="A13" s="429" t="str">
        <f t="shared" si="0"/>
        <v>01</v>
      </c>
      <c r="B13" s="429" t="str">
        <f>T("0105001")</f>
        <v>0105001</v>
      </c>
      <c r="C13" s="637" t="str">
        <f>T("Länsstyrelserna m.m.")</f>
        <v>Länsstyrelserna m.m.</v>
      </c>
      <c r="D13" s="428">
        <v>2390377.0653499998</v>
      </c>
      <c r="E13" s="428">
        <v>2363224.1796400002</v>
      </c>
      <c r="F13" s="428">
        <v>2380312.8450699998</v>
      </c>
      <c r="G13" s="428">
        <v>2532229.4034799999</v>
      </c>
      <c r="H13" s="428">
        <v>2321494.0811000001</v>
      </c>
      <c r="I13" s="428">
        <v>2345629.2023900002</v>
      </c>
      <c r="J13" s="428">
        <v>2340394.7650000001</v>
      </c>
      <c r="K13" s="428">
        <v>2471827.6609299998</v>
      </c>
      <c r="L13" s="428">
        <v>2528732.5911699999</v>
      </c>
    </row>
    <row r="14" spans="1:12">
      <c r="A14" s="429" t="str">
        <f t="shared" si="0"/>
        <v>01</v>
      </c>
      <c r="B14" s="429" t="str">
        <f>T("0106001")</f>
        <v>0106001</v>
      </c>
      <c r="C14" s="637" t="str">
        <f>T("Allmänna val och demokrati")</f>
        <v>Allmänna val och demokrati</v>
      </c>
      <c r="D14" s="428">
        <v>282867.82738999999</v>
      </c>
      <c r="E14" s="428">
        <v>13619.75266</v>
      </c>
      <c r="F14" s="428">
        <v>24381.953509999999</v>
      </c>
      <c r="G14" s="428">
        <v>195340.2414</v>
      </c>
      <c r="H14" s="428">
        <v>272099.06530999998</v>
      </c>
      <c r="I14" s="428">
        <v>57122.862699999998</v>
      </c>
      <c r="J14" s="428">
        <v>29810.534380000001</v>
      </c>
      <c r="K14" s="428">
        <v>38682.383849999998</v>
      </c>
      <c r="L14" s="428">
        <v>629621.11569000001</v>
      </c>
    </row>
    <row r="15" spans="1:12">
      <c r="A15" s="429" t="str">
        <f t="shared" si="0"/>
        <v>01</v>
      </c>
      <c r="B15" s="429" t="str">
        <f>T("0106002")</f>
        <v>0106002</v>
      </c>
      <c r="C15" s="637" t="str">
        <f>T("Justitiekanslern")</f>
        <v>Justitiekanslern</v>
      </c>
      <c r="D15" s="428">
        <v>20753.903760000001</v>
      </c>
      <c r="E15" s="428">
        <v>22312.452829999998</v>
      </c>
      <c r="F15" s="428">
        <v>25328.275600000001</v>
      </c>
      <c r="G15" s="428">
        <v>26799.747220000001</v>
      </c>
      <c r="H15" s="428">
        <v>28590.718010000001</v>
      </c>
      <c r="I15" s="428">
        <v>28788.04292</v>
      </c>
      <c r="J15" s="428">
        <v>32709.602910000001</v>
      </c>
      <c r="K15" s="428">
        <v>35803.636400000003</v>
      </c>
      <c r="L15" s="428">
        <v>39626.608339999999</v>
      </c>
    </row>
    <row r="16" spans="1:12">
      <c r="A16" s="429" t="str">
        <f t="shared" si="0"/>
        <v>01</v>
      </c>
      <c r="B16" s="429" t="str">
        <f>T("0106003")</f>
        <v>0106003</v>
      </c>
      <c r="C16" s="637" t="str">
        <f>T("Datainspektionen")</f>
        <v>Datainspektionen</v>
      </c>
      <c r="D16" s="428">
        <v>28596.115450000001</v>
      </c>
      <c r="E16" s="428">
        <v>32538.903139999999</v>
      </c>
      <c r="F16" s="428">
        <v>31341.226699999999</v>
      </c>
      <c r="G16" s="428">
        <v>33307.017720000003</v>
      </c>
      <c r="H16" s="428">
        <v>33529.907890000002</v>
      </c>
      <c r="I16" s="428">
        <v>36750.301850000003</v>
      </c>
      <c r="J16" s="428">
        <v>37061.971210000003</v>
      </c>
      <c r="K16" s="428">
        <v>39144.778859999999</v>
      </c>
      <c r="L16" s="428">
        <v>41887.108520000002</v>
      </c>
    </row>
    <row r="17" spans="1:12">
      <c r="A17" s="429" t="str">
        <f t="shared" si="0"/>
        <v>01</v>
      </c>
      <c r="B17" s="429" t="str">
        <f>T("0106004")</f>
        <v>0106004</v>
      </c>
      <c r="C17" s="637" t="str">
        <f>T("Svensk författningssamling")</f>
        <v>Svensk författningssamling</v>
      </c>
      <c r="D17" s="428">
        <v>747.32539999999995</v>
      </c>
      <c r="E17" s="428">
        <v>650.73554999999999</v>
      </c>
      <c r="F17" s="428">
        <v>776.47550000000001</v>
      </c>
      <c r="G17" s="428">
        <v>961.53020000000004</v>
      </c>
      <c r="H17" s="428">
        <v>1156.41228</v>
      </c>
      <c r="I17" s="428">
        <v>1153.6320800000001</v>
      </c>
      <c r="J17" s="428">
        <v>1159.8934200000001</v>
      </c>
      <c r="K17" s="428">
        <v>1075.2047500000001</v>
      </c>
      <c r="L17" s="428">
        <v>1084.1895999999999</v>
      </c>
    </row>
    <row r="18" spans="1:12">
      <c r="A18" s="429" t="str">
        <f t="shared" si="0"/>
        <v>01</v>
      </c>
      <c r="B18" s="429" t="str">
        <f>T("0106005")</f>
        <v>0106005</v>
      </c>
      <c r="C18" s="637" t="str">
        <f>T("Valmyndigheten")</f>
        <v>Valmyndigheten</v>
      </c>
      <c r="D18" s="428">
        <v>13281.86196</v>
      </c>
      <c r="E18" s="428">
        <v>14035.49713</v>
      </c>
      <c r="F18" s="428">
        <v>14202.01324</v>
      </c>
      <c r="G18" s="428">
        <v>13338.962</v>
      </c>
      <c r="H18" s="428">
        <v>14076.39481</v>
      </c>
      <c r="I18" s="428">
        <v>15261.34029</v>
      </c>
      <c r="J18" s="428">
        <v>17649.337159999999</v>
      </c>
      <c r="K18" s="428">
        <v>19259.28615</v>
      </c>
      <c r="L18" s="428">
        <v>20014.32648</v>
      </c>
    </row>
    <row r="19" spans="1:12">
      <c r="A19" s="429" t="str">
        <f t="shared" si="0"/>
        <v>01</v>
      </c>
      <c r="B19" s="429" t="str">
        <f>T("0106006")</f>
        <v>0106006</v>
      </c>
      <c r="C19" s="637" t="str">
        <f>T("Stöd till politiska partier")</f>
        <v>Stöd till politiska partier</v>
      </c>
      <c r="D19" s="428">
        <v>164629.04999999999</v>
      </c>
      <c r="E19" s="428">
        <v>157884.223</v>
      </c>
      <c r="F19" s="428">
        <v>171885.00200000001</v>
      </c>
      <c r="G19" s="428">
        <v>165009.60000000001</v>
      </c>
      <c r="H19" s="428">
        <v>166553.66099999999</v>
      </c>
      <c r="I19" s="428">
        <v>171102.52499999999</v>
      </c>
      <c r="J19" s="428">
        <v>170602.57800000001</v>
      </c>
      <c r="K19" s="428">
        <v>169852.65</v>
      </c>
      <c r="L19" s="428">
        <v>170005.53700000001</v>
      </c>
    </row>
    <row r="20" spans="1:12">
      <c r="A20" s="429" t="str">
        <f t="shared" si="0"/>
        <v>01</v>
      </c>
      <c r="B20" s="429" t="str">
        <f>T("0107001")</f>
        <v>0107001</v>
      </c>
      <c r="C20" s="637" t="str">
        <f>T("Åtgärder för nationella minoriteter")</f>
        <v>Åtgärder för nationella minoriteter</v>
      </c>
      <c r="D20" s="428">
        <v>10652.299919999999</v>
      </c>
      <c r="E20" s="428">
        <v>11168.52851</v>
      </c>
      <c r="F20" s="428">
        <v>14417.532929999999</v>
      </c>
      <c r="G20" s="428">
        <v>14223.94937</v>
      </c>
      <c r="H20" s="428">
        <v>70192.068490000005</v>
      </c>
      <c r="I20" s="428">
        <v>85128.941269999996</v>
      </c>
      <c r="J20" s="428">
        <v>88015.807239999995</v>
      </c>
      <c r="K20" s="428">
        <v>96201.441179999994</v>
      </c>
      <c r="L20" s="428">
        <v>96663.554010000007</v>
      </c>
    </row>
    <row r="21" spans="1:12">
      <c r="A21" s="429" t="str">
        <f t="shared" si="0"/>
        <v>01</v>
      </c>
      <c r="B21" s="429" t="str">
        <f>T("0107002")</f>
        <v>0107002</v>
      </c>
      <c r="C21" s="637" t="str">
        <f>T("Åtgärder för den nationella minoriteten romer")</f>
        <v>Åtgärder för den nationella minoriteten romer</v>
      </c>
      <c r="J21" s="428">
        <v>11342.55746</v>
      </c>
      <c r="K21" s="428">
        <v>11357.52622</v>
      </c>
      <c r="L21" s="428">
        <v>16381.044</v>
      </c>
    </row>
    <row r="22" spans="1:12">
      <c r="A22" s="429" t="str">
        <f t="shared" si="0"/>
        <v>01</v>
      </c>
      <c r="B22" s="429" t="str">
        <f>T("0108001")</f>
        <v>0108001</v>
      </c>
      <c r="C22" s="637" t="str">
        <f>T("Presstödsnämnden")</f>
        <v>Presstödsnämnden</v>
      </c>
      <c r="D22" s="428">
        <v>5625.3616700000002</v>
      </c>
      <c r="E22" s="428">
        <v>5254.3028000000004</v>
      </c>
      <c r="F22" s="428">
        <v>6468.0990000000002</v>
      </c>
      <c r="G22" s="428">
        <v>6279.8376200000002</v>
      </c>
      <c r="H22" s="428">
        <v>6501.2147299999997</v>
      </c>
      <c r="I22" s="428">
        <v>5846.2022100000004</v>
      </c>
      <c r="J22" s="428">
        <v>6617.2795500000002</v>
      </c>
      <c r="K22" s="428">
        <v>6484.0210800000004</v>
      </c>
      <c r="L22" s="428">
        <v>6572.1824500000002</v>
      </c>
    </row>
    <row r="23" spans="1:12">
      <c r="A23" s="429" t="str">
        <f t="shared" si="0"/>
        <v>01</v>
      </c>
      <c r="B23" s="429" t="str">
        <f>T("0108002")</f>
        <v>0108002</v>
      </c>
      <c r="C23" s="637" t="str">
        <f>T("Presstöd")</f>
        <v>Presstöd</v>
      </c>
      <c r="D23" s="428">
        <v>512243.359</v>
      </c>
      <c r="E23" s="428">
        <v>515391.25799999997</v>
      </c>
      <c r="F23" s="428">
        <v>502847.26299999998</v>
      </c>
      <c r="G23" s="428">
        <v>550946.02500000002</v>
      </c>
      <c r="H23" s="428">
        <v>569537.81999999995</v>
      </c>
      <c r="I23" s="428">
        <v>565124.89</v>
      </c>
      <c r="J23" s="428">
        <v>535322.88</v>
      </c>
      <c r="K23" s="428">
        <v>517510.22768000001</v>
      </c>
      <c r="L23" s="428">
        <v>519012.86933000002</v>
      </c>
    </row>
    <row r="24" spans="1:12">
      <c r="A24" s="429" t="str">
        <f t="shared" si="0"/>
        <v>01</v>
      </c>
      <c r="B24" s="429" t="str">
        <f>T("0108003")</f>
        <v>0108003</v>
      </c>
      <c r="C24" s="637" t="str">
        <f>T("Myndigheten för radio och tv")</f>
        <v>Myndigheten för radio och tv</v>
      </c>
      <c r="I24" s="428">
        <v>24241.09881</v>
      </c>
      <c r="J24" s="428">
        <v>26015.861629999999</v>
      </c>
      <c r="K24" s="428">
        <v>24415.508160000001</v>
      </c>
      <c r="L24" s="428">
        <v>26864.048340000001</v>
      </c>
    </row>
    <row r="25" spans="1:12">
      <c r="A25" s="429" t="str">
        <f t="shared" si="0"/>
        <v>01</v>
      </c>
      <c r="B25" s="429" t="str">
        <f>T("0108003 2010")</f>
        <v>0108003 2010</v>
      </c>
      <c r="C25" s="637" t="str">
        <f>T("Stöd till radio- och kassettidningar")</f>
        <v>Stöd till radio- och kassettidningar</v>
      </c>
      <c r="D25" s="428">
        <v>134801.82631</v>
      </c>
      <c r="E25" s="428">
        <v>134056.78787</v>
      </c>
      <c r="F25" s="428">
        <v>132388.69216000001</v>
      </c>
      <c r="G25" s="428">
        <v>127000.47345999999</v>
      </c>
      <c r="H25" s="428">
        <v>125135.22033</v>
      </c>
    </row>
    <row r="26" spans="1:12">
      <c r="A26" s="429" t="str">
        <f t="shared" si="0"/>
        <v>01</v>
      </c>
      <c r="B26" s="429" t="str">
        <f>T("0108004 2010")</f>
        <v>0108004 2010</v>
      </c>
      <c r="C26" s="637" t="str">
        <f>T("Radio- och TV-verket")</f>
        <v>Radio- och TV-verket</v>
      </c>
      <c r="D26" s="428">
        <v>12107.876850000001</v>
      </c>
      <c r="E26" s="428">
        <v>12024.13564</v>
      </c>
      <c r="F26" s="428">
        <v>14255.948920000001</v>
      </c>
      <c r="G26" s="428">
        <v>13124.621080000001</v>
      </c>
      <c r="H26" s="428">
        <v>13547.065629999999</v>
      </c>
      <c r="I26" s="428">
        <v>-140.47811999999999</v>
      </c>
    </row>
    <row r="27" spans="1:12">
      <c r="A27" s="429" t="str">
        <f t="shared" si="0"/>
        <v>01</v>
      </c>
      <c r="B27" s="429" t="str">
        <f>T("0108005 2010")</f>
        <v>0108005 2010</v>
      </c>
      <c r="C27" s="637" t="str">
        <f>T("Granskningsnämnden för radio och TV")</f>
        <v>Granskningsnämnden för radio och TV</v>
      </c>
      <c r="D27" s="428">
        <v>9549.5647700000009</v>
      </c>
      <c r="E27" s="428">
        <v>9613.1970999999994</v>
      </c>
      <c r="F27" s="428">
        <v>10284.44693</v>
      </c>
      <c r="G27" s="428">
        <v>10627.646220000001</v>
      </c>
      <c r="H27" s="428">
        <v>12033.905919999999</v>
      </c>
      <c r="I27" s="428">
        <v>-39.465919999999997</v>
      </c>
    </row>
    <row r="28" spans="1:12">
      <c r="A28" s="429" t="str">
        <f t="shared" si="0"/>
        <v>01</v>
      </c>
      <c r="B28" s="429" t="str">
        <f>T("0109001")</f>
        <v>0109001</v>
      </c>
      <c r="C28" s="637" t="str">
        <f>T("Svenska institutet för europapolitiska studier samt EU-information")</f>
        <v>Svenska institutet för europapolitiska studier samt EU-information</v>
      </c>
      <c r="D28" s="428">
        <v>23653.112939999999</v>
      </c>
      <c r="E28" s="428">
        <v>13252.572899999999</v>
      </c>
      <c r="F28" s="428">
        <v>13013.6828</v>
      </c>
      <c r="G28" s="428">
        <v>18025.16228</v>
      </c>
      <c r="H28" s="428">
        <v>18520.781719999999</v>
      </c>
      <c r="I28" s="428">
        <v>19071.452829999998</v>
      </c>
      <c r="J28" s="428">
        <v>18827.543819999999</v>
      </c>
      <c r="K28" s="428">
        <v>18621.141619999999</v>
      </c>
      <c r="L28" s="428">
        <v>19517.274509999999</v>
      </c>
    </row>
    <row r="29" spans="1:12">
      <c r="A29" s="429" t="str">
        <f t="shared" si="0"/>
        <v>01</v>
      </c>
      <c r="B29" s="429" t="str">
        <f>T("013202 2007")</f>
        <v>013202 2007</v>
      </c>
      <c r="C29" s="637" t="str">
        <f>T("Kommunala samverkansorgan m.m.")</f>
        <v>Kommunala samverkansorgan m.m.</v>
      </c>
      <c r="D29" s="428">
        <v>36477</v>
      </c>
      <c r="E29" s="428">
        <v>34977</v>
      </c>
    </row>
    <row r="30" spans="1:12">
      <c r="A30" s="429" t="str">
        <f t="shared" si="0"/>
        <v>01</v>
      </c>
      <c r="B30" s="429" t="str">
        <f>T("014606 2003")</f>
        <v>014606 2003</v>
      </c>
      <c r="C30" s="637" t="str">
        <f>T("Folkomröstning om införande av euron")</f>
        <v>Folkomröstning om införande av euron</v>
      </c>
    </row>
    <row r="31" spans="1:12">
      <c r="A31" s="429" t="str">
        <f t="shared" si="0"/>
        <v>01</v>
      </c>
      <c r="B31" s="429" t="str">
        <f>T("019008 2003")</f>
        <v>019008 2003</v>
      </c>
      <c r="C31" s="637" t="str">
        <f>T("Kampanjkostnader m.m. för folkomröstning om införande av euron")</f>
        <v>Kampanjkostnader m.m. för folkomröstning om införande av euron</v>
      </c>
    </row>
    <row r="32" spans="1:12">
      <c r="A32" s="429" t="str">
        <f t="shared" si="0"/>
        <v>01</v>
      </c>
      <c r="B32" s="429" t="str">
        <f>T("01B002 9596")</f>
        <v>01B002 9596</v>
      </c>
      <c r="C32" s="637" t="str">
        <f>T("Samarbete och utveckling inom Östersjöregionen")</f>
        <v>Samarbete och utveckling inom Östersjöregionen</v>
      </c>
    </row>
    <row r="33" spans="1:12">
      <c r="A33" s="429" t="str">
        <f t="shared" si="0"/>
        <v>01</v>
      </c>
      <c r="B33" s="429" t="str">
        <f>T("01F001 1999")</f>
        <v>01F001 1999</v>
      </c>
      <c r="C33" s="637" t="str">
        <f>T("Samarbete och utveckling inom Östersjöregionen")</f>
        <v>Samarbete och utveckling inom Östersjöregionen</v>
      </c>
    </row>
    <row r="34" spans="1:12">
      <c r="A34" s="429" t="str">
        <f t="shared" si="0"/>
        <v>01</v>
      </c>
      <c r="B34" s="429" t="str">
        <f>T("050501 2001")</f>
        <v>050501 2001</v>
      </c>
      <c r="C34" s="637" t="str">
        <f>T("Utrikesförvaltningen")</f>
        <v>Utrikesförvaltningen</v>
      </c>
    </row>
    <row r="35" spans="1:12">
      <c r="A35" s="429" t="str">
        <f t="shared" si="0"/>
        <v>01</v>
      </c>
      <c r="B35" s="429" t="str">
        <f>T("11C034 9596")</f>
        <v>11C034 9596</v>
      </c>
      <c r="C35" s="637" t="str">
        <f>T("Utvecklingsstöd till dagspressen")</f>
        <v>Utvecklingsstöd till dagspressen</v>
      </c>
    </row>
    <row r="36" spans="1:12">
      <c r="A36" s="429" t="str">
        <f t="shared" si="0"/>
        <v>01</v>
      </c>
      <c r="B36" s="429" t="str">
        <f>T("11C037 9596")</f>
        <v>11C037 9596</v>
      </c>
      <c r="C36" s="637" t="str">
        <f>T("Stöd till radio- och kassettidningar")</f>
        <v>Stöd till radio- och kassettidningar</v>
      </c>
    </row>
    <row r="37" spans="1:12">
      <c r="A37" s="429" t="str">
        <f t="shared" si="0"/>
        <v>01</v>
      </c>
      <c r="B37" s="429" t="str">
        <f>T("15A002 9596")</f>
        <v>15A002 9596</v>
      </c>
      <c r="C37" s="637" t="str">
        <f>T("Riksdagsutskottens resor utom Sverige")</f>
        <v>Riksdagsutskottens resor utom Sverige</v>
      </c>
    </row>
    <row r="38" spans="1:12">
      <c r="A38" s="429" t="str">
        <f t="shared" si="0"/>
        <v>01</v>
      </c>
      <c r="B38" s="429" t="str">
        <f>T("15A004 9596")</f>
        <v>15A004 9596</v>
      </c>
      <c r="C38" s="637" t="str">
        <f>T("Riksdagens byggnader m.m")</f>
        <v>Riksdagens byggnader m.m</v>
      </c>
    </row>
    <row r="39" spans="1:12">
      <c r="A39" s="430" t="s">
        <v>1635</v>
      </c>
      <c r="B39" s="430"/>
      <c r="C39" s="430" t="str">
        <f>T("Rikets styrelse")</f>
        <v>Rikets styrelse</v>
      </c>
      <c r="D39" s="431">
        <v>10636789.797040001</v>
      </c>
      <c r="E39" s="431">
        <v>10594073.73136</v>
      </c>
      <c r="F39" s="431">
        <v>10965597.99078</v>
      </c>
      <c r="G39" s="431">
        <v>12151836.53444</v>
      </c>
      <c r="H39" s="431">
        <v>11656509.012499999</v>
      </c>
      <c r="I39" s="431">
        <v>11188205.68183</v>
      </c>
      <c r="J39" s="431">
        <v>11528883.70173</v>
      </c>
      <c r="K39" s="431">
        <v>11823214.848069999</v>
      </c>
      <c r="L39" s="431">
        <v>12902419.50336</v>
      </c>
    </row>
    <row r="40" spans="1:12">
      <c r="A40" s="429" t="str">
        <f t="shared" ref="A40:A94" si="1">T("02")</f>
        <v>02</v>
      </c>
      <c r="B40" s="429" t="str">
        <f>T("0201001")</f>
        <v>0201001</v>
      </c>
      <c r="C40" s="637" t="str">
        <f>T("Statskontoret")</f>
        <v>Statskontoret</v>
      </c>
      <c r="D40" s="428">
        <v>60591.300380000001</v>
      </c>
      <c r="E40" s="428">
        <v>55959.592909999999</v>
      </c>
      <c r="F40" s="428">
        <v>58829.553200000002</v>
      </c>
      <c r="G40" s="428">
        <v>81277.438620000001</v>
      </c>
      <c r="H40" s="428">
        <v>80892.464699999997</v>
      </c>
      <c r="I40" s="428">
        <v>84673.567909999998</v>
      </c>
      <c r="J40" s="428">
        <v>86391.44339</v>
      </c>
      <c r="K40" s="428">
        <v>89185.061870000005</v>
      </c>
      <c r="L40" s="428">
        <v>83888.404970000003</v>
      </c>
    </row>
    <row r="41" spans="1:12">
      <c r="A41" s="429" t="str">
        <f t="shared" si="1"/>
        <v>02</v>
      </c>
      <c r="B41" s="429" t="str">
        <f>T("0201002")</f>
        <v>0201002</v>
      </c>
      <c r="C41" s="637" t="str">
        <f>T("Kammarkollegiet")</f>
        <v>Kammarkollegiet</v>
      </c>
      <c r="D41" s="428">
        <v>27775.138709999999</v>
      </c>
      <c r="E41" s="428">
        <v>30236.68202</v>
      </c>
      <c r="F41" s="428">
        <v>33498.397660000002</v>
      </c>
      <c r="G41" s="428">
        <v>46880.044909999997</v>
      </c>
      <c r="H41" s="428">
        <v>55831.798210000001</v>
      </c>
      <c r="I41" s="428">
        <v>72055.176319999999</v>
      </c>
      <c r="J41" s="428">
        <v>61347.843359999999</v>
      </c>
      <c r="K41" s="428">
        <v>66700.077919999996</v>
      </c>
      <c r="L41" s="428">
        <v>70988.278579999998</v>
      </c>
    </row>
    <row r="42" spans="1:12">
      <c r="A42" s="429" t="str">
        <f t="shared" si="1"/>
        <v>02</v>
      </c>
      <c r="B42" s="429" t="str">
        <f>T("0201003")</f>
        <v>0201003</v>
      </c>
      <c r="C42" s="637" t="str">
        <f>T("Verksamhetsstöd för den statliga budgetprocessen")</f>
        <v>Verksamhetsstöd för den statliga budgetprocessen</v>
      </c>
      <c r="I42" s="428">
        <v>38921.217219999999</v>
      </c>
      <c r="J42" s="428">
        <v>39705.830309999998</v>
      </c>
      <c r="K42" s="428">
        <v>43282.792500000003</v>
      </c>
      <c r="L42" s="428">
        <v>42044.384899999997</v>
      </c>
    </row>
    <row r="43" spans="1:12">
      <c r="A43" s="429" t="str">
        <f t="shared" si="1"/>
        <v>02</v>
      </c>
      <c r="B43" s="429" t="str">
        <f>T("0201003 2010")</f>
        <v>0201003 2010</v>
      </c>
      <c r="C43" s="637" t="str">
        <f>T("Avveckling av Verket för förvaltningsutveckling")</f>
        <v>Avveckling av Verket för förvaltningsutveckling</v>
      </c>
      <c r="D43" s="428">
        <v>49650.790529999998</v>
      </c>
      <c r="E43" s="428">
        <v>56425.917869999997</v>
      </c>
      <c r="F43" s="428">
        <v>56556.886910000001</v>
      </c>
      <c r="G43" s="428">
        <v>37681.14284</v>
      </c>
      <c r="H43" s="428">
        <v>10928.83668</v>
      </c>
      <c r="I43" s="428">
        <v>338.79228999999998</v>
      </c>
    </row>
    <row r="44" spans="1:12">
      <c r="A44" s="429" t="str">
        <f t="shared" si="1"/>
        <v>02</v>
      </c>
      <c r="B44" s="429" t="str">
        <f>T("0201004")</f>
        <v>0201004</v>
      </c>
      <c r="C44" s="637" t="str">
        <f>T("Arbetsgivarpolitiska frågor")</f>
        <v>Arbetsgivarpolitiska frågor</v>
      </c>
      <c r="D44" s="428">
        <v>7734.14</v>
      </c>
      <c r="E44" s="428">
        <v>6230.4066300000004</v>
      </c>
      <c r="F44" s="428">
        <v>1976.7324000000001</v>
      </c>
      <c r="G44" s="428">
        <v>12787.242399999999</v>
      </c>
      <c r="H44" s="428">
        <v>17040.541710000001</v>
      </c>
      <c r="I44" s="428">
        <v>2699.2014600000002</v>
      </c>
      <c r="J44" s="428">
        <v>1656.23506</v>
      </c>
      <c r="K44" s="428">
        <v>1511.3628699999999</v>
      </c>
      <c r="L44" s="428">
        <v>1552.24902</v>
      </c>
    </row>
    <row r="45" spans="1:12">
      <c r="A45" s="429" t="str">
        <f t="shared" si="1"/>
        <v>02</v>
      </c>
      <c r="B45" s="429" t="str">
        <f>T("0201005")</f>
        <v>0201005</v>
      </c>
      <c r="C45" s="637" t="str">
        <f>T("Statliga tjänstepensioner m.m.")</f>
        <v>Statliga tjänstepensioner m.m.</v>
      </c>
      <c r="D45" s="428">
        <v>8624255.8194299992</v>
      </c>
      <c r="E45" s="428">
        <v>8899345.7966699991</v>
      </c>
      <c r="F45" s="428">
        <v>9460713.4193500001</v>
      </c>
      <c r="G45" s="428">
        <v>9992481.6888100002</v>
      </c>
      <c r="H45" s="428">
        <v>10101406.07495</v>
      </c>
      <c r="I45" s="428">
        <v>10678486.16089</v>
      </c>
      <c r="J45" s="428">
        <v>11271008.271779999</v>
      </c>
      <c r="K45" s="428">
        <v>11351458.98215</v>
      </c>
      <c r="L45" s="428">
        <v>11856755.48945</v>
      </c>
    </row>
    <row r="46" spans="1:12">
      <c r="A46" s="429" t="str">
        <f t="shared" si="1"/>
        <v>02</v>
      </c>
      <c r="B46" s="429" t="str">
        <f>T("0201006")</f>
        <v>0201006</v>
      </c>
      <c r="C46" s="637" t="str">
        <f>T("Finanspolitiska rådet")</f>
        <v>Finanspolitiska rådet</v>
      </c>
      <c r="E46" s="428">
        <v>1480.01502</v>
      </c>
      <c r="F46" s="428">
        <v>6287.9775200000004</v>
      </c>
      <c r="G46" s="428">
        <v>6572.1881599999997</v>
      </c>
      <c r="H46" s="428">
        <v>7569.1517899999999</v>
      </c>
      <c r="I46" s="428">
        <v>7427.6695399999999</v>
      </c>
      <c r="J46" s="428">
        <v>8674.9916499999999</v>
      </c>
      <c r="K46" s="428">
        <v>9104.9881800000003</v>
      </c>
      <c r="L46" s="428">
        <v>9591.5819900000006</v>
      </c>
    </row>
    <row r="47" spans="1:12">
      <c r="A47" s="429" t="str">
        <f t="shared" si="1"/>
        <v>02</v>
      </c>
      <c r="B47" s="429" t="str">
        <f>T("0201007")</f>
        <v>0201007</v>
      </c>
      <c r="C47" s="637" t="str">
        <f>T("Konjunkturinstitutet")</f>
        <v>Konjunkturinstitutet</v>
      </c>
      <c r="D47" s="428">
        <v>48110.930979999997</v>
      </c>
      <c r="E47" s="428">
        <v>46226.639179999998</v>
      </c>
      <c r="F47" s="428">
        <v>50434.653429999998</v>
      </c>
      <c r="G47" s="428">
        <v>50670.949569999997</v>
      </c>
      <c r="H47" s="428">
        <v>52310.410279999996</v>
      </c>
      <c r="I47" s="428">
        <v>52195.964690000001</v>
      </c>
      <c r="J47" s="428">
        <v>55309.427329999999</v>
      </c>
      <c r="K47" s="428">
        <v>57333.509149999998</v>
      </c>
      <c r="L47" s="428">
        <v>60793.572350000002</v>
      </c>
    </row>
    <row r="48" spans="1:12">
      <c r="A48" s="429" t="str">
        <f t="shared" si="1"/>
        <v>02</v>
      </c>
      <c r="B48" s="429" t="str">
        <f>T("0201008")</f>
        <v>0201008</v>
      </c>
      <c r="C48" s="637" t="str">
        <f>T("Ekonomistyrningsverket")</f>
        <v>Ekonomistyrningsverket</v>
      </c>
      <c r="D48" s="428">
        <v>102030.33408</v>
      </c>
      <c r="E48" s="428">
        <v>105149.43936999999</v>
      </c>
      <c r="F48" s="428">
        <v>108600.60099000001</v>
      </c>
      <c r="G48" s="428">
        <v>116641.55401000001</v>
      </c>
      <c r="H48" s="428">
        <v>116450.87144</v>
      </c>
      <c r="I48" s="428">
        <v>99703.842180000007</v>
      </c>
      <c r="J48" s="428">
        <v>109238.40502000001</v>
      </c>
      <c r="K48" s="428">
        <v>108431.71502</v>
      </c>
      <c r="L48" s="428">
        <v>114408.90068999999</v>
      </c>
    </row>
    <row r="49" spans="1:12">
      <c r="A49" s="429" t="str">
        <f t="shared" si="1"/>
        <v>02</v>
      </c>
      <c r="B49" s="429" t="str">
        <f>T("0201009")</f>
        <v>0201009</v>
      </c>
      <c r="C49" s="637" t="str">
        <f>T("Statistiska centralbyrån")</f>
        <v>Statistiska centralbyrån</v>
      </c>
      <c r="D49" s="428">
        <v>440584.03779999999</v>
      </c>
      <c r="E49" s="428">
        <v>472676.39840000001</v>
      </c>
      <c r="F49" s="428">
        <v>487451.30300000001</v>
      </c>
      <c r="G49" s="428">
        <v>501014.16574000003</v>
      </c>
      <c r="H49" s="428">
        <v>492578.20692999999</v>
      </c>
      <c r="I49" s="428">
        <v>525961.57074</v>
      </c>
      <c r="J49" s="428">
        <v>559008.31000000006</v>
      </c>
      <c r="K49" s="428">
        <v>530850.68599999999</v>
      </c>
      <c r="L49" s="428">
        <v>540980.33499999996</v>
      </c>
    </row>
    <row r="50" spans="1:12">
      <c r="A50" s="429" t="str">
        <f t="shared" si="1"/>
        <v>02</v>
      </c>
      <c r="B50" s="429" t="str">
        <f>T("0201010")</f>
        <v>0201010</v>
      </c>
      <c r="C50" s="637" t="str">
        <f>T("Bidragsfastigheter")</f>
        <v>Bidragsfastigheter</v>
      </c>
      <c r="E50" s="428">
        <v>245374.10070000001</v>
      </c>
      <c r="F50" s="428">
        <v>290219.59850000002</v>
      </c>
      <c r="G50" s="428">
        <v>304126.69133</v>
      </c>
      <c r="H50" s="428">
        <v>282931.71454000002</v>
      </c>
      <c r="I50" s="428">
        <v>340567.69487000001</v>
      </c>
      <c r="J50" s="428">
        <v>349787.38939000003</v>
      </c>
      <c r="K50" s="428">
        <v>332851.92619000003</v>
      </c>
      <c r="L50" s="428">
        <v>330375.14451999997</v>
      </c>
    </row>
    <row r="51" spans="1:12">
      <c r="A51" s="429" t="str">
        <f t="shared" si="1"/>
        <v>02</v>
      </c>
      <c r="B51" s="429" t="str">
        <f>T("0201011")</f>
        <v>0201011</v>
      </c>
      <c r="C51" s="637" t="str">
        <f>T("Finansinspektionen")</f>
        <v>Finansinspektionen</v>
      </c>
      <c r="D51" s="428">
        <v>180731.20613999999</v>
      </c>
      <c r="E51" s="428">
        <v>202179.70347000001</v>
      </c>
      <c r="F51" s="428">
        <v>213258.14374999999</v>
      </c>
      <c r="G51" s="428">
        <v>237964.81786000001</v>
      </c>
      <c r="H51" s="428">
        <v>263301.37167999998</v>
      </c>
      <c r="I51" s="428">
        <v>299312.57629</v>
      </c>
      <c r="J51" s="428">
        <v>305875.63400999998</v>
      </c>
      <c r="K51" s="428">
        <v>333406.04596000002</v>
      </c>
      <c r="L51" s="428">
        <v>408433.70367999998</v>
      </c>
    </row>
    <row r="52" spans="1:12">
      <c r="A52" s="429" t="str">
        <f t="shared" si="1"/>
        <v>02</v>
      </c>
      <c r="B52" s="429" t="str">
        <f>T("0201012")</f>
        <v>0201012</v>
      </c>
      <c r="C52" s="637" t="str">
        <f>T("Riksgäldskontoret")</f>
        <v>Riksgäldskontoret</v>
      </c>
      <c r="D52" s="428">
        <v>264650.12024000002</v>
      </c>
      <c r="E52" s="428">
        <v>269197.1459</v>
      </c>
      <c r="F52" s="428">
        <v>281531.08916999999</v>
      </c>
      <c r="G52" s="428">
        <v>259587.05179</v>
      </c>
      <c r="H52" s="428">
        <v>282882.07877000002</v>
      </c>
      <c r="I52" s="428">
        <v>302227.08374999999</v>
      </c>
      <c r="J52" s="428">
        <v>291423.01522</v>
      </c>
      <c r="K52" s="428">
        <v>281471.04574999999</v>
      </c>
      <c r="L52" s="428">
        <v>253014.77817000001</v>
      </c>
    </row>
    <row r="53" spans="1:12">
      <c r="A53" s="429" t="str">
        <f t="shared" si="1"/>
        <v>02</v>
      </c>
      <c r="B53" s="429" t="str">
        <f>T("0201013")</f>
        <v>0201013</v>
      </c>
      <c r="C53" s="637" t="str">
        <f>T("Bokföringsnämnden")</f>
        <v>Bokföringsnämnden</v>
      </c>
      <c r="D53" s="428">
        <v>7378.9068200000002</v>
      </c>
      <c r="E53" s="428">
        <v>7984.2551999999996</v>
      </c>
      <c r="F53" s="428">
        <v>8156.0972700000002</v>
      </c>
      <c r="G53" s="428">
        <v>8640.2822699999997</v>
      </c>
      <c r="H53" s="428">
        <v>9154.1481000000003</v>
      </c>
      <c r="I53" s="428">
        <v>13594.741690000001</v>
      </c>
      <c r="J53" s="428">
        <v>11127.32991</v>
      </c>
      <c r="K53" s="428">
        <v>10378.497020000001</v>
      </c>
      <c r="L53" s="428">
        <v>9476.1072299999996</v>
      </c>
    </row>
    <row r="54" spans="1:12">
      <c r="A54" s="429" t="str">
        <f t="shared" si="1"/>
        <v>02</v>
      </c>
      <c r="B54" s="429" t="str">
        <f>T("0201014")</f>
        <v>0201014</v>
      </c>
      <c r="C54" s="637" t="str">
        <f>T("Vissa garanti- och medlemsavgifter")</f>
        <v>Vissa garanti- och medlemsavgifter</v>
      </c>
      <c r="D54" s="428">
        <v>1400</v>
      </c>
      <c r="E54" s="428">
        <v>1747.20886</v>
      </c>
      <c r="F54" s="428">
        <v>1226.2219</v>
      </c>
      <c r="G54" s="428">
        <v>2062.8872299999998</v>
      </c>
      <c r="H54" s="428">
        <v>1896.74614</v>
      </c>
      <c r="I54" s="428">
        <v>2283.1752900000001</v>
      </c>
      <c r="J54" s="428">
        <v>2148.6802600000001</v>
      </c>
      <c r="K54" s="428">
        <v>1925.3754100000001</v>
      </c>
      <c r="L54" s="428">
        <v>1943.45074</v>
      </c>
    </row>
    <row r="55" spans="1:12">
      <c r="A55" s="429" t="str">
        <f t="shared" si="1"/>
        <v>02</v>
      </c>
      <c r="B55" s="429" t="str">
        <f>T("0201015")</f>
        <v>0201015</v>
      </c>
      <c r="C55" s="637" t="str">
        <f>T("Riksrevisionen")</f>
        <v>Riksrevisionen</v>
      </c>
      <c r="D55" s="428">
        <v>269858.24105000001</v>
      </c>
      <c r="E55" s="428">
        <v>283986.81409</v>
      </c>
      <c r="F55" s="428">
        <v>284351.46986000001</v>
      </c>
      <c r="G55" s="428">
        <v>286823.31384000002</v>
      </c>
      <c r="H55" s="428">
        <v>297827.45017999999</v>
      </c>
      <c r="I55" s="428">
        <v>286845.26314</v>
      </c>
      <c r="J55" s="428">
        <v>322230.71437</v>
      </c>
      <c r="K55" s="428">
        <v>279262.79761000001</v>
      </c>
      <c r="L55" s="428">
        <v>301205.71191999997</v>
      </c>
    </row>
    <row r="56" spans="1:12">
      <c r="A56" s="429" t="str">
        <f t="shared" si="1"/>
        <v>02</v>
      </c>
      <c r="B56" s="429" t="str">
        <f>T("0201016")</f>
        <v>0201016</v>
      </c>
      <c r="C56" s="637" t="str">
        <f>T("Finansmarknadsforskning")</f>
        <v>Finansmarknadsforskning</v>
      </c>
      <c r="H56" s="428">
        <v>29633.883539999999</v>
      </c>
      <c r="I56" s="428">
        <v>29949.78642</v>
      </c>
      <c r="J56" s="428">
        <v>30128.670989999999</v>
      </c>
      <c r="K56" s="428">
        <v>30242.866999999998</v>
      </c>
      <c r="L56" s="428">
        <v>28322.774000000001</v>
      </c>
    </row>
    <row r="57" spans="1:12">
      <c r="A57" s="429" t="str">
        <f t="shared" si="1"/>
        <v>02</v>
      </c>
      <c r="B57" s="429" t="str">
        <f>T("0201017")</f>
        <v>0201017</v>
      </c>
      <c r="C57" s="637" t="str">
        <f>T("Finansinspektionens avgifter till EU:s tillsynsmyndigheter")</f>
        <v>Finansinspektionens avgifter till EU:s tillsynsmyndigheter</v>
      </c>
      <c r="J57" s="428">
        <v>5710.9192400000002</v>
      </c>
      <c r="K57" s="428">
        <v>6789.4957199999999</v>
      </c>
      <c r="L57" s="428">
        <v>8068.2554499999997</v>
      </c>
    </row>
    <row r="58" spans="1:12">
      <c r="A58" s="429" t="str">
        <f t="shared" si="1"/>
        <v>02</v>
      </c>
      <c r="B58" s="429" t="str">
        <f>T("0201018 2013")</f>
        <v>0201018 2013</v>
      </c>
      <c r="C58" s="637" t="str">
        <f>T("Kapitalhöjning i Europeiska investeringsbanken")</f>
        <v>Kapitalhöjning i Europeiska investeringsbanken</v>
      </c>
      <c r="K58" s="428">
        <v>2517488.3434899999</v>
      </c>
    </row>
    <row r="59" spans="1:12">
      <c r="A59" s="429" t="str">
        <f t="shared" si="1"/>
        <v>02</v>
      </c>
      <c r="B59" s="429" t="str">
        <f>T("020104 2008")</f>
        <v>020104 2008</v>
      </c>
      <c r="C59" s="637" t="str">
        <f>T("Täckning av merkostnader för lokaler")</f>
        <v>Täckning av merkostnader för lokaler</v>
      </c>
      <c r="D59" s="428">
        <v>547.46900000000005</v>
      </c>
      <c r="E59" s="428">
        <v>477.762</v>
      </c>
      <c r="F59" s="428">
        <v>348.8</v>
      </c>
      <c r="G59" s="428">
        <v>3985.2352299999998</v>
      </c>
    </row>
    <row r="60" spans="1:12">
      <c r="A60" s="429" t="str">
        <f t="shared" si="1"/>
        <v>02</v>
      </c>
      <c r="B60" s="429" t="str">
        <f>T("020106 2003")</f>
        <v>020106 2003</v>
      </c>
      <c r="C60" s="637" t="str">
        <f>T("Folk- och bostadsstatistik")</f>
        <v>Folk- och bostadsstatistik</v>
      </c>
      <c r="D60" s="428">
        <v>23662.24279</v>
      </c>
      <c r="E60" s="428">
        <v>21194.731619999999</v>
      </c>
      <c r="F60" s="428">
        <v>25509.500619999999</v>
      </c>
      <c r="G60" s="428">
        <v>56767.541360000003</v>
      </c>
      <c r="H60" s="428">
        <v>37043.062360000004</v>
      </c>
      <c r="I60" s="428">
        <v>33119.004119999998</v>
      </c>
    </row>
    <row r="61" spans="1:12">
      <c r="A61" s="429" t="str">
        <f t="shared" si="1"/>
        <v>02</v>
      </c>
      <c r="B61" s="429" t="str">
        <f>T("020107 2007")</f>
        <v>020107 2007</v>
      </c>
      <c r="C61" s="637" t="str">
        <f>T("Nämnden för offentlig upphandling")</f>
        <v>Nämnden för offentlig upphandling</v>
      </c>
      <c r="D61" s="428">
        <v>8251.85</v>
      </c>
      <c r="E61" s="428">
        <v>8211.9424899999995</v>
      </c>
    </row>
    <row r="62" spans="1:12">
      <c r="A62" s="429" t="str">
        <f t="shared" si="1"/>
        <v>02</v>
      </c>
      <c r="B62" s="429" t="str">
        <f>T("020108 2005")</f>
        <v>020108 2005</v>
      </c>
      <c r="C62" s="637" t="str">
        <f>T("Statens kvalitets- och kompetensråd")</f>
        <v>Statens kvalitets- och kompetensråd</v>
      </c>
      <c r="D62" s="428">
        <v>378</v>
      </c>
    </row>
    <row r="63" spans="1:12">
      <c r="A63" s="429" t="str">
        <f t="shared" si="1"/>
        <v>02</v>
      </c>
      <c r="B63" s="429" t="str">
        <f>T("020109 2007")</f>
        <v>020109 2007</v>
      </c>
      <c r="C63" s="637" t="str">
        <f>T("Ekonomiska rådet")</f>
        <v>Ekonomiska rådet</v>
      </c>
      <c r="D63" s="428">
        <v>2509.38348</v>
      </c>
      <c r="E63" s="428">
        <v>1786.07097</v>
      </c>
      <c r="F63" s="428">
        <v>443.30315999999999</v>
      </c>
    </row>
    <row r="64" spans="1:12">
      <c r="A64" s="429" t="str">
        <f t="shared" si="1"/>
        <v>02</v>
      </c>
      <c r="B64" s="429" t="str">
        <f>T("020111 2003")</f>
        <v>020111 2003</v>
      </c>
      <c r="C64" s="637" t="str">
        <f>T("Utvecklingsarbete")</f>
        <v>Utvecklingsarbete</v>
      </c>
    </row>
    <row r="65" spans="1:7" customFormat="1">
      <c r="A65" s="429" t="str">
        <f t="shared" si="1"/>
        <v>02</v>
      </c>
      <c r="B65" s="429" t="str">
        <f>T("020111 2008")</f>
        <v>020111 2008</v>
      </c>
      <c r="C65" s="637" t="str">
        <f>T("E-legitimationer")</f>
        <v>E-legitimationer</v>
      </c>
      <c r="D65" s="428">
        <v>965.95712000000003</v>
      </c>
      <c r="E65" s="428">
        <v>7097.7462299999997</v>
      </c>
      <c r="F65" s="428">
        <v>8057.9702699999998</v>
      </c>
      <c r="G65" s="428">
        <v>-319.95055000000002</v>
      </c>
    </row>
    <row r="66" spans="1:7" customFormat="1">
      <c r="A66" s="429" t="str">
        <f t="shared" si="1"/>
        <v>02</v>
      </c>
      <c r="B66" s="429" t="str">
        <f>T("020112 2004")</f>
        <v>020112 2004</v>
      </c>
      <c r="C66" s="637" t="str">
        <f>T("Utveckling av 24-timmarsmyndigheten")</f>
        <v>Utveckling av 24-timmarsmyndigheten</v>
      </c>
      <c r="D66" s="428">
        <v>1882.9682299999999</v>
      </c>
      <c r="E66" s="428"/>
      <c r="F66" s="428"/>
      <c r="G66" s="428"/>
    </row>
    <row r="67" spans="1:7" customFormat="1">
      <c r="A67" s="429" t="str">
        <f t="shared" si="1"/>
        <v>02</v>
      </c>
      <c r="B67" s="429" t="str">
        <f>T("020112 2007")</f>
        <v>020112 2007</v>
      </c>
      <c r="C67" s="637" t="str">
        <f>T("Statliga kompetensöverföringsjobb")</f>
        <v>Statliga kompetensöverföringsjobb</v>
      </c>
      <c r="D67" s="428">
        <v>250127.09168000001</v>
      </c>
      <c r="E67" s="428">
        <v>209016.37226999999</v>
      </c>
      <c r="F67" s="428"/>
      <c r="G67" s="428"/>
    </row>
    <row r="68" spans="1:7" customFormat="1">
      <c r="A68" s="429" t="str">
        <f t="shared" si="1"/>
        <v>02</v>
      </c>
      <c r="B68" s="429" t="str">
        <f>T("020113 2006")</f>
        <v>020113 2006</v>
      </c>
      <c r="C68" s="637" t="str">
        <f>T("Statens kvalitets- och kompetensråd: Avvecklingskostnader")</f>
        <v>Statens kvalitets- och kompetensråd: Avvecklingskostnader</v>
      </c>
      <c r="D68" s="428">
        <v>1574.81708</v>
      </c>
      <c r="E68" s="428"/>
      <c r="F68" s="428"/>
      <c r="G68" s="428"/>
    </row>
    <row r="69" spans="1:7" customFormat="1">
      <c r="A69" s="429" t="str">
        <f t="shared" si="1"/>
        <v>02</v>
      </c>
      <c r="B69" s="429" t="str">
        <f>T("020114 2003")</f>
        <v>020114 2003</v>
      </c>
      <c r="C69" s="637" t="str">
        <f>T("Riksrevisionsverket")</f>
        <v>Riksrevisionsverket</v>
      </c>
      <c r="D69" s="428"/>
      <c r="E69" s="428"/>
      <c r="F69" s="428"/>
      <c r="G69" s="428"/>
    </row>
    <row r="70" spans="1:7" customFormat="1">
      <c r="A70" s="429" t="str">
        <f t="shared" si="1"/>
        <v>02</v>
      </c>
      <c r="B70" s="429" t="str">
        <f>T("020115 2003")</f>
        <v>020115 2003</v>
      </c>
      <c r="C70" s="637" t="str">
        <f>T("Riksrevisionsverket: Avvecklingskostnader")</f>
        <v>Riksrevisionsverket: Avvecklingskostnader</v>
      </c>
      <c r="D70" s="428"/>
      <c r="E70" s="428"/>
      <c r="F70" s="428"/>
      <c r="G70" s="428"/>
    </row>
    <row r="71" spans="1:7" customFormat="1">
      <c r="A71" s="429" t="str">
        <f t="shared" si="1"/>
        <v>02</v>
      </c>
      <c r="B71" s="429" t="str">
        <f>T("020201 2001")</f>
        <v>020201 2001</v>
      </c>
      <c r="C71" s="637" t="str">
        <f>T("Riksgäldskontoret: Garantiverksamhet")</f>
        <v>Riksgäldskontoret: Garantiverksamhet</v>
      </c>
      <c r="D71" s="428"/>
      <c r="E71" s="428"/>
      <c r="F71" s="428"/>
      <c r="G71" s="428"/>
    </row>
    <row r="72" spans="1:7" customFormat="1">
      <c r="A72" s="429" t="str">
        <f t="shared" si="1"/>
        <v>02</v>
      </c>
      <c r="B72" s="429" t="str">
        <f>T("020202 2007")</f>
        <v>020202 2007</v>
      </c>
      <c r="C72" s="637" t="str">
        <f>T("Insättningsgarantinämnden")</f>
        <v>Insättningsgarantinämnden</v>
      </c>
      <c r="D72" s="428">
        <v>14056.211859999999</v>
      </c>
      <c r="E72" s="428">
        <v>11908.266089999999</v>
      </c>
      <c r="F72" s="428">
        <v>741.78770999999995</v>
      </c>
      <c r="G72" s="428"/>
    </row>
    <row r="73" spans="1:7" customFormat="1">
      <c r="A73" s="429" t="str">
        <f t="shared" si="1"/>
        <v>02</v>
      </c>
      <c r="B73" s="429" t="str">
        <f>T("020205")</f>
        <v>020205</v>
      </c>
      <c r="C73" s="637" t="str">
        <f>T("Avgift för Stadshypotekskassans grundfond")</f>
        <v>Avgift för Stadshypotekskassans grundfond</v>
      </c>
      <c r="D73" s="428"/>
      <c r="E73" s="428"/>
      <c r="F73" s="428"/>
      <c r="G73" s="428"/>
    </row>
    <row r="74" spans="1:7" customFormat="1">
      <c r="A74" s="429" t="str">
        <f t="shared" si="1"/>
        <v>02</v>
      </c>
      <c r="B74" s="429" t="str">
        <f>T("020205 2005")</f>
        <v>020205 2005</v>
      </c>
      <c r="C74" s="637" t="str">
        <f>T("Insatser i internationella finansiella institutioner")</f>
        <v>Insatser i internationella finansiella institutioner</v>
      </c>
      <c r="D74" s="428">
        <v>341.91732000000002</v>
      </c>
      <c r="E74" s="428"/>
      <c r="F74" s="428"/>
      <c r="G74" s="428"/>
    </row>
    <row r="75" spans="1:7" customFormat="1">
      <c r="A75" s="429" t="str">
        <f t="shared" si="1"/>
        <v>02</v>
      </c>
      <c r="B75" s="429" t="str">
        <f>T("020208 2001")</f>
        <v>020208 2001</v>
      </c>
      <c r="C75" s="637" t="str">
        <f>T("Kapitalhöjning i  Nordiska investeringsbanken")</f>
        <v>Kapitalhöjning i  Nordiska investeringsbanken</v>
      </c>
      <c r="D75" s="428"/>
      <c r="E75" s="428"/>
      <c r="F75" s="428"/>
      <c r="G75" s="428"/>
    </row>
    <row r="76" spans="1:7" customFormat="1">
      <c r="A76" s="429" t="str">
        <f t="shared" si="1"/>
        <v>02</v>
      </c>
      <c r="B76" s="429" t="str">
        <f>T("029002 2003")</f>
        <v>029002 2003</v>
      </c>
      <c r="C76" s="637" t="str">
        <f>T("Riksdagens revisorer")</f>
        <v>Riksdagens revisorer</v>
      </c>
      <c r="D76" s="428"/>
      <c r="E76" s="428"/>
      <c r="F76" s="428"/>
      <c r="G76" s="428"/>
    </row>
    <row r="77" spans="1:7" customFormat="1">
      <c r="A77" s="429" t="str">
        <f t="shared" si="1"/>
        <v>02</v>
      </c>
      <c r="B77" s="429" t="str">
        <f>T("029002 2007")</f>
        <v>029002 2007</v>
      </c>
      <c r="C77" s="637" t="str">
        <f>T("Försök med trängselskatt i Stockholm")</f>
        <v>Försök med trängselskatt i Stockholm</v>
      </c>
      <c r="D77" s="428">
        <v>1440815.7034</v>
      </c>
      <c r="E77" s="428">
        <v>257031.99294</v>
      </c>
      <c r="F77" s="428">
        <v>0</v>
      </c>
      <c r="G77" s="428"/>
    </row>
    <row r="78" spans="1:7" customFormat="1">
      <c r="A78" s="429" t="str">
        <f t="shared" si="1"/>
        <v>02</v>
      </c>
      <c r="B78" s="429" t="str">
        <f>T("029003 2003")</f>
        <v>029003 2003</v>
      </c>
      <c r="C78" s="637" t="str">
        <f>T("Riksdagens revisorer: Avvecklingskostnader")</f>
        <v>Riksdagens revisorer: Avvecklingskostnader</v>
      </c>
      <c r="D78" s="428"/>
      <c r="E78" s="428"/>
      <c r="F78" s="428"/>
      <c r="G78" s="428"/>
    </row>
    <row r="79" spans="1:7" customFormat="1">
      <c r="A79" s="429" t="str">
        <f t="shared" si="1"/>
        <v>02</v>
      </c>
      <c r="B79" s="429" t="str">
        <f>T("02A011 1997")</f>
        <v>02A011 1997</v>
      </c>
      <c r="C79" s="637" t="str">
        <f>T("Statens lokalförsörjningsverk")</f>
        <v>Statens lokalförsörjningsverk</v>
      </c>
      <c r="D79" s="428"/>
      <c r="E79" s="428"/>
      <c r="F79" s="428"/>
      <c r="G79" s="428"/>
    </row>
    <row r="80" spans="1:7" customFormat="1">
      <c r="A80" s="429" t="str">
        <f t="shared" si="1"/>
        <v>02</v>
      </c>
      <c r="B80" s="429" t="str">
        <f>T("02A011 1998")</f>
        <v>02A011 1998</v>
      </c>
      <c r="C80" s="637" t="str">
        <f>T("Statens lokalförsörjningsverk: Avvecklingskostnader")</f>
        <v>Statens lokalförsörjningsverk: Avvecklingskostnader</v>
      </c>
      <c r="D80" s="428"/>
      <c r="E80" s="428"/>
      <c r="F80" s="428"/>
      <c r="G80" s="428"/>
    </row>
    <row r="81" spans="1:12">
      <c r="A81" s="429" t="str">
        <f t="shared" si="1"/>
        <v>02</v>
      </c>
      <c r="B81" s="429" t="str">
        <f>T("02A011 2000")</f>
        <v>02A011 2000</v>
      </c>
      <c r="C81" s="637" t="str">
        <f>T("Vissa nämnder m.m.")</f>
        <v>Vissa nämnder m.m.</v>
      </c>
    </row>
    <row r="82" spans="1:12">
      <c r="A82" s="429" t="str">
        <f t="shared" si="1"/>
        <v>02</v>
      </c>
      <c r="B82" s="429" t="str">
        <f>T("02A014 1999")</f>
        <v>02A014 1999</v>
      </c>
      <c r="C82" s="637" t="str">
        <f>T("Kontrollfunktionen i staten")</f>
        <v>Kontrollfunktionen i staten</v>
      </c>
    </row>
    <row r="83" spans="1:12">
      <c r="A83" s="429" t="str">
        <f t="shared" si="1"/>
        <v>02</v>
      </c>
      <c r="B83" s="429" t="str">
        <f>T("02A016 1999")</f>
        <v>02A016 1999</v>
      </c>
      <c r="C83" s="637" t="str">
        <f>T("SLOK: Avvecklingskostnader")</f>
        <v>SLOK: Avvecklingskostnader</v>
      </c>
    </row>
    <row r="84" spans="1:12">
      <c r="A84" s="429" t="str">
        <f t="shared" si="1"/>
        <v>02</v>
      </c>
      <c r="B84" s="429" t="str">
        <f>T("02A017")</f>
        <v>02A017</v>
      </c>
      <c r="C84" s="637" t="str">
        <f>T("Bidrag till Stiftelsen för utvecklande av god redovisningssed")</f>
        <v>Bidrag till Stiftelsen för utvecklande av god redovisningssed</v>
      </c>
    </row>
    <row r="85" spans="1:12">
      <c r="A85" s="429" t="str">
        <f t="shared" si="1"/>
        <v>02</v>
      </c>
      <c r="B85" s="429" t="str">
        <f>T("02B001 1998")</f>
        <v>02B001 1998</v>
      </c>
      <c r="C85" s="637" t="str">
        <f>T("Åtgätder för att stärks det finansiella systemet")</f>
        <v>Åtgätder för att stärks det finansiella systemet</v>
      </c>
    </row>
    <row r="86" spans="1:12">
      <c r="A86" s="429" t="str">
        <f t="shared" si="1"/>
        <v>02</v>
      </c>
      <c r="B86" s="429" t="str">
        <f>T("02B003")</f>
        <v>02B003</v>
      </c>
      <c r="C86" s="637" t="str">
        <f>T("Bidrag till kapitalet i Europeiska investeringsbanken")</f>
        <v>Bidrag till kapitalet i Europeiska investeringsbanken</v>
      </c>
    </row>
    <row r="87" spans="1:12">
      <c r="A87" s="429" t="str">
        <f t="shared" si="1"/>
        <v>02</v>
      </c>
      <c r="B87" s="429" t="str">
        <f>T("02B003 1997")</f>
        <v>02B003 1997</v>
      </c>
      <c r="C87" s="637" t="str">
        <f>T("Statliga ägarinsatser m.m i Nordbanken")</f>
        <v>Statliga ägarinsatser m.m i Nordbanken</v>
      </c>
    </row>
    <row r="88" spans="1:12">
      <c r="A88" s="429" t="str">
        <f t="shared" si="1"/>
        <v>02</v>
      </c>
      <c r="B88" s="429" t="str">
        <f>T("02B004 2000")</f>
        <v>02B004 2000</v>
      </c>
      <c r="C88" s="637" t="str">
        <f>T("Riksgäldskontoret: Vissa kostnader för upplåning och låneförvaltning, 2000")</f>
        <v>Riksgäldskontoret: Vissa kostnader för upplåning och låneförvaltning, 2000</v>
      </c>
    </row>
    <row r="89" spans="1:12">
      <c r="A89" s="429" t="str">
        <f t="shared" si="1"/>
        <v>02</v>
      </c>
      <c r="B89" s="429" t="str">
        <f>T("02B006 1997")</f>
        <v>02B006 1997</v>
      </c>
      <c r="C89" s="637" t="str">
        <f>T("Värdering m.m av aktier i VPC AB")</f>
        <v>Värdering m.m av aktier i VPC AB</v>
      </c>
    </row>
    <row r="90" spans="1:12">
      <c r="A90" s="429" t="str">
        <f t="shared" si="1"/>
        <v>02</v>
      </c>
      <c r="B90" s="429" t="str">
        <f>T("02B007 1997")</f>
        <v>02B007 1997</v>
      </c>
      <c r="C90" s="637" t="str">
        <f>T("Investeringar i infrastrukturen på den svenska finansmarkanden")</f>
        <v>Investeringar i infrastrukturen på den svenska finansmarkanden</v>
      </c>
    </row>
    <row r="91" spans="1:12">
      <c r="A91" s="429" t="str">
        <f t="shared" si="1"/>
        <v>02</v>
      </c>
      <c r="B91" s="429" t="str">
        <f>T("07C006 9394")</f>
        <v>07C006 9394</v>
      </c>
      <c r="C91" s="637" t="str">
        <f>T("Vissa investeringar m.m.")</f>
        <v>Vissa investeringar m.m.</v>
      </c>
    </row>
    <row r="92" spans="1:12">
      <c r="A92" s="429" t="str">
        <f t="shared" si="1"/>
        <v>02</v>
      </c>
      <c r="B92" s="429" t="str">
        <f>T("07E006 9596")</f>
        <v>07E006 9596</v>
      </c>
      <c r="C92" s="637" t="str">
        <f>T("Bidrag till förnyelsefonder på det staligt reglerade området")</f>
        <v>Bidrag till förnyelsefonder på det staligt reglerade området</v>
      </c>
    </row>
    <row r="93" spans="1:12">
      <c r="A93" s="429" t="str">
        <f t="shared" si="1"/>
        <v>02</v>
      </c>
      <c r="B93" s="429" t="str">
        <f>T("07I008 9596")</f>
        <v>07I008 9596</v>
      </c>
      <c r="C93" s="637" t="str">
        <f>T("Ekonomiska rådet")</f>
        <v>Ekonomiska rådet</v>
      </c>
    </row>
    <row r="94" spans="1:12">
      <c r="A94" s="429" t="str">
        <f t="shared" si="1"/>
        <v>02</v>
      </c>
      <c r="B94" s="429" t="str">
        <f>T("14D003 1998")</f>
        <v>14D003 1998</v>
      </c>
      <c r="C94" s="637" t="str">
        <f>T("Bidrag till förnyelsefonder på det statligt reglerade området")</f>
        <v>Bidrag till förnyelsefonder på det statligt reglerade området</v>
      </c>
      <c r="D94" s="428">
        <v>2584.2380800000001</v>
      </c>
      <c r="E94" s="428">
        <v>6627.6428900000001</v>
      </c>
    </row>
    <row r="95" spans="1:12">
      <c r="A95" s="430" t="s">
        <v>1636</v>
      </c>
      <c r="B95" s="430"/>
      <c r="C95" s="430" t="str">
        <f>T("Samhällsekonomi och finansförvaltning")</f>
        <v>Samhällsekonomi och finansförvaltning</v>
      </c>
      <c r="D95" s="431">
        <v>11832448.816199999</v>
      </c>
      <c r="E95" s="431">
        <v>11207552.643789999</v>
      </c>
      <c r="F95" s="431">
        <v>11378193.50667</v>
      </c>
      <c r="G95" s="431">
        <v>12005644.285420001</v>
      </c>
      <c r="H95" s="431">
        <v>12139678.812000001</v>
      </c>
      <c r="I95" s="431">
        <v>12870362.488809999</v>
      </c>
      <c r="J95" s="431">
        <v>13510773.11129</v>
      </c>
      <c r="K95" s="431">
        <v>16051675.569809999</v>
      </c>
      <c r="L95" s="431">
        <v>14121843.12266</v>
      </c>
    </row>
    <row r="96" spans="1:12">
      <c r="A96" s="429" t="str">
        <f>T("03")</f>
        <v>03</v>
      </c>
      <c r="B96" s="429" t="str">
        <f>T("0301001")</f>
        <v>0301001</v>
      </c>
      <c r="C96" s="637" t="str">
        <f>T("Skatteverket")</f>
        <v>Skatteverket</v>
      </c>
      <c r="D96" s="428">
        <v>6079095.0592900002</v>
      </c>
      <c r="E96" s="428">
        <v>6506640.7779799998</v>
      </c>
      <c r="F96" s="428">
        <v>6320362.7812099997</v>
      </c>
      <c r="G96" s="428">
        <v>6326394.0241</v>
      </c>
      <c r="H96" s="428">
        <v>6230369.8844900001</v>
      </c>
      <c r="I96" s="428">
        <v>6666549.8952099998</v>
      </c>
      <c r="J96" s="428">
        <v>6910687.3546599997</v>
      </c>
      <c r="K96" s="428">
        <v>6934365.0683700005</v>
      </c>
      <c r="L96" s="428">
        <v>6969606.7033500001</v>
      </c>
    </row>
    <row r="97" spans="1:12">
      <c r="A97" s="429" t="str">
        <f>T("03")</f>
        <v>03</v>
      </c>
      <c r="B97" s="429" t="str">
        <f>T("0301002")</f>
        <v>0301002</v>
      </c>
      <c r="C97" s="637" t="str">
        <f>T("Kronofogdemyndigheten")</f>
        <v>Kronofogdemyndigheten</v>
      </c>
      <c r="D97" s="428">
        <v>1551735.1251099999</v>
      </c>
      <c r="E97" s="428">
        <v>1693620.8851900001</v>
      </c>
      <c r="F97" s="428">
        <v>1643075.0127300001</v>
      </c>
      <c r="G97" s="428">
        <v>1629795.7545700001</v>
      </c>
      <c r="H97" s="428">
        <v>1620692.5115799999</v>
      </c>
      <c r="I97" s="428">
        <v>1671197.6299399999</v>
      </c>
      <c r="J97" s="428">
        <v>1742868.73749</v>
      </c>
      <c r="K97" s="428">
        <v>1793831.82733</v>
      </c>
      <c r="L97" s="428">
        <v>1763023.3123900001</v>
      </c>
    </row>
    <row r="98" spans="1:12">
      <c r="A98" s="429" t="str">
        <f>T("03")</f>
        <v>03</v>
      </c>
      <c r="B98" s="429" t="str">
        <f>T("0301003")</f>
        <v>0301003</v>
      </c>
      <c r="C98" s="637" t="str">
        <f>T("Tullverket")</f>
        <v>Tullverket</v>
      </c>
      <c r="D98" s="428">
        <v>1380230.5082100001</v>
      </c>
      <c r="E98" s="428">
        <v>1469838.35666</v>
      </c>
      <c r="F98" s="428">
        <v>1482178.1917399999</v>
      </c>
      <c r="G98" s="428">
        <v>1478131.5475300001</v>
      </c>
      <c r="H98" s="428">
        <v>1534227.01862</v>
      </c>
      <c r="I98" s="428">
        <v>1572503.62888</v>
      </c>
      <c r="J98" s="428">
        <v>1618881.8156600001</v>
      </c>
      <c r="K98" s="428">
        <v>1659941.8205200001</v>
      </c>
      <c r="L98" s="428">
        <v>1651035.5440700001</v>
      </c>
    </row>
    <row r="99" spans="1:12">
      <c r="A99" s="429" t="str">
        <f>T("03")</f>
        <v>03</v>
      </c>
      <c r="B99" s="429" t="str">
        <f>T("030301 2003")</f>
        <v>030301 2003</v>
      </c>
      <c r="C99" s="637" t="str">
        <f>T("Riksskatteverket")</f>
        <v>Riksskatteverket</v>
      </c>
    </row>
    <row r="100" spans="1:12">
      <c r="A100" s="429" t="str">
        <f>T("03")</f>
        <v>03</v>
      </c>
      <c r="B100" s="429" t="str">
        <f>T("030302 2003")</f>
        <v>030302 2003</v>
      </c>
      <c r="C100" s="637" t="str">
        <f>T("Skattemyndigheterna")</f>
        <v>Skattemyndigheterna</v>
      </c>
    </row>
    <row r="101" spans="1:12">
      <c r="A101" s="430" t="s">
        <v>1637</v>
      </c>
      <c r="B101" s="430"/>
      <c r="C101" s="430" t="str">
        <f>T("Skatt, tull och exekution")</f>
        <v>Skatt, tull och exekution</v>
      </c>
      <c r="D101" s="431">
        <v>9011060.6926099993</v>
      </c>
      <c r="E101" s="431">
        <v>9670100.0198299997</v>
      </c>
      <c r="F101" s="431">
        <v>9445615.9856800009</v>
      </c>
      <c r="G101" s="431">
        <v>9434321.3261999991</v>
      </c>
      <c r="H101" s="431">
        <v>9385289.4146899991</v>
      </c>
      <c r="I101" s="431">
        <v>9910251.1540300008</v>
      </c>
      <c r="J101" s="431">
        <v>10272437.907810001</v>
      </c>
      <c r="K101" s="431">
        <v>10388138.716220001</v>
      </c>
      <c r="L101" s="431">
        <v>10383665.55981</v>
      </c>
    </row>
    <row r="102" spans="1:12">
      <c r="A102" s="429" t="str">
        <f t="shared" ref="A102:A121" si="2">T("04")</f>
        <v>04</v>
      </c>
      <c r="B102" s="429" t="str">
        <f>T("02A005 9596")</f>
        <v>02A005 9596</v>
      </c>
      <c r="C102" s="637" t="str">
        <f>T("Information och upplysning om ekonomisk brottslighet")</f>
        <v>Information och upplysning om ekonomisk brottslighet</v>
      </c>
    </row>
    <row r="103" spans="1:12">
      <c r="A103" s="429" t="str">
        <f t="shared" si="2"/>
        <v>04</v>
      </c>
      <c r="B103" s="429" t="str">
        <f>T("02A006 9596")</f>
        <v>02A006 9596</v>
      </c>
      <c r="C103" s="637" t="str">
        <f>T("Bidrag till brottsförebyggande arbete")</f>
        <v>Bidrag till brottsförebyggande arbete</v>
      </c>
    </row>
    <row r="104" spans="1:12">
      <c r="A104" s="429" t="str">
        <f t="shared" si="2"/>
        <v>04</v>
      </c>
      <c r="B104" s="429" t="str">
        <f>T("02B005 9596")</f>
        <v>02B005 9596</v>
      </c>
      <c r="C104" s="637" t="str">
        <f>T("Lokala polisorganisationen")</f>
        <v>Lokala polisorganisationen</v>
      </c>
    </row>
    <row r="105" spans="1:12">
      <c r="A105" s="429" t="str">
        <f t="shared" si="2"/>
        <v>04</v>
      </c>
      <c r="B105" s="429" t="str">
        <f>T("0401001")</f>
        <v>0401001</v>
      </c>
      <c r="C105" s="637" t="str">
        <f>T("Polisorganisationen")</f>
        <v>Polisorganisationen</v>
      </c>
      <c r="D105" s="428">
        <v>15431207.96208</v>
      </c>
      <c r="E105" s="428">
        <v>16532151.445080001</v>
      </c>
      <c r="F105" s="428">
        <v>17780016.10148</v>
      </c>
      <c r="G105" s="428">
        <v>17967106.678410001</v>
      </c>
      <c r="H105" s="428">
        <v>18882886.863759998</v>
      </c>
      <c r="I105" s="428">
        <v>19704369.598620001</v>
      </c>
      <c r="J105" s="428">
        <v>20478103.501740001</v>
      </c>
      <c r="K105" s="428">
        <v>20698469.983589999</v>
      </c>
      <c r="L105" s="428">
        <v>21078971.962439999</v>
      </c>
    </row>
    <row r="106" spans="1:12">
      <c r="A106" s="429" t="str">
        <f t="shared" si="2"/>
        <v>04</v>
      </c>
      <c r="B106" s="429" t="str">
        <f>T("0401002")</f>
        <v>0401002</v>
      </c>
      <c r="C106" s="637" t="str">
        <f>T("Säkerhetspolisen")</f>
        <v>Säkerhetspolisen</v>
      </c>
      <c r="D106" s="428">
        <v>724780.29567999998</v>
      </c>
      <c r="E106" s="428">
        <v>787564.48716000002</v>
      </c>
      <c r="F106" s="428">
        <v>870361.21915999998</v>
      </c>
      <c r="G106" s="428">
        <v>899388.98514</v>
      </c>
      <c r="H106" s="428">
        <v>939925.04679000005</v>
      </c>
      <c r="I106" s="428">
        <v>984849.20112999994</v>
      </c>
      <c r="J106" s="428">
        <v>987276.56828999997</v>
      </c>
      <c r="K106" s="428">
        <v>1069993.6665399999</v>
      </c>
      <c r="L106" s="428">
        <v>1106181.4991299999</v>
      </c>
    </row>
    <row r="107" spans="1:12">
      <c r="A107" s="429" t="str">
        <f t="shared" si="2"/>
        <v>04</v>
      </c>
      <c r="B107" s="429" t="str">
        <f>T("0401003")</f>
        <v>0401003</v>
      </c>
      <c r="C107" s="637" t="str">
        <f>T("Åklagarmyndigheten")</f>
        <v>Åklagarmyndigheten</v>
      </c>
      <c r="D107" s="428">
        <v>888676.44944</v>
      </c>
      <c r="E107" s="428">
        <v>966167.46794999996</v>
      </c>
      <c r="F107" s="428">
        <v>977531.18313000002</v>
      </c>
      <c r="G107" s="428">
        <v>1053139.4697100001</v>
      </c>
      <c r="H107" s="428">
        <v>1168046.0123300001</v>
      </c>
      <c r="I107" s="428">
        <v>1167683.6460800001</v>
      </c>
      <c r="J107" s="428">
        <v>1233173.49838</v>
      </c>
      <c r="K107" s="428">
        <v>1278019.8687199999</v>
      </c>
      <c r="L107" s="428">
        <v>1309913.0794800001</v>
      </c>
    </row>
    <row r="108" spans="1:12">
      <c r="A108" s="429" t="str">
        <f t="shared" si="2"/>
        <v>04</v>
      </c>
      <c r="B108" s="429" t="str">
        <f>T("0401004")</f>
        <v>0401004</v>
      </c>
      <c r="C108" s="637" t="str">
        <f>T("Ekobrottsmyndigheten")</f>
        <v>Ekobrottsmyndigheten</v>
      </c>
      <c r="D108" s="428">
        <v>349478.88555000001</v>
      </c>
      <c r="E108" s="428">
        <v>374214.90880999999</v>
      </c>
      <c r="F108" s="428">
        <v>369744.86618000001</v>
      </c>
      <c r="G108" s="428">
        <v>390376.09628</v>
      </c>
      <c r="H108" s="428">
        <v>425067.07309000002</v>
      </c>
      <c r="I108" s="428">
        <v>423381.22642000002</v>
      </c>
      <c r="J108" s="428">
        <v>444611.64966</v>
      </c>
      <c r="K108" s="428">
        <v>532072.04584999999</v>
      </c>
      <c r="L108" s="428">
        <v>582197.02170000004</v>
      </c>
    </row>
    <row r="109" spans="1:12">
      <c r="A109" s="429" t="str">
        <f t="shared" si="2"/>
        <v>04</v>
      </c>
      <c r="B109" s="429" t="str">
        <f>T("0401005")</f>
        <v>0401005</v>
      </c>
      <c r="C109" s="637" t="str">
        <f>T("Sveriges Domstolar")</f>
        <v>Sveriges Domstolar</v>
      </c>
      <c r="D109" s="428">
        <v>3889698.7708800002</v>
      </c>
      <c r="E109" s="428">
        <v>4108104.8211400001</v>
      </c>
      <c r="F109" s="428">
        <v>4258677.7010000004</v>
      </c>
      <c r="G109" s="428">
        <v>4417980.0482599996</v>
      </c>
      <c r="H109" s="428">
        <v>4571506.2232999997</v>
      </c>
      <c r="I109" s="428">
        <v>4816312.4474999998</v>
      </c>
      <c r="J109" s="428">
        <v>4928286.0860400004</v>
      </c>
      <c r="K109" s="428">
        <v>5171181.0316399997</v>
      </c>
      <c r="L109" s="428">
        <v>5226454.6667200001</v>
      </c>
    </row>
    <row r="110" spans="1:12">
      <c r="A110" s="429" t="str">
        <f t="shared" si="2"/>
        <v>04</v>
      </c>
      <c r="B110" s="429" t="str">
        <f>T("0401006")</f>
        <v>0401006</v>
      </c>
      <c r="C110" s="637" t="str">
        <f>T("Kriminalvården")</f>
        <v>Kriminalvården</v>
      </c>
      <c r="D110" s="428">
        <v>5446831.8137600003</v>
      </c>
      <c r="E110" s="428">
        <v>5927732.7366599999</v>
      </c>
      <c r="F110" s="428">
        <v>6329145.8121300004</v>
      </c>
      <c r="G110" s="428">
        <v>6782178.1247199997</v>
      </c>
      <c r="H110" s="428">
        <v>7164146.9322199998</v>
      </c>
      <c r="I110" s="428">
        <v>7503381.6004299996</v>
      </c>
      <c r="J110" s="428">
        <v>7379997.8652400002</v>
      </c>
      <c r="K110" s="428">
        <v>7603812.0742699997</v>
      </c>
      <c r="L110" s="428">
        <v>7743618.7418099996</v>
      </c>
    </row>
    <row r="111" spans="1:12">
      <c r="A111" s="429" t="str">
        <f t="shared" si="2"/>
        <v>04</v>
      </c>
      <c r="B111" s="429" t="str">
        <f>T("0401007")</f>
        <v>0401007</v>
      </c>
      <c r="C111" s="637" t="str">
        <f>T("Brottsförebyggande rådet")</f>
        <v>Brottsförebyggande rådet</v>
      </c>
      <c r="D111" s="428">
        <v>64558.87844</v>
      </c>
      <c r="E111" s="428">
        <v>63158.768700000001</v>
      </c>
      <c r="F111" s="428">
        <v>55886.922689999999</v>
      </c>
      <c r="G111" s="428">
        <v>61455.79219</v>
      </c>
      <c r="H111" s="428">
        <v>63082.184179999997</v>
      </c>
      <c r="I111" s="428">
        <v>67275.805630000003</v>
      </c>
      <c r="J111" s="428">
        <v>69757.856020000007</v>
      </c>
      <c r="K111" s="428">
        <v>80787.214430000007</v>
      </c>
      <c r="L111" s="428">
        <v>89376.976110000003</v>
      </c>
    </row>
    <row r="112" spans="1:12">
      <c r="A112" s="429" t="str">
        <f t="shared" si="2"/>
        <v>04</v>
      </c>
      <c r="B112" s="429" t="str">
        <f>T("0401008")</f>
        <v>0401008</v>
      </c>
      <c r="C112" s="637" t="str">
        <f>T("Rättsmedicinalverket")</f>
        <v>Rättsmedicinalverket</v>
      </c>
      <c r="D112" s="428">
        <v>228820.22740999999</v>
      </c>
      <c r="E112" s="428">
        <v>246697.54931</v>
      </c>
      <c r="F112" s="428">
        <v>260704.93575999999</v>
      </c>
      <c r="G112" s="428">
        <v>273160.48741</v>
      </c>
      <c r="H112" s="428">
        <v>296567.45419999998</v>
      </c>
      <c r="I112" s="428">
        <v>311610.94082000002</v>
      </c>
      <c r="J112" s="428">
        <v>334172.64244999998</v>
      </c>
      <c r="K112" s="428">
        <v>344711.23826999997</v>
      </c>
      <c r="L112" s="428">
        <v>362064.76397999999</v>
      </c>
    </row>
    <row r="113" spans="1:12">
      <c r="A113" s="429" t="str">
        <f t="shared" si="2"/>
        <v>04</v>
      </c>
      <c r="B113" s="429" t="str">
        <f>T("0401009")</f>
        <v>0401009</v>
      </c>
      <c r="C113" s="637" t="str">
        <f>T("Gentekniknämnden")</f>
        <v>Gentekniknämnden</v>
      </c>
      <c r="D113" s="428">
        <v>3272.6864099999998</v>
      </c>
      <c r="E113" s="428">
        <v>3261.2012199999999</v>
      </c>
      <c r="F113" s="428">
        <v>3756.1520999999998</v>
      </c>
      <c r="G113" s="428">
        <v>3672.4927600000001</v>
      </c>
      <c r="H113" s="428">
        <v>4182.8089600000003</v>
      </c>
      <c r="I113" s="428">
        <v>4165.3041599999997</v>
      </c>
      <c r="J113" s="428">
        <v>4266.2209999999995</v>
      </c>
      <c r="K113" s="428">
        <v>5037.9822100000001</v>
      </c>
      <c r="L113" s="428">
        <v>5332.7414099999996</v>
      </c>
    </row>
    <row r="114" spans="1:12">
      <c r="A114" s="429" t="str">
        <f t="shared" si="2"/>
        <v>04</v>
      </c>
      <c r="B114" s="429" t="str">
        <f>T("0401010")</f>
        <v>0401010</v>
      </c>
      <c r="C114" s="637" t="str">
        <f>T("Brottsoffermyndigheten")</f>
        <v>Brottsoffermyndigheten</v>
      </c>
      <c r="D114" s="428">
        <v>27443.576529999998</v>
      </c>
      <c r="E114" s="428">
        <v>29704.334360000001</v>
      </c>
      <c r="F114" s="428">
        <v>29654.640469999998</v>
      </c>
      <c r="G114" s="428">
        <v>30329.91545</v>
      </c>
      <c r="H114" s="428">
        <v>30627.028460000001</v>
      </c>
      <c r="I114" s="428">
        <v>32510.395550000001</v>
      </c>
      <c r="J114" s="428">
        <v>31077.081679999999</v>
      </c>
      <c r="K114" s="428">
        <v>32504.524259999998</v>
      </c>
      <c r="L114" s="428">
        <v>35642.185440000001</v>
      </c>
    </row>
    <row r="115" spans="1:12">
      <c r="A115" s="429" t="str">
        <f t="shared" si="2"/>
        <v>04</v>
      </c>
      <c r="B115" s="429" t="str">
        <f>T("0401011")</f>
        <v>0401011</v>
      </c>
      <c r="C115" s="637" t="str">
        <f>T("Ersättning för skador på grund av brott")</f>
        <v>Ersättning för skador på grund av brott</v>
      </c>
      <c r="D115" s="428">
        <v>86892.732569999993</v>
      </c>
      <c r="E115" s="428">
        <v>91267.625880000007</v>
      </c>
      <c r="F115" s="428">
        <v>85959.54191</v>
      </c>
      <c r="G115" s="428">
        <v>89019.898849999998</v>
      </c>
      <c r="H115" s="428">
        <v>79613.973140000002</v>
      </c>
      <c r="I115" s="428">
        <v>64695.718719999997</v>
      </c>
      <c r="J115" s="428">
        <v>56758.599520000003</v>
      </c>
      <c r="K115" s="428">
        <v>97608.847240000003</v>
      </c>
      <c r="L115" s="428">
        <v>111206.65488</v>
      </c>
    </row>
    <row r="116" spans="1:12">
      <c r="A116" s="429" t="str">
        <f t="shared" si="2"/>
        <v>04</v>
      </c>
      <c r="B116" s="429" t="str">
        <f>T("0401012")</f>
        <v>0401012</v>
      </c>
      <c r="C116" s="637" t="str">
        <f>T("Rättsliga biträden m.m.")</f>
        <v>Rättsliga biträden m.m.</v>
      </c>
      <c r="D116" s="428">
        <v>1325843.8219099999</v>
      </c>
      <c r="E116" s="428">
        <v>1454793.8424199999</v>
      </c>
      <c r="F116" s="428">
        <v>1606808.0005900001</v>
      </c>
      <c r="G116" s="428">
        <v>1621423.8725699999</v>
      </c>
      <c r="H116" s="428">
        <v>1804165.71371</v>
      </c>
      <c r="I116" s="428">
        <v>2002186.77559</v>
      </c>
      <c r="J116" s="428">
        <v>2157293.2328400002</v>
      </c>
      <c r="K116" s="428">
        <v>2260085.3028000002</v>
      </c>
      <c r="L116" s="428">
        <v>2432430.1365499999</v>
      </c>
    </row>
    <row r="117" spans="1:12">
      <c r="A117" s="429" t="str">
        <f t="shared" si="2"/>
        <v>04</v>
      </c>
      <c r="B117" s="429" t="str">
        <f>T("0401013")</f>
        <v>0401013</v>
      </c>
      <c r="C117" s="637" t="str">
        <f>T("Kostnader för vissa skaderegleringar m.m.")</f>
        <v>Kostnader för vissa skaderegleringar m.m.</v>
      </c>
      <c r="D117" s="428">
        <v>28107.73271</v>
      </c>
      <c r="E117" s="428">
        <v>31663.760569999999</v>
      </c>
      <c r="F117" s="428">
        <v>44411.200799999999</v>
      </c>
      <c r="G117" s="428">
        <v>34422.57084</v>
      </c>
      <c r="H117" s="428">
        <v>35227.561199999996</v>
      </c>
      <c r="I117" s="428">
        <v>39886.984790000002</v>
      </c>
      <c r="J117" s="428">
        <v>51321.23472</v>
      </c>
      <c r="K117" s="428">
        <v>54254.323279999997</v>
      </c>
      <c r="L117" s="428">
        <v>67071.391000000003</v>
      </c>
    </row>
    <row r="118" spans="1:12">
      <c r="A118" s="429" t="str">
        <f t="shared" si="2"/>
        <v>04</v>
      </c>
      <c r="B118" s="429" t="str">
        <f>T("0401014")</f>
        <v>0401014</v>
      </c>
      <c r="C118" s="637" t="str">
        <f>T("Avgifter till vissa internationella sammanslutningar")</f>
        <v>Avgifter till vissa internationella sammanslutningar</v>
      </c>
      <c r="D118" s="428">
        <v>3346.5949999999998</v>
      </c>
      <c r="E118" s="428">
        <v>3366.3964500000002</v>
      </c>
      <c r="F118" s="428">
        <v>3457.15753</v>
      </c>
      <c r="G118" s="428">
        <v>3798.08583</v>
      </c>
      <c r="H118" s="428">
        <v>3803.6033499999999</v>
      </c>
      <c r="I118" s="428">
        <v>14534.336020000001</v>
      </c>
      <c r="J118" s="428">
        <v>12602.507610000001</v>
      </c>
      <c r="K118" s="428">
        <v>37714.041920000003</v>
      </c>
      <c r="L118" s="428">
        <v>11568.349920000001</v>
      </c>
    </row>
    <row r="119" spans="1:12">
      <c r="A119" s="429" t="str">
        <f t="shared" si="2"/>
        <v>04</v>
      </c>
      <c r="B119" s="429" t="str">
        <f>T("0401015")</f>
        <v>0401015</v>
      </c>
      <c r="C119" s="637" t="str">
        <f>T("Bidrag till lokalt brottsförebyggande arbete")</f>
        <v>Bidrag till lokalt brottsförebyggande arbete</v>
      </c>
      <c r="D119" s="428">
        <v>6444.20784</v>
      </c>
      <c r="E119" s="428">
        <v>7387.7581899999996</v>
      </c>
      <c r="F119" s="428">
        <v>6234.0508399999999</v>
      </c>
      <c r="G119" s="428">
        <v>7156.7446900000004</v>
      </c>
      <c r="H119" s="428">
        <v>7154.8901800000003</v>
      </c>
      <c r="I119" s="428">
        <v>7008.7101499999999</v>
      </c>
      <c r="J119" s="428">
        <v>21148.19341</v>
      </c>
      <c r="K119" s="428">
        <v>7157</v>
      </c>
      <c r="L119" s="428">
        <v>7157</v>
      </c>
    </row>
    <row r="120" spans="1:12">
      <c r="A120" s="429" t="str">
        <f t="shared" si="2"/>
        <v>04</v>
      </c>
      <c r="B120" s="429" t="str">
        <f>T("0401016")</f>
        <v>0401016</v>
      </c>
      <c r="C120" s="637" t="str">
        <f>T("Säkerhets- och integritetsskyddsnämnden")</f>
        <v>Säkerhets- och integritetsskyddsnämnden</v>
      </c>
      <c r="F120" s="428">
        <v>10316.485979999999</v>
      </c>
      <c r="G120" s="428">
        <v>9903.6874000000007</v>
      </c>
      <c r="H120" s="428">
        <v>10132.993570000001</v>
      </c>
      <c r="I120" s="428">
        <v>12986.627049999999</v>
      </c>
      <c r="J120" s="428">
        <v>16359.43296</v>
      </c>
      <c r="K120" s="428">
        <v>16216.018889999999</v>
      </c>
      <c r="L120" s="428">
        <v>17249.843929999999</v>
      </c>
    </row>
    <row r="121" spans="1:12">
      <c r="A121" s="429" t="str">
        <f t="shared" si="2"/>
        <v>04</v>
      </c>
      <c r="B121" s="429" t="str">
        <f>T("0401017")</f>
        <v>0401017</v>
      </c>
      <c r="C121" s="637" t="str">
        <f>T("Domarnämnden")</f>
        <v>Domarnämnden</v>
      </c>
      <c r="I121" s="428">
        <v>7199.1658299999999</v>
      </c>
      <c r="J121" s="428">
        <v>6909.5512500000004</v>
      </c>
      <c r="K121" s="428">
        <v>7590.6275699999997</v>
      </c>
      <c r="L121" s="428">
        <v>7406.3381600000002</v>
      </c>
    </row>
    <row r="122" spans="1:12">
      <c r="A122" s="430" t="s">
        <v>1638</v>
      </c>
      <c r="B122" s="430"/>
      <c r="C122" s="430" t="str">
        <f>T("Rättsväsendet")</f>
        <v>Rättsväsendet</v>
      </c>
      <c r="D122" s="431">
        <v>28505404.636209998</v>
      </c>
      <c r="E122" s="431">
        <v>30627237.1039</v>
      </c>
      <c r="F122" s="431">
        <v>32692665.971749999</v>
      </c>
      <c r="G122" s="431">
        <v>33644512.950510003</v>
      </c>
      <c r="H122" s="431">
        <v>35486136.362439997</v>
      </c>
      <c r="I122" s="431">
        <v>37164038.48449</v>
      </c>
      <c r="J122" s="431">
        <v>38213115.72281</v>
      </c>
      <c r="K122" s="431">
        <v>39297215.791479997</v>
      </c>
      <c r="L122" s="431">
        <v>40193843.35266</v>
      </c>
    </row>
    <row r="123" spans="1:12">
      <c r="A123" s="429" t="str">
        <f t="shared" ref="A123:A154" si="3">T("05")</f>
        <v>05</v>
      </c>
      <c r="B123" s="429" t="str">
        <f>T("03A005 9596")</f>
        <v>03A005 9596</v>
      </c>
      <c r="C123" s="637" t="str">
        <f>T("Utredningar m.m. ")</f>
        <v xml:space="preserve">Utredningar m.m. </v>
      </c>
    </row>
    <row r="124" spans="1:12">
      <c r="A124" s="429" t="str">
        <f t="shared" si="3"/>
        <v>05</v>
      </c>
      <c r="B124" s="429" t="str">
        <f>T("03B009 9596")</f>
        <v>03B009 9596</v>
      </c>
      <c r="C124" s="637" t="str">
        <f>T("Fredsbevarande verksamhet")</f>
        <v>Fredsbevarande verksamhet</v>
      </c>
    </row>
    <row r="125" spans="1:12">
      <c r="A125" s="429" t="str">
        <f t="shared" si="3"/>
        <v>05</v>
      </c>
      <c r="B125" s="429" t="str">
        <f>T("03D001 9596")</f>
        <v>03D001 9596</v>
      </c>
      <c r="C125" s="637" t="str">
        <f>T("Svenska institutet")</f>
        <v>Svenska institutet</v>
      </c>
    </row>
    <row r="126" spans="1:12">
      <c r="A126" s="429" t="str">
        <f t="shared" si="3"/>
        <v>05</v>
      </c>
      <c r="B126" s="429" t="str">
        <f>T("03D002 9596")</f>
        <v>03D002 9596</v>
      </c>
      <c r="C126" s="637" t="str">
        <f>T("Övrig information om Sverige i utlandet")</f>
        <v>Övrig information om Sverige i utlandet</v>
      </c>
    </row>
    <row r="127" spans="1:12">
      <c r="A127" s="429" t="str">
        <f t="shared" si="3"/>
        <v>05</v>
      </c>
      <c r="B127" s="429" t="str">
        <f>T("03E006 9495")</f>
        <v>03E006 9495</v>
      </c>
      <c r="C127" s="637" t="str">
        <f>T("Medel för översättning av EG:s regelverk")</f>
        <v>Medel för översättning av EG:s regelverk</v>
      </c>
    </row>
    <row r="128" spans="1:12">
      <c r="A128" s="429" t="str">
        <f t="shared" si="3"/>
        <v>05</v>
      </c>
      <c r="B128" s="429" t="str">
        <f>T("03E006 9596")</f>
        <v>03E006 9596</v>
      </c>
      <c r="C128" s="637" t="str">
        <f>T("Europainformation m.m")</f>
        <v>Europainformation m.m</v>
      </c>
    </row>
    <row r="129" spans="1:12">
      <c r="A129" s="429" t="str">
        <f t="shared" si="3"/>
        <v>05</v>
      </c>
      <c r="B129" s="429" t="str">
        <f>T("03F001 9596")</f>
        <v>03F001 9596</v>
      </c>
      <c r="C129" s="637" t="str">
        <f>T("Utredningar och andra insatser på det utrikespolitiska områd")</f>
        <v>Utredningar och andra insatser på det utrikespolitiska områd</v>
      </c>
    </row>
    <row r="130" spans="1:12">
      <c r="A130" s="429" t="str">
        <f t="shared" si="3"/>
        <v>05</v>
      </c>
      <c r="B130" s="429" t="str">
        <f>T("03F002 9596")</f>
        <v>03F002 9596</v>
      </c>
      <c r="C130" s="637" t="str">
        <f>T("Information och studier om säkerhetspolitik")</f>
        <v>Information och studier om säkerhetspolitik</v>
      </c>
    </row>
    <row r="131" spans="1:12">
      <c r="A131" s="429" t="str">
        <f t="shared" si="3"/>
        <v>05</v>
      </c>
      <c r="B131" s="429" t="str">
        <f>T("03F006 9596")</f>
        <v>03F006 9596</v>
      </c>
      <c r="C131" s="637" t="str">
        <f>T("Forskningsverksamhet av särskild utrikes o säkerhetspolitisk")</f>
        <v>Forskningsverksamhet av särskild utrikes o säkerhetspolitisk</v>
      </c>
    </row>
    <row r="132" spans="1:12">
      <c r="A132" s="429" t="str">
        <f t="shared" si="3"/>
        <v>05</v>
      </c>
      <c r="B132" s="429" t="str">
        <f>T("0501001")</f>
        <v>0501001</v>
      </c>
      <c r="C132" s="637" t="str">
        <f>T("Avgifter till internationella organisationer")</f>
        <v>Avgifter till internationella organisationer</v>
      </c>
      <c r="I132" s="428">
        <v>1346761.4136099999</v>
      </c>
      <c r="J132" s="428">
        <v>983763.70241000003</v>
      </c>
      <c r="K132" s="428">
        <v>1274846.91937</v>
      </c>
      <c r="L132" s="428">
        <v>1103567.52578</v>
      </c>
    </row>
    <row r="133" spans="1:12">
      <c r="A133" s="429" t="str">
        <f t="shared" si="3"/>
        <v>05</v>
      </c>
      <c r="B133" s="429" t="str">
        <f>T("0501001 2010")</f>
        <v>0501001 2010</v>
      </c>
      <c r="C133" s="637" t="str">
        <f>T("Bidrag till vissa internationella organisationer")</f>
        <v>Bidrag till vissa internationella organisationer</v>
      </c>
      <c r="D133" s="428">
        <v>1009490.81739</v>
      </c>
      <c r="E133" s="428">
        <v>1164930.7504400001</v>
      </c>
      <c r="F133" s="428">
        <v>1225789.98037</v>
      </c>
      <c r="G133" s="428">
        <v>1312146.8515900001</v>
      </c>
      <c r="H133" s="428">
        <v>1474525.95465</v>
      </c>
      <c r="I133" s="428">
        <v>0</v>
      </c>
    </row>
    <row r="134" spans="1:12">
      <c r="A134" s="429" t="str">
        <f t="shared" si="3"/>
        <v>05</v>
      </c>
      <c r="B134" s="429" t="str">
        <f>T("0501002")</f>
        <v>0501002</v>
      </c>
      <c r="C134" s="637" t="str">
        <f>T("Freds- och säkerhetsfrämjande verksamhet")</f>
        <v>Freds- och säkerhetsfrämjande verksamhet</v>
      </c>
      <c r="D134" s="428">
        <v>111348.48893000001</v>
      </c>
      <c r="E134" s="428">
        <v>122899.79068000001</v>
      </c>
      <c r="F134" s="428">
        <v>112942.53522000001</v>
      </c>
      <c r="G134" s="428">
        <v>124773.61293</v>
      </c>
      <c r="H134" s="428">
        <v>121683.75012</v>
      </c>
      <c r="I134" s="428">
        <v>132625.64329000001</v>
      </c>
      <c r="J134" s="428">
        <v>131897.66441</v>
      </c>
      <c r="K134" s="428">
        <v>141013.74672</v>
      </c>
      <c r="L134" s="428">
        <v>155123.90713000001</v>
      </c>
    </row>
    <row r="135" spans="1:12">
      <c r="A135" s="429" t="str">
        <f t="shared" si="3"/>
        <v>05</v>
      </c>
      <c r="B135" s="429" t="str">
        <f>T("0501003")</f>
        <v>0501003</v>
      </c>
      <c r="C135" s="637" t="str">
        <f>T("Nordiskt samarbete")</f>
        <v>Nordiskt samarbete</v>
      </c>
      <c r="D135" s="428">
        <v>16901.837930000002</v>
      </c>
      <c r="E135" s="428">
        <v>9644.8181999999997</v>
      </c>
      <c r="F135" s="428">
        <v>24594.80503</v>
      </c>
      <c r="G135" s="428">
        <v>18715.43419</v>
      </c>
      <c r="H135" s="428">
        <v>12898.699049999999</v>
      </c>
      <c r="I135" s="428">
        <v>13285.772629999999</v>
      </c>
      <c r="J135" s="428">
        <v>15065.581560000001</v>
      </c>
      <c r="K135" s="428">
        <v>16436.743129999999</v>
      </c>
      <c r="L135" s="428">
        <v>12419.13256</v>
      </c>
    </row>
    <row r="136" spans="1:12">
      <c r="A136" s="429" t="str">
        <f t="shared" si="3"/>
        <v>05</v>
      </c>
      <c r="B136" s="429" t="str">
        <f>T("0501004")</f>
        <v>0501004</v>
      </c>
      <c r="C136" s="637" t="str">
        <f>T("Ekonomiskt bistånd till enskilda utomlands samt diverse kostnader för rättsväsendet")</f>
        <v>Ekonomiskt bistånd till enskilda utomlands samt diverse kostnader för rättsväsendet</v>
      </c>
      <c r="D136" s="428">
        <v>77969.311230000007</v>
      </c>
      <c r="E136" s="428">
        <v>5591.2612099999997</v>
      </c>
      <c r="F136" s="428">
        <v>2090.0295900000001</v>
      </c>
      <c r="G136" s="428">
        <v>2991.5184100000001</v>
      </c>
      <c r="H136" s="428">
        <v>2828.1165900000001</v>
      </c>
      <c r="I136" s="428">
        <v>7972.8745699999999</v>
      </c>
      <c r="J136" s="428">
        <v>1956.5173</v>
      </c>
      <c r="K136" s="428">
        <v>2535.5128</v>
      </c>
      <c r="L136" s="428">
        <v>2146.9038</v>
      </c>
    </row>
    <row r="137" spans="1:12">
      <c r="A137" s="429" t="str">
        <f t="shared" si="3"/>
        <v>05</v>
      </c>
      <c r="B137" s="429" t="str">
        <f>T("0501005")</f>
        <v>0501005</v>
      </c>
      <c r="C137" s="637" t="str">
        <f>T("Inspektionen för strategiska produkter")</f>
        <v>Inspektionen för strategiska produkter</v>
      </c>
      <c r="D137" s="428">
        <v>21560.757430000001</v>
      </c>
      <c r="E137" s="428">
        <v>22836.06522</v>
      </c>
      <c r="F137" s="428">
        <v>27803.679349999999</v>
      </c>
      <c r="G137" s="428">
        <v>25867.861519999999</v>
      </c>
      <c r="H137" s="428">
        <v>28689.535390000001</v>
      </c>
      <c r="I137" s="428">
        <v>27226.71214</v>
      </c>
      <c r="J137" s="428">
        <v>29423.95494</v>
      </c>
      <c r="K137" s="428">
        <v>29151.096280000002</v>
      </c>
      <c r="L137" s="428">
        <v>30750.633880000001</v>
      </c>
    </row>
    <row r="138" spans="1:12">
      <c r="A138" s="429" t="str">
        <f t="shared" si="3"/>
        <v>05</v>
      </c>
      <c r="B138" s="429" t="str">
        <f>T("0501006")</f>
        <v>0501006</v>
      </c>
      <c r="C138" s="637" t="str">
        <f>T("Forskning, utredningar och andra insatser rörande säkerhetspolitik, nedrustning och icke-spridning")</f>
        <v>Forskning, utredningar och andra insatser rörande säkerhetspolitik, nedrustning och icke-spridning</v>
      </c>
      <c r="D138" s="428">
        <v>34411.037400000001</v>
      </c>
      <c r="E138" s="428">
        <v>34617.08756</v>
      </c>
      <c r="F138" s="428">
        <v>51789.118119999999</v>
      </c>
      <c r="G138" s="428">
        <v>53066.046540000003</v>
      </c>
      <c r="H138" s="428">
        <v>53010.996200000001</v>
      </c>
      <c r="I138" s="428">
        <v>55145.566180000002</v>
      </c>
      <c r="J138" s="428">
        <v>54378.59562</v>
      </c>
      <c r="K138" s="428">
        <v>55331.330280000002</v>
      </c>
      <c r="L138" s="428">
        <v>45345.503129999997</v>
      </c>
    </row>
    <row r="139" spans="1:12">
      <c r="A139" s="429" t="str">
        <f t="shared" si="3"/>
        <v>05</v>
      </c>
      <c r="B139" s="429" t="str">
        <f>T("0501007")</f>
        <v>0501007</v>
      </c>
      <c r="C139" s="637" t="str">
        <f>T("Bidrag till Stockholms internationella fredsforskningsinstitut (SIPRI)")</f>
        <v>Bidrag till Stockholms internationella fredsforskningsinstitut (SIPRI)</v>
      </c>
      <c r="D139" s="428">
        <v>26834</v>
      </c>
      <c r="E139" s="428">
        <v>27067</v>
      </c>
      <c r="F139" s="428">
        <v>22240</v>
      </c>
      <c r="G139" s="428">
        <v>20843</v>
      </c>
      <c r="H139" s="428">
        <v>23166</v>
      </c>
      <c r="I139" s="428">
        <v>23787</v>
      </c>
      <c r="J139" s="428">
        <v>24094</v>
      </c>
      <c r="K139" s="428">
        <v>24397</v>
      </c>
      <c r="L139" s="428">
        <v>24431</v>
      </c>
    </row>
    <row r="140" spans="1:12">
      <c r="A140" s="429" t="str">
        <f t="shared" si="3"/>
        <v>05</v>
      </c>
      <c r="B140" s="429" t="str">
        <f>T("0501008")</f>
        <v>0501008</v>
      </c>
      <c r="C140" s="637" t="str">
        <f>T("Bidrag till Utrikespolitiska institutet (UI)")</f>
        <v>Bidrag till Utrikespolitiska institutet (UI)</v>
      </c>
      <c r="D140" s="428">
        <v>12226</v>
      </c>
      <c r="E140" s="428">
        <v>12332</v>
      </c>
      <c r="F140" s="428">
        <v>12411</v>
      </c>
      <c r="G140" s="428">
        <v>12747</v>
      </c>
      <c r="H140" s="428">
        <v>12945</v>
      </c>
      <c r="I140" s="428">
        <v>13325</v>
      </c>
      <c r="J140" s="428">
        <v>13997</v>
      </c>
      <c r="K140" s="428">
        <v>14173</v>
      </c>
      <c r="L140" s="428">
        <v>15693</v>
      </c>
    </row>
    <row r="141" spans="1:12">
      <c r="A141" s="429" t="str">
        <f t="shared" si="3"/>
        <v>05</v>
      </c>
      <c r="B141" s="429" t="str">
        <f>T("0501009")</f>
        <v>0501009</v>
      </c>
      <c r="C141" s="637" t="str">
        <f>T("Svenska institutet")</f>
        <v>Svenska institutet</v>
      </c>
      <c r="D141" s="428">
        <v>84643.180460000003</v>
      </c>
      <c r="E141" s="428">
        <v>88842.511740000002</v>
      </c>
      <c r="F141" s="428">
        <v>85548.749739999999</v>
      </c>
      <c r="G141" s="428">
        <v>90188.376879999996</v>
      </c>
      <c r="H141" s="428">
        <v>89209.883279999995</v>
      </c>
      <c r="I141" s="428">
        <v>92732.614700000006</v>
      </c>
      <c r="J141" s="428">
        <v>96189.56637</v>
      </c>
      <c r="K141" s="428">
        <v>97282.235409999994</v>
      </c>
      <c r="L141" s="428">
        <v>91783.425459999999</v>
      </c>
    </row>
    <row r="142" spans="1:12">
      <c r="A142" s="429" t="str">
        <f t="shared" si="3"/>
        <v>05</v>
      </c>
      <c r="B142" s="429" t="str">
        <f>T("0501010")</f>
        <v>0501010</v>
      </c>
      <c r="C142" s="637" t="str">
        <f>T("Information om Sverige i utlandet")</f>
        <v>Information om Sverige i utlandet</v>
      </c>
      <c r="D142" s="428">
        <v>9431.2328899999993</v>
      </c>
      <c r="E142" s="428">
        <v>14256.891009999999</v>
      </c>
      <c r="F142" s="428">
        <v>14350.47818</v>
      </c>
      <c r="G142" s="428">
        <v>15313.714319999999</v>
      </c>
      <c r="H142" s="428">
        <v>15333.05536</v>
      </c>
      <c r="I142" s="428">
        <v>14522.71558</v>
      </c>
      <c r="J142" s="428">
        <v>13793.63018</v>
      </c>
      <c r="K142" s="428">
        <v>14535.283090000001</v>
      </c>
      <c r="L142" s="428">
        <v>14197.296399999999</v>
      </c>
    </row>
    <row r="143" spans="1:12">
      <c r="A143" s="429" t="str">
        <f t="shared" si="3"/>
        <v>05</v>
      </c>
      <c r="B143" s="429" t="str">
        <f>T("0501011")</f>
        <v>0501011</v>
      </c>
      <c r="C143" s="637" t="str">
        <f>T("Samarbete inom Östersjöregionen")</f>
        <v>Samarbete inom Östersjöregionen</v>
      </c>
      <c r="D143" s="428">
        <v>20822.257699999998</v>
      </c>
      <c r="E143" s="428">
        <v>82577.447279999993</v>
      </c>
      <c r="F143" s="428">
        <v>170936.73246</v>
      </c>
      <c r="G143" s="428">
        <v>138626.38711000001</v>
      </c>
      <c r="H143" s="428">
        <v>163456.30645999999</v>
      </c>
      <c r="I143" s="428">
        <v>164767.13446</v>
      </c>
      <c r="J143" s="428">
        <v>185360.69808999999</v>
      </c>
      <c r="K143" s="428">
        <v>156698.54595999999</v>
      </c>
      <c r="L143" s="428">
        <v>166979.12818</v>
      </c>
    </row>
    <row r="144" spans="1:12">
      <c r="A144" s="429" t="str">
        <f t="shared" si="3"/>
        <v>05</v>
      </c>
      <c r="B144" s="429" t="str">
        <f>T("050504 2003")</f>
        <v>050504 2003</v>
      </c>
      <c r="C144" s="637" t="str">
        <f>T("Nordiska ministerrådet")</f>
        <v>Nordiska ministerrådet</v>
      </c>
    </row>
    <row r="145" spans="1:12">
      <c r="A145" s="429" t="str">
        <f t="shared" si="3"/>
        <v>05</v>
      </c>
      <c r="B145" s="429" t="str">
        <f>T("050505 2003")</f>
        <v>050505 2003</v>
      </c>
      <c r="C145" s="637" t="str">
        <f>T("Organisationen för ekonomiskt samarbete och utveckling (OECD)")</f>
        <v>Organisationen för ekonomiskt samarbete och utveckling (OECD)</v>
      </c>
    </row>
    <row r="146" spans="1:12">
      <c r="A146" s="429" t="str">
        <f t="shared" si="3"/>
        <v>05</v>
      </c>
      <c r="B146" s="429" t="str">
        <f>T("050509 2003")</f>
        <v>050509 2003</v>
      </c>
      <c r="C146" s="637" t="str">
        <f>T("Utredningar och andra insatser på det utrikespolitiska området")</f>
        <v>Utredningar och andra insatser på det utrikespolitiska området</v>
      </c>
    </row>
    <row r="147" spans="1:12">
      <c r="A147" s="429" t="str">
        <f t="shared" si="3"/>
        <v>05</v>
      </c>
      <c r="B147" s="429" t="str">
        <f>T("050510 2003")</f>
        <v>050510 2003</v>
      </c>
      <c r="C147" s="637" t="str">
        <f>T("Information och studier om säkerhetspolitik och fredsfrämjande utveckling")</f>
        <v>Information och studier om säkerhetspolitik och fredsfrämjande utveckling</v>
      </c>
    </row>
    <row r="148" spans="1:12">
      <c r="A148" s="429" t="str">
        <f t="shared" si="3"/>
        <v>05</v>
      </c>
      <c r="B148" s="429" t="str">
        <f>T("050512 2003")</f>
        <v>050512 2003</v>
      </c>
      <c r="C148" s="637" t="str">
        <f>T("Forskning till stöd för nedrustning och internationell säkerhet")</f>
        <v>Forskning till stöd för nedrustning och internationell säkerhet</v>
      </c>
    </row>
    <row r="149" spans="1:12">
      <c r="A149" s="429" t="str">
        <f t="shared" si="3"/>
        <v>05</v>
      </c>
      <c r="B149" s="429" t="str">
        <f>T("050514 2003")</f>
        <v>050514 2003</v>
      </c>
      <c r="C149" s="637" t="str">
        <f>T("Forskningsverksamhet av särskild utrikes- och säkerhetspolitisk betydelse")</f>
        <v>Forskningsverksamhet av särskild utrikes- och säkerhetspolitisk betydelse</v>
      </c>
    </row>
    <row r="150" spans="1:12">
      <c r="A150" s="429" t="str">
        <f t="shared" si="3"/>
        <v>05</v>
      </c>
      <c r="B150" s="429" t="str">
        <f>T("050516 2003")</f>
        <v>050516 2003</v>
      </c>
      <c r="C150" s="637" t="str">
        <f>T("Europainformation m.m.")</f>
        <v>Europainformation m.m.</v>
      </c>
    </row>
    <row r="151" spans="1:12">
      <c r="A151" s="429" t="str">
        <f t="shared" si="3"/>
        <v>05</v>
      </c>
      <c r="B151" s="429" t="str">
        <f>T("050517 2003")</f>
        <v>050517 2003</v>
      </c>
      <c r="C151" s="637" t="str">
        <f>T("Föreningen Norden")</f>
        <v>Föreningen Norden</v>
      </c>
    </row>
    <row r="152" spans="1:12">
      <c r="A152" s="429" t="str">
        <f t="shared" si="3"/>
        <v>05</v>
      </c>
      <c r="B152" s="429" t="str">
        <f>T("05E002 1997")</f>
        <v>05E002 1997</v>
      </c>
      <c r="C152" s="637" t="str">
        <f>T("Bidrag till Stiftelsen Östekonomiska institutet")</f>
        <v>Bidrag till Stiftelsen Östekonomiska institutet</v>
      </c>
    </row>
    <row r="153" spans="1:12">
      <c r="A153" s="429" t="str">
        <f t="shared" si="3"/>
        <v>05</v>
      </c>
      <c r="B153" s="429" t="str">
        <f>T("05E004 1997")</f>
        <v>05E004 1997</v>
      </c>
      <c r="C153" s="637" t="str">
        <f>T("Bidrag till organisationer för mänskliga rättigheter och fol")</f>
        <v>Bidrag till organisationer för mänskliga rättigheter och fol</v>
      </c>
    </row>
    <row r="154" spans="1:12">
      <c r="A154" s="429" t="str">
        <f t="shared" si="3"/>
        <v>05</v>
      </c>
      <c r="B154" s="429" t="str">
        <f>T("05E005 1997")</f>
        <v>05E005 1997</v>
      </c>
      <c r="C154" s="637" t="str">
        <f>T("Delegationen för översättning av EG:s regelverk")</f>
        <v>Delegationen för översättning av EG:s regelverk</v>
      </c>
    </row>
    <row r="155" spans="1:12">
      <c r="A155" s="430" t="s">
        <v>1639</v>
      </c>
      <c r="B155" s="430"/>
      <c r="C155" s="430" t="str">
        <f>T("Internationell samverkan")</f>
        <v>Internationell samverkan</v>
      </c>
      <c r="D155" s="431">
        <v>1425638.92136</v>
      </c>
      <c r="E155" s="431">
        <v>1585595.6233399999</v>
      </c>
      <c r="F155" s="431">
        <v>1750497.10806</v>
      </c>
      <c r="G155" s="431">
        <v>1815279.8034900001</v>
      </c>
      <c r="H155" s="431">
        <v>1997747.2971000001</v>
      </c>
      <c r="I155" s="431">
        <v>1892152.44716</v>
      </c>
      <c r="J155" s="431">
        <v>1549920.9108800001</v>
      </c>
      <c r="K155" s="431">
        <v>1826401.41304</v>
      </c>
      <c r="L155" s="431">
        <v>1662437.4563200001</v>
      </c>
    </row>
    <row r="156" spans="1:12">
      <c r="A156" s="429" t="str">
        <f t="shared" ref="A156:A217" si="4">T("06")</f>
        <v>06</v>
      </c>
      <c r="B156" s="429" t="str">
        <f>T("04C002 9596")</f>
        <v>04C002 9596</v>
      </c>
      <c r="C156" s="637" t="str">
        <f>T("Tekniska åtgärder i ledningssystemet m m")</f>
        <v>Tekniska åtgärder i ledningssystemet m m</v>
      </c>
    </row>
    <row r="157" spans="1:12">
      <c r="A157" s="429" t="str">
        <f t="shared" si="4"/>
        <v>06</v>
      </c>
      <c r="B157" s="429" t="str">
        <f>T("04C003 9596")</f>
        <v>04C003 9596</v>
      </c>
      <c r="C157" s="637" t="str">
        <f>T("Civilbefälhavarna")</f>
        <v>Civilbefälhavarna</v>
      </c>
    </row>
    <row r="158" spans="1:12">
      <c r="A158" s="429" t="str">
        <f t="shared" si="4"/>
        <v>06</v>
      </c>
      <c r="B158" s="429" t="str">
        <f>T("04C004 9596")</f>
        <v>04C004 9596</v>
      </c>
      <c r="C158" s="637" t="str">
        <f>T("Kompetensutveckling och stöd till länsstyrelserna")</f>
        <v>Kompetensutveckling och stöd till länsstyrelserna</v>
      </c>
    </row>
    <row r="159" spans="1:12">
      <c r="A159" s="429" t="str">
        <f t="shared" si="4"/>
        <v>06</v>
      </c>
      <c r="B159" s="429" t="str">
        <f>T("04F001 9596")</f>
        <v>04F001 9596</v>
      </c>
      <c r="C159" s="637" t="str">
        <f>T("Överstyrelsen för civil beredskap: Försörjning med industrivaror")</f>
        <v>Överstyrelsen för civil beredskap: Försörjning med industrivaror</v>
      </c>
    </row>
    <row r="160" spans="1:12">
      <c r="A160" s="429" t="str">
        <f t="shared" si="4"/>
        <v>06</v>
      </c>
      <c r="B160" s="429" t="str">
        <f>T("04F002 9596")</f>
        <v>04F002 9596</v>
      </c>
      <c r="C160" s="637" t="str">
        <f>T("ÖCB: Industriella åtgärder")</f>
        <v>ÖCB: Industriella åtgärder</v>
      </c>
    </row>
    <row r="161" spans="1:12">
      <c r="A161" s="429" t="str">
        <f t="shared" si="4"/>
        <v>06</v>
      </c>
      <c r="B161" s="429" t="str">
        <f>T("04G011 9596")</f>
        <v>04G011 9596</v>
      </c>
      <c r="C161" s="637" t="str">
        <f>T("Överklagandenämnden för totalförsvaret")</f>
        <v>Överklagandenämnden för totalförsvaret</v>
      </c>
    </row>
    <row r="162" spans="1:12">
      <c r="A162" s="429" t="str">
        <f t="shared" si="4"/>
        <v>06</v>
      </c>
      <c r="B162" s="429" t="str">
        <f>T("0601001")</f>
        <v>0601001</v>
      </c>
      <c r="C162" s="637" t="str">
        <f>T("Förbandsverksamhet och beredskap")</f>
        <v>Förbandsverksamhet och beredskap</v>
      </c>
      <c r="D162" s="428">
        <v>21760390.360970002</v>
      </c>
      <c r="E162" s="428">
        <v>21034122.418079998</v>
      </c>
      <c r="F162" s="428">
        <v>20526335.348140001</v>
      </c>
      <c r="G162" s="428">
        <v>18913447.703480002</v>
      </c>
      <c r="H162" s="428">
        <v>20581193.295329999</v>
      </c>
      <c r="I162" s="428">
        <v>20582700.558329999</v>
      </c>
      <c r="J162" s="428">
        <v>22019530.877289999</v>
      </c>
      <c r="K162" s="428">
        <v>22952978.851440001</v>
      </c>
      <c r="L162" s="428">
        <v>23483028.72572</v>
      </c>
    </row>
    <row r="163" spans="1:12">
      <c r="A163" s="429" t="str">
        <f t="shared" si="4"/>
        <v>06</v>
      </c>
      <c r="B163" s="429" t="str">
        <f>T("0601002")</f>
        <v>0601002</v>
      </c>
      <c r="C163" s="637" t="str">
        <f>T("Försvarsmaktens insatser internationellt")</f>
        <v>Försvarsmaktens insatser internationellt</v>
      </c>
      <c r="G163" s="428">
        <v>1614825.28835</v>
      </c>
      <c r="H163" s="428">
        <v>2218863.4397499999</v>
      </c>
      <c r="I163" s="428">
        <v>2013644.04354</v>
      </c>
      <c r="J163" s="428">
        <v>1485393.83834</v>
      </c>
      <c r="K163" s="428">
        <v>1208091.1850399999</v>
      </c>
      <c r="L163" s="428">
        <v>972093.35916999995</v>
      </c>
    </row>
    <row r="164" spans="1:12">
      <c r="A164" s="429" t="str">
        <f t="shared" si="4"/>
        <v>06</v>
      </c>
      <c r="B164" s="429" t="str">
        <f>T("0601003")</f>
        <v>0601003</v>
      </c>
      <c r="C164" s="637" t="str">
        <f>T("Anskaffning av materiel och anläggningar")</f>
        <v>Anskaffning av materiel och anläggningar</v>
      </c>
      <c r="G164" s="428">
        <v>8598846.3118699994</v>
      </c>
      <c r="H164" s="428">
        <v>10324356.952090001</v>
      </c>
      <c r="I164" s="428">
        <v>8798831.4379999992</v>
      </c>
      <c r="J164" s="428">
        <v>9102095.5220699999</v>
      </c>
      <c r="K164" s="428">
        <v>8825631.1904700007</v>
      </c>
      <c r="L164" s="428">
        <v>10863795.50887</v>
      </c>
    </row>
    <row r="165" spans="1:12">
      <c r="A165" s="429" t="str">
        <f t="shared" si="4"/>
        <v>06</v>
      </c>
      <c r="B165" s="429" t="str">
        <f>T("0601004")</f>
        <v>0601004</v>
      </c>
      <c r="C165" s="637" t="str">
        <f>T("Vidmakthållande, avveckling m.m. av materiel och anläggningar")</f>
        <v>Vidmakthållande, avveckling m.m. av materiel och anläggningar</v>
      </c>
      <c r="G165" s="428">
        <v>6397876.7108300002</v>
      </c>
      <c r="H165" s="428">
        <v>6398711.1397900004</v>
      </c>
      <c r="I165" s="428">
        <v>6677645.2811000003</v>
      </c>
      <c r="J165" s="428">
        <v>6614448.7852299996</v>
      </c>
      <c r="K165" s="428">
        <v>6470939.8243500004</v>
      </c>
      <c r="L165" s="428">
        <v>6564216.5839200001</v>
      </c>
    </row>
    <row r="166" spans="1:12">
      <c r="A166" s="429" t="str">
        <f t="shared" si="4"/>
        <v>06</v>
      </c>
      <c r="B166" s="429" t="str">
        <f>T("0601005")</f>
        <v>0601005</v>
      </c>
      <c r="C166" s="637" t="str">
        <f>T("Forskning och teknikutveckling")</f>
        <v>Forskning och teknikutveckling</v>
      </c>
      <c r="E166" s="428">
        <v>1126050.2469299999</v>
      </c>
      <c r="F166" s="428">
        <v>977883.51869000006</v>
      </c>
      <c r="G166" s="428">
        <v>976966.41353999998</v>
      </c>
      <c r="H166" s="428">
        <v>820606.41229000001</v>
      </c>
      <c r="I166" s="428">
        <v>722699.49042000005</v>
      </c>
      <c r="J166" s="428">
        <v>744781.55914999999</v>
      </c>
      <c r="K166" s="428">
        <v>613402.33903000003</v>
      </c>
      <c r="L166" s="428">
        <v>627262.83715000004</v>
      </c>
    </row>
    <row r="167" spans="1:12">
      <c r="A167" s="429" t="str">
        <f t="shared" si="4"/>
        <v>06</v>
      </c>
      <c r="B167" s="429" t="str">
        <f>T("0601006")</f>
        <v>0601006</v>
      </c>
      <c r="C167" s="637" t="str">
        <f>T("Totalförsvarets rekryteringsmyndighet")</f>
        <v>Totalförsvarets rekryteringsmyndighet</v>
      </c>
      <c r="D167" s="428">
        <v>255503.25912</v>
      </c>
      <c r="E167" s="428">
        <v>210429.43901</v>
      </c>
      <c r="F167" s="428">
        <v>161384.68925</v>
      </c>
      <c r="G167" s="428">
        <v>159713.79821000001</v>
      </c>
      <c r="H167" s="428">
        <v>142839.28443</v>
      </c>
      <c r="I167" s="428">
        <v>20148.22739</v>
      </c>
      <c r="J167" s="428">
        <v>10296.645909999999</v>
      </c>
      <c r="K167" s="428">
        <v>14589.026309999999</v>
      </c>
      <c r="L167" s="428">
        <v>17483.30371</v>
      </c>
    </row>
    <row r="168" spans="1:12">
      <c r="A168" s="429" t="str">
        <f t="shared" si="4"/>
        <v>06</v>
      </c>
      <c r="B168" s="429" t="str">
        <f>T("0601007")</f>
        <v>0601007</v>
      </c>
      <c r="C168" s="637" t="str">
        <f>T("Officersutbildning m.m.")</f>
        <v>Officersutbildning m.m.</v>
      </c>
      <c r="D168" s="428">
        <v>30646.243999999999</v>
      </c>
      <c r="E168" s="428">
        <v>33281.865839999999</v>
      </c>
      <c r="F168" s="428">
        <v>108363.48424999999</v>
      </c>
      <c r="G168" s="428">
        <v>207798.98668</v>
      </c>
      <c r="H168" s="428">
        <v>245286.38342999999</v>
      </c>
      <c r="I168" s="428">
        <v>213687.79934</v>
      </c>
      <c r="J168" s="428">
        <v>199750.65033</v>
      </c>
      <c r="K168" s="428">
        <v>194931.32120999999</v>
      </c>
      <c r="L168" s="428">
        <v>203930.47912999999</v>
      </c>
    </row>
    <row r="169" spans="1:12">
      <c r="A169" s="429" t="str">
        <f t="shared" si="4"/>
        <v>06</v>
      </c>
      <c r="B169" s="429" t="str">
        <f>T("0601008")</f>
        <v>0601008</v>
      </c>
      <c r="C169" s="637" t="str">
        <f>T("Försvarets radioanstalt")</f>
        <v>Försvarets radioanstalt</v>
      </c>
      <c r="D169" s="428">
        <v>464872.84944999998</v>
      </c>
      <c r="E169" s="428">
        <v>513442.73265999998</v>
      </c>
      <c r="F169" s="428">
        <v>563110.14187000005</v>
      </c>
      <c r="G169" s="428">
        <v>649182.47387999995</v>
      </c>
      <c r="H169" s="428">
        <v>671910.82276999997</v>
      </c>
      <c r="I169" s="428">
        <v>731085.88968999998</v>
      </c>
      <c r="J169" s="428">
        <v>736902.77116</v>
      </c>
      <c r="K169" s="428">
        <v>831570.37231000001</v>
      </c>
      <c r="L169" s="428">
        <v>852255.80373000004</v>
      </c>
    </row>
    <row r="170" spans="1:12">
      <c r="A170" s="429" t="str">
        <f t="shared" si="4"/>
        <v>06</v>
      </c>
      <c r="B170" s="429" t="str">
        <f>T("0601009")</f>
        <v>0601009</v>
      </c>
      <c r="C170" s="637" t="str">
        <f>T("Totalförsvarets forskningsinstitut")</f>
        <v>Totalförsvarets forskningsinstitut</v>
      </c>
      <c r="D170" s="428">
        <v>195989.32651000001</v>
      </c>
      <c r="E170" s="428">
        <v>57787.612910000003</v>
      </c>
      <c r="F170" s="428">
        <v>63049.318829999997</v>
      </c>
      <c r="G170" s="428">
        <v>59848.290269999998</v>
      </c>
      <c r="H170" s="428">
        <v>112106.14246</v>
      </c>
      <c r="I170" s="428">
        <v>164458.3872</v>
      </c>
      <c r="J170" s="428">
        <v>164349.29099000001</v>
      </c>
      <c r="K170" s="428">
        <v>168696.39548000001</v>
      </c>
      <c r="L170" s="428">
        <v>172405.13845999999</v>
      </c>
    </row>
    <row r="171" spans="1:12">
      <c r="A171" s="429" t="str">
        <f t="shared" si="4"/>
        <v>06</v>
      </c>
      <c r="B171" s="429" t="str">
        <f>T("0601010")</f>
        <v>0601010</v>
      </c>
      <c r="C171" s="637" t="str">
        <f>T("Nämnder m.m.")</f>
        <v>Nämnder m.m.</v>
      </c>
      <c r="D171" s="428">
        <v>5201.8127500000001</v>
      </c>
      <c r="E171" s="428">
        <v>5245.2091700000001</v>
      </c>
      <c r="F171" s="428">
        <v>6376.9322199999997</v>
      </c>
      <c r="G171" s="428">
        <v>16720.67108</v>
      </c>
      <c r="H171" s="428">
        <v>19310.002240000002</v>
      </c>
      <c r="I171" s="428">
        <v>5456.2973400000001</v>
      </c>
      <c r="J171" s="428">
        <v>5468.0880100000004</v>
      </c>
      <c r="K171" s="428">
        <v>5450.6257699999996</v>
      </c>
      <c r="L171" s="428">
        <v>5484.6364599999997</v>
      </c>
    </row>
    <row r="172" spans="1:12">
      <c r="A172" s="429" t="str">
        <f t="shared" si="4"/>
        <v>06</v>
      </c>
      <c r="B172" s="429" t="str">
        <f>T("0601010 2009")</f>
        <v>0601010 2009</v>
      </c>
      <c r="C172" s="637" t="str">
        <f>T("Stöd till frivilliga försvarsorganisationer inom totalförsvaret")</f>
        <v>Stöd till frivilliga försvarsorganisationer inom totalförsvaret</v>
      </c>
      <c r="D172" s="428">
        <v>75211</v>
      </c>
      <c r="E172" s="428">
        <v>66968.013690000007</v>
      </c>
      <c r="F172" s="428">
        <v>68665.850850000003</v>
      </c>
      <c r="G172" s="428">
        <v>68208</v>
      </c>
    </row>
    <row r="173" spans="1:12">
      <c r="A173" s="429" t="str">
        <f t="shared" si="4"/>
        <v>06</v>
      </c>
      <c r="B173" s="429" t="str">
        <f>T("0601011")</f>
        <v>0601011</v>
      </c>
      <c r="C173" s="637" t="str">
        <f>T("Internationella materielsamarbeten, industrifrågor m.m.")</f>
        <v>Internationella materielsamarbeten, industrifrågor m.m.</v>
      </c>
      <c r="D173" s="428">
        <v>81113.210749999998</v>
      </c>
      <c r="E173" s="428">
        <v>98450.637900000002</v>
      </c>
      <c r="F173" s="428">
        <v>103711.47533</v>
      </c>
      <c r="G173" s="428">
        <v>102472.79855000001</v>
      </c>
      <c r="H173" s="428">
        <v>94339.320110000001</v>
      </c>
      <c r="I173" s="428">
        <v>74452.646399999998</v>
      </c>
      <c r="J173" s="428">
        <v>74562.864109999995</v>
      </c>
      <c r="K173" s="428">
        <v>70373.181200000006</v>
      </c>
      <c r="L173" s="428">
        <v>64729.785020000003</v>
      </c>
    </row>
    <row r="174" spans="1:12">
      <c r="A174" s="429" t="str">
        <f t="shared" si="4"/>
        <v>06</v>
      </c>
      <c r="B174" s="429" t="str">
        <f>T("0601012")</f>
        <v>0601012</v>
      </c>
      <c r="C174" s="637" t="str">
        <f>T("Försvarsexportmyndigheten")</f>
        <v>Försvarsexportmyndigheten</v>
      </c>
      <c r="H174" s="428">
        <v>23953.05659</v>
      </c>
      <c r="I174" s="428">
        <v>67712.340400000001</v>
      </c>
      <c r="J174" s="428">
        <v>78265.185580000005</v>
      </c>
      <c r="K174" s="428">
        <v>65968.294829999999</v>
      </c>
      <c r="L174" s="428">
        <v>68231.276329999993</v>
      </c>
    </row>
    <row r="175" spans="1:12">
      <c r="A175" s="429" t="str">
        <f t="shared" si="4"/>
        <v>06</v>
      </c>
      <c r="B175" s="429" t="str">
        <f>T("0601013")</f>
        <v>0601013</v>
      </c>
      <c r="C175" s="637" t="str">
        <f>T("Försvarsunderrättelsedomstolen")</f>
        <v>Försvarsunderrättelsedomstolen</v>
      </c>
      <c r="I175" s="428">
        <v>6434.5281199999999</v>
      </c>
      <c r="J175" s="428">
        <v>6734.3501399999996</v>
      </c>
      <c r="K175" s="428">
        <v>6320.5652200000004</v>
      </c>
      <c r="L175" s="428">
        <v>7576.0954599999995</v>
      </c>
    </row>
    <row r="176" spans="1:12">
      <c r="A176" s="429" t="str">
        <f t="shared" si="4"/>
        <v>06</v>
      </c>
      <c r="B176" s="429" t="str">
        <f>T("0601014")</f>
        <v>0601014</v>
      </c>
      <c r="C176" s="637" t="str">
        <f>T("Statens inspektion för försvarsunderrättelseverksamheten")</f>
        <v>Statens inspektion för försvarsunderrättelseverksamheten</v>
      </c>
      <c r="I176" s="428">
        <v>8262.0698900000007</v>
      </c>
      <c r="J176" s="428">
        <v>8389.8721000000005</v>
      </c>
      <c r="K176" s="428">
        <v>7901.9017000000003</v>
      </c>
      <c r="L176" s="428">
        <v>8292.9091100000005</v>
      </c>
    </row>
    <row r="177" spans="1:12">
      <c r="A177" s="429" t="str">
        <f t="shared" si="4"/>
        <v>06</v>
      </c>
      <c r="B177" s="429" t="str">
        <f>T("0602001")</f>
        <v>0602001</v>
      </c>
      <c r="C177" s="637" t="str">
        <f>T("Kustbevakningen")</f>
        <v>Kustbevakningen</v>
      </c>
      <c r="D177" s="428">
        <v>729680.74141000002</v>
      </c>
      <c r="E177" s="428">
        <v>709919.16301999998</v>
      </c>
      <c r="F177" s="428">
        <v>862708.58851999999</v>
      </c>
      <c r="G177" s="428">
        <v>819619.85502999998</v>
      </c>
      <c r="H177" s="428">
        <v>859770.55169999995</v>
      </c>
      <c r="I177" s="428">
        <v>1009961.0355999999</v>
      </c>
      <c r="J177" s="428">
        <v>1062384.65368</v>
      </c>
      <c r="K177" s="428">
        <v>1083511.0362799999</v>
      </c>
      <c r="L177" s="428">
        <v>1055000.18475</v>
      </c>
    </row>
    <row r="178" spans="1:12">
      <c r="A178" s="429" t="str">
        <f t="shared" si="4"/>
        <v>06</v>
      </c>
      <c r="B178" s="429" t="str">
        <f>T("0602002")</f>
        <v>0602002</v>
      </c>
      <c r="C178" s="637" t="str">
        <f>T("Förebyggande åtgärder mot jordskred och andra naturolyckor")</f>
        <v>Förebyggande åtgärder mot jordskred och andra naturolyckor</v>
      </c>
      <c r="D178" s="428">
        <v>24850</v>
      </c>
      <c r="E178" s="428">
        <v>39850</v>
      </c>
      <c r="F178" s="428">
        <v>28791.4</v>
      </c>
      <c r="G178" s="428">
        <v>39849.999000000003</v>
      </c>
      <c r="H178" s="428">
        <v>53366.455000000002</v>
      </c>
      <c r="I178" s="428">
        <v>59842.105000000003</v>
      </c>
      <c r="J178" s="428">
        <v>39538.300000000003</v>
      </c>
      <c r="K178" s="428">
        <v>24850.000240000001</v>
      </c>
      <c r="L178" s="428">
        <v>24850</v>
      </c>
    </row>
    <row r="179" spans="1:12">
      <c r="A179" s="429" t="str">
        <f t="shared" si="4"/>
        <v>06</v>
      </c>
      <c r="B179" s="429" t="str">
        <f>T("0602003")</f>
        <v>0602003</v>
      </c>
      <c r="C179" s="637" t="str">
        <f>T("Ersättning för räddningstjänst m.m.")</f>
        <v>Ersättning för räddningstjänst m.m.</v>
      </c>
      <c r="D179" s="428">
        <v>18691.982660000001</v>
      </c>
      <c r="E179" s="428">
        <v>26267.0946</v>
      </c>
      <c r="F179" s="428">
        <v>19828.962490000002</v>
      </c>
      <c r="G179" s="428">
        <v>28428.724979999999</v>
      </c>
      <c r="H179" s="428">
        <v>4704.4503800000002</v>
      </c>
      <c r="I179" s="428">
        <v>21106.514910000002</v>
      </c>
      <c r="J179" s="428">
        <v>135955.99179</v>
      </c>
      <c r="K179" s="428">
        <v>33534.312660000003</v>
      </c>
      <c r="L179" s="428">
        <v>127737.82098</v>
      </c>
    </row>
    <row r="180" spans="1:12">
      <c r="A180" s="429" t="str">
        <f t="shared" si="4"/>
        <v>06</v>
      </c>
      <c r="B180" s="429" t="str">
        <f>T("0602004")</f>
        <v>0602004</v>
      </c>
      <c r="C180" s="637" t="str">
        <f>T("Krisberedskap")</f>
        <v>Krisberedskap</v>
      </c>
      <c r="D180" s="428">
        <v>1728198.47061</v>
      </c>
      <c r="E180" s="428">
        <v>1654220.66628</v>
      </c>
      <c r="F180" s="428">
        <v>1658040.4878400001</v>
      </c>
      <c r="G180" s="428">
        <v>1487105.3037099999</v>
      </c>
      <c r="H180" s="428">
        <v>1213951.5804699999</v>
      </c>
      <c r="I180" s="428">
        <v>1125849.3909</v>
      </c>
      <c r="J180" s="428">
        <v>1097885.2318200001</v>
      </c>
      <c r="K180" s="428">
        <v>1095531.38619</v>
      </c>
      <c r="L180" s="428">
        <v>1099658.8951300001</v>
      </c>
    </row>
    <row r="181" spans="1:12">
      <c r="A181" s="429" t="str">
        <f t="shared" si="4"/>
        <v>06</v>
      </c>
      <c r="B181" s="429" t="str">
        <f>T("0602005")</f>
        <v>0602005</v>
      </c>
      <c r="C181" s="637" t="str">
        <f>T("Gemensam radiokommunikation för skydd och säkerhet")</f>
        <v>Gemensam radiokommunikation för skydd och säkerhet</v>
      </c>
      <c r="D181" s="428">
        <v>71583.246769999998</v>
      </c>
      <c r="E181" s="428">
        <v>330805.10285999998</v>
      </c>
      <c r="F181" s="428">
        <v>207531.93216</v>
      </c>
      <c r="G181" s="428">
        <v>198992.69696</v>
      </c>
      <c r="H181" s="428">
        <v>255325.72193</v>
      </c>
      <c r="I181" s="428">
        <v>291027.81705000001</v>
      </c>
      <c r="J181" s="428">
        <v>239327.93153</v>
      </c>
      <c r="K181" s="428">
        <v>30000</v>
      </c>
      <c r="L181" s="428">
        <v>48000</v>
      </c>
    </row>
    <row r="182" spans="1:12">
      <c r="A182" s="429" t="str">
        <f t="shared" si="4"/>
        <v>06</v>
      </c>
      <c r="B182" s="429" t="str">
        <f>T("0602006")</f>
        <v>0602006</v>
      </c>
      <c r="C182" s="637" t="str">
        <f>T("Ersättning till SOS Alarm Sverige AB för alarmeringstjänst enligt avtal")</f>
        <v>Ersättning till SOS Alarm Sverige AB för alarmeringstjänst enligt avtal</v>
      </c>
      <c r="D182" s="428">
        <v>178000</v>
      </c>
      <c r="E182" s="428">
        <v>178000</v>
      </c>
      <c r="F182" s="428">
        <v>183400</v>
      </c>
      <c r="G182" s="428">
        <v>178000</v>
      </c>
      <c r="H182" s="428">
        <v>178000</v>
      </c>
      <c r="I182" s="428">
        <v>178000</v>
      </c>
      <c r="J182" s="428">
        <v>193671</v>
      </c>
      <c r="K182" s="428">
        <v>194421</v>
      </c>
      <c r="L182" s="428">
        <v>214471</v>
      </c>
    </row>
    <row r="183" spans="1:12">
      <c r="A183" s="429" t="str">
        <f t="shared" si="4"/>
        <v>06</v>
      </c>
      <c r="B183" s="429" t="str">
        <f>T("0602007")</f>
        <v>0602007</v>
      </c>
      <c r="C183" s="637" t="str">
        <f>T("Myndigheten för samhällsskydd och beredskap")</f>
        <v>Myndigheten för samhällsskydd och beredskap</v>
      </c>
      <c r="G183" s="428">
        <v>802160.81668000005</v>
      </c>
      <c r="H183" s="428">
        <v>993838.25292</v>
      </c>
      <c r="I183" s="428">
        <v>989508.01916999999</v>
      </c>
      <c r="J183" s="428">
        <v>1012819.32115</v>
      </c>
      <c r="K183" s="428">
        <v>1057126.2831600001</v>
      </c>
      <c r="L183" s="428">
        <v>1053161.50486</v>
      </c>
    </row>
    <row r="184" spans="1:12">
      <c r="A184" s="429" t="str">
        <f t="shared" si="4"/>
        <v>06</v>
      </c>
      <c r="B184" s="429" t="str">
        <f>T("0602008")</f>
        <v>0602008</v>
      </c>
      <c r="C184" s="637" t="str">
        <f>T("Statens haverikommission")</f>
        <v>Statens haverikommission</v>
      </c>
      <c r="I184" s="428">
        <v>35056.266170000003</v>
      </c>
      <c r="J184" s="428">
        <v>47294.68086</v>
      </c>
      <c r="K184" s="428">
        <v>41668.45751</v>
      </c>
      <c r="L184" s="428">
        <v>39523.084190000001</v>
      </c>
    </row>
    <row r="185" spans="1:12">
      <c r="A185" s="429" t="str">
        <f t="shared" si="4"/>
        <v>06</v>
      </c>
      <c r="B185" s="429" t="str">
        <f>T("0602008 2011")</f>
        <v>0602008 2011</v>
      </c>
      <c r="C185" s="637" t="str">
        <f>T("Avvecklingsmyndigheten för SRV, KBM och SPF")</f>
        <v>Avvecklingsmyndigheten för SRV, KBM och SPF</v>
      </c>
      <c r="G185" s="428">
        <v>207552.8553</v>
      </c>
      <c r="H185" s="428">
        <v>88658.392290000003</v>
      </c>
      <c r="I185" s="428">
        <v>1769.9935499999999</v>
      </c>
      <c r="J185" s="428">
        <v>1985.17</v>
      </c>
      <c r="K185" s="428">
        <v>1607.373</v>
      </c>
    </row>
    <row r="186" spans="1:12">
      <c r="A186" s="429" t="str">
        <f t="shared" si="4"/>
        <v>06</v>
      </c>
      <c r="B186" s="429" t="str">
        <f>T("0603001")</f>
        <v>0603001</v>
      </c>
      <c r="C186" s="637" t="str">
        <f>T("Strålsäkerhetsmyndigheten")</f>
        <v>Strålsäkerhetsmyndigheten</v>
      </c>
      <c r="F186" s="428">
        <v>151390.18064000001</v>
      </c>
      <c r="G186" s="428">
        <v>300928.35694000003</v>
      </c>
      <c r="H186" s="428">
        <v>317329.06699999998</v>
      </c>
      <c r="I186" s="428">
        <v>309951.65659999999</v>
      </c>
      <c r="J186" s="428">
        <v>330569.90340000001</v>
      </c>
      <c r="K186" s="428">
        <v>360293.38280999998</v>
      </c>
      <c r="L186" s="428">
        <v>351493.26873000001</v>
      </c>
    </row>
    <row r="187" spans="1:12">
      <c r="A187" s="429" t="str">
        <f t="shared" si="4"/>
        <v>06</v>
      </c>
      <c r="B187" s="429" t="str">
        <f>T("0603002 2009")</f>
        <v>0603002 2009</v>
      </c>
      <c r="C187" s="637" t="str">
        <f>T("Avvecklingsmyndigheten för SSI och SKI")</f>
        <v>Avvecklingsmyndigheten för SSI och SKI</v>
      </c>
      <c r="F187" s="428">
        <v>3451.3837400000002</v>
      </c>
      <c r="G187" s="428">
        <v>9273.3272500000003</v>
      </c>
      <c r="H187" s="428">
        <v>266.529</v>
      </c>
    </row>
    <row r="188" spans="1:12">
      <c r="A188" s="429" t="str">
        <f t="shared" si="4"/>
        <v>06</v>
      </c>
      <c r="B188" s="429" t="str">
        <f>T("0604001")</f>
        <v>0604001</v>
      </c>
      <c r="C188" s="637" t="str">
        <f>T("Elsäkerhetsverket")</f>
        <v>Elsäkerhetsverket</v>
      </c>
      <c r="D188" s="428">
        <v>37334.517399999997</v>
      </c>
      <c r="E188" s="428">
        <v>45734.422059999997</v>
      </c>
      <c r="F188" s="428">
        <v>45204.617160000002</v>
      </c>
      <c r="G188" s="428">
        <v>50020.087449999999</v>
      </c>
      <c r="H188" s="428">
        <v>46548.416160000001</v>
      </c>
      <c r="I188" s="428">
        <v>45160.889300000003</v>
      </c>
      <c r="J188" s="428">
        <v>49327.056479999999</v>
      </c>
      <c r="K188" s="428">
        <v>51064.841119999997</v>
      </c>
      <c r="L188" s="428">
        <v>52990.149250000002</v>
      </c>
    </row>
    <row r="189" spans="1:12">
      <c r="A189" s="429" t="str">
        <f t="shared" si="4"/>
        <v>06</v>
      </c>
      <c r="B189" s="429" t="str">
        <f>T("060602 2001")</f>
        <v>060602 2001</v>
      </c>
      <c r="C189" s="637" t="str">
        <f>T("Fredsfrämjande truppinsatser")</f>
        <v>Fredsfrämjande truppinsatser</v>
      </c>
    </row>
    <row r="190" spans="1:12">
      <c r="A190" s="429" t="str">
        <f t="shared" si="4"/>
        <v>06</v>
      </c>
      <c r="B190" s="429" t="str">
        <f>T("060602 2008")</f>
        <v>060602 2008</v>
      </c>
      <c r="C190" s="637" t="str">
        <f>T("Materiel och anläggningar")</f>
        <v>Materiel och anläggningar</v>
      </c>
      <c r="D190" s="428">
        <v>17468816.852960002</v>
      </c>
      <c r="E190" s="428">
        <v>19232317.73449</v>
      </c>
      <c r="F190" s="428">
        <v>16266494.454770001</v>
      </c>
      <c r="G190" s="428">
        <v>228880.87614000001</v>
      </c>
    </row>
    <row r="191" spans="1:12">
      <c r="A191" s="429" t="str">
        <f t="shared" si="4"/>
        <v>06</v>
      </c>
      <c r="B191" s="429" t="str">
        <f>T("060603 2002")</f>
        <v>060603 2002</v>
      </c>
      <c r="C191" s="637" t="str">
        <f>T("Funktionen Civil ledning")</f>
        <v>Funktionen Civil ledning</v>
      </c>
    </row>
    <row r="192" spans="1:12">
      <c r="A192" s="429" t="str">
        <f t="shared" si="4"/>
        <v>06</v>
      </c>
      <c r="B192" s="429" t="str">
        <f>T("060604 2002")</f>
        <v>060604 2002</v>
      </c>
      <c r="C192" s="637" t="str">
        <f>T("Funktionen Försörjning med industrivaror")</f>
        <v>Funktionen Försörjning med industrivaror</v>
      </c>
    </row>
    <row r="193" spans="1:9" customFormat="1">
      <c r="A193" s="429" t="str">
        <f t="shared" si="4"/>
        <v>06</v>
      </c>
      <c r="B193" s="429" t="str">
        <f>T("060605 2002")</f>
        <v>060605 2002</v>
      </c>
      <c r="C193" s="637" t="str">
        <f>T("Funktionen Befolkningsskydd och räddningstjänst")</f>
        <v>Funktionen Befolkningsskydd och räddningstjänst</v>
      </c>
      <c r="D193" s="428"/>
      <c r="E193" s="428"/>
      <c r="F193" s="428"/>
      <c r="G193" s="428"/>
      <c r="H193" s="428"/>
      <c r="I193" s="428"/>
    </row>
    <row r="194" spans="1:9" customFormat="1">
      <c r="A194" s="429" t="str">
        <f t="shared" si="4"/>
        <v>06</v>
      </c>
      <c r="B194" s="429" t="str">
        <f>T("060606 2002")</f>
        <v>060606 2002</v>
      </c>
      <c r="C194" s="637" t="str">
        <f>T("Funktionen Psykologiskt försvar")</f>
        <v>Funktionen Psykologiskt försvar</v>
      </c>
      <c r="D194" s="428"/>
      <c r="E194" s="428"/>
      <c r="F194" s="428"/>
      <c r="G194" s="428"/>
      <c r="H194" s="428"/>
      <c r="I194" s="428"/>
    </row>
    <row r="195" spans="1:9" customFormat="1">
      <c r="A195" s="429" t="str">
        <f t="shared" si="4"/>
        <v>06</v>
      </c>
      <c r="B195" s="429" t="str">
        <f>T("060607 2002")</f>
        <v>060607 2002</v>
      </c>
      <c r="C195" s="637" t="str">
        <f>T("Funktionen Ordning och säkerhet")</f>
        <v>Funktionen Ordning och säkerhet</v>
      </c>
      <c r="D195" s="428"/>
      <c r="E195" s="428"/>
      <c r="F195" s="428"/>
      <c r="G195" s="428"/>
      <c r="H195" s="428"/>
      <c r="I195" s="428"/>
    </row>
    <row r="196" spans="1:9" customFormat="1">
      <c r="A196" s="429" t="str">
        <f t="shared" si="4"/>
        <v>06</v>
      </c>
      <c r="B196" s="429" t="str">
        <f>T("060608 2002")</f>
        <v>060608 2002</v>
      </c>
      <c r="C196" s="637" t="str">
        <f>T("Funktionen Hälso- och sjukvård m.m.")</f>
        <v>Funktionen Hälso- och sjukvård m.m.</v>
      </c>
      <c r="D196" s="428"/>
      <c r="E196" s="428"/>
      <c r="F196" s="428"/>
      <c r="G196" s="428"/>
      <c r="H196" s="428"/>
      <c r="I196" s="428"/>
    </row>
    <row r="197" spans="1:9" customFormat="1">
      <c r="A197" s="429" t="str">
        <f t="shared" si="4"/>
        <v>06</v>
      </c>
      <c r="B197" s="429" t="str">
        <f>T("060609 2002")</f>
        <v>060609 2002</v>
      </c>
      <c r="C197" s="637" t="str">
        <f>T("Funktionen Telekommunikationer m.m.")</f>
        <v>Funktionen Telekommunikationer m.m.</v>
      </c>
      <c r="D197" s="428"/>
      <c r="E197" s="428"/>
      <c r="F197" s="428"/>
      <c r="G197" s="428"/>
      <c r="H197" s="428"/>
      <c r="I197" s="428"/>
    </row>
    <row r="198" spans="1:9" customFormat="1">
      <c r="A198" s="429" t="str">
        <f t="shared" si="4"/>
        <v>06</v>
      </c>
      <c r="B198" s="429" t="str">
        <f>T("060610 2002")</f>
        <v>060610 2002</v>
      </c>
      <c r="C198" s="637" t="str">
        <f>T("Funktionen Postbefordran")</f>
        <v>Funktionen Postbefordran</v>
      </c>
      <c r="D198" s="428"/>
      <c r="E198" s="428"/>
      <c r="F198" s="428"/>
      <c r="G198" s="428"/>
      <c r="H198" s="428"/>
      <c r="I198" s="428"/>
    </row>
    <row r="199" spans="1:9" customFormat="1">
      <c r="A199" s="429" t="str">
        <f t="shared" si="4"/>
        <v>06</v>
      </c>
      <c r="B199" s="429" t="str">
        <f>T("060611 2002")</f>
        <v>060611 2002</v>
      </c>
      <c r="C199" s="637" t="str">
        <f>T("Funktionen Transporter")</f>
        <v>Funktionen Transporter</v>
      </c>
      <c r="D199" s="428"/>
      <c r="E199" s="428"/>
      <c r="F199" s="428"/>
      <c r="G199" s="428"/>
      <c r="H199" s="428"/>
      <c r="I199" s="428"/>
    </row>
    <row r="200" spans="1:9" customFormat="1">
      <c r="A200" s="429" t="str">
        <f t="shared" si="4"/>
        <v>06</v>
      </c>
      <c r="B200" s="429" t="str">
        <f>T("060612 2002")</f>
        <v>060612 2002</v>
      </c>
      <c r="C200" s="637" t="str">
        <f>T("Funktionen Energiförsörjning")</f>
        <v>Funktionen Energiförsörjning</v>
      </c>
      <c r="D200" s="428"/>
      <c r="E200" s="428"/>
      <c r="F200" s="428"/>
      <c r="G200" s="428"/>
      <c r="H200" s="428"/>
      <c r="I200" s="428"/>
    </row>
    <row r="201" spans="1:9" customFormat="1">
      <c r="A201" s="429" t="str">
        <f t="shared" si="4"/>
        <v>06</v>
      </c>
      <c r="B201" s="429" t="str">
        <f>T("060704 2008")</f>
        <v>060704 2008</v>
      </c>
      <c r="C201" s="637" t="str">
        <f>T("Samhällets skydd mot olyckor")</f>
        <v>Samhällets skydd mot olyckor</v>
      </c>
      <c r="D201" s="428">
        <v>687813.84456999996</v>
      </c>
      <c r="E201" s="428">
        <v>675760.98354000004</v>
      </c>
      <c r="F201" s="428">
        <v>698142.02176999999</v>
      </c>
      <c r="G201" s="428">
        <v>-16109.089110000001</v>
      </c>
      <c r="H201" s="428"/>
      <c r="I201" s="428"/>
    </row>
    <row r="202" spans="1:9" customFormat="1">
      <c r="A202" s="429" t="str">
        <f t="shared" si="4"/>
        <v>06</v>
      </c>
      <c r="B202" s="429" t="str">
        <f>T("060705 2001")</f>
        <v>060705 2001</v>
      </c>
      <c r="C202" s="637" t="str">
        <f>T("Brandfarliga och explosiva varor")</f>
        <v>Brandfarliga och explosiva varor</v>
      </c>
      <c r="D202" s="428"/>
      <c r="E202" s="428"/>
      <c r="F202" s="428"/>
      <c r="G202" s="428"/>
      <c r="H202" s="428"/>
      <c r="I202" s="428"/>
    </row>
    <row r="203" spans="1:9" customFormat="1">
      <c r="A203" s="429" t="str">
        <f t="shared" si="4"/>
        <v>06</v>
      </c>
      <c r="B203" s="429" t="str">
        <f>T("060707 2008")</f>
        <v>060707 2008</v>
      </c>
      <c r="C203" s="637" t="str">
        <f>T("Krisberedskapsmyndigheten")</f>
        <v>Krisberedskapsmyndigheten</v>
      </c>
      <c r="D203" s="428">
        <v>148166.28956</v>
      </c>
      <c r="E203" s="428">
        <v>165117.32024</v>
      </c>
      <c r="F203" s="428">
        <v>161428.30627999999</v>
      </c>
      <c r="G203" s="428">
        <v>4942</v>
      </c>
      <c r="H203" s="428"/>
      <c r="I203" s="428"/>
    </row>
    <row r="204" spans="1:9" customFormat="1">
      <c r="A204" s="429" t="str">
        <f t="shared" si="4"/>
        <v>06</v>
      </c>
      <c r="B204" s="429" t="str">
        <f>T("060708 2008")</f>
        <v>060708 2008</v>
      </c>
      <c r="C204" s="637" t="str">
        <f>T("Styrelsen för psykologiskt försvar")</f>
        <v>Styrelsen för psykologiskt försvar</v>
      </c>
      <c r="D204" s="428">
        <v>24460.110189999999</v>
      </c>
      <c r="E204" s="428">
        <v>31988.114460000001</v>
      </c>
      <c r="F204" s="428">
        <v>29619.491419999998</v>
      </c>
      <c r="G204" s="428">
        <v>922</v>
      </c>
      <c r="H204" s="428"/>
      <c r="I204" s="428"/>
    </row>
    <row r="205" spans="1:9" customFormat="1">
      <c r="A205" s="429" t="str">
        <f t="shared" si="4"/>
        <v>06</v>
      </c>
      <c r="B205" s="429" t="str">
        <f>T("063401 2008")</f>
        <v>063401 2008</v>
      </c>
      <c r="C205" s="637" t="str">
        <f>T("Statens strålskyddsinstitut")</f>
        <v>Statens strålskyddsinstitut</v>
      </c>
      <c r="D205" s="428">
        <v>107550.61708</v>
      </c>
      <c r="E205" s="428">
        <v>118432.90687000001</v>
      </c>
      <c r="F205" s="428">
        <v>56817.578670000003</v>
      </c>
      <c r="G205" s="428">
        <v>0</v>
      </c>
      <c r="H205" s="428"/>
      <c r="I205" s="428">
        <v>-324.02472999999998</v>
      </c>
    </row>
    <row r="206" spans="1:9" customFormat="1">
      <c r="A206" s="429" t="str">
        <f t="shared" si="4"/>
        <v>06</v>
      </c>
      <c r="B206" s="429" t="str">
        <f>T("063402 2008")</f>
        <v>063402 2008</v>
      </c>
      <c r="C206" s="637" t="str">
        <f>T("Statens kärnkraftinspektion: Förvaltningskostnader")</f>
        <v>Statens kärnkraftinspektion: Förvaltningskostnader</v>
      </c>
      <c r="D206" s="428">
        <v>95431.876759999999</v>
      </c>
      <c r="E206" s="428">
        <v>103044.13324</v>
      </c>
      <c r="F206" s="428">
        <v>49245.727489999997</v>
      </c>
      <c r="G206" s="428">
        <v>0</v>
      </c>
      <c r="H206" s="428"/>
      <c r="I206" s="428">
        <v>-646.86072999999999</v>
      </c>
    </row>
    <row r="207" spans="1:9" customFormat="1">
      <c r="A207" s="429" t="str">
        <f t="shared" si="4"/>
        <v>06</v>
      </c>
      <c r="B207" s="429" t="str">
        <f>T("063403 2008")</f>
        <v>063403 2008</v>
      </c>
      <c r="C207" s="637" t="str">
        <f>T("Statens kärnkraftinspektion: Kärnsäkerhetsforskning")</f>
        <v>Statens kärnkraftinspektion: Kärnsäkerhetsforskning</v>
      </c>
      <c r="D207" s="428">
        <v>72922.498099999997</v>
      </c>
      <c r="E207" s="428">
        <v>72698.158519999997</v>
      </c>
      <c r="F207" s="428">
        <v>28631.774799999999</v>
      </c>
      <c r="G207" s="428"/>
      <c r="H207" s="428"/>
      <c r="I207" s="428"/>
    </row>
    <row r="208" spans="1:9" customFormat="1">
      <c r="A208" s="429" t="str">
        <f t="shared" si="4"/>
        <v>06</v>
      </c>
      <c r="B208" s="429" t="str">
        <f>T("06A001 1998")</f>
        <v>06A001 1998</v>
      </c>
      <c r="C208" s="637" t="str">
        <f>T("Försvarsmakten")</f>
        <v>Försvarsmakten</v>
      </c>
      <c r="D208" s="428"/>
      <c r="E208" s="428"/>
      <c r="F208" s="428"/>
      <c r="G208" s="428"/>
      <c r="H208" s="428"/>
      <c r="I208" s="428"/>
    </row>
    <row r="209" spans="1:12">
      <c r="A209" s="429" t="str">
        <f t="shared" si="4"/>
        <v>06</v>
      </c>
      <c r="B209" s="429" t="str">
        <f>T("06A006 9596")</f>
        <v>06A006 9596</v>
      </c>
      <c r="C209" s="637" t="str">
        <f>T("Vägverket: Försvarsuppgifter")</f>
        <v>Vägverket: Försvarsuppgifter</v>
      </c>
    </row>
    <row r="210" spans="1:12">
      <c r="A210" s="429" t="str">
        <f t="shared" si="4"/>
        <v>06</v>
      </c>
      <c r="B210" s="429" t="str">
        <f>T("06A014 9596")</f>
        <v>06A014 9596</v>
      </c>
      <c r="C210" s="637" t="str">
        <f>T("Banverket: Försvarsuppgifter")</f>
        <v>Banverket: Försvarsuppgifter</v>
      </c>
    </row>
    <row r="211" spans="1:12">
      <c r="A211" s="429" t="str">
        <f t="shared" si="4"/>
        <v>06</v>
      </c>
      <c r="B211" s="429" t="str">
        <f>T("06C001 9596")</f>
        <v>06C001 9596</v>
      </c>
      <c r="C211" s="637" t="str">
        <f>T("Beredskap för civil luftfart")</f>
        <v>Beredskap för civil luftfart</v>
      </c>
    </row>
    <row r="212" spans="1:12">
      <c r="A212" s="429" t="str">
        <f t="shared" si="4"/>
        <v>06</v>
      </c>
      <c r="B212" s="429" t="str">
        <f>T("06C003 1997")</f>
        <v>06C003 1997</v>
      </c>
      <c r="C212" s="637" t="str">
        <f>T("Utredning av allvarliga olyckor")</f>
        <v>Utredning av allvarliga olyckor</v>
      </c>
    </row>
    <row r="213" spans="1:12">
      <c r="A213" s="429" t="str">
        <f t="shared" si="4"/>
        <v>06</v>
      </c>
      <c r="B213" s="429" t="str">
        <f>T("06D004 2000")</f>
        <v>06D004 2000</v>
      </c>
      <c r="C213" s="637" t="str">
        <f>T("Försvarets forskningsanstalt")</f>
        <v>Försvarets forskningsanstalt</v>
      </c>
    </row>
    <row r="214" spans="1:12">
      <c r="A214" s="429" t="str">
        <f t="shared" si="4"/>
        <v>06</v>
      </c>
      <c r="B214" s="429" t="str">
        <f>T("06D005 2000")</f>
        <v>06D005 2000</v>
      </c>
      <c r="C214" s="637" t="str">
        <f>T("Flygtekniska försöksanstalten")</f>
        <v>Flygtekniska försöksanstalten</v>
      </c>
    </row>
    <row r="215" spans="1:12">
      <c r="A215" s="429" t="str">
        <f t="shared" si="4"/>
        <v>06</v>
      </c>
      <c r="B215" s="429" t="str">
        <f>T("06E004 9596")</f>
        <v>06E004 9596</v>
      </c>
      <c r="C215" s="637" t="str">
        <f>T("Överstyrelsen för civil beredskap: Åtgärder inom den civila del")</f>
        <v>Överstyrelsen för civil beredskap: Åtgärder inom den civila del</v>
      </c>
    </row>
    <row r="216" spans="1:12">
      <c r="A216" s="429" t="str">
        <f t="shared" si="4"/>
        <v>06</v>
      </c>
      <c r="B216" s="429" t="str">
        <f>T("12E001 9596")</f>
        <v>12E001 9596</v>
      </c>
      <c r="C216" s="637" t="str">
        <f>T("Handlingsberedskap")</f>
        <v>Handlingsberedskap</v>
      </c>
    </row>
    <row r="217" spans="1:12">
      <c r="A217" s="429" t="str">
        <f t="shared" si="4"/>
        <v>06</v>
      </c>
      <c r="B217" s="429" t="str">
        <f>T("12E002 9596")</f>
        <v>12E002 9596</v>
      </c>
      <c r="C217" s="637" t="str">
        <f>T("Åtgärder inom elförsörjningen")</f>
        <v>Åtgärder inom elförsörjningen</v>
      </c>
    </row>
    <row r="218" spans="1:12">
      <c r="A218" s="430" t="s">
        <v>1640</v>
      </c>
      <c r="B218" s="430"/>
      <c r="C218" s="430" t="str">
        <f>T("Försvar och samhällets krisberedskap")</f>
        <v>Försvar och samhällets krisberedskap</v>
      </c>
      <c r="D218" s="431">
        <v>44262429.111620001</v>
      </c>
      <c r="E218" s="431">
        <v>46529933.976369999</v>
      </c>
      <c r="F218" s="431">
        <v>43029607.667180002</v>
      </c>
      <c r="G218" s="431">
        <v>42106475.257069997</v>
      </c>
      <c r="H218" s="431">
        <v>45665235.668130003</v>
      </c>
      <c r="I218" s="431">
        <v>44153481.799950004</v>
      </c>
      <c r="J218" s="431">
        <v>45461729.54112</v>
      </c>
      <c r="K218" s="431">
        <v>45410453.147330001</v>
      </c>
      <c r="L218" s="431">
        <v>47977672.350129999</v>
      </c>
    </row>
    <row r="219" spans="1:12">
      <c r="A219" s="429" t="str">
        <f t="shared" ref="A219:A234" si="5">T("07")</f>
        <v>07</v>
      </c>
      <c r="B219" s="429" t="str">
        <f>T("03C001 9596")</f>
        <v>03C001 9596</v>
      </c>
      <c r="C219" s="637" t="str">
        <f>T("Bidrag till internationella biståndsprogram")</f>
        <v>Bidrag till internationella biståndsprogram</v>
      </c>
    </row>
    <row r="220" spans="1:12">
      <c r="A220" s="429" t="str">
        <f t="shared" si="5"/>
        <v>07</v>
      </c>
      <c r="B220" s="429" t="str">
        <f>T("03C002 9596")</f>
        <v>03C002 9596</v>
      </c>
      <c r="C220" s="637" t="str">
        <f>T("Utvecklingssamarbete genom Sida")</f>
        <v>Utvecklingssamarbete genom Sida</v>
      </c>
    </row>
    <row r="221" spans="1:12">
      <c r="A221" s="429" t="str">
        <f t="shared" si="5"/>
        <v>07</v>
      </c>
      <c r="B221" s="429" t="str">
        <f>T("03C006 9596")</f>
        <v>03C006 9596</v>
      </c>
      <c r="C221" s="637" t="str">
        <f>T("Nordiska afrikainstitutet")</f>
        <v>Nordiska afrikainstitutet</v>
      </c>
    </row>
    <row r="222" spans="1:12">
      <c r="A222" s="429" t="str">
        <f t="shared" si="5"/>
        <v>07</v>
      </c>
      <c r="B222" s="429" t="str">
        <f>T("03C007 9596")</f>
        <v>03C007 9596</v>
      </c>
      <c r="C222" s="637" t="str">
        <f>T("Övriga biståndsrelaterade insatser")</f>
        <v>Övriga biståndsrelaterade insatser</v>
      </c>
    </row>
    <row r="223" spans="1:12">
      <c r="A223" s="429" t="str">
        <f t="shared" si="5"/>
        <v>07</v>
      </c>
      <c r="B223" s="429" t="str">
        <f>T("03C014 9495")</f>
        <v>03C014 9495</v>
      </c>
      <c r="C223" s="637" t="str">
        <f>T("Projektbistånd till vissa länder m.m. ")</f>
        <v xml:space="preserve">Projektbistånd till vissa länder m.m. </v>
      </c>
    </row>
    <row r="224" spans="1:12">
      <c r="A224" s="429" t="str">
        <f t="shared" si="5"/>
        <v>07</v>
      </c>
      <c r="B224" s="429" t="str">
        <f>T("03G001 9596")</f>
        <v>03G001 9596</v>
      </c>
      <c r="C224" s="637" t="str">
        <f>T("Samarbete med Central- och Östeuropa genom SIDA ")</f>
        <v xml:space="preserve">Samarbete med Central- och Östeuropa genom SIDA </v>
      </c>
    </row>
    <row r="225" spans="1:12">
      <c r="A225" s="429" t="str">
        <f t="shared" si="5"/>
        <v>07</v>
      </c>
      <c r="B225" s="429" t="str">
        <f>T("0701001")</f>
        <v>0701001</v>
      </c>
      <c r="C225" s="637" t="str">
        <f>T("Biståndsverksamhet")</f>
        <v>Biståndsverksamhet</v>
      </c>
      <c r="D225" s="428">
        <v>25186569.99436</v>
      </c>
      <c r="E225" s="428">
        <v>24715371.927170001</v>
      </c>
      <c r="F225" s="428">
        <v>25298581.12537</v>
      </c>
      <c r="G225" s="428">
        <v>27125058.21689</v>
      </c>
      <c r="H225" s="428">
        <v>24303958.27299</v>
      </c>
      <c r="I225" s="428">
        <v>26834086.377</v>
      </c>
      <c r="J225" s="428">
        <v>27842684.453680001</v>
      </c>
      <c r="K225" s="428">
        <v>28511533.49681</v>
      </c>
      <c r="L225" s="428">
        <v>29856481.8369</v>
      </c>
    </row>
    <row r="226" spans="1:12">
      <c r="A226" s="429" t="str">
        <f t="shared" si="5"/>
        <v>07</v>
      </c>
      <c r="B226" s="429" t="str">
        <f>T("0701002")</f>
        <v>0701002</v>
      </c>
      <c r="C226" s="637" t="str">
        <f>T("Styrelsen för internationellt utvecklingssamarbete (Sida)")</f>
        <v>Styrelsen för internationellt utvecklingssamarbete (Sida)</v>
      </c>
      <c r="D226" s="428">
        <v>619634.54521999997</v>
      </c>
      <c r="E226" s="428">
        <v>627624.29087999999</v>
      </c>
      <c r="F226" s="428">
        <v>894633.89517999999</v>
      </c>
      <c r="G226" s="428">
        <v>953187.99094000005</v>
      </c>
      <c r="H226" s="428">
        <v>937024.02454999997</v>
      </c>
      <c r="I226" s="428">
        <v>923754.37376999995</v>
      </c>
      <c r="J226" s="428">
        <v>925891.19362999999</v>
      </c>
      <c r="K226" s="428">
        <v>979699.07400000002</v>
      </c>
      <c r="L226" s="428">
        <v>972745.83193999995</v>
      </c>
    </row>
    <row r="227" spans="1:12">
      <c r="A227" s="429" t="str">
        <f t="shared" si="5"/>
        <v>07</v>
      </c>
      <c r="B227" s="429" t="str">
        <f>T("0701003")</f>
        <v>0701003</v>
      </c>
      <c r="C227" s="637" t="str">
        <f>T("Nordiska Afrikainstitutet")</f>
        <v>Nordiska Afrikainstitutet</v>
      </c>
      <c r="D227" s="428">
        <v>14232</v>
      </c>
      <c r="E227" s="428">
        <v>14336</v>
      </c>
      <c r="F227" s="428">
        <v>14834.1847</v>
      </c>
      <c r="G227" s="428">
        <v>13993.44485</v>
      </c>
      <c r="H227" s="428">
        <v>15296.394550000001</v>
      </c>
      <c r="I227" s="428">
        <v>15521.72478</v>
      </c>
      <c r="J227" s="428">
        <v>14974.63558</v>
      </c>
      <c r="K227" s="428">
        <v>14331.8282</v>
      </c>
      <c r="L227" s="428">
        <v>13997.492980000001</v>
      </c>
    </row>
    <row r="228" spans="1:12">
      <c r="A228" s="429" t="str">
        <f t="shared" si="5"/>
        <v>07</v>
      </c>
      <c r="B228" s="429" t="str">
        <f>T("0701004")</f>
        <v>0701004</v>
      </c>
      <c r="C228" s="637" t="str">
        <f>T("Folke Bernadotteakademin")</f>
        <v>Folke Bernadotteakademin</v>
      </c>
      <c r="D228" s="428">
        <v>23431.944599999999</v>
      </c>
      <c r="E228" s="428">
        <v>30795.317709999999</v>
      </c>
      <c r="F228" s="428">
        <v>41059.730669999997</v>
      </c>
      <c r="G228" s="428">
        <v>42196.870869999999</v>
      </c>
      <c r="H228" s="428">
        <v>47467.910889999999</v>
      </c>
      <c r="I228" s="428">
        <v>53282.102010000002</v>
      </c>
      <c r="J228" s="428">
        <v>56062.174809999997</v>
      </c>
      <c r="K228" s="428">
        <v>62239.75144</v>
      </c>
      <c r="L228" s="428">
        <v>96525.226209999993</v>
      </c>
    </row>
    <row r="229" spans="1:12">
      <c r="A229" s="429" t="str">
        <f t="shared" si="5"/>
        <v>07</v>
      </c>
      <c r="B229" s="429" t="str">
        <f>T("0701005")</f>
        <v>0701005</v>
      </c>
      <c r="C229" s="637" t="str">
        <f>T("Riksrevisionen: Internationellt utvecklingssamarbete")</f>
        <v>Riksrevisionen: Internationellt utvecklingssamarbete</v>
      </c>
      <c r="D229" s="428">
        <v>38687.973310000001</v>
      </c>
      <c r="E229" s="428">
        <v>36772.981829999997</v>
      </c>
      <c r="F229" s="428">
        <v>39331.543989999998</v>
      </c>
      <c r="G229" s="428">
        <v>37537.879990000001</v>
      </c>
      <c r="H229" s="428">
        <v>37280.928119999997</v>
      </c>
      <c r="I229" s="428">
        <v>40316.570339999998</v>
      </c>
      <c r="J229" s="428">
        <v>41931.090700000001</v>
      </c>
      <c r="K229" s="428">
        <v>38423.774709999998</v>
      </c>
      <c r="L229" s="428">
        <v>39607.531139999999</v>
      </c>
    </row>
    <row r="230" spans="1:12">
      <c r="A230" s="429" t="str">
        <f t="shared" si="5"/>
        <v>07</v>
      </c>
      <c r="B230" s="429" t="str">
        <f>T("0701006")</f>
        <v>0701006</v>
      </c>
      <c r="C230" s="637" t="str">
        <f>T("Utvärdering av internationellt bistånd")</f>
        <v>Utvärdering av internationellt bistånd</v>
      </c>
      <c r="K230" s="428">
        <v>7852.4556300000004</v>
      </c>
      <c r="L230" s="428">
        <v>10493.99785</v>
      </c>
    </row>
    <row r="231" spans="1:12">
      <c r="A231" s="429" t="str">
        <f t="shared" si="5"/>
        <v>07</v>
      </c>
      <c r="B231" s="429" t="str">
        <f>T("0701006 2012")</f>
        <v>0701006 2012</v>
      </c>
      <c r="C231" s="637" t="str">
        <f>T("Institutet för utvärdering av internationellt utvecklingssamarbete")</f>
        <v>Institutet för utvärdering av internationellt utvecklingssamarbete</v>
      </c>
      <c r="D231" s="428">
        <v>10919.026159999999</v>
      </c>
      <c r="E231" s="428">
        <v>16307.73137</v>
      </c>
      <c r="F231" s="428">
        <v>18204.934069999999</v>
      </c>
      <c r="G231" s="428">
        <v>20328.801889999999</v>
      </c>
      <c r="H231" s="428">
        <v>19690.201400000002</v>
      </c>
      <c r="I231" s="428">
        <v>22631.059399999998</v>
      </c>
      <c r="J231" s="428">
        <v>20088.466670000002</v>
      </c>
    </row>
    <row r="232" spans="1:12">
      <c r="A232" s="429" t="str">
        <f t="shared" si="5"/>
        <v>07</v>
      </c>
      <c r="B232" s="429" t="str">
        <f>T("0702001 2013")</f>
        <v>0702001 2013</v>
      </c>
      <c r="C232" s="637" t="str">
        <f>T("Reformsamarbete i Östeuropa")</f>
        <v>Reformsamarbete i Östeuropa</v>
      </c>
      <c r="F232" s="428">
        <v>1146155.6864799999</v>
      </c>
      <c r="G232" s="428">
        <v>1408013.5800099999</v>
      </c>
      <c r="H232" s="428">
        <v>1308164.09978</v>
      </c>
      <c r="I232" s="428">
        <v>1309017.70472</v>
      </c>
      <c r="J232" s="428">
        <v>1295490.7499500001</v>
      </c>
      <c r="K232" s="428">
        <v>1161478.58103</v>
      </c>
      <c r="L232" s="428">
        <v>37472.285920000002</v>
      </c>
    </row>
    <row r="233" spans="1:12">
      <c r="A233" s="429" t="str">
        <f t="shared" si="5"/>
        <v>07</v>
      </c>
      <c r="B233" s="429" t="str">
        <f>T("070805 2006")</f>
        <v>070805 2006</v>
      </c>
      <c r="C233" s="637" t="str">
        <f>T("Avsättning för förlustrisker vad avser garantier för finansiellt stöd och exportkreditgarantier")</f>
        <v>Avsättning för förlustrisker vad avser garantier för finansiellt stöd och exportkreditgarantier</v>
      </c>
    </row>
    <row r="234" spans="1:12">
      <c r="A234" s="429" t="str">
        <f t="shared" si="5"/>
        <v>07</v>
      </c>
      <c r="B234" s="429" t="str">
        <f>T("070901 2003")</f>
        <v>070901 2003</v>
      </c>
      <c r="C234" s="637" t="str">
        <f>T("Samarbete med Central- och Östeuropa")</f>
        <v>Samarbete med Central- och Östeuropa</v>
      </c>
    </row>
    <row r="235" spans="1:12">
      <c r="A235" s="430" t="s">
        <v>1641</v>
      </c>
      <c r="B235" s="430"/>
      <c r="C235" s="430" t="str">
        <f>T("Internationellt bistånd")</f>
        <v>Internationellt bistånd</v>
      </c>
      <c r="D235" s="431">
        <v>25893475.483649999</v>
      </c>
      <c r="E235" s="431">
        <v>25441208.24896</v>
      </c>
      <c r="F235" s="431">
        <v>27452801.10046</v>
      </c>
      <c r="G235" s="431">
        <v>29600316.785440002</v>
      </c>
      <c r="H235" s="431">
        <v>26668881.832279999</v>
      </c>
      <c r="I235" s="431">
        <v>29198609.912020002</v>
      </c>
      <c r="J235" s="431">
        <v>30197122.765020002</v>
      </c>
      <c r="K235" s="431">
        <v>30775558.961819999</v>
      </c>
      <c r="L235" s="431">
        <v>31027324.202939998</v>
      </c>
    </row>
    <row r="236" spans="1:12">
      <c r="A236" s="429" t="str">
        <f t="shared" ref="A236:A252" si="6">T("08")</f>
        <v>08</v>
      </c>
      <c r="B236" s="429" t="str">
        <f>T("0801001")</f>
        <v>0801001</v>
      </c>
      <c r="C236" s="637" t="str">
        <f>T("Migrationsverket")</f>
        <v>Migrationsverket</v>
      </c>
      <c r="D236" s="428">
        <v>1728999.9688500001</v>
      </c>
      <c r="E236" s="428">
        <v>1923026.3528700001</v>
      </c>
      <c r="F236" s="428">
        <v>2174062.2955</v>
      </c>
      <c r="G236" s="428">
        <v>2114217.8427499998</v>
      </c>
      <c r="H236" s="428">
        <v>2166321.7113100002</v>
      </c>
      <c r="I236" s="428">
        <v>2301154.7465300001</v>
      </c>
      <c r="J236" s="428">
        <v>2589337.40601</v>
      </c>
      <c r="K236" s="428">
        <v>3057403.3855599998</v>
      </c>
      <c r="L236" s="428">
        <v>3607776.9634600002</v>
      </c>
    </row>
    <row r="237" spans="1:12">
      <c r="A237" s="429" t="str">
        <f t="shared" si="6"/>
        <v>08</v>
      </c>
      <c r="B237" s="429" t="str">
        <f>T("0801002")</f>
        <v>0801002</v>
      </c>
      <c r="C237" s="637" t="str">
        <f>T("Ersättningar och bostadskostnader")</f>
        <v>Ersättningar och bostadskostnader</v>
      </c>
      <c r="D237" s="428">
        <v>2016183.9026599999</v>
      </c>
      <c r="E237" s="428">
        <v>2278694.9441</v>
      </c>
      <c r="F237" s="428">
        <v>2693646.8599299998</v>
      </c>
      <c r="G237" s="428">
        <v>2903607.8565400001</v>
      </c>
      <c r="H237" s="428">
        <v>3480002.6390200001</v>
      </c>
      <c r="I237" s="428">
        <v>3727490.4507599999</v>
      </c>
      <c r="J237" s="428">
        <v>4103102.4447699999</v>
      </c>
      <c r="K237" s="428">
        <v>5087716.1312499996</v>
      </c>
      <c r="L237" s="428">
        <v>7314966.7129100002</v>
      </c>
    </row>
    <row r="238" spans="1:12">
      <c r="A238" s="429" t="str">
        <f t="shared" si="6"/>
        <v>08</v>
      </c>
      <c r="B238" s="429" t="str">
        <f>T("0801003")</f>
        <v>0801003</v>
      </c>
      <c r="C238" s="637" t="str">
        <f>T("Migrationspolitiska åtgärder")</f>
        <v>Migrationspolitiska åtgärder</v>
      </c>
      <c r="D238" s="428">
        <v>250510.90396</v>
      </c>
      <c r="E238" s="428">
        <v>288281.09892000002</v>
      </c>
      <c r="F238" s="428">
        <v>307218.87054999999</v>
      </c>
      <c r="G238" s="428">
        <v>350803.92749999999</v>
      </c>
      <c r="H238" s="428">
        <v>331541.58578000002</v>
      </c>
      <c r="I238" s="428">
        <v>394720.81215000001</v>
      </c>
      <c r="J238" s="428">
        <v>372637.89269000001</v>
      </c>
      <c r="K238" s="428">
        <v>415733.06711</v>
      </c>
      <c r="L238" s="428">
        <v>419279.28664000001</v>
      </c>
    </row>
    <row r="239" spans="1:12">
      <c r="A239" s="429" t="str">
        <f t="shared" si="6"/>
        <v>08</v>
      </c>
      <c r="B239" s="429" t="str">
        <f>T("0801004")</f>
        <v>0801004</v>
      </c>
      <c r="C239" s="637" t="str">
        <f>T("Domstolsprövning i utlänningsärenden")</f>
        <v>Domstolsprövning i utlänningsärenden</v>
      </c>
      <c r="D239" s="428">
        <v>193848.88221000001</v>
      </c>
      <c r="E239" s="428">
        <v>332669.02886000002</v>
      </c>
      <c r="F239" s="428">
        <v>378713.37242000003</v>
      </c>
      <c r="G239" s="428">
        <v>431852.26689999999</v>
      </c>
      <c r="H239" s="428">
        <v>454227.70267000003</v>
      </c>
      <c r="I239" s="428">
        <v>460355.42994</v>
      </c>
      <c r="J239" s="428">
        <v>503050.22792999999</v>
      </c>
      <c r="K239" s="428">
        <v>517500.50157000002</v>
      </c>
      <c r="L239" s="428">
        <v>513652.23149999999</v>
      </c>
    </row>
    <row r="240" spans="1:12">
      <c r="A240" s="429" t="str">
        <f t="shared" si="6"/>
        <v>08</v>
      </c>
      <c r="B240" s="429" t="str">
        <f>T("0801005")</f>
        <v>0801005</v>
      </c>
      <c r="C240" s="637" t="str">
        <f>T("Kostnader vid domstolsprövning i utlänningsärenden")</f>
        <v>Kostnader vid domstolsprövning i utlänningsärenden</v>
      </c>
      <c r="D240" s="428">
        <v>19552.423119999999</v>
      </c>
      <c r="E240" s="428">
        <v>57947.133049999997</v>
      </c>
      <c r="F240" s="428">
        <v>121207.18857</v>
      </c>
      <c r="G240" s="428">
        <v>166422.18692000001</v>
      </c>
      <c r="H240" s="428">
        <v>131060.45328</v>
      </c>
      <c r="I240" s="428">
        <v>130424.25386</v>
      </c>
      <c r="J240" s="428">
        <v>151472.30241</v>
      </c>
      <c r="K240" s="428">
        <v>116914.17551</v>
      </c>
      <c r="L240" s="428">
        <v>121067.9764</v>
      </c>
    </row>
    <row r="241" spans="1:12">
      <c r="A241" s="429" t="str">
        <f t="shared" si="6"/>
        <v>08</v>
      </c>
      <c r="B241" s="429" t="str">
        <f>T("0801006")</f>
        <v>0801006</v>
      </c>
      <c r="C241" s="637" t="str">
        <f>T("Offentligt biträde i utlänningsärenden")</f>
        <v>Offentligt biträde i utlänningsärenden</v>
      </c>
      <c r="D241" s="428">
        <v>108115.13943</v>
      </c>
      <c r="E241" s="428">
        <v>228503.17287000001</v>
      </c>
      <c r="F241" s="428">
        <v>230820.52458</v>
      </c>
      <c r="G241" s="428">
        <v>225217.83257999999</v>
      </c>
      <c r="H241" s="428">
        <v>176582.33415000001</v>
      </c>
      <c r="I241" s="428">
        <v>213263.05392999999</v>
      </c>
      <c r="J241" s="428">
        <v>203766.72891000001</v>
      </c>
      <c r="K241" s="428">
        <v>254543.34596000001</v>
      </c>
      <c r="L241" s="428">
        <v>245032.57393000001</v>
      </c>
    </row>
    <row r="242" spans="1:12">
      <c r="A242" s="429" t="str">
        <f t="shared" si="6"/>
        <v>08</v>
      </c>
      <c r="B242" s="429" t="str">
        <f>T("0801007")</f>
        <v>0801007</v>
      </c>
      <c r="C242" s="637" t="str">
        <f>T("Utresor för avvisade och utvisade")</f>
        <v>Utresor för avvisade och utvisade</v>
      </c>
      <c r="D242" s="428">
        <v>121339.91056</v>
      </c>
      <c r="E242" s="428">
        <v>139286.73597000001</v>
      </c>
      <c r="F242" s="428">
        <v>190968.83598999999</v>
      </c>
      <c r="G242" s="428">
        <v>216763.40231</v>
      </c>
      <c r="H242" s="428">
        <v>238209.67389999999</v>
      </c>
      <c r="I242" s="428">
        <v>239089.88699</v>
      </c>
      <c r="J242" s="428">
        <v>279143.58844000002</v>
      </c>
      <c r="K242" s="428">
        <v>298414.93728000001</v>
      </c>
      <c r="L242" s="428">
        <v>242022.217</v>
      </c>
    </row>
    <row r="243" spans="1:12">
      <c r="A243" s="429" t="str">
        <f t="shared" si="6"/>
        <v>08</v>
      </c>
      <c r="B243" s="429" t="str">
        <f>T("0801008")</f>
        <v>0801008</v>
      </c>
      <c r="C243" s="637" t="str">
        <f>T("Från EU-budgeten finansierade insatser för asylsökande och flyktingar")</f>
        <v>Från EU-budgeten finansierade insatser för asylsökande och flyktingar</v>
      </c>
      <c r="D243" s="428">
        <v>14836.831630000001</v>
      </c>
      <c r="E243" s="428">
        <v>29538.270919999999</v>
      </c>
      <c r="F243" s="428">
        <v>37677.952830000002</v>
      </c>
      <c r="G243" s="428">
        <v>112160.15075</v>
      </c>
      <c r="H243" s="428">
        <v>114175.42329999999</v>
      </c>
      <c r="I243" s="428">
        <v>105618.02601</v>
      </c>
      <c r="J243" s="428">
        <v>45188.11073</v>
      </c>
      <c r="K243" s="428">
        <v>121886.89105000001</v>
      </c>
      <c r="L243" s="428">
        <v>87352.796579999995</v>
      </c>
    </row>
    <row r="244" spans="1:12">
      <c r="A244" s="429" t="str">
        <f t="shared" si="6"/>
        <v>08</v>
      </c>
      <c r="B244" s="429" t="str">
        <f>T("081209 2006")</f>
        <v>081209 2006</v>
      </c>
      <c r="C244" s="637" t="str">
        <f>T("Utlänningsnämnden")</f>
        <v>Utlänningsnämnden</v>
      </c>
      <c r="D244" s="428">
        <v>47132.010829999999</v>
      </c>
    </row>
    <row r="245" spans="1:12">
      <c r="A245" s="429" t="str">
        <f t="shared" si="6"/>
        <v>08</v>
      </c>
      <c r="B245" s="429" t="str">
        <f>T("081209 2007")</f>
        <v>081209 2007</v>
      </c>
      <c r="C245" s="637" t="str">
        <f>T("Utlänningsnämndens avvecklingsorganisation")</f>
        <v>Utlänningsnämndens avvecklingsorganisation</v>
      </c>
      <c r="D245" s="428">
        <v>21903.512480000001</v>
      </c>
      <c r="E245" s="428">
        <v>17028.98803</v>
      </c>
      <c r="F245" s="428">
        <v>78.412999999999997</v>
      </c>
    </row>
    <row r="246" spans="1:12">
      <c r="A246" s="429" t="str">
        <f t="shared" si="6"/>
        <v>08</v>
      </c>
      <c r="B246" s="429" t="str">
        <f>T("08B002 1997")</f>
        <v>08B002 1997</v>
      </c>
      <c r="C246" s="637" t="str">
        <f>T("Åtgärder mot främlingsfientlighet och rasism")</f>
        <v>Åtgärder mot främlingsfientlighet och rasism</v>
      </c>
    </row>
    <row r="247" spans="1:12">
      <c r="A247" s="429" t="str">
        <f t="shared" si="6"/>
        <v>08</v>
      </c>
      <c r="B247" s="429" t="str">
        <f>T("08B004 1997")</f>
        <v>08B004 1997</v>
      </c>
      <c r="C247" s="637" t="str">
        <f>T("Åtgärder för invandrare")</f>
        <v>Åtgärder för invandrare</v>
      </c>
    </row>
    <row r="248" spans="1:12">
      <c r="A248" s="429" t="str">
        <f t="shared" si="6"/>
        <v>08</v>
      </c>
      <c r="B248" s="429" t="str">
        <f>T("10D003 9596")</f>
        <v>10D003 9596</v>
      </c>
      <c r="C248" s="637" t="str">
        <f>T("Åtgärder för invandrare")</f>
        <v>Åtgärder för invandrare</v>
      </c>
    </row>
    <row r="249" spans="1:12">
      <c r="A249" s="429" t="str">
        <f t="shared" si="6"/>
        <v>08</v>
      </c>
      <c r="B249" s="429" t="str">
        <f>T("10D010 9596")</f>
        <v>10D010 9596</v>
      </c>
      <c r="C249" s="637" t="str">
        <f>T("Internationell samverkan inom ramen för flykting- och migrat")</f>
        <v>Internationell samverkan inom ramen för flykting- och migrat</v>
      </c>
    </row>
    <row r="250" spans="1:12">
      <c r="A250" s="429" t="str">
        <f t="shared" si="6"/>
        <v>08</v>
      </c>
      <c r="B250" s="429" t="str">
        <f>T("10D011 9596")</f>
        <v>10D011 9596</v>
      </c>
      <c r="C250" s="637" t="str">
        <f>T("Åtgärder mot främlingsfientlighet och rasism")</f>
        <v>Åtgärder mot främlingsfientlighet och rasism</v>
      </c>
    </row>
    <row r="251" spans="1:12">
      <c r="A251" s="429" t="str">
        <f t="shared" si="6"/>
        <v>08</v>
      </c>
      <c r="B251" s="429" t="str">
        <f>T("10D012 9596")</f>
        <v>10D012 9596</v>
      </c>
      <c r="C251" s="637" t="str">
        <f>T("Särskilda insatser i invandrartäta områden")</f>
        <v>Särskilda insatser i invandrartäta områden</v>
      </c>
    </row>
    <row r="252" spans="1:12">
      <c r="A252" s="429" t="str">
        <f t="shared" si="6"/>
        <v>08</v>
      </c>
      <c r="B252" s="429" t="str">
        <f>T("11D012 9495")</f>
        <v>11D012 9495</v>
      </c>
      <c r="C252" s="637" t="str">
        <f>T("Särskilda åtgärder i flyktingmottagandetm.m")</f>
        <v>Särskilda åtgärder i flyktingmottagandetm.m</v>
      </c>
    </row>
    <row r="253" spans="1:12">
      <c r="A253" s="430" t="s">
        <v>1642</v>
      </c>
      <c r="B253" s="430"/>
      <c r="C253" s="430" t="str">
        <f>T("Migration")</f>
        <v>Migration</v>
      </c>
      <c r="D253" s="431">
        <v>4522423.4857299998</v>
      </c>
      <c r="E253" s="431">
        <v>5294975.7255899999</v>
      </c>
      <c r="F253" s="431">
        <v>6134394.3133699996</v>
      </c>
      <c r="G253" s="431">
        <v>6521045.4662499996</v>
      </c>
      <c r="H253" s="431">
        <v>7092121.5234099999</v>
      </c>
      <c r="I253" s="431">
        <v>7572116.66017</v>
      </c>
      <c r="J253" s="431">
        <v>8247698.7018900001</v>
      </c>
      <c r="K253" s="431">
        <v>9870112.4352899995</v>
      </c>
      <c r="L253" s="431">
        <v>12551150.75842</v>
      </c>
    </row>
    <row r="254" spans="1:12">
      <c r="A254" s="429" t="str">
        <f t="shared" ref="A254:A317" si="7">T("09")</f>
        <v>09</v>
      </c>
      <c r="B254" s="429" t="str">
        <f>T("05C002 9596")</f>
        <v>05C002 9596</v>
      </c>
      <c r="C254" s="637" t="str">
        <f>T("Insatser mot aids")</f>
        <v>Insatser mot aids</v>
      </c>
    </row>
    <row r="255" spans="1:12">
      <c r="A255" s="429" t="str">
        <f t="shared" si="7"/>
        <v>09</v>
      </c>
      <c r="B255" s="429" t="str">
        <f>T("05C009 9596")</f>
        <v>05C009 9596</v>
      </c>
      <c r="C255" s="637" t="str">
        <f>T("Allmänt bidrag till hälso- och sjukvården")</f>
        <v>Allmänt bidrag till hälso- och sjukvården</v>
      </c>
    </row>
    <row r="256" spans="1:12">
      <c r="A256" s="429" t="str">
        <f t="shared" si="7"/>
        <v>09</v>
      </c>
      <c r="B256" s="429" t="str">
        <f>T("05C011 9596")</f>
        <v>05C011 9596</v>
      </c>
      <c r="C256" s="637" t="str">
        <f>T("Information om organdonation m.m.")</f>
        <v>Information om organdonation m.m.</v>
      </c>
    </row>
    <row r="257" spans="1:12">
      <c r="A257" s="429" t="str">
        <f t="shared" si="7"/>
        <v>09</v>
      </c>
      <c r="B257" s="429" t="str">
        <f>T("05D001 9596")</f>
        <v>05D001 9596</v>
      </c>
      <c r="C257" s="637" t="str">
        <f>T("Stimulansbidrag till särskilda boendeformer och rehabiliteri")</f>
        <v>Stimulansbidrag till särskilda boendeformer och rehabiliteri</v>
      </c>
    </row>
    <row r="258" spans="1:12">
      <c r="A258" s="429" t="str">
        <f t="shared" si="7"/>
        <v>09</v>
      </c>
      <c r="B258" s="429" t="str">
        <f>T("05D005 9596")</f>
        <v>05D005 9596</v>
      </c>
      <c r="C258" s="637" t="str">
        <f>T("Bidrag till viss verksamhet för personer med funktionshinder")</f>
        <v>Bidrag till viss verksamhet för personer med funktionshinder</v>
      </c>
    </row>
    <row r="259" spans="1:12">
      <c r="A259" s="429" t="str">
        <f t="shared" si="7"/>
        <v>09</v>
      </c>
      <c r="B259" s="429" t="str">
        <f>T("05D007 9394")</f>
        <v>05D007 9394</v>
      </c>
      <c r="C259" s="637" t="str">
        <f>T("Bidrag till husläkarsystem m.m.")</f>
        <v>Bidrag till husläkarsystem m.m.</v>
      </c>
    </row>
    <row r="260" spans="1:12">
      <c r="A260" s="429" t="str">
        <f t="shared" si="7"/>
        <v>09</v>
      </c>
      <c r="B260" s="429" t="str">
        <f>T("05D008 9394")</f>
        <v>05D008 9394</v>
      </c>
      <c r="C260" s="637" t="str">
        <f>T("Bidrag till kvalitet i äldrevården")</f>
        <v>Bidrag till kvalitet i äldrevården</v>
      </c>
    </row>
    <row r="261" spans="1:12">
      <c r="A261" s="429" t="str">
        <f t="shared" si="7"/>
        <v>09</v>
      </c>
      <c r="B261" s="429" t="str">
        <f>T("05E001 9596")</f>
        <v>05E001 9596</v>
      </c>
      <c r="C261" s="637" t="str">
        <f>T("Bidrag till missbrukarvård och ungdomsvård")</f>
        <v>Bidrag till missbrukarvård och ungdomsvård</v>
      </c>
    </row>
    <row r="262" spans="1:12">
      <c r="A262" s="429" t="str">
        <f t="shared" si="7"/>
        <v>09</v>
      </c>
      <c r="B262" s="429" t="str">
        <f>T("05E002 9596")</f>
        <v>05E002 9596</v>
      </c>
      <c r="C262" s="637" t="str">
        <f>T("Bidrag till organisationer")</f>
        <v>Bidrag till organisationer</v>
      </c>
    </row>
    <row r="263" spans="1:12">
      <c r="A263" s="429" t="str">
        <f t="shared" si="7"/>
        <v>09</v>
      </c>
      <c r="B263" s="429" t="str">
        <f>T("05E004 9596")</f>
        <v>05E004 9596</v>
      </c>
      <c r="C263" s="637" t="str">
        <f>T("Alkohol- och drogpolitiska åtgärder")</f>
        <v>Alkohol- och drogpolitiska åtgärder</v>
      </c>
    </row>
    <row r="264" spans="1:12">
      <c r="A264" s="429" t="str">
        <f t="shared" si="7"/>
        <v>09</v>
      </c>
      <c r="B264" s="429" t="str">
        <f>T("05F020 9596")</f>
        <v>05F020 9596</v>
      </c>
      <c r="C264" s="637" t="str">
        <f>T("Socialvetenskapliga forskningsrådet: Forskningsmedel")</f>
        <v>Socialvetenskapliga forskningsrådet: Forskningsmedel</v>
      </c>
    </row>
    <row r="265" spans="1:12">
      <c r="A265" s="429" t="str">
        <f t="shared" si="7"/>
        <v>09</v>
      </c>
      <c r="B265" s="429" t="str">
        <f>T("0901001")</f>
        <v>0901001</v>
      </c>
      <c r="C265" s="637" t="str">
        <f>T("Myndigheten för vårdanalys")</f>
        <v>Myndigheten för vårdanalys</v>
      </c>
      <c r="I265" s="428">
        <v>10752.79386</v>
      </c>
      <c r="J265" s="428">
        <v>25414.144769999999</v>
      </c>
      <c r="K265" s="428">
        <v>27158.459340000001</v>
      </c>
      <c r="L265" s="428">
        <v>29826.854490000002</v>
      </c>
    </row>
    <row r="266" spans="1:12">
      <c r="A266" s="429" t="str">
        <f t="shared" si="7"/>
        <v>09</v>
      </c>
      <c r="B266" s="429" t="str">
        <f>T("0901001 2012")</f>
        <v>0901001 2012</v>
      </c>
      <c r="C266" s="637" t="str">
        <f>T("Hälso- och sjukvårdens ansvarsnämnd")</f>
        <v>Hälso- och sjukvårdens ansvarsnämnd</v>
      </c>
      <c r="D266" s="428">
        <v>28001.384330000001</v>
      </c>
      <c r="E266" s="428">
        <v>28844.930090000002</v>
      </c>
      <c r="F266" s="428">
        <v>28748.351930000001</v>
      </c>
      <c r="G266" s="428">
        <v>30103.744569999999</v>
      </c>
      <c r="H266" s="428">
        <v>29469.176670000001</v>
      </c>
      <c r="I266" s="428">
        <v>9588.13753</v>
      </c>
      <c r="J266" s="428">
        <v>8013.8670599999996</v>
      </c>
    </row>
    <row r="267" spans="1:12">
      <c r="A267" s="429" t="str">
        <f t="shared" si="7"/>
        <v>09</v>
      </c>
      <c r="B267" s="429" t="str">
        <f>T("0901002")</f>
        <v>0901002</v>
      </c>
      <c r="C267" s="637" t="str">
        <f>T("Statens beredning för medicinsk utvärdering")</f>
        <v>Statens beredning för medicinsk utvärdering</v>
      </c>
      <c r="D267" s="428">
        <v>39339.65537</v>
      </c>
      <c r="E267" s="428">
        <v>40337.514739999999</v>
      </c>
      <c r="F267" s="428">
        <v>40575.299500000001</v>
      </c>
      <c r="G267" s="428">
        <v>43508.76801</v>
      </c>
      <c r="H267" s="428">
        <v>56718.045789999996</v>
      </c>
      <c r="I267" s="428">
        <v>56140.233719999997</v>
      </c>
      <c r="J267" s="428">
        <v>56634.258889999997</v>
      </c>
      <c r="K267" s="428">
        <v>53839.199220000002</v>
      </c>
      <c r="L267" s="428">
        <v>59461.062489999997</v>
      </c>
    </row>
    <row r="268" spans="1:12">
      <c r="A268" s="429" t="str">
        <f t="shared" si="7"/>
        <v>09</v>
      </c>
      <c r="B268" s="429" t="str">
        <f>T("0901003")</f>
        <v>0901003</v>
      </c>
      <c r="C268" s="637" t="str">
        <f>T("Tandvårds- och läkemedelsförmånsverket")</f>
        <v>Tandvårds- och läkemedelsförmånsverket</v>
      </c>
      <c r="D268" s="428">
        <v>46443.226360000001</v>
      </c>
      <c r="E268" s="428">
        <v>51898.077319999997</v>
      </c>
      <c r="F268" s="428">
        <v>61379.300750000002</v>
      </c>
      <c r="G268" s="428">
        <v>83459.30012</v>
      </c>
      <c r="H268" s="428">
        <v>87984.184250000006</v>
      </c>
      <c r="I268" s="428">
        <v>102929.37558000001</v>
      </c>
      <c r="J268" s="428">
        <v>107962.69385</v>
      </c>
      <c r="K268" s="428">
        <v>113307.58202</v>
      </c>
      <c r="L268" s="428">
        <v>140276.24713999999</v>
      </c>
    </row>
    <row r="269" spans="1:12">
      <c r="A269" s="429" t="str">
        <f t="shared" si="7"/>
        <v>09</v>
      </c>
      <c r="B269" s="429" t="str">
        <f>T("0901004")</f>
        <v>0901004</v>
      </c>
      <c r="C269" s="637" t="str">
        <f>T("Tandvårdsförmåner")</f>
        <v>Tandvårdsförmåner</v>
      </c>
      <c r="D269" s="428">
        <v>3031545.0556700001</v>
      </c>
      <c r="E269" s="428">
        <v>3271344.4698000001</v>
      </c>
      <c r="F269" s="428">
        <v>3880158.02354</v>
      </c>
      <c r="G269" s="428">
        <v>5514883.1535499999</v>
      </c>
      <c r="H269" s="428">
        <v>4908681.2496199999</v>
      </c>
      <c r="I269" s="428">
        <v>4965672.5181299997</v>
      </c>
      <c r="J269" s="428">
        <v>4949576.8402000004</v>
      </c>
      <c r="K269" s="428">
        <v>5199743.1103600003</v>
      </c>
      <c r="L269" s="428">
        <v>5225700.0316300001</v>
      </c>
    </row>
    <row r="270" spans="1:12">
      <c r="A270" s="429" t="str">
        <f t="shared" si="7"/>
        <v>09</v>
      </c>
      <c r="B270" s="429" t="str">
        <f>T("0901005")</f>
        <v>0901005</v>
      </c>
      <c r="C270" s="637" t="str">
        <f>T("Bidrag för läkemedelsförmånerna")</f>
        <v>Bidrag för läkemedelsförmånerna</v>
      </c>
      <c r="D270" s="428">
        <v>20550000</v>
      </c>
      <c r="E270" s="428">
        <v>21367000</v>
      </c>
      <c r="F270" s="428">
        <v>21584000</v>
      </c>
      <c r="G270" s="428">
        <v>22266667.328000002</v>
      </c>
      <c r="H270" s="428">
        <v>23066666.682</v>
      </c>
      <c r="I270" s="428">
        <v>22557320.165109999</v>
      </c>
      <c r="J270" s="428">
        <v>22151154.557</v>
      </c>
      <c r="K270" s="428">
        <v>20825100.006000001</v>
      </c>
      <c r="L270" s="428">
        <v>21546310.256000001</v>
      </c>
    </row>
    <row r="271" spans="1:12">
      <c r="A271" s="429" t="str">
        <f t="shared" si="7"/>
        <v>09</v>
      </c>
      <c r="B271" s="429" t="str">
        <f>T("0901006")</f>
        <v>0901006</v>
      </c>
      <c r="C271" s="637" t="str">
        <f>T("Bidrag till folkhälsa och sjukvård")</f>
        <v>Bidrag till folkhälsa och sjukvård</v>
      </c>
      <c r="D271" s="428">
        <v>250586.0012</v>
      </c>
      <c r="E271" s="428">
        <v>281262.94893999997</v>
      </c>
      <c r="F271" s="428">
        <v>429126.39117000002</v>
      </c>
      <c r="G271" s="428">
        <v>421017.59649000003</v>
      </c>
      <c r="H271" s="428">
        <v>489508.11161000002</v>
      </c>
      <c r="I271" s="428">
        <v>907947.07550000004</v>
      </c>
      <c r="J271" s="428">
        <v>1313301.2064199999</v>
      </c>
      <c r="K271" s="428">
        <v>1542196.8860299999</v>
      </c>
      <c r="L271" s="428">
        <v>1624984.3536</v>
      </c>
    </row>
    <row r="272" spans="1:12">
      <c r="A272" s="429" t="str">
        <f t="shared" si="7"/>
        <v>09</v>
      </c>
      <c r="B272" s="429" t="str">
        <f>T("0901007")</f>
        <v>0901007</v>
      </c>
      <c r="C272" s="637" t="str">
        <f>T("Sjukvård i internationella förhållanden")</f>
        <v>Sjukvård i internationella förhållanden</v>
      </c>
      <c r="D272" s="428">
        <v>385242.66366000002</v>
      </c>
      <c r="E272" s="428">
        <v>472132.18672</v>
      </c>
      <c r="F272" s="428">
        <v>361399.86679</v>
      </c>
      <c r="G272" s="428">
        <v>608144.36372999998</v>
      </c>
      <c r="H272" s="428">
        <v>578805.53465000005</v>
      </c>
      <c r="I272" s="428">
        <v>649524.29760000005</v>
      </c>
      <c r="J272" s="428">
        <v>697643.65451999998</v>
      </c>
      <c r="K272" s="428">
        <v>780929.45470999996</v>
      </c>
      <c r="L272" s="428">
        <v>488765.72350999998</v>
      </c>
    </row>
    <row r="273" spans="1:12">
      <c r="A273" s="429" t="str">
        <f t="shared" si="7"/>
        <v>09</v>
      </c>
      <c r="B273" s="429" t="str">
        <f>T("0901008")</f>
        <v>0901008</v>
      </c>
      <c r="C273" s="637" t="str">
        <f>T("Bidrag till psykiatri")</f>
        <v>Bidrag till psykiatri</v>
      </c>
      <c r="E273" s="428">
        <v>384238.12125999999</v>
      </c>
      <c r="F273" s="428">
        <v>568297.52795999998</v>
      </c>
      <c r="G273" s="428">
        <v>852781.31087000004</v>
      </c>
      <c r="H273" s="428">
        <v>802550.08759999997</v>
      </c>
      <c r="I273" s="428">
        <v>747610.73800000001</v>
      </c>
      <c r="J273" s="428">
        <v>916029.91700999998</v>
      </c>
      <c r="K273" s="428">
        <v>775590.38459000003</v>
      </c>
      <c r="L273" s="428">
        <v>808701.91096999997</v>
      </c>
    </row>
    <row r="274" spans="1:12">
      <c r="A274" s="429" t="str">
        <f t="shared" si="7"/>
        <v>09</v>
      </c>
      <c r="B274" s="429" t="str">
        <f>T("0901009")</f>
        <v>0901009</v>
      </c>
      <c r="C274" s="637" t="str">
        <f>T("Prestationsbunden vårdgaranti")</f>
        <v>Prestationsbunden vårdgaranti</v>
      </c>
      <c r="H274" s="428">
        <v>1000000</v>
      </c>
      <c r="I274" s="428">
        <v>1000000</v>
      </c>
      <c r="J274" s="428">
        <v>1000000</v>
      </c>
      <c r="K274" s="428">
        <v>1000000</v>
      </c>
      <c r="L274" s="428">
        <v>1000000</v>
      </c>
    </row>
    <row r="275" spans="1:12">
      <c r="A275" s="429" t="str">
        <f t="shared" si="7"/>
        <v>09</v>
      </c>
      <c r="B275" s="429" t="str">
        <f>T("0901010")</f>
        <v>0901010</v>
      </c>
      <c r="C275" s="637" t="str">
        <f>T("Bidrag för mänskliga vävnader och celler")</f>
        <v>Bidrag för mänskliga vävnader och celler</v>
      </c>
      <c r="H275" s="428">
        <v>74000</v>
      </c>
      <c r="I275" s="428">
        <v>74000</v>
      </c>
      <c r="J275" s="428">
        <v>74000</v>
      </c>
      <c r="K275" s="428">
        <v>74000</v>
      </c>
      <c r="L275" s="428">
        <v>74000</v>
      </c>
    </row>
    <row r="276" spans="1:12">
      <c r="A276" s="429" t="str">
        <f t="shared" si="7"/>
        <v>09</v>
      </c>
      <c r="B276" s="429" t="str">
        <f>T("0901011")</f>
        <v>0901011</v>
      </c>
      <c r="C276" s="637" t="str">
        <f>T("Läkemedelsverket")</f>
        <v>Läkemedelsverket</v>
      </c>
      <c r="I276" s="428">
        <v>113190</v>
      </c>
      <c r="J276" s="428">
        <v>113190</v>
      </c>
      <c r="K276" s="428">
        <v>113190</v>
      </c>
      <c r="L276" s="428">
        <v>120692.20468</v>
      </c>
    </row>
    <row r="277" spans="1:12">
      <c r="A277" s="429" t="str">
        <f t="shared" si="7"/>
        <v>09</v>
      </c>
      <c r="B277" s="429" t="str">
        <f>T("0901012")</f>
        <v>0901012</v>
      </c>
      <c r="C277" s="637" t="str">
        <f>T("E-hälsomyndigheten")</f>
        <v>E-hälsomyndigheten</v>
      </c>
      <c r="L277" s="428">
        <v>53818.517379999998</v>
      </c>
    </row>
    <row r="278" spans="1:12">
      <c r="A278" s="429" t="str">
        <f t="shared" si="7"/>
        <v>09</v>
      </c>
      <c r="B278" s="429" t="str">
        <f>T("0902001")</f>
        <v>0902001</v>
      </c>
      <c r="C278" s="637" t="str">
        <f>T("Folkhälsomyndigheten")</f>
        <v>Folkhälsomyndigheten</v>
      </c>
      <c r="L278" s="428">
        <v>347953.71854999999</v>
      </c>
    </row>
    <row r="279" spans="1:12">
      <c r="A279" s="429" t="str">
        <f t="shared" si="7"/>
        <v>09</v>
      </c>
      <c r="B279" s="429" t="str">
        <f>T("0902001 2013")</f>
        <v>0902001 2013</v>
      </c>
      <c r="C279" s="637" t="str">
        <f>T("Statens folkhälsoinstitut")</f>
        <v>Statens folkhälsoinstitut</v>
      </c>
      <c r="D279" s="428">
        <v>140077.08657000001</v>
      </c>
      <c r="E279" s="428">
        <v>206635.32883000001</v>
      </c>
      <c r="F279" s="428">
        <v>138974.80841999999</v>
      </c>
      <c r="G279" s="428">
        <v>132495.71614999999</v>
      </c>
      <c r="H279" s="428">
        <v>130001.98966000001</v>
      </c>
      <c r="I279" s="428">
        <v>124226.23306</v>
      </c>
      <c r="J279" s="428">
        <v>124377.13197</v>
      </c>
      <c r="K279" s="428">
        <v>137913.99426000001</v>
      </c>
      <c r="L279" s="428">
        <v>3545.0957400000002</v>
      </c>
    </row>
    <row r="280" spans="1:12">
      <c r="A280" s="429" t="str">
        <f t="shared" si="7"/>
        <v>09</v>
      </c>
      <c r="B280" s="429" t="str">
        <f>T("0902002")</f>
        <v>0902002</v>
      </c>
      <c r="C280" s="637" t="str">
        <f>T("Insatser för vaccinberedskap")</f>
        <v>Insatser för vaccinberedskap</v>
      </c>
      <c r="F280" s="428">
        <v>85000</v>
      </c>
      <c r="G280" s="428">
        <v>78400</v>
      </c>
      <c r="H280" s="428">
        <v>2377.63258</v>
      </c>
      <c r="I280" s="428">
        <v>114.393</v>
      </c>
      <c r="J280" s="428">
        <v>1583.3204499999999</v>
      </c>
      <c r="K280" s="428">
        <v>1000</v>
      </c>
      <c r="L280" s="428">
        <v>345.64515</v>
      </c>
    </row>
    <row r="281" spans="1:12">
      <c r="A281" s="429" t="str">
        <f t="shared" si="7"/>
        <v>09</v>
      </c>
      <c r="B281" s="429" t="str">
        <f>T("0902002 2013")</f>
        <v>0902002 2013</v>
      </c>
      <c r="C281" s="637" t="str">
        <f>T("Smittskyddsinstitutet")</f>
        <v>Smittskyddsinstitutet</v>
      </c>
      <c r="D281" s="428">
        <v>181618.22177999999</v>
      </c>
      <c r="E281" s="428">
        <v>185072.53169999999</v>
      </c>
      <c r="F281" s="428">
        <v>183656.78189000001</v>
      </c>
      <c r="G281" s="428">
        <v>196138.00380000001</v>
      </c>
      <c r="H281" s="428">
        <v>193541.08713999999</v>
      </c>
      <c r="I281" s="428">
        <v>191269.12955000001</v>
      </c>
      <c r="J281" s="428">
        <v>219324.14980000001</v>
      </c>
      <c r="K281" s="428">
        <v>192276.47811</v>
      </c>
      <c r="L281" s="428">
        <v>713.81241999999997</v>
      </c>
    </row>
    <row r="282" spans="1:12">
      <c r="A282" s="429" t="str">
        <f t="shared" si="7"/>
        <v>09</v>
      </c>
      <c r="B282" s="429" t="str">
        <f>T("0902003")</f>
        <v>0902003</v>
      </c>
      <c r="C282" s="637" t="str">
        <f>T("Bidrag till Nordic school of public health NHV")</f>
        <v>Bidrag till Nordic school of public health NHV</v>
      </c>
      <c r="D282" s="428">
        <v>18002.874</v>
      </c>
      <c r="E282" s="428">
        <v>17577.526000000002</v>
      </c>
      <c r="F282" s="428">
        <v>17186.705999999998</v>
      </c>
      <c r="G282" s="428">
        <v>17322.558000000001</v>
      </c>
      <c r="H282" s="428">
        <v>14894.85</v>
      </c>
      <c r="I282" s="428">
        <v>15418.12</v>
      </c>
      <c r="J282" s="428">
        <v>15539.397999999999</v>
      </c>
      <c r="K282" s="428">
        <v>16373.262000000001</v>
      </c>
      <c r="L282" s="428">
        <v>17367.982</v>
      </c>
    </row>
    <row r="283" spans="1:12">
      <c r="A283" s="429" t="str">
        <f t="shared" si="7"/>
        <v>09</v>
      </c>
      <c r="B283" s="429" t="str">
        <f>T("0902004")</f>
        <v>0902004</v>
      </c>
      <c r="C283" s="637" t="str">
        <f>T("Bidrag till WHO")</f>
        <v>Bidrag till WHO</v>
      </c>
      <c r="D283" s="428">
        <v>34493.806100000002</v>
      </c>
      <c r="E283" s="428">
        <v>31874.808000000001</v>
      </c>
      <c r="F283" s="428">
        <v>30173.625540000001</v>
      </c>
      <c r="G283" s="428">
        <v>40904.267180000003</v>
      </c>
      <c r="H283" s="428">
        <v>36666.921450000002</v>
      </c>
      <c r="I283" s="428">
        <v>33910.668100000003</v>
      </c>
      <c r="J283" s="428">
        <v>34980.051359999998</v>
      </c>
      <c r="K283" s="428">
        <v>32111.331389999999</v>
      </c>
      <c r="L283" s="428">
        <v>29703.74713</v>
      </c>
    </row>
    <row r="284" spans="1:12">
      <c r="A284" s="429" t="str">
        <f t="shared" si="7"/>
        <v>09</v>
      </c>
      <c r="B284" s="429" t="str">
        <f>T("0902005")</f>
        <v>0902005</v>
      </c>
      <c r="C284" s="637" t="str">
        <f>T("Insatser mot hiv/aids och andra smittsamma sjukdomar")</f>
        <v>Insatser mot hiv/aids och andra smittsamma sjukdomar</v>
      </c>
      <c r="D284" s="428">
        <v>151126.84619000001</v>
      </c>
      <c r="E284" s="428">
        <v>153835.31625</v>
      </c>
      <c r="F284" s="428">
        <v>148062.25099999999</v>
      </c>
      <c r="G284" s="428">
        <v>144546.58009999999</v>
      </c>
      <c r="H284" s="428">
        <v>144290.55785000001</v>
      </c>
      <c r="I284" s="428">
        <v>145118.23311</v>
      </c>
      <c r="J284" s="428">
        <v>145500.90775000001</v>
      </c>
      <c r="K284" s="428">
        <v>143003.23457999999</v>
      </c>
      <c r="L284" s="428">
        <v>143443.50675999999</v>
      </c>
    </row>
    <row r="285" spans="1:12">
      <c r="A285" s="429" t="str">
        <f t="shared" si="7"/>
        <v>09</v>
      </c>
      <c r="B285" s="429" t="str">
        <f>T("0902006 2011")</f>
        <v>0902006 2011</v>
      </c>
      <c r="C285" s="637" t="str">
        <f>T("Folkhälsopolitiska åtgärder")</f>
        <v>Folkhälsopolitiska åtgärder</v>
      </c>
      <c r="D285" s="428">
        <v>112558.39933</v>
      </c>
      <c r="E285" s="428">
        <v>111198.14720000001</v>
      </c>
      <c r="F285" s="428">
        <v>191854.13063</v>
      </c>
      <c r="G285" s="428">
        <v>226274.56906000001</v>
      </c>
      <c r="H285" s="428">
        <v>210772.34909</v>
      </c>
      <c r="I285" s="428">
        <v>85569.627479999996</v>
      </c>
    </row>
    <row r="286" spans="1:12">
      <c r="A286" s="429" t="str">
        <f t="shared" si="7"/>
        <v>09</v>
      </c>
      <c r="B286" s="429" t="str">
        <f>T("0903001")</f>
        <v>0903001</v>
      </c>
      <c r="C286" s="637" t="str">
        <f>T("Myndigheten för delaktighet")</f>
        <v>Myndigheten för delaktighet</v>
      </c>
      <c r="D286" s="428">
        <v>17936.97235</v>
      </c>
      <c r="E286" s="428">
        <v>18516.39198</v>
      </c>
      <c r="F286" s="428">
        <v>19459.665140000001</v>
      </c>
      <c r="G286" s="428">
        <v>19679.343130000001</v>
      </c>
      <c r="H286" s="428">
        <v>20085.85398</v>
      </c>
      <c r="I286" s="428">
        <v>20706.578819999999</v>
      </c>
      <c r="J286" s="428">
        <v>21128.001840000001</v>
      </c>
      <c r="K286" s="428">
        <v>19470.178250000001</v>
      </c>
      <c r="L286" s="428">
        <v>38114.993329999998</v>
      </c>
    </row>
    <row r="287" spans="1:12">
      <c r="A287" s="429" t="str">
        <f t="shared" si="7"/>
        <v>09</v>
      </c>
      <c r="B287" s="429" t="str">
        <f>T("0903002")</f>
        <v>0903002</v>
      </c>
      <c r="C287" s="637" t="str">
        <f>T("Bidrag till handikapporganisationer")</f>
        <v>Bidrag till handikapporganisationer</v>
      </c>
      <c r="D287" s="428">
        <v>163660</v>
      </c>
      <c r="E287" s="428">
        <v>163660</v>
      </c>
      <c r="F287" s="428">
        <v>183660</v>
      </c>
      <c r="G287" s="428">
        <v>183659.984</v>
      </c>
      <c r="H287" s="428">
        <v>182742</v>
      </c>
      <c r="I287" s="428">
        <v>182742</v>
      </c>
      <c r="J287" s="428">
        <v>182742</v>
      </c>
      <c r="K287" s="428">
        <v>182742</v>
      </c>
      <c r="L287" s="428">
        <v>182742</v>
      </c>
    </row>
    <row r="288" spans="1:12">
      <c r="A288" s="429" t="str">
        <f t="shared" si="7"/>
        <v>09</v>
      </c>
      <c r="B288" s="429" t="str">
        <f>T("0903002 2010")</f>
        <v>0903002 2010</v>
      </c>
      <c r="C288" s="637" t="str">
        <f>T("Bidrag till viss verksamhet för personer med funktionsnedsättning")</f>
        <v>Bidrag till viss verksamhet för personer med funktionsnedsättning</v>
      </c>
      <c r="D288" s="428">
        <v>81900</v>
      </c>
      <c r="E288" s="428">
        <v>81900</v>
      </c>
      <c r="F288" s="428">
        <v>130205</v>
      </c>
      <c r="G288" s="428">
        <v>130205</v>
      </c>
      <c r="H288" s="428">
        <v>124929.50900000001</v>
      </c>
    </row>
    <row r="289" spans="1:12">
      <c r="A289" s="429" t="str">
        <f t="shared" si="7"/>
        <v>09</v>
      </c>
      <c r="B289" s="429" t="str">
        <f>T("0904001")</f>
        <v>0904001</v>
      </c>
      <c r="C289" s="637" t="str">
        <f>T("Personligt ombud")</f>
        <v>Personligt ombud</v>
      </c>
      <c r="D289" s="428">
        <v>89686.811310000005</v>
      </c>
      <c r="E289" s="428">
        <v>92645.615349999993</v>
      </c>
      <c r="F289" s="428">
        <v>99868.806049999999</v>
      </c>
      <c r="G289" s="428">
        <v>99347.65724</v>
      </c>
      <c r="H289" s="428">
        <v>98684.37182</v>
      </c>
      <c r="I289" s="428">
        <v>91691.265190000006</v>
      </c>
      <c r="J289" s="428">
        <v>94989.678740000003</v>
      </c>
      <c r="K289" s="428">
        <v>94208.988700000002</v>
      </c>
      <c r="L289" s="428">
        <v>96317.082999999999</v>
      </c>
    </row>
    <row r="290" spans="1:12">
      <c r="A290" s="429" t="str">
        <f t="shared" si="7"/>
        <v>09</v>
      </c>
      <c r="B290" s="429" t="str">
        <f>T("0904002")</f>
        <v>0904002</v>
      </c>
      <c r="C290" s="637" t="str">
        <f>T("Vissa statsbidrag inom funktionshindersområdet")</f>
        <v>Vissa statsbidrag inom funktionshindersområdet</v>
      </c>
      <c r="D290" s="428">
        <v>273513.005</v>
      </c>
      <c r="E290" s="428">
        <v>273349.99900000001</v>
      </c>
      <c r="F290" s="428">
        <v>250350.00099999999</v>
      </c>
      <c r="G290" s="428">
        <v>177841.45727000001</v>
      </c>
      <c r="H290" s="428">
        <v>172805.56464999999</v>
      </c>
      <c r="I290" s="428">
        <v>322403.73100000003</v>
      </c>
      <c r="J290" s="428">
        <v>339751.37988000002</v>
      </c>
      <c r="K290" s="428">
        <v>338023.90931999998</v>
      </c>
      <c r="L290" s="428">
        <v>302438.15349</v>
      </c>
    </row>
    <row r="291" spans="1:12">
      <c r="A291" s="429" t="str">
        <f t="shared" si="7"/>
        <v>09</v>
      </c>
      <c r="B291" s="429" t="str">
        <f>T("0904003")</f>
        <v>0904003</v>
      </c>
      <c r="C291" s="637" t="str">
        <f>T("Bilstöd till personer med funktionsnedsättning")</f>
        <v>Bilstöd till personer med funktionsnedsättning</v>
      </c>
      <c r="D291" s="428">
        <v>256606.43633999999</v>
      </c>
      <c r="E291" s="428">
        <v>245123.46411</v>
      </c>
      <c r="F291" s="428">
        <v>199779.49479999999</v>
      </c>
      <c r="G291" s="428">
        <v>221920.9528</v>
      </c>
      <c r="H291" s="428">
        <v>259183.18092000001</v>
      </c>
      <c r="I291" s="428">
        <v>260501.95731</v>
      </c>
      <c r="J291" s="428">
        <v>343340.49839000002</v>
      </c>
      <c r="K291" s="428">
        <v>367588.67748000001</v>
      </c>
      <c r="L291" s="428">
        <v>315171.63144999999</v>
      </c>
    </row>
    <row r="292" spans="1:12">
      <c r="A292" s="429" t="str">
        <f t="shared" si="7"/>
        <v>09</v>
      </c>
      <c r="B292" s="429" t="str">
        <f>T("0904003 2011")</f>
        <v>0904003 2011</v>
      </c>
      <c r="C292" s="637" t="str">
        <f>T("Bidrag till utrustning för elektronisk kommunikation")</f>
        <v>Bidrag till utrustning för elektronisk kommunikation</v>
      </c>
      <c r="D292" s="428">
        <v>19992.668000000001</v>
      </c>
      <c r="E292" s="428">
        <v>20397.937999999998</v>
      </c>
      <c r="F292" s="428">
        <v>17156.984</v>
      </c>
      <c r="G292" s="428">
        <v>31017</v>
      </c>
      <c r="H292" s="428">
        <v>30804.677</v>
      </c>
      <c r="I292" s="428">
        <v>28911.036</v>
      </c>
    </row>
    <row r="293" spans="1:12">
      <c r="A293" s="429" t="str">
        <f t="shared" si="7"/>
        <v>09</v>
      </c>
      <c r="B293" s="429" t="str">
        <f>T("0904004")</f>
        <v>0904004</v>
      </c>
      <c r="C293" s="637" t="str">
        <f>T("Kostnader för statlig assistansersättning")</f>
        <v>Kostnader för statlig assistansersättning</v>
      </c>
      <c r="D293" s="428">
        <v>12882186.12733</v>
      </c>
      <c r="E293" s="428">
        <v>14674544.148490001</v>
      </c>
      <c r="F293" s="428">
        <v>16001651.84362</v>
      </c>
      <c r="G293" s="428">
        <v>17567274.825229999</v>
      </c>
      <c r="H293" s="428">
        <v>18878791.527279999</v>
      </c>
      <c r="I293" s="428">
        <v>19860279.546160001</v>
      </c>
      <c r="J293" s="428">
        <v>21443007.44122</v>
      </c>
      <c r="K293" s="428">
        <v>22455447.15721</v>
      </c>
      <c r="L293" s="428">
        <v>23793880.313829999</v>
      </c>
    </row>
    <row r="294" spans="1:12">
      <c r="A294" s="429" t="str">
        <f t="shared" si="7"/>
        <v>09</v>
      </c>
      <c r="B294" s="429" t="str">
        <f>T("0904005")</f>
        <v>0904005</v>
      </c>
      <c r="C294" s="637" t="str">
        <f>T("Stimulansbidrag och åtgärder inom äldrepolitiken")</f>
        <v>Stimulansbidrag och åtgärder inom äldrepolitiken</v>
      </c>
      <c r="D294" s="428">
        <v>753762.04223999998</v>
      </c>
      <c r="E294" s="428">
        <v>1596427.76569</v>
      </c>
      <c r="F294" s="428">
        <v>1971674.05015</v>
      </c>
      <c r="G294" s="428">
        <v>1711574.67127</v>
      </c>
      <c r="H294" s="428">
        <v>1810237.60876</v>
      </c>
      <c r="I294" s="428">
        <v>1480238.26302</v>
      </c>
      <c r="J294" s="428">
        <v>1632183.69563</v>
      </c>
      <c r="K294" s="428">
        <v>1250677.2817599999</v>
      </c>
      <c r="L294" s="428">
        <v>1604539.3543400001</v>
      </c>
    </row>
    <row r="295" spans="1:12">
      <c r="A295" s="429" t="str">
        <f t="shared" si="7"/>
        <v>09</v>
      </c>
      <c r="B295" s="429" t="str">
        <f>T("0904006")</f>
        <v>0904006</v>
      </c>
      <c r="C295" s="637" t="str">
        <f>T("Statens institutionsstyrelse")</f>
        <v>Statens institutionsstyrelse</v>
      </c>
      <c r="D295" s="428">
        <v>710187.29590999999</v>
      </c>
      <c r="E295" s="428">
        <v>742923.03300000005</v>
      </c>
      <c r="F295" s="428">
        <v>791948.18975000002</v>
      </c>
      <c r="G295" s="428">
        <v>793716.73578999995</v>
      </c>
      <c r="H295" s="428">
        <v>794043.29278999998</v>
      </c>
      <c r="I295" s="428">
        <v>775294.70655</v>
      </c>
      <c r="J295" s="428">
        <v>781810.88853</v>
      </c>
      <c r="K295" s="428">
        <v>849065.91434000002</v>
      </c>
      <c r="L295" s="428">
        <v>837256.31779</v>
      </c>
    </row>
    <row r="296" spans="1:12">
      <c r="A296" s="429" t="str">
        <f t="shared" si="7"/>
        <v>09</v>
      </c>
      <c r="B296" s="429" t="str">
        <f>T("0904007")</f>
        <v>0904007</v>
      </c>
      <c r="C296" s="637" t="str">
        <f>T("Bidrag till utveckling av socialt arbete m.m.")</f>
        <v>Bidrag till utveckling av socialt arbete m.m.</v>
      </c>
      <c r="D296" s="428">
        <v>452537.72927000001</v>
      </c>
      <c r="E296" s="428">
        <v>597894.75300000003</v>
      </c>
      <c r="F296" s="428">
        <v>270762.72707999998</v>
      </c>
      <c r="G296" s="428">
        <v>141070.65354</v>
      </c>
      <c r="H296" s="428">
        <v>279472.99537999998</v>
      </c>
      <c r="I296" s="428">
        <v>188748.3027</v>
      </c>
      <c r="J296" s="428">
        <v>187353.15234999999</v>
      </c>
      <c r="K296" s="428">
        <v>378016.40428999998</v>
      </c>
      <c r="L296" s="428">
        <v>451039.52409000002</v>
      </c>
    </row>
    <row r="297" spans="1:12">
      <c r="A297" s="429" t="str">
        <f t="shared" si="7"/>
        <v>09</v>
      </c>
      <c r="B297" s="429" t="str">
        <f>T("0904008")</f>
        <v>0904008</v>
      </c>
      <c r="C297" s="637" t="str">
        <f>T("Ersättning för vanvård i den sociala barn- och ungdomsvården")</f>
        <v>Ersättning för vanvård i den sociala barn- och ungdomsvården</v>
      </c>
      <c r="K297" s="428">
        <v>159084.59742999999</v>
      </c>
      <c r="L297" s="428">
        <v>211850.70126</v>
      </c>
    </row>
    <row r="298" spans="1:12">
      <c r="A298" s="429" t="str">
        <f t="shared" si="7"/>
        <v>09</v>
      </c>
      <c r="B298" s="429" t="str">
        <f>T("0904009")</f>
        <v>0904009</v>
      </c>
      <c r="C298" s="637" t="str">
        <f>T("Ersättningsnämnden")</f>
        <v>Ersättningsnämnden</v>
      </c>
      <c r="K298" s="428">
        <v>39406.261030000001</v>
      </c>
      <c r="L298" s="428">
        <v>41184.303419999997</v>
      </c>
    </row>
    <row r="299" spans="1:12">
      <c r="A299" s="429" t="str">
        <f t="shared" si="7"/>
        <v>09</v>
      </c>
      <c r="B299" s="429" t="str">
        <f>T("0904010")</f>
        <v>0904010</v>
      </c>
      <c r="C299" s="637" t="str">
        <f>T("Myndigheten för internationella adoptionsfrågor")</f>
        <v>Myndigheten för internationella adoptionsfrågor</v>
      </c>
      <c r="D299" s="428">
        <v>11145.46513</v>
      </c>
      <c r="E299" s="428">
        <v>11047.2407</v>
      </c>
      <c r="F299" s="428">
        <v>11685.178389999999</v>
      </c>
      <c r="G299" s="428">
        <v>12101.890429999999</v>
      </c>
      <c r="H299" s="428">
        <v>13836.91178</v>
      </c>
      <c r="I299" s="428">
        <v>14577.94809</v>
      </c>
      <c r="J299" s="428">
        <v>15006.642180000001</v>
      </c>
      <c r="K299" s="428">
        <v>14870.55485</v>
      </c>
      <c r="L299" s="428">
        <v>14698.714610000001</v>
      </c>
    </row>
    <row r="300" spans="1:12">
      <c r="A300" s="429" t="str">
        <f t="shared" si="7"/>
        <v>09</v>
      </c>
      <c r="B300" s="429" t="str">
        <f>T("0905001")</f>
        <v>0905001</v>
      </c>
      <c r="C300" s="637" t="str">
        <f>T("Barnombudsmannen")</f>
        <v>Barnombudsmannen</v>
      </c>
      <c r="D300" s="428">
        <v>17033.86868</v>
      </c>
      <c r="E300" s="428">
        <v>17619.766820000001</v>
      </c>
      <c r="F300" s="428">
        <v>17647.813529999999</v>
      </c>
      <c r="G300" s="428">
        <v>17037.958910000001</v>
      </c>
      <c r="H300" s="428">
        <v>18184.443080000001</v>
      </c>
      <c r="I300" s="428">
        <v>18550.79693</v>
      </c>
      <c r="J300" s="428">
        <v>20673.373670000001</v>
      </c>
      <c r="K300" s="428">
        <v>23012.75938</v>
      </c>
      <c r="L300" s="428">
        <v>24312.11089</v>
      </c>
    </row>
    <row r="301" spans="1:12">
      <c r="A301" s="429" t="str">
        <f t="shared" si="7"/>
        <v>09</v>
      </c>
      <c r="B301" s="429" t="str">
        <f>T("0905002")</f>
        <v>0905002</v>
      </c>
      <c r="C301" s="637" t="str">
        <f>T("Insatser för att förverkliga konventionen om barnets rättigheter i Sverige")</f>
        <v>Insatser för att förverkliga konventionen om barnets rättigheter i Sverige</v>
      </c>
      <c r="D301" s="428">
        <v>9386.6826600000004</v>
      </c>
      <c r="E301" s="428">
        <v>4588.6069100000004</v>
      </c>
      <c r="F301" s="428">
        <v>9177.5110000000004</v>
      </c>
      <c r="G301" s="428">
        <v>11696.033229999999</v>
      </c>
      <c r="H301" s="428">
        <v>16657.451489999999</v>
      </c>
      <c r="I301" s="428">
        <v>12440.12599</v>
      </c>
      <c r="J301" s="428">
        <v>14661.52807</v>
      </c>
      <c r="K301" s="428">
        <v>8748.3507900000004</v>
      </c>
      <c r="L301" s="428">
        <v>23370.344730000001</v>
      </c>
    </row>
    <row r="302" spans="1:12">
      <c r="A302" s="429" t="str">
        <f t="shared" si="7"/>
        <v>09</v>
      </c>
      <c r="B302" s="429" t="str">
        <f>T("0906001")</f>
        <v>0906001</v>
      </c>
      <c r="C302" s="637" t="str">
        <f>T("Alkoholsortimentsnämnden")</f>
        <v>Alkoholsortimentsnämnden</v>
      </c>
      <c r="D302" s="428">
        <v>53.361240000000002</v>
      </c>
      <c r="E302" s="428">
        <v>70.054190000000006</v>
      </c>
      <c r="F302" s="428">
        <v>85.869240000000005</v>
      </c>
      <c r="G302" s="428">
        <v>33.053280000000001</v>
      </c>
      <c r="H302" s="428">
        <v>115.58929000000001</v>
      </c>
      <c r="I302" s="428">
        <v>42.209299999999999</v>
      </c>
      <c r="J302" s="428">
        <v>35.030270000000002</v>
      </c>
      <c r="K302" s="428">
        <v>49.029879999999999</v>
      </c>
      <c r="L302" s="428">
        <v>49.369480000000003</v>
      </c>
    </row>
    <row r="303" spans="1:12">
      <c r="A303" s="429" t="str">
        <f t="shared" si="7"/>
        <v>09</v>
      </c>
      <c r="B303" s="429" t="str">
        <f>T("0906002")</f>
        <v>0906002</v>
      </c>
      <c r="C303" s="637" t="str">
        <f>T("Åtgärder avseende alkohol, narkotika, dopning, tobak, samt spel")</f>
        <v>Åtgärder avseende alkohol, narkotika, dopning, tobak, samt spel</v>
      </c>
      <c r="D303" s="428">
        <v>232387.46307</v>
      </c>
      <c r="E303" s="428">
        <v>284154.66090000002</v>
      </c>
      <c r="F303" s="428">
        <v>224928.71009000001</v>
      </c>
      <c r="G303" s="428">
        <v>250529.21865</v>
      </c>
      <c r="H303" s="428">
        <v>246092.82965</v>
      </c>
      <c r="I303" s="428">
        <v>190181.24476999999</v>
      </c>
      <c r="J303" s="428">
        <v>251278.20842000001</v>
      </c>
      <c r="K303" s="428">
        <v>246878.64713</v>
      </c>
      <c r="L303" s="428">
        <v>266110.47856999998</v>
      </c>
    </row>
    <row r="304" spans="1:12">
      <c r="A304" s="429" t="str">
        <f t="shared" si="7"/>
        <v>09</v>
      </c>
      <c r="B304" s="429" t="str">
        <f>T("0907001")</f>
        <v>0907001</v>
      </c>
      <c r="C304" s="637" t="str">
        <f>T("Forskningsrådet för hälsa, arbetsliv och välfärd: Förvaltning")</f>
        <v>Forskningsrådet för hälsa, arbetsliv och välfärd: Förvaltning</v>
      </c>
      <c r="D304" s="428">
        <v>21950.209739999998</v>
      </c>
      <c r="E304" s="428">
        <v>23581.467860000001</v>
      </c>
      <c r="F304" s="428">
        <v>24809.055550000001</v>
      </c>
      <c r="G304" s="428">
        <v>23947.543679999999</v>
      </c>
      <c r="H304" s="428">
        <v>24082.54607</v>
      </c>
      <c r="I304" s="428">
        <v>25164.048009999999</v>
      </c>
      <c r="J304" s="428">
        <v>26817.2516</v>
      </c>
      <c r="K304" s="428">
        <v>26140.83973</v>
      </c>
      <c r="L304" s="428">
        <v>33327.523119999998</v>
      </c>
    </row>
    <row r="305" spans="1:12">
      <c r="A305" s="429" t="str">
        <f t="shared" si="7"/>
        <v>09</v>
      </c>
      <c r="B305" s="429" t="str">
        <f>T("0907002")</f>
        <v>0907002</v>
      </c>
      <c r="C305" s="637" t="str">
        <f>T("Forskningsrådet för hälsa, arbetsliv och välfärd: Forskning")</f>
        <v>Forskningsrådet för hälsa, arbetsliv och välfärd: Forskning</v>
      </c>
      <c r="D305" s="428">
        <v>291903.90382000001</v>
      </c>
      <c r="E305" s="428">
        <v>322965.32653000002</v>
      </c>
      <c r="F305" s="428">
        <v>345036.01455000002</v>
      </c>
      <c r="G305" s="428">
        <v>386582.31026</v>
      </c>
      <c r="H305" s="428">
        <v>386652.31270000001</v>
      </c>
      <c r="I305" s="428">
        <v>391296.44776000001</v>
      </c>
      <c r="J305" s="428">
        <v>412003.16957999999</v>
      </c>
      <c r="K305" s="428">
        <v>471676.61929</v>
      </c>
      <c r="L305" s="428">
        <v>519535.12787999999</v>
      </c>
    </row>
    <row r="306" spans="1:12">
      <c r="A306" s="429" t="str">
        <f t="shared" si="7"/>
        <v>09</v>
      </c>
      <c r="B306" s="429" t="str">
        <f>T("0908001")</f>
        <v>0908001</v>
      </c>
      <c r="C306" s="637" t="str">
        <f>T("Socialstyrelsen")</f>
        <v>Socialstyrelsen</v>
      </c>
      <c r="D306" s="428">
        <v>534630.58181999996</v>
      </c>
      <c r="E306" s="428">
        <v>540523.37882999994</v>
      </c>
      <c r="F306" s="428">
        <v>591568.60768000002</v>
      </c>
      <c r="G306" s="428">
        <v>594862.80804000003</v>
      </c>
      <c r="H306" s="428">
        <v>829474.34895999997</v>
      </c>
      <c r="I306" s="428">
        <v>880767.51353999996</v>
      </c>
      <c r="J306" s="428">
        <v>968233.46319000004</v>
      </c>
      <c r="K306" s="428">
        <v>685165.11112999998</v>
      </c>
      <c r="L306" s="428">
        <v>494377.48891999997</v>
      </c>
    </row>
    <row r="307" spans="1:12">
      <c r="A307" s="429" t="str">
        <f t="shared" si="7"/>
        <v>09</v>
      </c>
      <c r="B307" s="429" t="str">
        <f>T("0908002")</f>
        <v>0908002</v>
      </c>
      <c r="C307" s="637" t="str">
        <f>T("Inspektionen för vård och omsorg")</f>
        <v>Inspektionen för vård och omsorg</v>
      </c>
      <c r="K307" s="428">
        <v>356261.66623999999</v>
      </c>
      <c r="L307" s="428">
        <v>623114.64887999999</v>
      </c>
    </row>
    <row r="308" spans="1:12">
      <c r="A308" s="429" t="str">
        <f t="shared" si="7"/>
        <v>09</v>
      </c>
      <c r="B308" s="429" t="str">
        <f>T("091306 2001")</f>
        <v>091306 2001</v>
      </c>
      <c r="C308" s="637" t="str">
        <f>T("Ersättning till steriliserade i vissa fall")</f>
        <v>Ersättning till steriliserade i vissa fall</v>
      </c>
      <c r="G308" s="428">
        <v>350</v>
      </c>
      <c r="H308" s="428">
        <v>175</v>
      </c>
    </row>
    <row r="309" spans="1:12">
      <c r="A309" s="429" t="str">
        <f t="shared" si="7"/>
        <v>09</v>
      </c>
      <c r="B309" s="429" t="str">
        <f>T("091309 2005")</f>
        <v>091309 2005</v>
      </c>
      <c r="C309" s="637" t="str">
        <f>T("Ersättning till talidomidskadade i vissa fall m.m.")</f>
        <v>Ersättning till talidomidskadade i vissa fall m.m.</v>
      </c>
      <c r="D309" s="428">
        <v>500</v>
      </c>
      <c r="E309" s="428">
        <v>675</v>
      </c>
      <c r="G309" s="428">
        <v>500</v>
      </c>
      <c r="H309" s="428">
        <v>500</v>
      </c>
    </row>
    <row r="310" spans="1:12">
      <c r="A310" s="429" t="str">
        <f t="shared" si="7"/>
        <v>09</v>
      </c>
      <c r="B310" s="429" t="str">
        <f>T("091309 2006")</f>
        <v>091309 2006</v>
      </c>
      <c r="C310" s="637" t="str">
        <f>T("Bidrag till psykiatri och social psykiatri")</f>
        <v>Bidrag till psykiatri och social psykiatri</v>
      </c>
      <c r="D310" s="428">
        <v>170103.17327999999</v>
      </c>
      <c r="E310" s="428">
        <v>37448.607830000001</v>
      </c>
      <c r="F310" s="428">
        <v>18070.296709999999</v>
      </c>
      <c r="G310" s="428">
        <v>5983.0450899999996</v>
      </c>
      <c r="H310" s="428">
        <v>-1000.85167</v>
      </c>
      <c r="I310" s="428">
        <v>3633.7399500000001</v>
      </c>
      <c r="J310" s="428">
        <v>700</v>
      </c>
    </row>
    <row r="311" spans="1:12">
      <c r="A311" s="429" t="str">
        <f t="shared" si="7"/>
        <v>09</v>
      </c>
      <c r="B311" s="429" t="str">
        <f>T("091406 2007")</f>
        <v>091406 2007</v>
      </c>
      <c r="C311" s="637" t="str">
        <f>T("Institutet för psykosocial medicin")</f>
        <v>Institutet för psykosocial medicin</v>
      </c>
      <c r="D311" s="428">
        <v>15299.274460000001</v>
      </c>
      <c r="E311" s="428">
        <v>15713.801369999999</v>
      </c>
      <c r="F311" s="428">
        <v>349</v>
      </c>
    </row>
    <row r="312" spans="1:12">
      <c r="A312" s="429" t="str">
        <f t="shared" si="7"/>
        <v>09</v>
      </c>
      <c r="B312" s="429" t="str">
        <f>T("091409 2001")</f>
        <v>091409 2001</v>
      </c>
      <c r="C312" s="637" t="str">
        <f>T("Alkoholinspektionen")</f>
        <v>Alkoholinspektionen</v>
      </c>
    </row>
    <row r="313" spans="1:12">
      <c r="A313" s="429" t="str">
        <f t="shared" si="7"/>
        <v>09</v>
      </c>
      <c r="B313" s="429" t="str">
        <f>T("091410 2006")</f>
        <v>091410 2006</v>
      </c>
      <c r="C313" s="637" t="str">
        <f>T("Vaccinförsörjning")</f>
        <v>Vaccinförsörjning</v>
      </c>
      <c r="D313" s="428">
        <v>579.38365999999996</v>
      </c>
      <c r="E313" s="428">
        <v>93424.8</v>
      </c>
    </row>
    <row r="314" spans="1:12">
      <c r="A314" s="429" t="str">
        <f t="shared" si="7"/>
        <v>09</v>
      </c>
      <c r="B314" s="429" t="str">
        <f>T("091603 2008")</f>
        <v>091603 2008</v>
      </c>
      <c r="C314" s="637" t="str">
        <f>T("Statsbidrag till särskilt utbildningsstöd")</f>
        <v>Statsbidrag till särskilt utbildningsstöd</v>
      </c>
      <c r="D314" s="428">
        <v>175624.99260999999</v>
      </c>
      <c r="E314" s="428">
        <v>179718.02833999999</v>
      </c>
      <c r="F314" s="428">
        <v>176463.91321</v>
      </c>
    </row>
    <row r="315" spans="1:12">
      <c r="A315" s="429" t="str">
        <f t="shared" si="7"/>
        <v>09</v>
      </c>
      <c r="B315" s="429" t="str">
        <f>T("091609 2005")</f>
        <v>091609 2005</v>
      </c>
      <c r="C315" s="637" t="str">
        <f>T("Statens institut för särskilt utbildningsstöd")</f>
        <v>Statens institut för särskilt utbildningsstöd</v>
      </c>
      <c r="D315" s="428">
        <v>593.32719999999995</v>
      </c>
      <c r="E315" s="428">
        <v>10.627599999999999</v>
      </c>
    </row>
    <row r="316" spans="1:12">
      <c r="A316" s="429" t="str">
        <f t="shared" si="7"/>
        <v>09</v>
      </c>
      <c r="B316" s="429" t="str">
        <f>T("091803 2008")</f>
        <v>091803 2008</v>
      </c>
      <c r="C316" s="637" t="str">
        <f>T("Utvecklingsmedel till åtgärder för hemlösa")</f>
        <v>Utvecklingsmedel till åtgärder för hemlösa</v>
      </c>
      <c r="D316" s="428">
        <v>9477.8619999999992</v>
      </c>
      <c r="E316" s="428">
        <v>10969.644490000001</v>
      </c>
      <c r="F316" s="428">
        <v>26071.259760000001</v>
      </c>
      <c r="G316" s="428">
        <v>27192.997189999998</v>
      </c>
      <c r="H316" s="428">
        <v>1246.6390100000001</v>
      </c>
    </row>
    <row r="317" spans="1:12">
      <c r="A317" s="429" t="str">
        <f t="shared" si="7"/>
        <v>09</v>
      </c>
      <c r="B317" s="429" t="str">
        <f>T("09A001 1997")</f>
        <v>09A001 1997</v>
      </c>
      <c r="C317" s="637" t="str">
        <f>T("Sjukvårdsförmåner m.m.")</f>
        <v>Sjukvårdsförmåner m.m.</v>
      </c>
    </row>
    <row r="318" spans="1:12">
      <c r="A318" s="429" t="str">
        <f t="shared" ref="A318:A323" si="8">T("09")</f>
        <v>09</v>
      </c>
      <c r="B318" s="429" t="str">
        <f>T("09A005 1998")</f>
        <v>09A005 1998</v>
      </c>
      <c r="C318" s="637" t="str">
        <f>T("Ersättning till Spri")</f>
        <v>Ersättning till Spri</v>
      </c>
    </row>
    <row r="319" spans="1:12">
      <c r="A319" s="429" t="str">
        <f t="shared" si="8"/>
        <v>09</v>
      </c>
      <c r="B319" s="429" t="str">
        <f>T("09A006 2000")</f>
        <v>09A006 2000</v>
      </c>
      <c r="C319" s="637" t="str">
        <f>T("Bidrag till WHO-enheten för rapportering av läkemedelsbiverkningar")</f>
        <v>Bidrag till WHO-enheten för rapportering av läkemedelsbiverkningar</v>
      </c>
    </row>
    <row r="320" spans="1:12">
      <c r="A320" s="429" t="str">
        <f t="shared" si="8"/>
        <v>09</v>
      </c>
      <c r="B320" s="429" t="str">
        <f>T("09A008 1997")</f>
        <v>09A008 1997</v>
      </c>
      <c r="C320" s="637" t="str">
        <f>T("Bidrag till psykiatriområdet")</f>
        <v>Bidrag till psykiatriområdet</v>
      </c>
    </row>
    <row r="321" spans="1:12">
      <c r="A321" s="429" t="str">
        <f t="shared" si="8"/>
        <v>09</v>
      </c>
      <c r="B321" s="429" t="str">
        <f>T("09B019 1999")</f>
        <v>09B019 1999</v>
      </c>
      <c r="C321" s="637" t="str">
        <f>T("Bidrag till äldrebostäder m.m.")</f>
        <v>Bidrag till äldrebostäder m.m.</v>
      </c>
    </row>
    <row r="322" spans="1:12">
      <c r="A322" s="429" t="str">
        <f t="shared" si="8"/>
        <v>09</v>
      </c>
      <c r="B322" s="429" t="str">
        <f>T("09C001 2000")</f>
        <v>09C001 2000</v>
      </c>
      <c r="C322" s="637" t="str">
        <f>T("Socialvetenskapliga forskningsrådet: Forskning")</f>
        <v>Socialvetenskapliga forskningsrådet: Forskning</v>
      </c>
    </row>
    <row r="323" spans="1:12">
      <c r="A323" s="429" t="str">
        <f t="shared" si="8"/>
        <v>09</v>
      </c>
      <c r="B323" s="429" t="str">
        <f>T("09C002 2000")</f>
        <v>09C002 2000</v>
      </c>
      <c r="C323" s="637" t="str">
        <f>T("Socialvetenskapliga forskningsrådet: Förvaltning")</f>
        <v>Socialvetenskapliga forskningsrådet: Förvaltning</v>
      </c>
    </row>
    <row r="324" spans="1:12">
      <c r="A324" s="430" t="s">
        <v>1643</v>
      </c>
      <c r="B324" s="430"/>
      <c r="C324" s="430" t="str">
        <f>T("Hälsovård, sjukvård och social omsorg")</f>
        <v>Hälsovård, sjukvård och social omsorg</v>
      </c>
      <c r="D324" s="431">
        <v>42161673.85768</v>
      </c>
      <c r="E324" s="431">
        <v>46653146.027840003</v>
      </c>
      <c r="F324" s="431">
        <v>49131003.056419998</v>
      </c>
      <c r="G324" s="431">
        <v>53064772.398659997</v>
      </c>
      <c r="H324" s="431">
        <v>56014726.2619</v>
      </c>
      <c r="I324" s="431">
        <v>56538473.20042</v>
      </c>
      <c r="J324" s="431">
        <v>58689941.502609998</v>
      </c>
      <c r="K324" s="431">
        <v>58994268.330839999</v>
      </c>
      <c r="L324" s="431">
        <v>61589040.85272</v>
      </c>
    </row>
    <row r="325" spans="1:12">
      <c r="A325" s="429" t="str">
        <f t="shared" ref="A325:A338" si="9">T("10")</f>
        <v>10</v>
      </c>
      <c r="B325" s="429" t="str">
        <f>T("1001001")</f>
        <v>1001001</v>
      </c>
      <c r="C325" s="637" t="str">
        <f>T("Sjukpenning och rehabilitering m.m.")</f>
        <v>Sjukpenning och rehabilitering m.m.</v>
      </c>
      <c r="D325" s="428">
        <v>36667961.585019998</v>
      </c>
      <c r="E325" s="428">
        <v>31733803.343370002</v>
      </c>
      <c r="F325" s="428">
        <v>26610937.931000002</v>
      </c>
      <c r="G325" s="428">
        <v>22876757.016890001</v>
      </c>
      <c r="H325" s="428">
        <v>20573598.752700001</v>
      </c>
      <c r="I325" s="428">
        <v>23980506.111960001</v>
      </c>
      <c r="J325" s="428">
        <v>24956837.036309998</v>
      </c>
      <c r="K325" s="428">
        <v>27941390.903179999</v>
      </c>
      <c r="L325" s="428">
        <v>32299963.79194</v>
      </c>
    </row>
    <row r="326" spans="1:12">
      <c r="A326" s="429" t="str">
        <f t="shared" si="9"/>
        <v>10</v>
      </c>
      <c r="B326" s="429" t="str">
        <f>T("1001002")</f>
        <v>1001002</v>
      </c>
      <c r="C326" s="637" t="str">
        <f>T("Aktivitets- och sjukersättningar m.m.")</f>
        <v>Aktivitets- och sjukersättningar m.m.</v>
      </c>
      <c r="D326" s="428">
        <v>74140529.533189997</v>
      </c>
      <c r="E326" s="428">
        <v>72455894.213200003</v>
      </c>
      <c r="F326" s="428">
        <v>73991461.658529997</v>
      </c>
      <c r="G326" s="428">
        <v>72271040.075570002</v>
      </c>
      <c r="H326" s="428">
        <v>65295192.753449999</v>
      </c>
      <c r="I326" s="428">
        <v>58230916.016159996</v>
      </c>
      <c r="J326" s="428">
        <v>54464425.123999998</v>
      </c>
      <c r="K326" s="428">
        <v>52239783.152850002</v>
      </c>
      <c r="L326" s="428">
        <v>50827530.689900003</v>
      </c>
    </row>
    <row r="327" spans="1:12">
      <c r="A327" s="429" t="str">
        <f t="shared" si="9"/>
        <v>10</v>
      </c>
      <c r="B327" s="429" t="str">
        <f>T("1001003")</f>
        <v>1001003</v>
      </c>
      <c r="C327" s="637" t="str">
        <f>T("Handikappersättningar")</f>
        <v>Handikappersättningar</v>
      </c>
      <c r="D327" s="428">
        <v>1170969.3829999999</v>
      </c>
      <c r="E327" s="428">
        <v>1174423.3541600001</v>
      </c>
      <c r="F327" s="428">
        <v>1192007.4114300001</v>
      </c>
      <c r="G327" s="428">
        <v>1241985.983</v>
      </c>
      <c r="H327" s="428">
        <v>1226299.223</v>
      </c>
      <c r="I327" s="428">
        <v>1244122.1259999999</v>
      </c>
      <c r="J327" s="428">
        <v>1277278.284</v>
      </c>
      <c r="K327" s="428">
        <v>1316801.611</v>
      </c>
      <c r="L327" s="428">
        <v>1330767.267</v>
      </c>
    </row>
    <row r="328" spans="1:12">
      <c r="A328" s="429" t="str">
        <f t="shared" si="9"/>
        <v>10</v>
      </c>
      <c r="B328" s="429" t="str">
        <f>T("1001004")</f>
        <v>1001004</v>
      </c>
      <c r="C328" s="637" t="str">
        <f>T("Arbetsskadeersättningar m.m.")</f>
        <v>Arbetsskadeersättningar m.m.</v>
      </c>
      <c r="D328" s="428">
        <v>5888150.91175</v>
      </c>
      <c r="E328" s="428">
        <v>5809808.9074100005</v>
      </c>
      <c r="F328" s="428">
        <v>5321416.9933900004</v>
      </c>
      <c r="G328" s="428">
        <v>5057573.77563</v>
      </c>
      <c r="H328" s="428">
        <v>4495582.1159600001</v>
      </c>
      <c r="I328" s="428">
        <v>4155331.3073399998</v>
      </c>
      <c r="J328" s="428">
        <v>3952997.1910899999</v>
      </c>
      <c r="K328" s="428">
        <v>3830862.9830900002</v>
      </c>
      <c r="L328" s="428">
        <v>3609752.4535099999</v>
      </c>
    </row>
    <row r="329" spans="1:12">
      <c r="A329" s="429" t="str">
        <f t="shared" si="9"/>
        <v>10</v>
      </c>
      <c r="B329" s="429" t="str">
        <f>T("1001005")</f>
        <v>1001005</v>
      </c>
      <c r="C329" s="637" t="str">
        <f>T("Ersättning för kroppsskador")</f>
        <v>Ersättning för kroppsskador</v>
      </c>
      <c r="D329" s="428">
        <v>57536.516750000003</v>
      </c>
      <c r="E329" s="428">
        <v>53375.313950000003</v>
      </c>
      <c r="F329" s="428">
        <v>51591.073499999999</v>
      </c>
      <c r="G329" s="428">
        <v>49761.686300000001</v>
      </c>
      <c r="H329" s="428">
        <v>47730.034140000003</v>
      </c>
      <c r="I329" s="428">
        <v>45683.63306</v>
      </c>
      <c r="J329" s="428">
        <v>44093.926599999999</v>
      </c>
      <c r="K329" s="428">
        <v>42205.487269999998</v>
      </c>
      <c r="L329" s="428">
        <v>39867.635739999998</v>
      </c>
    </row>
    <row r="330" spans="1:12">
      <c r="A330" s="429" t="str">
        <f t="shared" si="9"/>
        <v>10</v>
      </c>
      <c r="B330" s="429" t="str">
        <f>T("1001006")</f>
        <v>1001006</v>
      </c>
      <c r="C330" s="637" t="str">
        <f>T("Bidrag för sjukskrivningsprocessen")</f>
        <v>Bidrag för sjukskrivningsprocessen</v>
      </c>
      <c r="J330" s="428">
        <v>1724886.6759599999</v>
      </c>
      <c r="K330" s="428">
        <v>2300438.2571700001</v>
      </c>
      <c r="L330" s="428">
        <v>3055709.38478</v>
      </c>
    </row>
    <row r="331" spans="1:12">
      <c r="A331" s="429" t="str">
        <f t="shared" si="9"/>
        <v>10</v>
      </c>
      <c r="B331" s="429" t="str">
        <f>T("1001006 2013")</f>
        <v>1001006 2013</v>
      </c>
      <c r="C331" s="637" t="str">
        <f>T("Bidrag för arbetet med sjukskrivningar inom hälso- och sjukvård")</f>
        <v>Bidrag för arbetet med sjukskrivningar inom hälso- och sjukvård</v>
      </c>
      <c r="D331" s="428">
        <v>1000</v>
      </c>
      <c r="E331" s="428">
        <v>807508.48100000003</v>
      </c>
      <c r="F331" s="428">
        <v>1000000</v>
      </c>
      <c r="G331" s="428">
        <v>1000000</v>
      </c>
      <c r="H331" s="428">
        <v>1000000</v>
      </c>
      <c r="I331" s="428">
        <v>714984.50199999998</v>
      </c>
      <c r="J331" s="428">
        <v>749750.84719999996</v>
      </c>
      <c r="K331" s="428">
        <v>999894.99899999995</v>
      </c>
    </row>
    <row r="332" spans="1:12">
      <c r="A332" s="429" t="str">
        <f t="shared" si="9"/>
        <v>10</v>
      </c>
      <c r="B332" s="429" t="str">
        <f>T("1002001")</f>
        <v>1002001</v>
      </c>
      <c r="C332" s="637" t="str">
        <f>T("Försäkringskassan")</f>
        <v>Försäkringskassan</v>
      </c>
      <c r="D332" s="428">
        <v>7757117.2726800004</v>
      </c>
      <c r="E332" s="428">
        <v>7429554.01621</v>
      </c>
      <c r="F332" s="428">
        <v>7694814.9539000001</v>
      </c>
      <c r="G332" s="428">
        <v>7459445.3024000004</v>
      </c>
      <c r="H332" s="428">
        <v>7255837.9703599997</v>
      </c>
      <c r="I332" s="428">
        <v>7376347.1099899998</v>
      </c>
      <c r="J332" s="428">
        <v>7623258.8608900001</v>
      </c>
      <c r="K332" s="428">
        <v>7659562.5542000001</v>
      </c>
      <c r="L332" s="428">
        <v>7811427.3514299998</v>
      </c>
    </row>
    <row r="333" spans="1:12">
      <c r="A333" s="429" t="str">
        <f t="shared" si="9"/>
        <v>10</v>
      </c>
      <c r="B333" s="429" t="str">
        <f>T("1002002")</f>
        <v>1002002</v>
      </c>
      <c r="C333" s="637" t="str">
        <f>T("Inspektionen för socialförsäkringen")</f>
        <v>Inspektionen för socialförsäkringen</v>
      </c>
      <c r="G333" s="428">
        <v>12508.96083</v>
      </c>
      <c r="H333" s="428">
        <v>38815.378680000002</v>
      </c>
      <c r="I333" s="428">
        <v>52244.277710000002</v>
      </c>
      <c r="J333" s="428">
        <v>59172.980739999999</v>
      </c>
      <c r="K333" s="428">
        <v>63558.69584</v>
      </c>
      <c r="L333" s="428">
        <v>61223.226900000001</v>
      </c>
    </row>
    <row r="334" spans="1:12">
      <c r="A334" s="429" t="str">
        <f t="shared" si="9"/>
        <v>10</v>
      </c>
      <c r="B334" s="429" t="str">
        <f>T("101905 2003")</f>
        <v>101905 2003</v>
      </c>
      <c r="C334" s="637" t="str">
        <f>T("Kostnader för sysselsättning av vissa personer med aktivitets- och sjukersättning")</f>
        <v>Kostnader för sysselsättning av vissa personer med aktivitets- och sjukersättning</v>
      </c>
    </row>
    <row r="335" spans="1:12">
      <c r="A335" s="429" t="str">
        <f t="shared" si="9"/>
        <v>10</v>
      </c>
      <c r="B335" s="429" t="str">
        <f>T("101906 2004")</f>
        <v>101906 2004</v>
      </c>
      <c r="C335" s="637" t="str">
        <f>T("Riksförsäkringsverket")</f>
        <v>Riksförsäkringsverket</v>
      </c>
    </row>
    <row r="336" spans="1:12">
      <c r="A336" s="429" t="str">
        <f t="shared" si="9"/>
        <v>10</v>
      </c>
      <c r="B336" s="429" t="str">
        <f>T("101907 2004")</f>
        <v>101907 2004</v>
      </c>
      <c r="C336" s="637" t="str">
        <f>T("Allmänna försäkringskassor")</f>
        <v>Allmänna försäkringskassor</v>
      </c>
    </row>
    <row r="337" spans="1:12">
      <c r="A337" s="429" t="str">
        <f t="shared" si="9"/>
        <v>10</v>
      </c>
      <c r="B337" s="429" t="str">
        <f>T("10A003 1999")</f>
        <v>10A003 1999</v>
      </c>
      <c r="C337" s="637" t="str">
        <f>T("Förtidspensioner:statlig ålderspensionsavgift ")</f>
        <v xml:space="preserve">Förtidspensioner:statlig ålderspensionsavgift </v>
      </c>
    </row>
    <row r="338" spans="1:12">
      <c r="A338" s="429" t="str">
        <f t="shared" si="9"/>
        <v>10</v>
      </c>
      <c r="B338" s="429" t="str">
        <f>T("10A006 1999")</f>
        <v>10A006 1999</v>
      </c>
      <c r="C338" s="637" t="str">
        <f>T("Arbetsskadeersättningar:statlig ålderspensionsavgift ")</f>
        <v xml:space="preserve">Arbetsskadeersättningar:statlig ålderspensionsavgift </v>
      </c>
    </row>
    <row r="339" spans="1:12">
      <c r="A339" s="430" t="s">
        <v>1644</v>
      </c>
      <c r="B339" s="430"/>
      <c r="C339" s="430" t="str">
        <f>T("Ekonomisk trygghet vid sjukdom och funktionsnedsättning")</f>
        <v>Ekonomisk trygghet vid sjukdom och funktionsnedsättning</v>
      </c>
      <c r="D339" s="431">
        <v>125683265.20239</v>
      </c>
      <c r="E339" s="431">
        <v>119464367.6293</v>
      </c>
      <c r="F339" s="431">
        <v>115862230.02175</v>
      </c>
      <c r="G339" s="431">
        <v>109969072.80062</v>
      </c>
      <c r="H339" s="431">
        <v>99933056.228290007</v>
      </c>
      <c r="I339" s="431">
        <v>95800135.084220007</v>
      </c>
      <c r="J339" s="431">
        <v>94852700.926789999</v>
      </c>
      <c r="K339" s="431">
        <v>96394498.643600002</v>
      </c>
      <c r="L339" s="431">
        <v>99036241.801200002</v>
      </c>
    </row>
    <row r="340" spans="1:12">
      <c r="A340" s="429" t="str">
        <f t="shared" ref="A340:A346" si="10">T("11")</f>
        <v>11</v>
      </c>
      <c r="B340" s="429" t="str">
        <f>T("1101001")</f>
        <v>1101001</v>
      </c>
      <c r="C340" s="637" t="str">
        <f>T("Garantipension till ålderspension")</f>
        <v>Garantipension till ålderspension</v>
      </c>
      <c r="D340" s="428">
        <v>21338688.709880002</v>
      </c>
      <c r="E340" s="428">
        <v>20370899.859340001</v>
      </c>
      <c r="F340" s="428">
        <v>19344147.220380001</v>
      </c>
      <c r="G340" s="428">
        <v>19053870.58501</v>
      </c>
      <c r="H340" s="428">
        <v>18233925.728950001</v>
      </c>
      <c r="I340" s="428">
        <v>18485043.822689999</v>
      </c>
      <c r="J340" s="428">
        <v>18034908.855489999</v>
      </c>
      <c r="K340" s="428">
        <v>16751264.506789999</v>
      </c>
      <c r="L340" s="428">
        <v>16539279.36335</v>
      </c>
    </row>
    <row r="341" spans="1:12">
      <c r="A341" s="429" t="str">
        <f t="shared" si="10"/>
        <v>11</v>
      </c>
      <c r="B341" s="429" t="str">
        <f>T("1101002")</f>
        <v>1101002</v>
      </c>
      <c r="C341" s="637" t="str">
        <f>T("Efterlevandepensioner till vuxna")</f>
        <v>Efterlevandepensioner till vuxna</v>
      </c>
      <c r="D341" s="428">
        <v>15812630.418780001</v>
      </c>
      <c r="E341" s="428">
        <v>15701921.924000001</v>
      </c>
      <c r="F341" s="428">
        <v>15697200.6019</v>
      </c>
      <c r="G341" s="428">
        <v>15846882.110619999</v>
      </c>
      <c r="H341" s="428">
        <v>15091258.284</v>
      </c>
      <c r="I341" s="428">
        <v>14438941.522</v>
      </c>
      <c r="J341" s="428">
        <v>14225707.268999999</v>
      </c>
      <c r="K341" s="428">
        <v>13882782.945</v>
      </c>
      <c r="L341" s="428">
        <v>13035232.97545</v>
      </c>
    </row>
    <row r="342" spans="1:12">
      <c r="A342" s="429" t="str">
        <f t="shared" si="10"/>
        <v>11</v>
      </c>
      <c r="B342" s="429" t="str">
        <f>T("1101003")</f>
        <v>1101003</v>
      </c>
      <c r="C342" s="637" t="str">
        <f>T("Bostadstillägg till pensionärer")</f>
        <v>Bostadstillägg till pensionärer</v>
      </c>
      <c r="D342" s="428">
        <v>7448162.9786599996</v>
      </c>
      <c r="E342" s="428">
        <v>7262856.3776599998</v>
      </c>
      <c r="F342" s="428">
        <v>7112889.3470000001</v>
      </c>
      <c r="G342" s="428">
        <v>6906674.3700000001</v>
      </c>
      <c r="H342" s="428">
        <v>7091127.4309999999</v>
      </c>
      <c r="I342" s="428">
        <v>7593535.199</v>
      </c>
      <c r="J342" s="428">
        <v>7948605.4879999999</v>
      </c>
      <c r="K342" s="428">
        <v>8182270.7680000002</v>
      </c>
      <c r="L342" s="428">
        <v>8492629.159</v>
      </c>
    </row>
    <row r="343" spans="1:12">
      <c r="A343" s="429" t="str">
        <f t="shared" si="10"/>
        <v>11</v>
      </c>
      <c r="B343" s="429" t="str">
        <f>T("1101004")</f>
        <v>1101004</v>
      </c>
      <c r="C343" s="637" t="str">
        <f>T("Äldreförsörjningsstöd")</f>
        <v>Äldreförsörjningsstöd</v>
      </c>
      <c r="D343" s="428">
        <v>419196.06300000002</v>
      </c>
      <c r="E343" s="428">
        <v>402373.77899999998</v>
      </c>
      <c r="F343" s="428">
        <v>437051.06599999999</v>
      </c>
      <c r="G343" s="428">
        <v>496998.69300000003</v>
      </c>
      <c r="H343" s="428">
        <v>511445.55699999997</v>
      </c>
      <c r="I343" s="428">
        <v>534845.89899999998</v>
      </c>
      <c r="J343" s="428">
        <v>587865.81252000004</v>
      </c>
      <c r="K343" s="428">
        <v>658346.16248000006</v>
      </c>
      <c r="L343" s="428">
        <v>723767.03399999999</v>
      </c>
    </row>
    <row r="344" spans="1:12">
      <c r="A344" s="429" t="str">
        <f t="shared" si="10"/>
        <v>11</v>
      </c>
      <c r="B344" s="429" t="str">
        <f>T("1102001")</f>
        <v>1102001</v>
      </c>
      <c r="C344" s="637" t="str">
        <f>T("Pensionsmyndigheten")</f>
        <v>Pensionsmyndigheten</v>
      </c>
      <c r="H344" s="428">
        <v>545426.48132999998</v>
      </c>
      <c r="I344" s="428">
        <v>537729.03145999997</v>
      </c>
      <c r="J344" s="428">
        <v>544655.53290999995</v>
      </c>
      <c r="K344" s="428">
        <v>510757.56419</v>
      </c>
      <c r="L344" s="428">
        <v>521983.04203999997</v>
      </c>
    </row>
    <row r="345" spans="1:12">
      <c r="A345" s="429" t="str">
        <f t="shared" si="10"/>
        <v>11</v>
      </c>
      <c r="B345" s="429" t="str">
        <f>T("112004 2003")</f>
        <v>112004 2003</v>
      </c>
      <c r="C345" s="637" t="str">
        <f>T("Delpension")</f>
        <v>Delpension</v>
      </c>
    </row>
    <row r="346" spans="1:12">
      <c r="A346" s="429" t="str">
        <f t="shared" si="10"/>
        <v>11</v>
      </c>
      <c r="B346" s="429" t="str">
        <f>T("11C027 9596")</f>
        <v>11C027 9596</v>
      </c>
      <c r="C346" s="637" t="str">
        <f>T("")</f>
        <v/>
      </c>
    </row>
    <row r="347" spans="1:12">
      <c r="A347" s="430" t="s">
        <v>1645</v>
      </c>
      <c r="B347" s="430"/>
      <c r="C347" s="430" t="str">
        <f>T("Ekonomisk trygghet vid ålderdom")</f>
        <v>Ekonomisk trygghet vid ålderdom</v>
      </c>
      <c r="D347" s="431">
        <v>45018678.170319997</v>
      </c>
      <c r="E347" s="431">
        <v>43738051.939999998</v>
      </c>
      <c r="F347" s="431">
        <v>42591288.23528</v>
      </c>
      <c r="G347" s="431">
        <v>42304425.75863</v>
      </c>
      <c r="H347" s="431">
        <v>41473183.482280001</v>
      </c>
      <c r="I347" s="431">
        <v>41590095.474150002</v>
      </c>
      <c r="J347" s="431">
        <v>41341742.95792</v>
      </c>
      <c r="K347" s="431">
        <v>39985421.946460001</v>
      </c>
      <c r="L347" s="431">
        <v>39312891.57384</v>
      </c>
    </row>
    <row r="348" spans="1:12">
      <c r="A348" s="429" t="str">
        <f t="shared" ref="A348:A355" si="11">T("12")</f>
        <v>12</v>
      </c>
      <c r="B348" s="429" t="str">
        <f>T("1201001")</f>
        <v>1201001</v>
      </c>
      <c r="C348" s="637" t="str">
        <f>T("Allmänna barnbidrag")</f>
        <v>Allmänna barnbidrag</v>
      </c>
      <c r="D348" s="428">
        <v>23611072.641339999</v>
      </c>
      <c r="E348" s="428">
        <v>23515635.86107</v>
      </c>
      <c r="F348" s="428">
        <v>23388766.922049999</v>
      </c>
      <c r="G348" s="428">
        <v>23363598.773650002</v>
      </c>
      <c r="H348" s="428">
        <v>23731374.822439998</v>
      </c>
      <c r="I348" s="428">
        <v>24140055.697420001</v>
      </c>
      <c r="J348" s="428">
        <v>24281393.991289999</v>
      </c>
      <c r="K348" s="428">
        <v>24722709.572480001</v>
      </c>
      <c r="L348" s="428">
        <v>25220156.35825</v>
      </c>
    </row>
    <row r="349" spans="1:12">
      <c r="A349" s="429" t="str">
        <f t="shared" si="11"/>
        <v>12</v>
      </c>
      <c r="B349" s="429" t="str">
        <f>T("1201002")</f>
        <v>1201002</v>
      </c>
      <c r="C349" s="637" t="str">
        <f>T("Föräldraförsäkring")</f>
        <v>Föräldraförsäkring</v>
      </c>
      <c r="D349" s="428">
        <v>26094126.94444</v>
      </c>
      <c r="E349" s="428">
        <v>27662181.844999999</v>
      </c>
      <c r="F349" s="428">
        <v>29212451.822999999</v>
      </c>
      <c r="G349" s="428">
        <v>30387384.090999998</v>
      </c>
      <c r="H349" s="428">
        <v>31864970.594969999</v>
      </c>
      <c r="I349" s="428">
        <v>33343117.883019999</v>
      </c>
      <c r="J349" s="428">
        <v>34556173.917000003</v>
      </c>
      <c r="K349" s="428">
        <v>36720185.116999999</v>
      </c>
      <c r="L349" s="428">
        <v>37653832.611780003</v>
      </c>
    </row>
    <row r="350" spans="1:12">
      <c r="A350" s="429" t="str">
        <f t="shared" si="11"/>
        <v>12</v>
      </c>
      <c r="B350" s="429" t="str">
        <f>T("1201003")</f>
        <v>1201003</v>
      </c>
      <c r="C350" s="637" t="str">
        <f>T("Underhållsstöd")</f>
        <v>Underhållsstöd</v>
      </c>
      <c r="D350" s="428">
        <v>2222119.4627399999</v>
      </c>
      <c r="E350" s="428">
        <v>2123192.4358000001</v>
      </c>
      <c r="F350" s="428">
        <v>2025493.55899</v>
      </c>
      <c r="G350" s="428">
        <v>2045917.80666</v>
      </c>
      <c r="H350" s="428">
        <v>2051252.9271499999</v>
      </c>
      <c r="I350" s="428">
        <v>2031221.7662599999</v>
      </c>
      <c r="J350" s="428">
        <v>2063664.9302699999</v>
      </c>
      <c r="K350" s="428">
        <v>2051572.67</v>
      </c>
      <c r="L350" s="428">
        <v>2059741.59189</v>
      </c>
    </row>
    <row r="351" spans="1:12">
      <c r="A351" s="429" t="str">
        <f t="shared" si="11"/>
        <v>12</v>
      </c>
      <c r="B351" s="429" t="str">
        <f>T("1201004")</f>
        <v>1201004</v>
      </c>
      <c r="C351" s="637" t="str">
        <f>T("Bidrag till kostnader för internationella adoptioner")</f>
        <v>Bidrag till kostnader för internationella adoptioner</v>
      </c>
      <c r="D351" s="428">
        <v>34964.01</v>
      </c>
      <c r="E351" s="428">
        <v>28260</v>
      </c>
      <c r="F351" s="428">
        <v>27761.05</v>
      </c>
      <c r="G351" s="428">
        <v>28773.58</v>
      </c>
      <c r="H351" s="428">
        <v>27680</v>
      </c>
      <c r="I351" s="428">
        <v>21720</v>
      </c>
      <c r="J351" s="428">
        <v>19340</v>
      </c>
      <c r="K351" s="428">
        <v>15120</v>
      </c>
      <c r="L351" s="428">
        <v>13920</v>
      </c>
    </row>
    <row r="352" spans="1:12">
      <c r="A352" s="429" t="str">
        <f t="shared" si="11"/>
        <v>12</v>
      </c>
      <c r="B352" s="429" t="str">
        <f>T("1201005")</f>
        <v>1201005</v>
      </c>
      <c r="C352" s="637" t="str">
        <f>T("Barnpension och efterlevandestöd")</f>
        <v>Barnpension och efterlevandestöd</v>
      </c>
      <c r="D352" s="428">
        <v>1027094.78265</v>
      </c>
      <c r="E352" s="428">
        <v>1009277.303</v>
      </c>
      <c r="F352" s="428">
        <v>1003272.795</v>
      </c>
      <c r="G352" s="428">
        <v>1016303.5591900001</v>
      </c>
      <c r="H352" s="428">
        <v>964176.86899999995</v>
      </c>
      <c r="I352" s="428">
        <v>921236.53899999999</v>
      </c>
      <c r="J352" s="428">
        <v>899573.92</v>
      </c>
      <c r="K352" s="428">
        <v>876022.75699999998</v>
      </c>
      <c r="L352" s="428">
        <v>876454.03</v>
      </c>
    </row>
    <row r="353" spans="1:12">
      <c r="A353" s="429" t="str">
        <f t="shared" si="11"/>
        <v>12</v>
      </c>
      <c r="B353" s="429" t="str">
        <f>T("1201006")</f>
        <v>1201006</v>
      </c>
      <c r="C353" s="637" t="str">
        <f>T("Vårdbidrag för funktionshindrade barn")</f>
        <v>Vårdbidrag för funktionshindrade barn</v>
      </c>
      <c r="D353" s="428">
        <v>2624535.0040000002</v>
      </c>
      <c r="E353" s="428">
        <v>2637283.9350000001</v>
      </c>
      <c r="F353" s="428">
        <v>2679096.622</v>
      </c>
      <c r="G353" s="428">
        <v>2789248.233</v>
      </c>
      <c r="H353" s="428">
        <v>2765563.5469999998</v>
      </c>
      <c r="I353" s="428">
        <v>2849422.3480000002</v>
      </c>
      <c r="J353" s="428">
        <v>3000012.5060000001</v>
      </c>
      <c r="K353" s="428">
        <v>3146866.861</v>
      </c>
      <c r="L353" s="428">
        <v>3294710.1529999999</v>
      </c>
    </row>
    <row r="354" spans="1:12">
      <c r="A354" s="429" t="str">
        <f t="shared" si="11"/>
        <v>12</v>
      </c>
      <c r="B354" s="429" t="str">
        <f>T("1201007")</f>
        <v>1201007</v>
      </c>
      <c r="C354" s="637" t="str">
        <f>T("Pensionsrätt för barnår")</f>
        <v>Pensionsrätt för barnår</v>
      </c>
      <c r="D354" s="428">
        <v>4452000</v>
      </c>
      <c r="E354" s="428">
        <v>4592000</v>
      </c>
      <c r="F354" s="428">
        <v>4833000</v>
      </c>
      <c r="G354" s="428">
        <v>5077000</v>
      </c>
      <c r="H354" s="428">
        <v>5279000</v>
      </c>
      <c r="I354" s="428">
        <v>5345000</v>
      </c>
      <c r="J354" s="428">
        <v>6327000</v>
      </c>
      <c r="K354" s="428">
        <v>6467652</v>
      </c>
      <c r="L354" s="428">
        <v>6732310</v>
      </c>
    </row>
    <row r="355" spans="1:12">
      <c r="A355" s="429" t="str">
        <f t="shared" si="11"/>
        <v>12</v>
      </c>
      <c r="B355" s="429" t="str">
        <f>T("1201008")</f>
        <v>1201008</v>
      </c>
      <c r="C355" s="637" t="str">
        <f>T("Bostadsbidrag")</f>
        <v>Bostadsbidrag</v>
      </c>
      <c r="D355" s="428">
        <v>3597621.6353600002</v>
      </c>
      <c r="E355" s="428">
        <v>3376979.1699600001</v>
      </c>
      <c r="F355" s="428">
        <v>3223019.5630600001</v>
      </c>
      <c r="G355" s="428">
        <v>3372005.7742300001</v>
      </c>
      <c r="H355" s="428">
        <v>3493403.1069999998</v>
      </c>
      <c r="I355" s="428">
        <v>3342428.3130000001</v>
      </c>
      <c r="J355" s="428">
        <v>4432279.9819999998</v>
      </c>
      <c r="K355" s="428">
        <v>4532841.1500000004</v>
      </c>
      <c r="L355" s="428">
        <v>4958174.0920000002</v>
      </c>
    </row>
    <row r="356" spans="1:12">
      <c r="A356" s="430" t="s">
        <v>1646</v>
      </c>
      <c r="B356" s="430"/>
      <c r="C356" s="430" t="str">
        <f>T("Ekonomisk trygghet för familjer och barn")</f>
        <v>Ekonomisk trygghet för familjer och barn</v>
      </c>
      <c r="D356" s="431">
        <v>63663534.480530001</v>
      </c>
      <c r="E356" s="431">
        <v>64944810.549829997</v>
      </c>
      <c r="F356" s="431">
        <v>66392862.334100001</v>
      </c>
      <c r="G356" s="431">
        <v>68080231.817729995</v>
      </c>
      <c r="H356" s="431">
        <v>70177421.867559999</v>
      </c>
      <c r="I356" s="431">
        <v>71994202.546700001</v>
      </c>
      <c r="J356" s="431">
        <v>75579439.246560007</v>
      </c>
      <c r="K356" s="431">
        <v>78532970.12748</v>
      </c>
      <c r="L356" s="431">
        <v>80809298.836919993</v>
      </c>
    </row>
    <row r="357" spans="1:12">
      <c r="A357" s="429" t="str">
        <f t="shared" ref="A357:A375" si="12">T("13")</f>
        <v>13</v>
      </c>
      <c r="B357" s="429" t="str">
        <f>T("1301001")</f>
        <v>1301001</v>
      </c>
      <c r="C357" s="637" t="str">
        <f>T("Integrationsåtgärder")</f>
        <v>Integrationsåtgärder</v>
      </c>
      <c r="D357" s="428">
        <v>105882.52787000001</v>
      </c>
      <c r="E357" s="428">
        <v>70406.125639999998</v>
      </c>
      <c r="F357" s="428">
        <v>51293.711000000003</v>
      </c>
      <c r="G357" s="428">
        <v>26062.667030000001</v>
      </c>
      <c r="H357" s="428">
        <v>31895.455320000001</v>
      </c>
      <c r="I357" s="428">
        <v>51532.308980000002</v>
      </c>
      <c r="J357" s="428">
        <v>91850.532789999997</v>
      </c>
      <c r="K357" s="428">
        <v>204985.87385</v>
      </c>
      <c r="L357" s="428">
        <v>244979.04769000001</v>
      </c>
    </row>
    <row r="358" spans="1:12">
      <c r="A358" s="429" t="str">
        <f t="shared" si="12"/>
        <v>13</v>
      </c>
      <c r="B358" s="429" t="str">
        <f>T("1301002")</f>
        <v>1301002</v>
      </c>
      <c r="C358" s="637" t="str">
        <f>T("Kommunersättningar vid flyktingmottagande")</f>
        <v>Kommunersättningar vid flyktingmottagande</v>
      </c>
      <c r="D358" s="428">
        <v>3045107.20634</v>
      </c>
      <c r="E358" s="428">
        <v>3916677.5081699998</v>
      </c>
      <c r="F358" s="428">
        <v>4651430.3924900005</v>
      </c>
      <c r="G358" s="428">
        <v>4662358.8989500003</v>
      </c>
      <c r="H358" s="428">
        <v>4515543.1836299999</v>
      </c>
      <c r="I358" s="428">
        <v>4199497.8083100002</v>
      </c>
      <c r="J358" s="428">
        <v>3888097.2438300001</v>
      </c>
      <c r="K358" s="428">
        <v>5542275.0320100002</v>
      </c>
      <c r="L358" s="428">
        <v>6968085.2718599997</v>
      </c>
    </row>
    <row r="359" spans="1:12">
      <c r="A359" s="429" t="str">
        <f t="shared" si="12"/>
        <v>13</v>
      </c>
      <c r="B359" s="429" t="str">
        <f>T("1301003")</f>
        <v>1301003</v>
      </c>
      <c r="C359" s="637" t="str">
        <f>T("Etableringsersättning till vissa nyanlända invandrare")</f>
        <v>Etableringsersättning till vissa nyanlända invandrare</v>
      </c>
      <c r="H359" s="428">
        <v>101.60599999999999</v>
      </c>
      <c r="I359" s="428">
        <v>262804.26400000002</v>
      </c>
      <c r="J359" s="428">
        <v>855013.18085</v>
      </c>
      <c r="K359" s="428">
        <v>1668066.7949999999</v>
      </c>
      <c r="L359" s="428">
        <v>2684916.9589999998</v>
      </c>
    </row>
    <row r="360" spans="1:12">
      <c r="A360" s="429" t="str">
        <f t="shared" si="12"/>
        <v>13</v>
      </c>
      <c r="B360" s="429" t="str">
        <f>T("1301004")</f>
        <v>1301004</v>
      </c>
      <c r="C360" s="637" t="str">
        <f>T("Ersättning till etableringslotsar och insatser för vissa nyanlända invandrare")</f>
        <v>Ersättning till etableringslotsar och insatser för vissa nyanlända invandrare</v>
      </c>
      <c r="I360" s="428">
        <v>120544.24466</v>
      </c>
      <c r="J360" s="428">
        <v>444253.67872000003</v>
      </c>
      <c r="K360" s="428">
        <v>929953.01133999997</v>
      </c>
      <c r="L360" s="428">
        <v>1743441.99046</v>
      </c>
    </row>
    <row r="361" spans="1:12">
      <c r="A361" s="429" t="str">
        <f t="shared" si="12"/>
        <v>13</v>
      </c>
      <c r="B361" s="429" t="str">
        <f>T("1301005")</f>
        <v>1301005</v>
      </c>
      <c r="C361" s="637" t="str">
        <f>T("Hemutrustningslån")</f>
        <v>Hemutrustningslån</v>
      </c>
      <c r="D361" s="428">
        <v>7678.3233899999996</v>
      </c>
      <c r="E361" s="428">
        <v>9664.6626500000002</v>
      </c>
      <c r="F361" s="428">
        <v>9863.1499899999999</v>
      </c>
      <c r="G361" s="428">
        <v>18902.474490000001</v>
      </c>
      <c r="H361" s="428">
        <v>3096.7891599999998</v>
      </c>
      <c r="I361" s="428">
        <v>-9132.01044</v>
      </c>
      <c r="J361" s="428">
        <v>1105686.459</v>
      </c>
      <c r="K361" s="428">
        <v>106207.3</v>
      </c>
      <c r="L361" s="428">
        <v>170560.2</v>
      </c>
    </row>
    <row r="362" spans="1:12">
      <c r="A362" s="429" t="str">
        <f t="shared" si="12"/>
        <v>13</v>
      </c>
      <c r="B362" s="429" t="str">
        <f>T("1301006")</f>
        <v>1301006</v>
      </c>
      <c r="C362" s="637" t="str">
        <f>T("Från EU-budgeten finansierade insatser för integration av tredjelandsmedborgare")</f>
        <v>Från EU-budgeten finansierade insatser för integration av tredjelandsmedborgare</v>
      </c>
      <c r="F362" s="428">
        <v>0</v>
      </c>
      <c r="G362" s="428">
        <v>10163.096670000001</v>
      </c>
      <c r="H362" s="428">
        <v>8447.9135100000003</v>
      </c>
      <c r="I362" s="428">
        <v>16365.316269999999</v>
      </c>
      <c r="J362" s="428">
        <v>22529.933140000001</v>
      </c>
      <c r="K362" s="428">
        <v>27224.456480000001</v>
      </c>
      <c r="L362" s="428">
        <v>31021.703809999999</v>
      </c>
    </row>
    <row r="363" spans="1:12">
      <c r="A363" s="429" t="str">
        <f t="shared" si="12"/>
        <v>13</v>
      </c>
      <c r="B363" s="429" t="str">
        <f>T("1302001")</f>
        <v>1302001</v>
      </c>
      <c r="C363" s="637" t="str">
        <f>T("Diskrimineringsombudsmannen")</f>
        <v>Diskrimineringsombudsmannen</v>
      </c>
      <c r="G363" s="428">
        <v>92948.182400000005</v>
      </c>
      <c r="H363" s="428">
        <v>90659.65509</v>
      </c>
      <c r="I363" s="428">
        <v>90821.400630000004</v>
      </c>
      <c r="J363" s="428">
        <v>94291.785870000007</v>
      </c>
      <c r="K363" s="428">
        <v>97941.859330000007</v>
      </c>
      <c r="L363" s="428">
        <v>96353.915919999999</v>
      </c>
    </row>
    <row r="364" spans="1:12">
      <c r="A364" s="429" t="str">
        <f t="shared" si="12"/>
        <v>13</v>
      </c>
      <c r="B364" s="429" t="str">
        <f>T("1302002")</f>
        <v>1302002</v>
      </c>
      <c r="C364" s="637" t="str">
        <f>T("Åtgärder mot diskriminering och rasism m.m.")</f>
        <v>Åtgärder mot diskriminering och rasism m.m.</v>
      </c>
      <c r="G364" s="428">
        <v>36663.449509999999</v>
      </c>
      <c r="H364" s="428">
        <v>27325.670890000001</v>
      </c>
      <c r="I364" s="428">
        <v>26867.53</v>
      </c>
      <c r="J364" s="428">
        <v>28207.361000000001</v>
      </c>
      <c r="K364" s="428">
        <v>29702.089370000002</v>
      </c>
      <c r="L364" s="428">
        <v>40735.266759999999</v>
      </c>
    </row>
    <row r="365" spans="1:12">
      <c r="A365" s="429" t="str">
        <f t="shared" si="12"/>
        <v>13</v>
      </c>
      <c r="B365" s="429" t="str">
        <f>T("1303001")</f>
        <v>1303001</v>
      </c>
      <c r="C365" s="637" t="str">
        <f>T("Särskilda jämställdhetsåtgärder")</f>
        <v>Särskilda jämställdhetsåtgärder</v>
      </c>
      <c r="D365" s="428">
        <v>1981.60978</v>
      </c>
      <c r="E365" s="428">
        <v>46609.159520000001</v>
      </c>
      <c r="F365" s="428">
        <v>207038.98778</v>
      </c>
      <c r="G365" s="428">
        <v>476571.97865</v>
      </c>
      <c r="H365" s="428">
        <v>513094.92158999998</v>
      </c>
      <c r="I365" s="428">
        <v>208397.03651000001</v>
      </c>
      <c r="J365" s="428">
        <v>223089.07444</v>
      </c>
      <c r="K365" s="428">
        <v>229779.76920000001</v>
      </c>
      <c r="L365" s="428">
        <v>244413.66725</v>
      </c>
    </row>
    <row r="366" spans="1:12">
      <c r="A366" s="429" t="str">
        <f t="shared" si="12"/>
        <v>13</v>
      </c>
      <c r="B366" s="429" t="str">
        <f>T("131001 2007")</f>
        <v>131001 2007</v>
      </c>
      <c r="C366" s="637" t="str">
        <f>T("Integrationsverket")</f>
        <v>Integrationsverket</v>
      </c>
      <c r="D366" s="428">
        <v>94464.155480000001</v>
      </c>
      <c r="E366" s="428">
        <v>62804.100740000002</v>
      </c>
      <c r="F366" s="428">
        <v>6521.1276600000001</v>
      </c>
    </row>
    <row r="367" spans="1:12">
      <c r="A367" s="429" t="str">
        <f t="shared" si="12"/>
        <v>13</v>
      </c>
      <c r="B367" s="429" t="str">
        <f>T("131001 2008")</f>
        <v>131001 2008</v>
      </c>
      <c r="C367" s="637" t="str">
        <f>T("Avvecklingsmyndigheten för Integrationsverket")</f>
        <v>Avvecklingsmyndigheten för Integrationsverket</v>
      </c>
      <c r="E367" s="428">
        <v>21752.706030000001</v>
      </c>
      <c r="F367" s="428">
        <v>24832.38524</v>
      </c>
      <c r="G367" s="428">
        <v>5842.1308200000003</v>
      </c>
      <c r="H367" s="428">
        <v>-327.78958999999998</v>
      </c>
    </row>
    <row r="368" spans="1:12">
      <c r="A368" s="429" t="str">
        <f t="shared" si="12"/>
        <v>13</v>
      </c>
      <c r="B368" s="429" t="str">
        <f>T("131005 2008")</f>
        <v>131005 2008</v>
      </c>
      <c r="C368" s="637" t="str">
        <f>T("Ombudsmannen mot etnisk diskriminering")</f>
        <v>Ombudsmannen mot etnisk diskriminering</v>
      </c>
      <c r="D368" s="428">
        <v>31123.828450000001</v>
      </c>
      <c r="E368" s="428">
        <v>41087.522089999999</v>
      </c>
      <c r="F368" s="428">
        <v>41336.1158</v>
      </c>
      <c r="H368" s="428">
        <v>1160.4588200000001</v>
      </c>
    </row>
    <row r="369" spans="1:12">
      <c r="A369" s="429" t="str">
        <f t="shared" si="12"/>
        <v>13</v>
      </c>
      <c r="B369" s="429" t="str">
        <f>T("131006 2008")</f>
        <v>131006 2008</v>
      </c>
      <c r="C369" s="637" t="str">
        <f>T("Jämställdhetsombudsmannen")</f>
        <v>Jämställdhetsombudsmannen</v>
      </c>
      <c r="D369" s="428">
        <v>28388.2441</v>
      </c>
      <c r="E369" s="428">
        <v>28284.23501</v>
      </c>
      <c r="F369" s="428">
        <v>30389.150320000001</v>
      </c>
      <c r="H369" s="428">
        <v>-1394.3690099999999</v>
      </c>
    </row>
    <row r="370" spans="1:12">
      <c r="A370" s="429" t="str">
        <f t="shared" si="12"/>
        <v>13</v>
      </c>
      <c r="B370" s="429" t="str">
        <f>T("131007 2008")</f>
        <v>131007 2008</v>
      </c>
      <c r="C370" s="637" t="str">
        <f>T("Ombudsmannen mot diskriminering på grund av sexuell läggning (HomO)")</f>
        <v>Ombudsmannen mot diskriminering på grund av sexuell läggning (HomO)</v>
      </c>
      <c r="D370" s="428">
        <v>9324.3919100000003</v>
      </c>
      <c r="E370" s="428">
        <v>8543.8526500000007</v>
      </c>
      <c r="F370" s="428">
        <v>8252.1477599999998</v>
      </c>
      <c r="H370" s="428">
        <v>68.317679999999996</v>
      </c>
    </row>
    <row r="371" spans="1:12">
      <c r="A371" s="429" t="str">
        <f t="shared" si="12"/>
        <v>13</v>
      </c>
      <c r="B371" s="429" t="str">
        <f>T("131008 2008")</f>
        <v>131008 2008</v>
      </c>
      <c r="C371" s="637" t="str">
        <f>T("Handikappombudsmannen")</f>
        <v>Handikappombudsmannen</v>
      </c>
      <c r="D371" s="428">
        <v>14190.936379999999</v>
      </c>
      <c r="E371" s="428">
        <v>12068.190409999999</v>
      </c>
      <c r="F371" s="428">
        <v>11838.02864</v>
      </c>
      <c r="H371" s="428">
        <v>609.76135999999997</v>
      </c>
    </row>
    <row r="372" spans="1:12">
      <c r="A372" s="429" t="str">
        <f t="shared" si="12"/>
        <v>13</v>
      </c>
      <c r="B372" s="429" t="str">
        <f>T("131101 2004")</f>
        <v>131101 2004</v>
      </c>
      <c r="C372" s="637" t="str">
        <f>T("Utvecklingsinsatser i storstadsregionerna")</f>
        <v>Utvecklingsinsatser i storstadsregionerna</v>
      </c>
      <c r="D372" s="428">
        <v>35460.601009999998</v>
      </c>
      <c r="E372" s="428">
        <v>35596.053679999997</v>
      </c>
      <c r="F372" s="428">
        <v>2146.5245</v>
      </c>
      <c r="G372" s="428">
        <v>2615.9245000000001</v>
      </c>
      <c r="H372" s="428">
        <v>1382.981</v>
      </c>
    </row>
    <row r="373" spans="1:12">
      <c r="A373" s="429" t="str">
        <f t="shared" si="12"/>
        <v>13</v>
      </c>
      <c r="B373" s="429" t="str">
        <f>T("132206 2001")</f>
        <v>132206 2001</v>
      </c>
      <c r="C373" s="637" t="str">
        <f>T("Europeiska socialfonden m.m. för perioden 1995-1999")</f>
        <v>Europeiska socialfonden m.m. för perioden 1995-1999</v>
      </c>
    </row>
    <row r="374" spans="1:12">
      <c r="A374" s="429" t="str">
        <f t="shared" si="12"/>
        <v>13</v>
      </c>
      <c r="B374" s="429" t="str">
        <f>T("132209 2005")</f>
        <v>132209 2005</v>
      </c>
      <c r="C374" s="637" t="str">
        <f>T("Bidrag till Samhall AB")</f>
        <v>Bidrag till Samhall AB</v>
      </c>
    </row>
    <row r="375" spans="1:12">
      <c r="A375" s="429" t="str">
        <f t="shared" si="12"/>
        <v>13</v>
      </c>
      <c r="B375" s="429" t="str">
        <f>T("132213 2001")</f>
        <v>132213 2001</v>
      </c>
      <c r="C375" s="637" t="str">
        <f>T("Lernia AB")</f>
        <v>Lernia AB</v>
      </c>
    </row>
    <row r="376" spans="1:12">
      <c r="A376" s="430" t="s">
        <v>1647</v>
      </c>
      <c r="B376" s="430"/>
      <c r="C376" s="430" t="str">
        <f>T("Integration och jämställdhet")</f>
        <v>Integration och jämställdhet</v>
      </c>
      <c r="D376" s="431">
        <v>3373601.8247099998</v>
      </c>
      <c r="E376" s="431">
        <v>4253494.1165899998</v>
      </c>
      <c r="F376" s="431">
        <v>5044941.7211800003</v>
      </c>
      <c r="G376" s="431">
        <v>5332128.8030200005</v>
      </c>
      <c r="H376" s="431">
        <v>5191664.5554499999</v>
      </c>
      <c r="I376" s="431">
        <v>4967697.8989199996</v>
      </c>
      <c r="J376" s="431">
        <v>6753019.2496400001</v>
      </c>
      <c r="K376" s="431">
        <v>8836136.1865800004</v>
      </c>
      <c r="L376" s="431">
        <v>12224508.02275</v>
      </c>
    </row>
    <row r="377" spans="1:12">
      <c r="A377" s="429" t="str">
        <f t="shared" ref="A377:A409" si="13">T("14")</f>
        <v>14</v>
      </c>
      <c r="B377" s="429" t="str">
        <f>T("05G002 9596")</f>
        <v>05G002 9596</v>
      </c>
      <c r="C377" s="637" t="str">
        <f>T("Särskilda jämställdhetsåtgärder")</f>
        <v>Särskilda jämställdhetsåtgärder</v>
      </c>
    </row>
    <row r="378" spans="1:12">
      <c r="A378" s="429" t="str">
        <f t="shared" si="13"/>
        <v>14</v>
      </c>
      <c r="B378" s="429" t="str">
        <f>T("07E008 9495")</f>
        <v>07E008 9495</v>
      </c>
      <c r="C378" s="637" t="str">
        <f>T("Bidrag till kompetensutveckling på det statligt reglerade området")</f>
        <v>Bidrag till kompetensutveckling på det statligt reglerade området</v>
      </c>
    </row>
    <row r="379" spans="1:12">
      <c r="A379" s="429" t="str">
        <f t="shared" si="13"/>
        <v>14</v>
      </c>
      <c r="B379" s="429" t="str">
        <f>T("10A002 9596")</f>
        <v>10A002 9596</v>
      </c>
      <c r="C379" s="637" t="str">
        <f>T("Arbetsmarknadspolitiska åtgärder")</f>
        <v>Arbetsmarknadspolitiska åtgärder</v>
      </c>
    </row>
    <row r="380" spans="1:12">
      <c r="A380" s="429" t="str">
        <f t="shared" si="13"/>
        <v>14</v>
      </c>
      <c r="B380" s="429" t="str">
        <f>T("10B002 9596")</f>
        <v>10B002 9596</v>
      </c>
      <c r="C380" s="637" t="str">
        <f>T("Myndigheter inom arbetslivsområdet")</f>
        <v>Myndigheter inom arbetslivsområdet</v>
      </c>
    </row>
    <row r="381" spans="1:12">
      <c r="A381" s="429" t="str">
        <f t="shared" si="13"/>
        <v>14</v>
      </c>
      <c r="B381" s="429" t="str">
        <f>T("10B011 9596")</f>
        <v>10B011 9596</v>
      </c>
      <c r="C381" s="637" t="str">
        <f>T("Kapitaltillskott till AMU-Gruppen AB")</f>
        <v>Kapitaltillskott till AMU-Gruppen AB</v>
      </c>
    </row>
    <row r="382" spans="1:12">
      <c r="A382" s="429" t="str">
        <f t="shared" si="13"/>
        <v>14</v>
      </c>
      <c r="B382" s="429" t="str">
        <f>T("13B001 9192")</f>
        <v>13B001 9192</v>
      </c>
      <c r="C382" s="637" t="str">
        <f>T("Vissa utvecklingsåtgärder")</f>
        <v>Vissa utvecklingsåtgärder</v>
      </c>
    </row>
    <row r="383" spans="1:12">
      <c r="A383" s="429" t="str">
        <f t="shared" si="13"/>
        <v>14</v>
      </c>
      <c r="B383" s="429" t="str">
        <f>T("13E005 9596")</f>
        <v>13E005 9596</v>
      </c>
      <c r="C383" s="637" t="str">
        <f>T("Bidrag till kvinnoorganisationernas centrala verksamhet")</f>
        <v>Bidrag till kvinnoorganisationernas centrala verksamhet</v>
      </c>
    </row>
    <row r="384" spans="1:12">
      <c r="A384" s="429" t="str">
        <f t="shared" si="13"/>
        <v>14</v>
      </c>
      <c r="B384" s="429" t="str">
        <f>T("1401001")</f>
        <v>1401001</v>
      </c>
      <c r="C384" s="637" t="str">
        <f>T("Arbetsförmedlingens förvaltningskostnader")</f>
        <v>Arbetsförmedlingens förvaltningskostnader</v>
      </c>
      <c r="D384" s="428">
        <v>5173519.7756700004</v>
      </c>
      <c r="E384" s="428">
        <v>5037323.4683800004</v>
      </c>
      <c r="F384" s="428">
        <v>4858402.9663800001</v>
      </c>
      <c r="G384" s="428">
        <v>4892538.3548800005</v>
      </c>
      <c r="H384" s="428">
        <v>5851895.8273400003</v>
      </c>
      <c r="I384" s="428">
        <v>5774939.3698000005</v>
      </c>
      <c r="J384" s="428">
        <v>7203069.4497699998</v>
      </c>
      <c r="K384" s="428">
        <v>7108010.4537399998</v>
      </c>
      <c r="L384" s="428">
        <v>6919369.5449299999</v>
      </c>
    </row>
    <row r="385" spans="1:12">
      <c r="A385" s="429" t="str">
        <f t="shared" si="13"/>
        <v>14</v>
      </c>
      <c r="B385" s="429" t="str">
        <f>T("1401002")</f>
        <v>1401002</v>
      </c>
      <c r="C385" s="637" t="str">
        <f>T("Bidrag till arbetslöshetsersättning och aktivitetsstöd")</f>
        <v>Bidrag till arbetslöshetsersättning och aktivitetsstöd</v>
      </c>
      <c r="D385" s="428">
        <v>43708390.859559998</v>
      </c>
      <c r="E385" s="428">
        <v>30442345.323029999</v>
      </c>
      <c r="F385" s="428">
        <v>22939933.624460001</v>
      </c>
      <c r="G385" s="428">
        <v>32939268.780820001</v>
      </c>
      <c r="H385" s="428">
        <v>37625709.891240001</v>
      </c>
      <c r="I385" s="428">
        <v>31002379.27722</v>
      </c>
      <c r="J385" s="428">
        <v>31004409.669220001</v>
      </c>
      <c r="K385" s="428">
        <v>31780244.706319999</v>
      </c>
      <c r="L385" s="428">
        <v>30067405.532310002</v>
      </c>
    </row>
    <row r="386" spans="1:12">
      <c r="A386" s="429" t="str">
        <f t="shared" si="13"/>
        <v>14</v>
      </c>
      <c r="B386" s="429" t="str">
        <f>T("1401003")</f>
        <v>1401003</v>
      </c>
      <c r="C386" s="637" t="str">
        <f>T("Kostnader för arbetsmarknadspolitiska program och insatser")</f>
        <v>Kostnader för arbetsmarknadspolitiska program och insatser</v>
      </c>
      <c r="D386" s="428">
        <v>4777314.8424500003</v>
      </c>
      <c r="E386" s="428">
        <v>2901420.3005599999</v>
      </c>
      <c r="F386" s="428">
        <v>3307136.8774100002</v>
      </c>
      <c r="G386" s="428">
        <v>4399121.8486799998</v>
      </c>
      <c r="H386" s="428">
        <v>7169676.4817700004</v>
      </c>
      <c r="I386" s="428">
        <v>6913657.4828899996</v>
      </c>
      <c r="J386" s="428">
        <v>7076171.1666999999</v>
      </c>
      <c r="K386" s="428">
        <v>8862158.8870199993</v>
      </c>
      <c r="L386" s="428">
        <v>8661519.9866199996</v>
      </c>
    </row>
    <row r="387" spans="1:12">
      <c r="A387" s="429" t="str">
        <f t="shared" si="13"/>
        <v>14</v>
      </c>
      <c r="B387" s="429" t="str">
        <f>T("1401004")</f>
        <v>1401004</v>
      </c>
      <c r="C387" s="637" t="str">
        <f>T("Lönebidrag och Samhall m.m.")</f>
        <v>Lönebidrag och Samhall m.m.</v>
      </c>
      <c r="D387" s="428">
        <v>11650604.848339999</v>
      </c>
      <c r="E387" s="428">
        <v>12467132.314069999</v>
      </c>
      <c r="F387" s="428">
        <v>13928255.84334</v>
      </c>
      <c r="G387" s="428">
        <v>13887251.362579999</v>
      </c>
      <c r="H387" s="428">
        <v>14499629.34203</v>
      </c>
      <c r="I387" s="428">
        <v>15537413.62033</v>
      </c>
      <c r="J387" s="428">
        <v>16177923.01396</v>
      </c>
      <c r="K387" s="428">
        <v>17040395.8541</v>
      </c>
      <c r="L387" s="428">
        <v>17549366.19816</v>
      </c>
    </row>
    <row r="388" spans="1:12">
      <c r="A388" s="429" t="str">
        <f t="shared" si="13"/>
        <v>14</v>
      </c>
      <c r="B388" s="429" t="str">
        <f>T("1401005")</f>
        <v>1401005</v>
      </c>
      <c r="C388" s="637" t="str">
        <f>T("Rådet för Europeiska socialfonden i Sverige")</f>
        <v>Rådet för Europeiska socialfonden i Sverige</v>
      </c>
      <c r="D388" s="428">
        <v>98509.424150000006</v>
      </c>
      <c r="E388" s="428">
        <v>129944.77185</v>
      </c>
      <c r="F388" s="428">
        <v>126149.94825</v>
      </c>
      <c r="G388" s="428">
        <v>98730.289510000002</v>
      </c>
      <c r="H388" s="428">
        <v>107337.97237</v>
      </c>
      <c r="I388" s="428">
        <v>105092.23576</v>
      </c>
      <c r="J388" s="428">
        <v>106474.06361</v>
      </c>
      <c r="K388" s="428">
        <v>113721.29247</v>
      </c>
      <c r="L388" s="428">
        <v>110619.93445</v>
      </c>
    </row>
    <row r="389" spans="1:12">
      <c r="A389" s="429" t="str">
        <f t="shared" si="13"/>
        <v>14</v>
      </c>
      <c r="B389" s="429" t="str">
        <f>T("1401006")</f>
        <v>1401006</v>
      </c>
      <c r="C389" s="637" t="str">
        <f>T("Europeiska socialfonden m.m. för perioden 2014-2020")</f>
        <v>Europeiska socialfonden m.m. för perioden 2014-2020</v>
      </c>
      <c r="L389" s="428">
        <v>9371.4453099999992</v>
      </c>
    </row>
    <row r="390" spans="1:12">
      <c r="A390" s="429" t="str">
        <f t="shared" si="13"/>
        <v>14</v>
      </c>
      <c r="B390" s="429" t="str">
        <f>T("1401007")</f>
        <v>1401007</v>
      </c>
      <c r="C390" s="637" t="str">
        <f>T("Institutet för arbetsmarknads- och utbildningspolitisk utvärdering")</f>
        <v>Institutet för arbetsmarknads- och utbildningspolitisk utvärdering</v>
      </c>
      <c r="D390" s="428">
        <v>20356.447990000001</v>
      </c>
      <c r="E390" s="428">
        <v>22495.633409999999</v>
      </c>
      <c r="F390" s="428">
        <v>25646.099890000001</v>
      </c>
      <c r="G390" s="428">
        <v>25520.586640000001</v>
      </c>
      <c r="H390" s="428">
        <v>27071.564060000001</v>
      </c>
      <c r="I390" s="428">
        <v>27665.659670000001</v>
      </c>
      <c r="J390" s="428">
        <v>31116.129420000001</v>
      </c>
      <c r="K390" s="428">
        <v>35084.315349999997</v>
      </c>
      <c r="L390" s="428">
        <v>37599.290690000002</v>
      </c>
    </row>
    <row r="391" spans="1:12">
      <c r="A391" s="429" t="str">
        <f t="shared" si="13"/>
        <v>14</v>
      </c>
      <c r="B391" s="429" t="str">
        <f>T("1401008")</f>
        <v>1401008</v>
      </c>
      <c r="C391" s="637" t="str">
        <f>T("Inspektionen för arbetslöshetsförsäkringen")</f>
        <v>Inspektionen för arbetslöshetsförsäkringen</v>
      </c>
      <c r="D391" s="428">
        <v>47276.830820000003</v>
      </c>
      <c r="E391" s="428">
        <v>47748.893409999997</v>
      </c>
      <c r="F391" s="428">
        <v>51656.062610000001</v>
      </c>
      <c r="G391" s="428">
        <v>53922.443299999999</v>
      </c>
      <c r="H391" s="428">
        <v>54137.767449999999</v>
      </c>
      <c r="I391" s="428">
        <v>52493.887949999997</v>
      </c>
      <c r="J391" s="428">
        <v>55780.519569999997</v>
      </c>
      <c r="K391" s="428">
        <v>55279.551670000001</v>
      </c>
      <c r="L391" s="428">
        <v>60373.645920000003</v>
      </c>
    </row>
    <row r="392" spans="1:12">
      <c r="A392" s="429" t="str">
        <f t="shared" si="13"/>
        <v>14</v>
      </c>
      <c r="B392" s="429" t="str">
        <f>T("1401009")</f>
        <v>1401009</v>
      </c>
      <c r="C392" s="637" t="str">
        <f>T("Bidrag till administration av grundbeloppet")</f>
        <v>Bidrag till administration av grundbeloppet</v>
      </c>
      <c r="D392" s="428">
        <v>48768</v>
      </c>
      <c r="E392" s="428">
        <v>49185.995999999999</v>
      </c>
      <c r="F392" s="428">
        <v>49540.991999999998</v>
      </c>
      <c r="G392" s="428">
        <v>50481.995999999999</v>
      </c>
      <c r="H392" s="428">
        <v>52008</v>
      </c>
      <c r="I392" s="428">
        <v>52443.995999999999</v>
      </c>
      <c r="J392" s="428">
        <v>53019</v>
      </c>
      <c r="K392" s="428">
        <v>53326</v>
      </c>
      <c r="L392" s="428">
        <v>54302</v>
      </c>
    </row>
    <row r="393" spans="1:12">
      <c r="A393" s="429" t="str">
        <f t="shared" si="13"/>
        <v>14</v>
      </c>
      <c r="B393" s="429" t="str">
        <f>T("1401010")</f>
        <v>1401010</v>
      </c>
      <c r="C393" s="637" t="str">
        <f>T("Bidrag till Stiftelsen Utbildning Nordkalotten")</f>
        <v>Bidrag till Stiftelsen Utbildning Nordkalotten</v>
      </c>
      <c r="D393" s="428">
        <v>7703</v>
      </c>
      <c r="E393" s="428">
        <v>7703</v>
      </c>
      <c r="F393" s="428">
        <v>7703</v>
      </c>
      <c r="G393" s="428">
        <v>7703</v>
      </c>
      <c r="H393" s="428">
        <v>8303</v>
      </c>
      <c r="I393" s="428">
        <v>8303</v>
      </c>
      <c r="J393" s="428">
        <v>8303</v>
      </c>
      <c r="K393" s="428">
        <v>8303</v>
      </c>
      <c r="L393" s="428">
        <v>8303</v>
      </c>
    </row>
    <row r="394" spans="1:12">
      <c r="A394" s="429" t="str">
        <f t="shared" si="13"/>
        <v>14</v>
      </c>
      <c r="B394" s="429" t="str">
        <f>T("1401011")</f>
        <v>1401011</v>
      </c>
      <c r="C394" s="637" t="str">
        <f>T("Bidrag till lönegarantiersättning")</f>
        <v>Bidrag till lönegarantiersättning</v>
      </c>
      <c r="D394" s="428">
        <v>690382.55021999998</v>
      </c>
      <c r="E394" s="428">
        <v>593420.04948000005</v>
      </c>
      <c r="F394" s="428">
        <v>832050.11366999999</v>
      </c>
      <c r="G394" s="428">
        <v>2963842.69521</v>
      </c>
      <c r="H394" s="428">
        <v>1338497.8309200001</v>
      </c>
      <c r="I394" s="428">
        <v>1830170.6970899999</v>
      </c>
      <c r="J394" s="428">
        <v>2733082.16145</v>
      </c>
      <c r="K394" s="428">
        <v>2447484.5338900001</v>
      </c>
      <c r="L394" s="428">
        <v>1587357.43279</v>
      </c>
    </row>
    <row r="395" spans="1:12">
      <c r="A395" s="429" t="str">
        <f t="shared" si="13"/>
        <v>14</v>
      </c>
      <c r="B395" s="429" t="str">
        <f>T("1401012")</f>
        <v>1401012</v>
      </c>
      <c r="C395" s="637" t="str">
        <f>T("Europeiska socialfonden m.m. för perioden 2007-2013")</f>
        <v>Europeiska socialfonden m.m. för perioden 2007-2013</v>
      </c>
      <c r="F395" s="428">
        <v>78295.465280000004</v>
      </c>
      <c r="G395" s="428">
        <v>631673.90567000001</v>
      </c>
      <c r="H395" s="428">
        <v>1140033.95386</v>
      </c>
      <c r="I395" s="428">
        <v>1290720.6105899999</v>
      </c>
      <c r="J395" s="428">
        <v>1469226.03076</v>
      </c>
      <c r="K395" s="428">
        <v>1507190.65129</v>
      </c>
      <c r="L395" s="428">
        <v>1131962.39463</v>
      </c>
    </row>
    <row r="396" spans="1:12">
      <c r="A396" s="429" t="str">
        <f t="shared" si="13"/>
        <v>14</v>
      </c>
      <c r="B396" s="429" t="str">
        <f>T("1402001")</f>
        <v>1402001</v>
      </c>
      <c r="C396" s="637" t="str">
        <f>T("Arbetsmiljöverket")</f>
        <v>Arbetsmiljöverket</v>
      </c>
      <c r="D396" s="428">
        <v>660330.65168999997</v>
      </c>
      <c r="E396" s="428">
        <v>618481.52162999997</v>
      </c>
      <c r="F396" s="428">
        <v>599117.20657000004</v>
      </c>
      <c r="G396" s="428">
        <v>559297.40826000005</v>
      </c>
      <c r="H396" s="428">
        <v>578823.77292000002</v>
      </c>
      <c r="I396" s="428">
        <v>591437.70955999999</v>
      </c>
      <c r="J396" s="428">
        <v>609405.52387999999</v>
      </c>
      <c r="K396" s="428">
        <v>601773.94259999995</v>
      </c>
      <c r="L396" s="428">
        <v>599983.1274</v>
      </c>
    </row>
    <row r="397" spans="1:12">
      <c r="A397" s="429" t="str">
        <f t="shared" si="13"/>
        <v>14</v>
      </c>
      <c r="B397" s="429" t="str">
        <f>T("1402002")</f>
        <v>1402002</v>
      </c>
      <c r="C397" s="637" t="str">
        <f>T("Arbetsdomstolen")</f>
        <v>Arbetsdomstolen</v>
      </c>
      <c r="D397" s="428">
        <v>25292.85209</v>
      </c>
      <c r="E397" s="428">
        <v>25053.62959</v>
      </c>
      <c r="F397" s="428">
        <v>27375.730309999999</v>
      </c>
      <c r="G397" s="428">
        <v>28056.309560000002</v>
      </c>
      <c r="H397" s="428">
        <v>28301.69613</v>
      </c>
      <c r="I397" s="428">
        <v>27464.105169999999</v>
      </c>
      <c r="J397" s="428">
        <v>25735.193579999999</v>
      </c>
      <c r="K397" s="428">
        <v>26488.71112</v>
      </c>
      <c r="L397" s="428">
        <v>28434.314839999999</v>
      </c>
    </row>
    <row r="398" spans="1:12">
      <c r="A398" s="429" t="str">
        <f t="shared" si="13"/>
        <v>14</v>
      </c>
      <c r="B398" s="429" t="str">
        <f>T("1402003")</f>
        <v>1402003</v>
      </c>
      <c r="C398" s="637" t="str">
        <f>T("Internationella arbetsorganisationen (ILO)")</f>
        <v>Internationella arbetsorganisationen (ILO)</v>
      </c>
      <c r="D398" s="428">
        <v>22752.361830000002</v>
      </c>
      <c r="E398" s="428">
        <v>22203.789379999998</v>
      </c>
      <c r="F398" s="428">
        <v>24052.77952</v>
      </c>
      <c r="G398" s="428">
        <v>31415.858609999999</v>
      </c>
      <c r="H398" s="428">
        <v>29039.437119999999</v>
      </c>
      <c r="I398" s="428">
        <v>27563.600310000002</v>
      </c>
      <c r="J398" s="428">
        <v>29319.90263</v>
      </c>
      <c r="K398" s="428">
        <v>26887.395909999999</v>
      </c>
      <c r="L398" s="428">
        <v>27236.765889999999</v>
      </c>
    </row>
    <row r="399" spans="1:12">
      <c r="A399" s="429" t="str">
        <f t="shared" si="13"/>
        <v>14</v>
      </c>
      <c r="B399" s="429" t="str">
        <f>T("1402003 2012")</f>
        <v>1402003 2012</v>
      </c>
      <c r="C399" s="637" t="str">
        <f>T("Statens nämnd för arbetstagares uppfinningar")</f>
        <v>Statens nämnd för arbetstagares uppfinningar</v>
      </c>
      <c r="D399" s="428">
        <v>55.414580000000001</v>
      </c>
      <c r="E399" s="428">
        <v>48.516640000000002</v>
      </c>
      <c r="F399" s="428">
        <v>73.960639999999998</v>
      </c>
      <c r="G399" s="428">
        <v>87.306560000000005</v>
      </c>
      <c r="H399" s="428">
        <v>72.95017</v>
      </c>
      <c r="I399" s="428">
        <v>82.252719999999997</v>
      </c>
      <c r="J399" s="428">
        <v>90.330719999999999</v>
      </c>
    </row>
    <row r="400" spans="1:12">
      <c r="A400" s="429" t="str">
        <f t="shared" si="13"/>
        <v>14</v>
      </c>
      <c r="B400" s="429" t="str">
        <f>T("1402004")</f>
        <v>1402004</v>
      </c>
      <c r="C400" s="637" t="str">
        <f>T("Medlingsinstitutet")</f>
        <v>Medlingsinstitutet</v>
      </c>
      <c r="D400" s="428">
        <v>45622.720549999998</v>
      </c>
      <c r="E400" s="428">
        <v>50679.397709999997</v>
      </c>
      <c r="F400" s="428">
        <v>52453.966379999998</v>
      </c>
      <c r="G400" s="428">
        <v>45748.413760000003</v>
      </c>
      <c r="H400" s="428">
        <v>46005.338069999998</v>
      </c>
      <c r="I400" s="428">
        <v>44039.273390000002</v>
      </c>
      <c r="J400" s="428">
        <v>49780.838530000001</v>
      </c>
      <c r="K400" s="428">
        <v>54790.527990000002</v>
      </c>
      <c r="L400" s="428">
        <v>47555.379800000002</v>
      </c>
    </row>
    <row r="401" spans="1:12">
      <c r="A401" s="429" t="str">
        <f t="shared" si="13"/>
        <v>14</v>
      </c>
      <c r="B401" s="429" t="str">
        <f>T("142201 2008")</f>
        <v>142201 2008</v>
      </c>
      <c r="C401" s="637" t="str">
        <f>T("Europeiska socialfonden m.m. för perioden 2000-2006")</f>
        <v>Europeiska socialfonden m.m. för perioden 2000-2006</v>
      </c>
      <c r="D401" s="428">
        <v>2057665.14072</v>
      </c>
      <c r="E401" s="428">
        <v>2126908.5013600001</v>
      </c>
      <c r="F401" s="428">
        <v>738420.95677000005</v>
      </c>
      <c r="G401" s="428">
        <v>3867.7176599999998</v>
      </c>
      <c r="H401" s="428">
        <v>-893.38771999999994</v>
      </c>
      <c r="I401" s="428">
        <v>-384.81400000000002</v>
      </c>
    </row>
    <row r="402" spans="1:12">
      <c r="A402" s="429" t="str">
        <f t="shared" si="13"/>
        <v>14</v>
      </c>
      <c r="B402" s="429" t="str">
        <f>T("142302 2007")</f>
        <v>142302 2007</v>
      </c>
      <c r="C402" s="637" t="str">
        <f>T("Arbetslivsinstitutet")</f>
        <v>Arbetslivsinstitutet</v>
      </c>
      <c r="D402" s="428">
        <v>372883.32454</v>
      </c>
      <c r="E402" s="428">
        <v>231567.90805999999</v>
      </c>
    </row>
    <row r="403" spans="1:12">
      <c r="A403" s="429" t="str">
        <f t="shared" si="13"/>
        <v>14</v>
      </c>
      <c r="B403" s="429" t="str">
        <f>T("142303 2006")</f>
        <v>142303 2006</v>
      </c>
      <c r="C403" s="637" t="str">
        <f>T("Särskilda utbildningsinsatser m.m.")</f>
        <v>Särskilda utbildningsinsatser m.m.</v>
      </c>
      <c r="D403" s="428">
        <v>44382</v>
      </c>
    </row>
    <row r="404" spans="1:12">
      <c r="A404" s="429" t="str">
        <f t="shared" si="13"/>
        <v>14</v>
      </c>
      <c r="B404" s="429" t="str">
        <f>T("142306 2008")</f>
        <v>142306 2008</v>
      </c>
      <c r="C404" s="637" t="str">
        <f>T("Avvecklingsmyndigheten för Arbetslivsinstitutet")</f>
        <v>Avvecklingsmyndigheten för Arbetslivsinstitutet</v>
      </c>
      <c r="E404" s="428">
        <v>104414.91901</v>
      </c>
      <c r="F404" s="428">
        <v>120709.42723</v>
      </c>
      <c r="G404" s="428">
        <v>1010.3861900000001</v>
      </c>
      <c r="H404" s="428">
        <v>35.162239999999997</v>
      </c>
    </row>
    <row r="405" spans="1:12">
      <c r="A405" s="429" t="str">
        <f t="shared" si="13"/>
        <v>14</v>
      </c>
      <c r="B405" s="429" t="str">
        <f>T("142403 2007")</f>
        <v>142403 2007</v>
      </c>
      <c r="C405" s="637" t="str">
        <f>T("Delegationen för stöd till jämställdhetsintegrering")</f>
        <v>Delegationen för stöd till jämställdhetsintegrering</v>
      </c>
      <c r="D405" s="428">
        <v>4660.5631400000002</v>
      </c>
      <c r="E405" s="428">
        <v>1443.4826499999999</v>
      </c>
    </row>
    <row r="406" spans="1:12">
      <c r="A406" s="429" t="str">
        <f t="shared" si="13"/>
        <v>14</v>
      </c>
      <c r="B406" s="429" t="str">
        <f>T("14B004 1997")</f>
        <v>14B004 1997</v>
      </c>
      <c r="C406" s="637" t="str">
        <f>T("Forskning och utveckling inom arbetslivsområdet")</f>
        <v>Forskning och utveckling inom arbetslivsområdet</v>
      </c>
    </row>
    <row r="407" spans="1:12">
      <c r="A407" s="429" t="str">
        <f t="shared" si="13"/>
        <v>14</v>
      </c>
      <c r="B407" s="429" t="str">
        <f>T("14B004 2000")</f>
        <v>14B004 2000</v>
      </c>
      <c r="C407" s="637" t="str">
        <f>T("Rådet för arbetslivsforskning")</f>
        <v>Rådet för arbetslivsforskning</v>
      </c>
    </row>
    <row r="408" spans="1:12">
      <c r="A408" s="429" t="str">
        <f t="shared" si="13"/>
        <v>14</v>
      </c>
      <c r="B408" s="429" t="str">
        <f>T("14B005 2000")</f>
        <v>14B005 2000</v>
      </c>
      <c r="C408" s="637" t="str">
        <f>T("Finansiering av forskning och utveckling inom arbetslivsområdet")</f>
        <v>Finansiering av forskning och utveckling inom arbetslivsområdet</v>
      </c>
    </row>
    <row r="409" spans="1:12">
      <c r="A409" s="429" t="str">
        <f t="shared" si="13"/>
        <v>14</v>
      </c>
      <c r="B409" s="429" t="str">
        <f>T("14B009 2000")</f>
        <v>14B009 2000</v>
      </c>
      <c r="C409" s="637" t="str">
        <f>T("Statens förlikningsmannaexpedition")</f>
        <v>Statens förlikningsmannaexpedition</v>
      </c>
    </row>
    <row r="410" spans="1:12">
      <c r="A410" s="430" t="s">
        <v>1648</v>
      </c>
      <c r="B410" s="430"/>
      <c r="C410" s="430" t="str">
        <f>T("Arbetsmarknad och arbetsliv")</f>
        <v>Arbetsmarknad och arbetsliv</v>
      </c>
      <c r="D410" s="431">
        <v>69456471.608339995</v>
      </c>
      <c r="E410" s="431">
        <v>54879521.416220002</v>
      </c>
      <c r="F410" s="431">
        <v>47766975.020709999</v>
      </c>
      <c r="G410" s="431">
        <v>60619538.663889997</v>
      </c>
      <c r="H410" s="431">
        <v>68555686.599969998</v>
      </c>
      <c r="I410" s="431">
        <v>63285481.964450002</v>
      </c>
      <c r="J410" s="431">
        <v>66632905.993799999</v>
      </c>
      <c r="K410" s="431">
        <v>69721139.823469996</v>
      </c>
      <c r="L410" s="431">
        <v>66900759.99374</v>
      </c>
    </row>
    <row r="411" spans="1:12">
      <c r="A411" s="429" t="str">
        <f t="shared" ref="A411:A426" si="14">T("15")</f>
        <v>15</v>
      </c>
      <c r="B411" s="429" t="str">
        <f>T("08E005 9596")</f>
        <v>08E005 9596</v>
      </c>
      <c r="C411" s="637" t="str">
        <f>T("Vuxenstudiestöd m.m")</f>
        <v>Vuxenstudiestöd m.m</v>
      </c>
    </row>
    <row r="412" spans="1:12">
      <c r="A412" s="429" t="str">
        <f t="shared" si="14"/>
        <v>15</v>
      </c>
      <c r="B412" s="429" t="str">
        <f>T("1501001")</f>
        <v>1501001</v>
      </c>
      <c r="C412" s="637" t="str">
        <f>T("Studiehjälp")</f>
        <v>Studiehjälp</v>
      </c>
      <c r="D412" s="428">
        <v>3663506.1660000002</v>
      </c>
      <c r="E412" s="428">
        <v>3912076.8021999998</v>
      </c>
      <c r="F412" s="428">
        <v>4014951.0410000002</v>
      </c>
      <c r="G412" s="428">
        <v>4053422.5380000002</v>
      </c>
      <c r="H412" s="428">
        <v>4003879.08</v>
      </c>
      <c r="I412" s="428">
        <v>3868392.571</v>
      </c>
      <c r="J412" s="428">
        <v>3666805.199</v>
      </c>
      <c r="K412" s="428">
        <v>3474223.1179999998</v>
      </c>
      <c r="L412" s="428">
        <v>3364660.9909999999</v>
      </c>
    </row>
    <row r="413" spans="1:12">
      <c r="A413" s="429" t="str">
        <f t="shared" si="14"/>
        <v>15</v>
      </c>
      <c r="B413" s="429" t="str">
        <f>T("1501002")</f>
        <v>1501002</v>
      </c>
      <c r="C413" s="637" t="str">
        <f>T("Studiemedel")</f>
        <v>Studiemedel</v>
      </c>
      <c r="D413" s="428">
        <v>9875988.7870000005</v>
      </c>
      <c r="E413" s="428">
        <v>10320488.423</v>
      </c>
      <c r="F413" s="428">
        <v>10139279.364</v>
      </c>
      <c r="G413" s="428">
        <v>11302449.972999999</v>
      </c>
      <c r="H413" s="428">
        <v>12346888.338</v>
      </c>
      <c r="I413" s="428">
        <v>12413964.103</v>
      </c>
      <c r="J413" s="428">
        <v>12697366.395</v>
      </c>
      <c r="K413" s="428">
        <v>12859081.957</v>
      </c>
      <c r="L413" s="428">
        <v>13036787.994999999</v>
      </c>
    </row>
    <row r="414" spans="1:12">
      <c r="A414" s="429" t="str">
        <f t="shared" si="14"/>
        <v>15</v>
      </c>
      <c r="B414" s="429" t="str">
        <f>T("1501003")</f>
        <v>1501003</v>
      </c>
      <c r="C414" s="637" t="str">
        <f>T("Avsättning för kreditförluster")</f>
        <v>Avsättning för kreditförluster</v>
      </c>
      <c r="L414" s="428">
        <v>1568556.9519400001</v>
      </c>
    </row>
    <row r="415" spans="1:12">
      <c r="A415" s="429" t="str">
        <f t="shared" si="14"/>
        <v>15</v>
      </c>
      <c r="B415" s="429" t="str">
        <f>T("1501003 2013")</f>
        <v>1501003 2013</v>
      </c>
      <c r="C415" s="637" t="str">
        <f>T("Studiemedelsräntor")</f>
        <v>Studiemedelsräntor</v>
      </c>
      <c r="D415" s="428">
        <v>5033845.0764800003</v>
      </c>
      <c r="E415" s="428">
        <v>4785051.9288499998</v>
      </c>
      <c r="F415" s="428">
        <v>4854616.8509099996</v>
      </c>
      <c r="G415" s="428">
        <v>5578078.04648</v>
      </c>
      <c r="H415" s="428">
        <v>5822210.8126400001</v>
      </c>
      <c r="I415" s="428">
        <v>5126474.82919</v>
      </c>
      <c r="J415" s="428">
        <v>4291734.9929999998</v>
      </c>
      <c r="K415" s="428">
        <v>3852554.4849999999</v>
      </c>
      <c r="L415" s="428">
        <v>-16209.401</v>
      </c>
    </row>
    <row r="416" spans="1:12">
      <c r="A416" s="429" t="str">
        <f t="shared" si="14"/>
        <v>15</v>
      </c>
      <c r="B416" s="429" t="str">
        <f>T("1501004")</f>
        <v>1501004</v>
      </c>
      <c r="C416" s="637" t="str">
        <f>T("Statens utgifter för studiemedelsräntor")</f>
        <v>Statens utgifter för studiemedelsräntor</v>
      </c>
      <c r="L416" s="428">
        <v>1619972.696</v>
      </c>
    </row>
    <row r="417" spans="1:12">
      <c r="A417" s="429" t="str">
        <f t="shared" si="14"/>
        <v>15</v>
      </c>
      <c r="B417" s="429" t="str">
        <f>T("1501005")</f>
        <v>1501005</v>
      </c>
      <c r="C417" s="637" t="str">
        <f>T("Bidrag till kostnader vid viss gymnasieutbildning och vid viss föräldrautbildning i teckenspråk")</f>
        <v>Bidrag till kostnader vid viss gymnasieutbildning och vid viss föräldrautbildning i teckenspråk</v>
      </c>
      <c r="D417" s="428">
        <v>46116.587039999999</v>
      </c>
      <c r="E417" s="428">
        <v>51601.470050000004</v>
      </c>
      <c r="F417" s="428">
        <v>56440.777000000002</v>
      </c>
      <c r="G417" s="428">
        <v>58012.79969</v>
      </c>
      <c r="H417" s="428">
        <v>57763.644999999997</v>
      </c>
      <c r="I417" s="428">
        <v>58826.344599999997</v>
      </c>
      <c r="J417" s="428">
        <v>57503.192000000003</v>
      </c>
      <c r="K417" s="428">
        <v>50972.119879999998</v>
      </c>
      <c r="L417" s="428">
        <v>52241.898999999998</v>
      </c>
    </row>
    <row r="418" spans="1:12">
      <c r="A418" s="429" t="str">
        <f t="shared" si="14"/>
        <v>15</v>
      </c>
      <c r="B418" s="429" t="str">
        <f>T("1501006")</f>
        <v>1501006</v>
      </c>
      <c r="C418" s="637" t="str">
        <f>T("Bidrag till vissa studiesociala ändamål")</f>
        <v>Bidrag till vissa studiesociala ändamål</v>
      </c>
      <c r="D418" s="428">
        <v>32346.933540000002</v>
      </c>
      <c r="E418" s="428">
        <v>29222.613300000001</v>
      </c>
      <c r="F418" s="428">
        <v>30242.216359999999</v>
      </c>
      <c r="G418" s="428">
        <v>30358.26698</v>
      </c>
      <c r="H418" s="428">
        <v>21708.250410000001</v>
      </c>
      <c r="I418" s="428">
        <v>19939.172190000001</v>
      </c>
      <c r="J418" s="428">
        <v>19629.37947</v>
      </c>
      <c r="K418" s="428">
        <v>23243.582149999998</v>
      </c>
      <c r="L418" s="428">
        <v>27000</v>
      </c>
    </row>
    <row r="419" spans="1:12">
      <c r="A419" s="429" t="str">
        <f t="shared" si="14"/>
        <v>15</v>
      </c>
      <c r="B419" s="429" t="str">
        <f>T("1501007")</f>
        <v>1501007</v>
      </c>
      <c r="C419" s="637" t="str">
        <f>T("Centrala studiestödsnämnden")</f>
        <v>Centrala studiestödsnämnden</v>
      </c>
      <c r="D419" s="428">
        <v>404943.41070000001</v>
      </c>
      <c r="E419" s="428">
        <v>396412.14464999997</v>
      </c>
      <c r="F419" s="428">
        <v>377156.84299999999</v>
      </c>
      <c r="G419" s="428">
        <v>398498.58938000002</v>
      </c>
      <c r="H419" s="428">
        <v>316066.75887000002</v>
      </c>
      <c r="I419" s="428">
        <v>314219.62966999999</v>
      </c>
      <c r="J419" s="428">
        <v>322426.50242999999</v>
      </c>
      <c r="K419" s="428">
        <v>294363.93654999998</v>
      </c>
      <c r="L419" s="428">
        <v>287667.45860000001</v>
      </c>
    </row>
    <row r="420" spans="1:12">
      <c r="A420" s="429" t="str">
        <f t="shared" si="14"/>
        <v>15</v>
      </c>
      <c r="B420" s="429" t="str">
        <f>T("1501008")</f>
        <v>1501008</v>
      </c>
      <c r="C420" s="637" t="str">
        <f>T("Överklagandenämnden för studiestöd")</f>
        <v>Överklagandenämnden för studiestöd</v>
      </c>
      <c r="D420" s="428">
        <v>9547.7783500000005</v>
      </c>
      <c r="E420" s="428">
        <v>9534.3367699999999</v>
      </c>
      <c r="F420" s="428">
        <v>9253.3915099999995</v>
      </c>
      <c r="G420" s="428">
        <v>9538.8859300000004</v>
      </c>
      <c r="H420" s="428">
        <v>11786.59237</v>
      </c>
      <c r="I420" s="428">
        <v>11494.723110000001</v>
      </c>
      <c r="J420" s="428">
        <v>12050.24415</v>
      </c>
      <c r="K420" s="428">
        <v>12493.824350000001</v>
      </c>
      <c r="L420" s="428">
        <v>12686.04523</v>
      </c>
    </row>
    <row r="421" spans="1:12">
      <c r="A421" s="429" t="str">
        <f t="shared" si="14"/>
        <v>15</v>
      </c>
      <c r="B421" s="429" t="str">
        <f>T("152504 2007")</f>
        <v>152504 2007</v>
      </c>
      <c r="C421" s="637" t="str">
        <f>T("Rekryteringsbidrag")</f>
        <v>Rekryteringsbidrag</v>
      </c>
      <c r="D421" s="428">
        <v>1421566.5349999999</v>
      </c>
      <c r="E421" s="428">
        <v>166652.04199999999</v>
      </c>
      <c r="F421" s="428">
        <v>36.308</v>
      </c>
    </row>
    <row r="422" spans="1:12">
      <c r="A422" s="429" t="str">
        <f t="shared" si="14"/>
        <v>15</v>
      </c>
      <c r="B422" s="429" t="str">
        <f>T("152505 2003")</f>
        <v>152505 2003</v>
      </c>
      <c r="C422" s="637" t="str">
        <f>T("Vuxenstudiestöd m.m.")</f>
        <v>Vuxenstudiestöd m.m.</v>
      </c>
      <c r="D422" s="428">
        <v>31.029</v>
      </c>
      <c r="E422" s="428">
        <v>16.8</v>
      </c>
    </row>
    <row r="423" spans="1:12">
      <c r="A423" s="429" t="str">
        <f t="shared" si="14"/>
        <v>15</v>
      </c>
      <c r="B423" s="429" t="str">
        <f>T("152506 2008")</f>
        <v>152506 2008</v>
      </c>
      <c r="C423" s="637" t="str">
        <f>T("Bidrag vid vissa kortare studier")</f>
        <v>Bidrag vid vissa kortare studier</v>
      </c>
      <c r="D423" s="428">
        <v>63349.610999999997</v>
      </c>
      <c r="E423" s="428">
        <v>63059.498</v>
      </c>
      <c r="F423" s="428">
        <v>14573.169</v>
      </c>
    </row>
    <row r="424" spans="1:12">
      <c r="A424" s="429" t="str">
        <f t="shared" si="14"/>
        <v>15</v>
      </c>
      <c r="B424" s="429" t="str">
        <f>T("15A003 2000")</f>
        <v>15A003 2000</v>
      </c>
      <c r="C424" s="637" t="str">
        <f>T("Vuxenstudiestöd m.m.")</f>
        <v>Vuxenstudiestöd m.m.</v>
      </c>
    </row>
    <row r="425" spans="1:12">
      <c r="A425" s="429" t="str">
        <f t="shared" si="14"/>
        <v>15</v>
      </c>
      <c r="B425" s="429" t="str">
        <f>T("15A006 2000")</f>
        <v>15A006 2000</v>
      </c>
      <c r="C425" s="637" t="str">
        <f>T("Särskilt vuxenstudiestöd till studerande vid vissa lärarutbildningar")</f>
        <v>Särskilt vuxenstudiestöd till studerande vid vissa lärarutbildningar</v>
      </c>
    </row>
    <row r="426" spans="1:12">
      <c r="A426" s="429" t="str">
        <f t="shared" si="14"/>
        <v>15</v>
      </c>
      <c r="B426" s="429" t="str">
        <f>T("15A007 2000")</f>
        <v>15A007 2000</v>
      </c>
      <c r="C426" s="637" t="str">
        <f>T("Särskilt vuxenstudiestöd till studerande vid vissa naturvetenskapliga och teknis")</f>
        <v>Särskilt vuxenstudiestöd till studerande vid vissa naturvetenskapliga och teknis</v>
      </c>
    </row>
    <row r="427" spans="1:12">
      <c r="A427" s="430" t="s">
        <v>1649</v>
      </c>
      <c r="B427" s="430"/>
      <c r="C427" s="430" t="str">
        <f>T("Studiestöd")</f>
        <v>Studiestöd</v>
      </c>
      <c r="D427" s="431">
        <v>20551241.914110001</v>
      </c>
      <c r="E427" s="431">
        <v>19734116.058820002</v>
      </c>
      <c r="F427" s="431">
        <v>19496549.960779998</v>
      </c>
      <c r="G427" s="431">
        <v>21430359.099459998</v>
      </c>
      <c r="H427" s="431">
        <v>22580303.477290001</v>
      </c>
      <c r="I427" s="431">
        <v>21813311.372760002</v>
      </c>
      <c r="J427" s="431">
        <v>21067515.905049998</v>
      </c>
      <c r="K427" s="431">
        <v>20566933.02293</v>
      </c>
      <c r="L427" s="431">
        <v>19953364.635770001</v>
      </c>
    </row>
    <row r="428" spans="1:12">
      <c r="A428" s="429" t="str">
        <f t="shared" ref="A428:A491" si="15">T("16")</f>
        <v>16</v>
      </c>
      <c r="B428" s="429" t="str">
        <f>T("08A003 9596")</f>
        <v>08A003 9596</v>
      </c>
      <c r="C428" s="637" t="str">
        <f>T("Skolutveckling och produktion av läromedel för elever med hanikapp")</f>
        <v>Skolutveckling och produktion av läromedel för elever med hanikapp</v>
      </c>
    </row>
    <row r="429" spans="1:12">
      <c r="A429" s="429" t="str">
        <f t="shared" si="15"/>
        <v>16</v>
      </c>
      <c r="B429" s="429" t="str">
        <f>T("08A004 9596")</f>
        <v>08A004 9596</v>
      </c>
      <c r="C429" s="637" t="str">
        <f>T("Stöd för utveckling av skolväsendet")</f>
        <v>Stöd för utveckling av skolväsendet</v>
      </c>
    </row>
    <row r="430" spans="1:12">
      <c r="A430" s="429" t="str">
        <f t="shared" si="15"/>
        <v>16</v>
      </c>
      <c r="B430" s="429" t="str">
        <f>T("08A005 9596")</f>
        <v>08A005 9596</v>
      </c>
      <c r="C430" s="637" t="str">
        <f>T("Forskning inom skolväsendet")</f>
        <v>Forskning inom skolväsendet</v>
      </c>
    </row>
    <row r="431" spans="1:12">
      <c r="A431" s="429" t="str">
        <f t="shared" si="15"/>
        <v>16</v>
      </c>
      <c r="B431" s="429" t="str">
        <f>T("08A006 9596")</f>
        <v>08A006 9596</v>
      </c>
      <c r="C431" s="637" t="str">
        <f>T("Fortbildning m.m")</f>
        <v>Fortbildning m.m</v>
      </c>
    </row>
    <row r="432" spans="1:12">
      <c r="A432" s="429" t="str">
        <f t="shared" si="15"/>
        <v>16</v>
      </c>
      <c r="B432" s="429" t="str">
        <f>T("08A007 9596")</f>
        <v>08A007 9596</v>
      </c>
      <c r="C432" s="637" t="str">
        <f>T("Genomförande av skolreformer")</f>
        <v>Genomförande av skolreformer</v>
      </c>
    </row>
    <row r="433" spans="1:3" customFormat="1">
      <c r="A433" s="429" t="str">
        <f t="shared" si="15"/>
        <v>16</v>
      </c>
      <c r="B433" s="429" t="str">
        <f>T("08A012 9596")</f>
        <v>08A012 9596</v>
      </c>
      <c r="C433" s="637" t="str">
        <f>T("Statens skola för vuxna i Härnösand")</f>
        <v>Statens skola för vuxna i Härnösand</v>
      </c>
    </row>
    <row r="434" spans="1:3" customFormat="1">
      <c r="A434" s="429" t="str">
        <f t="shared" si="15"/>
        <v>16</v>
      </c>
      <c r="B434" s="429" t="str">
        <f>T("08A017 9596")</f>
        <v>08A017 9596</v>
      </c>
      <c r="C434" s="637" t="str">
        <f>T("Avvecklingskostnader avseende ASSE")</f>
        <v>Avvecklingskostnader avseende ASSE</v>
      </c>
    </row>
    <row r="435" spans="1:3" customFormat="1">
      <c r="A435" s="429" t="str">
        <f t="shared" si="15"/>
        <v>16</v>
      </c>
      <c r="B435" s="429" t="str">
        <f>T("08C007 9596")</f>
        <v>08C007 9596</v>
      </c>
      <c r="C435" s="637" t="str">
        <f>T("Stockholms universitet: Grundutbildning")</f>
        <v>Stockholms universitet: Grundutbildning</v>
      </c>
    </row>
    <row r="436" spans="1:3" customFormat="1">
      <c r="A436" s="429" t="str">
        <f t="shared" si="15"/>
        <v>16</v>
      </c>
      <c r="B436" s="429" t="str">
        <f>T("08C008 9596")</f>
        <v>08C008 9596</v>
      </c>
      <c r="C436" s="637" t="str">
        <f>T("Stockholms universitet: Forskning och forskarutbildning")</f>
        <v>Stockholms universitet: Forskning och forskarutbildning</v>
      </c>
    </row>
    <row r="437" spans="1:3" customFormat="1">
      <c r="A437" s="429" t="str">
        <f t="shared" si="15"/>
        <v>16</v>
      </c>
      <c r="B437" s="429" t="str">
        <f>T("08C019 9596")</f>
        <v>08C019 9596</v>
      </c>
      <c r="C437" s="637" t="str">
        <f>T("Danshögskolan: Grundutbildning")</f>
        <v>Danshögskolan: Grundutbildning</v>
      </c>
    </row>
    <row r="438" spans="1:3" customFormat="1">
      <c r="A438" s="429" t="str">
        <f t="shared" si="15"/>
        <v>16</v>
      </c>
      <c r="B438" s="429" t="str">
        <f>T("08C020 9596")</f>
        <v>08C020 9596</v>
      </c>
      <c r="C438" s="637" t="str">
        <f>T("Dramatiska institutet: Grundutbildning")</f>
        <v>Dramatiska institutet: Grundutbildning</v>
      </c>
    </row>
    <row r="439" spans="1:3" customFormat="1">
      <c r="A439" s="429" t="str">
        <f t="shared" si="15"/>
        <v>16</v>
      </c>
      <c r="B439" s="429" t="str">
        <f>T("08C023 9596")</f>
        <v>08C023 9596</v>
      </c>
      <c r="C439" s="637" t="str">
        <f>T("Högskolan i Gävle/Sandviken: Grundutbildning")</f>
        <v>Högskolan i Gävle/Sandviken: Grundutbildning</v>
      </c>
    </row>
    <row r="440" spans="1:3" customFormat="1">
      <c r="A440" s="429" t="str">
        <f t="shared" si="15"/>
        <v>16</v>
      </c>
      <c r="B440" s="429" t="str">
        <f>T("08C029 9596")</f>
        <v>08C029 9596</v>
      </c>
      <c r="C440" s="637" t="str">
        <f>T("Högskolan i Skövde: Grundutbildning")</f>
        <v>Högskolan i Skövde: Grundutbildning</v>
      </c>
    </row>
    <row r="441" spans="1:3" customFormat="1">
      <c r="A441" s="429" t="str">
        <f t="shared" si="15"/>
        <v>16</v>
      </c>
      <c r="B441" s="429" t="str">
        <f>T("08C031 9596")</f>
        <v>08C031 9596</v>
      </c>
      <c r="C441" s="637" t="str">
        <f>T("Högskolan i Växjö: Grundutbildning")</f>
        <v>Högskolan i Växjö: Grundutbildning</v>
      </c>
    </row>
    <row r="442" spans="1:3" customFormat="1">
      <c r="A442" s="429" t="str">
        <f t="shared" si="15"/>
        <v>16</v>
      </c>
      <c r="B442" s="429" t="str">
        <f>T("08C035 9596")</f>
        <v>08C035 9596</v>
      </c>
      <c r="C442" s="637" t="str">
        <f>T("Konstfack: Grundutbildning")</f>
        <v>Konstfack: Grundutbildning</v>
      </c>
    </row>
    <row r="443" spans="1:3" customFormat="1">
      <c r="A443" s="429" t="str">
        <f t="shared" si="15"/>
        <v>16</v>
      </c>
      <c r="B443" s="429" t="str">
        <f>T("08C036 9596")</f>
        <v>08C036 9596</v>
      </c>
      <c r="C443" s="637" t="str">
        <f>T("Kungl Konsthögskolan: Grundutbildning")</f>
        <v>Kungl Konsthögskolan: Grundutbildning</v>
      </c>
    </row>
    <row r="444" spans="1:3" customFormat="1">
      <c r="A444" s="429" t="str">
        <f t="shared" si="15"/>
        <v>16</v>
      </c>
      <c r="B444" s="429" t="str">
        <f>T("08C041 9596")</f>
        <v>08C041 9596</v>
      </c>
      <c r="C444" s="637" t="str">
        <f>T("Operahögskolan i Stockholm: Grundutbildning")</f>
        <v>Operahögskolan i Stockholm: Grundutbildning</v>
      </c>
    </row>
    <row r="445" spans="1:3" customFormat="1">
      <c r="A445" s="429" t="str">
        <f t="shared" si="15"/>
        <v>16</v>
      </c>
      <c r="B445" s="429" t="str">
        <f>T("08C042 9596")</f>
        <v>08C042 9596</v>
      </c>
      <c r="C445" s="637" t="str">
        <f>T("Teaterhögskolan i Stockholm: grundutbildning")</f>
        <v>Teaterhögskolan i Stockholm: grundutbildning</v>
      </c>
    </row>
    <row r="446" spans="1:3" customFormat="1">
      <c r="A446" s="429" t="str">
        <f t="shared" si="15"/>
        <v>16</v>
      </c>
      <c r="B446" s="429" t="str">
        <f>T("08C043 9596")</f>
        <v>08C043 9596</v>
      </c>
      <c r="C446" s="637" t="str">
        <f>T("Enskilda och kommunala högskoleutbildningar m.m. ")</f>
        <v xml:space="preserve">Enskilda och kommunala högskoleutbildningar m.m. </v>
      </c>
    </row>
    <row r="447" spans="1:3" customFormat="1">
      <c r="A447" s="429" t="str">
        <f t="shared" si="15"/>
        <v>16</v>
      </c>
      <c r="B447" s="429" t="str">
        <f>T("08C044 9596")</f>
        <v>08C044 9596</v>
      </c>
      <c r="C447" s="637" t="str">
        <f>T("Utvecklingsverksamhet och internationell samverkan")</f>
        <v>Utvecklingsverksamhet och internationell samverkan</v>
      </c>
    </row>
    <row r="448" spans="1:3" customFormat="1">
      <c r="A448" s="429" t="str">
        <f t="shared" si="15"/>
        <v>16</v>
      </c>
      <c r="B448" s="429" t="str">
        <f>T("08C045 9596")</f>
        <v>08C045 9596</v>
      </c>
      <c r="C448" s="637" t="str">
        <f>T("Vissa särskilda utgifter inom universitet och högskolor m m")</f>
        <v>Vissa särskilda utgifter inom universitet och högskolor m m</v>
      </c>
    </row>
    <row r="449" spans="1:3" customFormat="1">
      <c r="A449" s="429" t="str">
        <f t="shared" si="15"/>
        <v>16</v>
      </c>
      <c r="B449" s="429" t="str">
        <f>T("08C046 9596")</f>
        <v>08C046 9596</v>
      </c>
      <c r="C449" s="637" t="str">
        <f>T("Övriga utgifter inom grundutbildning")</f>
        <v>Övriga utgifter inom grundutbildning</v>
      </c>
    </row>
    <row r="450" spans="1:3" customFormat="1">
      <c r="A450" s="429" t="str">
        <f t="shared" si="15"/>
        <v>16</v>
      </c>
      <c r="B450" s="429" t="str">
        <f>T("08C047 9596")</f>
        <v>08C047 9596</v>
      </c>
      <c r="C450" s="637" t="str">
        <f>T("Övriga utgifter inom forskning och forskarutbildning")</f>
        <v>Övriga utgifter inom forskning och forskarutbildning</v>
      </c>
    </row>
    <row r="451" spans="1:3" customFormat="1">
      <c r="A451" s="429" t="str">
        <f t="shared" si="15"/>
        <v>16</v>
      </c>
      <c r="B451" s="429" t="str">
        <f>T("08C048 9596")</f>
        <v>08C048 9596</v>
      </c>
      <c r="C451" s="637" t="str">
        <f>T("Konstnärligt utvecklingsarbete vid vissa högskolor")</f>
        <v>Konstnärligt utvecklingsarbete vid vissa högskolor</v>
      </c>
    </row>
    <row r="452" spans="1:3" customFormat="1">
      <c r="A452" s="429" t="str">
        <f t="shared" si="15"/>
        <v>16</v>
      </c>
      <c r="B452" s="429" t="str">
        <f>T("08C049 9495")</f>
        <v>08C049 9495</v>
      </c>
      <c r="C452" s="637" t="str">
        <f>T("Kanslersämbetet")</f>
        <v>Kanslersämbetet</v>
      </c>
    </row>
    <row r="453" spans="1:3" customFormat="1">
      <c r="A453" s="429" t="str">
        <f t="shared" si="15"/>
        <v>16</v>
      </c>
      <c r="B453" s="429" t="str">
        <f>T("08C049 9596")</f>
        <v>08C049 9596</v>
      </c>
      <c r="C453" s="637" t="str">
        <f>T("Forskningsstödjande åtgärder vid mindre och medelstora högsk")</f>
        <v>Forskningsstödjande åtgärder vid mindre och medelstora högsk</v>
      </c>
    </row>
    <row r="454" spans="1:3" customFormat="1">
      <c r="A454" s="429" t="str">
        <f t="shared" si="15"/>
        <v>16</v>
      </c>
      <c r="B454" s="429" t="str">
        <f>T("08D001 9596")</f>
        <v>08D001 9596</v>
      </c>
      <c r="C454" s="637" t="str">
        <f>T("Forskningsrådsnämnden: Forskning och forskningsinformation")</f>
        <v>Forskningsrådsnämnden: Forskning och forskningsinformation</v>
      </c>
    </row>
    <row r="455" spans="1:3" customFormat="1">
      <c r="A455" s="429" t="str">
        <f t="shared" si="15"/>
        <v>16</v>
      </c>
      <c r="B455" s="429" t="str">
        <f>T("08D003 9596")</f>
        <v>08D003 9596</v>
      </c>
      <c r="C455" s="637" t="str">
        <f>T("Humanistisk-samhällsvetenskapliga forskningsrådet: Forskning")</f>
        <v>Humanistisk-samhällsvetenskapliga forskningsrådet: Forskning</v>
      </c>
    </row>
    <row r="456" spans="1:3" customFormat="1">
      <c r="A456" s="429" t="str">
        <f t="shared" si="15"/>
        <v>16</v>
      </c>
      <c r="B456" s="429" t="str">
        <f>T("08D005 9596")</f>
        <v>08D005 9596</v>
      </c>
      <c r="C456" s="637" t="str">
        <f>T("Medicinska forskningsrådet: Forskning")</f>
        <v>Medicinska forskningsrådet: Forskning</v>
      </c>
    </row>
    <row r="457" spans="1:3" customFormat="1">
      <c r="A457" s="429" t="str">
        <f t="shared" si="15"/>
        <v>16</v>
      </c>
      <c r="B457" s="429" t="str">
        <f>T("08D007 9596")</f>
        <v>08D007 9596</v>
      </c>
      <c r="C457" s="637" t="str">
        <f>T("Naturvetenskapliga forskningsrådet: Forskning")</f>
        <v>Naturvetenskapliga forskningsrådet: Forskning</v>
      </c>
    </row>
    <row r="458" spans="1:3" customFormat="1">
      <c r="A458" s="429" t="str">
        <f t="shared" si="15"/>
        <v>16</v>
      </c>
      <c r="B458" s="429" t="str">
        <f>T("08D009 9596")</f>
        <v>08D009 9596</v>
      </c>
      <c r="C458" s="637" t="str">
        <f>T("Teknikvetenskapliga forskningsrådet: Forskning")</f>
        <v>Teknikvetenskapliga forskningsrådet: Forskning</v>
      </c>
    </row>
    <row r="459" spans="1:3" customFormat="1">
      <c r="A459" s="429" t="str">
        <f t="shared" si="15"/>
        <v>16</v>
      </c>
      <c r="B459" s="429" t="str">
        <f>T("08D011 9596")</f>
        <v>08D011 9596</v>
      </c>
      <c r="C459" s="637" t="str">
        <f>T("Rymdforskning")</f>
        <v>Rymdforskning</v>
      </c>
    </row>
    <row r="460" spans="1:3" customFormat="1">
      <c r="A460" s="429" t="str">
        <f t="shared" si="15"/>
        <v>16</v>
      </c>
      <c r="B460" s="429" t="str">
        <f>T("08D012 9596")</f>
        <v>08D012 9596</v>
      </c>
      <c r="C460" s="637" t="str">
        <f>T("Rådet för forskning om universitet och högskolor")</f>
        <v>Rådet för forskning om universitet och högskolor</v>
      </c>
    </row>
    <row r="461" spans="1:3" customFormat="1">
      <c r="A461" s="429" t="str">
        <f t="shared" si="15"/>
        <v>16</v>
      </c>
      <c r="B461" s="429" t="str">
        <f>T("08D020 9596")</f>
        <v>08D020 9596</v>
      </c>
      <c r="C461" s="637" t="str">
        <f>T("Vissa särskilda utgifter för forskningsändamål")</f>
        <v>Vissa särskilda utgifter för forskningsändamål</v>
      </c>
    </row>
    <row r="462" spans="1:3" customFormat="1">
      <c r="A462" s="429" t="str">
        <f t="shared" si="15"/>
        <v>16</v>
      </c>
      <c r="B462" s="429" t="str">
        <f>T("08D021 9596")</f>
        <v>08D021 9596</v>
      </c>
      <c r="C462" s="637" t="str">
        <f>T("Vissa bidrag till forskningsverksamhet")</f>
        <v>Vissa bidrag till forskningsverksamhet</v>
      </c>
    </row>
    <row r="463" spans="1:3" customFormat="1">
      <c r="A463" s="429" t="str">
        <f t="shared" si="15"/>
        <v>16</v>
      </c>
      <c r="B463" s="429" t="str">
        <f>T("08D022 9596")</f>
        <v>08D022 9596</v>
      </c>
      <c r="C463" s="637" t="str">
        <f>T("Medel för dyrbar vetenskaplig utrustning")</f>
        <v>Medel för dyrbar vetenskaplig utrustning</v>
      </c>
    </row>
    <row r="464" spans="1:3" customFormat="1">
      <c r="A464" s="429" t="str">
        <f t="shared" si="15"/>
        <v>16</v>
      </c>
      <c r="B464" s="429" t="str">
        <f>T("08F002 9596")</f>
        <v>08F002 9596</v>
      </c>
      <c r="C464" s="637" t="str">
        <f>T("Utvecklingsarbete inom utbildningsdepartementets område")</f>
        <v>Utvecklingsarbete inom utbildningsdepartementets område</v>
      </c>
    </row>
    <row r="465" spans="1:12">
      <c r="A465" s="429" t="str">
        <f t="shared" si="15"/>
        <v>16</v>
      </c>
      <c r="B465" s="429" t="str">
        <f>T("1601001")</f>
        <v>1601001</v>
      </c>
      <c r="C465" s="637" t="str">
        <f>T("Statens skolverk")</f>
        <v>Statens skolverk</v>
      </c>
      <c r="D465" s="428">
        <v>304023.51838999998</v>
      </c>
      <c r="E465" s="428">
        <v>360421.67408000003</v>
      </c>
      <c r="F465" s="428">
        <v>362190.16716999997</v>
      </c>
      <c r="G465" s="428">
        <v>294921.03881</v>
      </c>
      <c r="H465" s="428">
        <v>312398.09502000001</v>
      </c>
      <c r="I465" s="428">
        <v>315675.58426999999</v>
      </c>
      <c r="J465" s="428">
        <v>377230.72580000001</v>
      </c>
      <c r="K465" s="428">
        <v>412941.67809</v>
      </c>
      <c r="L465" s="428">
        <v>469532.63708999997</v>
      </c>
    </row>
    <row r="466" spans="1:12">
      <c r="A466" s="429" t="str">
        <f t="shared" si="15"/>
        <v>16</v>
      </c>
      <c r="B466" s="429" t="str">
        <f>T("1601002")</f>
        <v>1601002</v>
      </c>
      <c r="C466" s="637" t="str">
        <f>T("Statens skolinspektion")</f>
        <v>Statens skolinspektion</v>
      </c>
      <c r="F466" s="428">
        <v>77110.436579999994</v>
      </c>
      <c r="G466" s="428">
        <v>306955.04019999999</v>
      </c>
      <c r="H466" s="428">
        <v>356094.89328999998</v>
      </c>
      <c r="I466" s="428">
        <v>340657.62831</v>
      </c>
      <c r="J466" s="428">
        <v>345971.16446</v>
      </c>
      <c r="K466" s="428">
        <v>347362.24176</v>
      </c>
      <c r="L466" s="428">
        <v>368699.81375999999</v>
      </c>
    </row>
    <row r="467" spans="1:12">
      <c r="A467" s="429" t="str">
        <f t="shared" si="15"/>
        <v>16</v>
      </c>
      <c r="B467" s="429" t="str">
        <f>T("1601003")</f>
        <v>1601003</v>
      </c>
      <c r="C467" s="637" t="str">
        <f>T("Specialpedagogiska skolmyndigheten")</f>
        <v>Specialpedagogiska skolmyndigheten</v>
      </c>
      <c r="F467" s="428">
        <v>328156.17950999999</v>
      </c>
      <c r="G467" s="428">
        <v>655570.00393000001</v>
      </c>
      <c r="H467" s="428">
        <v>683026.22582000005</v>
      </c>
      <c r="I467" s="428">
        <v>710998.43165000004</v>
      </c>
      <c r="J467" s="428">
        <v>695175.69698000001</v>
      </c>
      <c r="K467" s="428">
        <v>660604.17931000004</v>
      </c>
      <c r="L467" s="428">
        <v>703667.96126999997</v>
      </c>
    </row>
    <row r="468" spans="1:12">
      <c r="A468" s="429" t="str">
        <f t="shared" si="15"/>
        <v>16</v>
      </c>
      <c r="B468" s="429" t="str">
        <f>T("1601004")</f>
        <v>1601004</v>
      </c>
      <c r="C468" s="637" t="str">
        <f>T("Sameskolstyrelsen")</f>
        <v>Sameskolstyrelsen</v>
      </c>
      <c r="D468" s="428">
        <v>33935.907890000002</v>
      </c>
      <c r="E468" s="428">
        <v>27071.722740000001</v>
      </c>
      <c r="F468" s="428">
        <v>26478.99164</v>
      </c>
      <c r="G468" s="428">
        <v>35549.355680000001</v>
      </c>
      <c r="H468" s="428">
        <v>25965.176169999999</v>
      </c>
      <c r="I468" s="428">
        <v>28193.465759999999</v>
      </c>
      <c r="J468" s="428">
        <v>26964.3966</v>
      </c>
      <c r="K468" s="428">
        <v>58019.341289999997</v>
      </c>
      <c r="L468" s="428">
        <v>34212.224139999998</v>
      </c>
    </row>
    <row r="469" spans="1:12">
      <c r="A469" s="429" t="str">
        <f t="shared" si="15"/>
        <v>16</v>
      </c>
      <c r="B469" s="429" t="str">
        <f>T("1601005")</f>
        <v>1601005</v>
      </c>
      <c r="C469" s="637" t="str">
        <f>T("Utveckling av skolväsendet och annan pedagogisk verksamhet")</f>
        <v>Utveckling av skolväsendet och annan pedagogisk verksamhet</v>
      </c>
      <c r="D469" s="428">
        <v>444318.99589999998</v>
      </c>
      <c r="E469" s="428">
        <v>588689.72765999998</v>
      </c>
      <c r="F469" s="428">
        <v>474498.89038</v>
      </c>
      <c r="G469" s="428">
        <v>573287.77228999999</v>
      </c>
      <c r="H469" s="428">
        <v>757069.18865000003</v>
      </c>
      <c r="I469" s="428">
        <v>804981.91706999997</v>
      </c>
      <c r="J469" s="428">
        <v>632342.82689999999</v>
      </c>
      <c r="K469" s="428">
        <v>1350398.8175299999</v>
      </c>
      <c r="L469" s="428">
        <v>2197712.1795899998</v>
      </c>
    </row>
    <row r="470" spans="1:12">
      <c r="A470" s="429" t="str">
        <f t="shared" si="15"/>
        <v>16</v>
      </c>
      <c r="B470" s="429" t="str">
        <f>T("1601006")</f>
        <v>1601006</v>
      </c>
      <c r="C470" s="637" t="str">
        <f>T("Särskilda insatser inom skolområdet")</f>
        <v>Särskilda insatser inom skolområdet</v>
      </c>
      <c r="D470" s="428">
        <v>288852.76646999997</v>
      </c>
      <c r="E470" s="428">
        <v>304337.86099999998</v>
      </c>
      <c r="F470" s="428">
        <v>311269.44199999998</v>
      </c>
      <c r="G470" s="428">
        <v>486087.7279</v>
      </c>
      <c r="H470" s="428">
        <v>492688.09438999998</v>
      </c>
      <c r="I470" s="428">
        <v>381898.68</v>
      </c>
      <c r="J470" s="428">
        <v>377101.50300000003</v>
      </c>
      <c r="K470" s="428">
        <v>393811.12099999998</v>
      </c>
      <c r="L470" s="428">
        <v>414853.30966999999</v>
      </c>
    </row>
    <row r="471" spans="1:12">
      <c r="A471" s="429" t="str">
        <f t="shared" si="15"/>
        <v>16</v>
      </c>
      <c r="B471" s="429" t="str">
        <f>T("1601007")</f>
        <v>1601007</v>
      </c>
      <c r="C471" s="637" t="str">
        <f>T("Maxtaxa i förskola, fritidshem och annan pedagogisk verksamhet, m.m.")</f>
        <v>Maxtaxa i förskola, fritidshem och annan pedagogisk verksamhet, m.m.</v>
      </c>
      <c r="D471" s="428">
        <v>3659942.7044000002</v>
      </c>
      <c r="E471" s="428">
        <v>3658162.4029799998</v>
      </c>
      <c r="F471" s="428">
        <v>3658258.19246</v>
      </c>
      <c r="G471" s="428">
        <v>3658108.2297899998</v>
      </c>
      <c r="H471" s="428">
        <v>3657970.6523199999</v>
      </c>
      <c r="I471" s="428">
        <v>3656371.4355000001</v>
      </c>
      <c r="J471" s="428">
        <v>3657799.1150400001</v>
      </c>
      <c r="K471" s="428">
        <v>3670660.25868</v>
      </c>
      <c r="L471" s="428">
        <v>3688775.8508299999</v>
      </c>
    </row>
    <row r="472" spans="1:12">
      <c r="A472" s="429" t="str">
        <f t="shared" si="15"/>
        <v>16</v>
      </c>
      <c r="B472" s="429" t="str">
        <f>T("1601008")</f>
        <v>1601008</v>
      </c>
      <c r="C472" s="637" t="str">
        <f>T("Bidrag till viss verksamhet inom skolväsendet, m.m.")</f>
        <v>Bidrag till viss verksamhet inom skolväsendet, m.m.</v>
      </c>
      <c r="D472" s="428">
        <v>144893.54655999999</v>
      </c>
      <c r="E472" s="428">
        <v>119314.39847</v>
      </c>
      <c r="F472" s="428">
        <v>113928.98096</v>
      </c>
      <c r="G472" s="428">
        <v>115388.03851</v>
      </c>
      <c r="H472" s="428">
        <v>119039.69979</v>
      </c>
      <c r="I472" s="428">
        <v>116743.10765000001</v>
      </c>
      <c r="J472" s="428">
        <v>116265.70041</v>
      </c>
      <c r="K472" s="428">
        <v>138067.77893999999</v>
      </c>
      <c r="L472" s="428">
        <v>165718.69899999999</v>
      </c>
    </row>
    <row r="473" spans="1:12">
      <c r="A473" s="429" t="str">
        <f t="shared" si="15"/>
        <v>16</v>
      </c>
      <c r="B473" s="429" t="str">
        <f>T("1601009")</f>
        <v>1601009</v>
      </c>
      <c r="C473" s="637" t="str">
        <f>T("Bidrag till svensk undervisning i utlandet")</f>
        <v>Bidrag till svensk undervisning i utlandet</v>
      </c>
      <c r="D473" s="428">
        <v>85748.988809999995</v>
      </c>
      <c r="E473" s="428">
        <v>84057.976129999995</v>
      </c>
      <c r="F473" s="428">
        <v>88957.373779999994</v>
      </c>
      <c r="G473" s="428">
        <v>87024.84895</v>
      </c>
      <c r="H473" s="428">
        <v>96351.554269999993</v>
      </c>
      <c r="I473" s="428">
        <v>93027.829249999995</v>
      </c>
      <c r="J473" s="428">
        <v>94933.127980000005</v>
      </c>
      <c r="K473" s="428">
        <v>89938.457490000001</v>
      </c>
      <c r="L473" s="428">
        <v>96682.079960000003</v>
      </c>
    </row>
    <row r="474" spans="1:12">
      <c r="A474" s="429" t="str">
        <f t="shared" si="15"/>
        <v>16</v>
      </c>
      <c r="B474" s="429" t="str">
        <f>T("1601010")</f>
        <v>1601010</v>
      </c>
      <c r="C474" s="637" t="str">
        <f>T("Fortbildning av lärare och förskolepersonal")</f>
        <v>Fortbildning av lärare och förskolepersonal</v>
      </c>
      <c r="E474" s="428">
        <v>66605.174650000001</v>
      </c>
      <c r="F474" s="428">
        <v>457815.71717000002</v>
      </c>
      <c r="G474" s="428">
        <v>752600.07663999998</v>
      </c>
      <c r="H474" s="428">
        <v>840627.40451000002</v>
      </c>
      <c r="I474" s="428">
        <v>738969.61710999999</v>
      </c>
      <c r="J474" s="428">
        <v>276637.46457000001</v>
      </c>
      <c r="K474" s="428">
        <v>337694.20207</v>
      </c>
      <c r="L474" s="428">
        <v>264929.24946000002</v>
      </c>
    </row>
    <row r="475" spans="1:12">
      <c r="A475" s="429" t="str">
        <f t="shared" si="15"/>
        <v>16</v>
      </c>
      <c r="B475" s="429" t="str">
        <f>T("1601011")</f>
        <v>1601011</v>
      </c>
      <c r="C475" s="637" t="str">
        <f>T("Bidrag till vissa studier")</f>
        <v>Bidrag till vissa studier</v>
      </c>
      <c r="G475" s="428">
        <v>15933.512000000001</v>
      </c>
      <c r="H475" s="428">
        <v>14759.411</v>
      </c>
      <c r="I475" s="428">
        <v>13570.370999999999</v>
      </c>
      <c r="J475" s="428">
        <v>14911.696</v>
      </c>
      <c r="K475" s="428">
        <v>15982.78</v>
      </c>
      <c r="L475" s="428">
        <v>17445.665000000001</v>
      </c>
    </row>
    <row r="476" spans="1:12">
      <c r="A476" s="429" t="str">
        <f t="shared" si="15"/>
        <v>16</v>
      </c>
      <c r="B476" s="429" t="str">
        <f>T("1601011 2012")</f>
        <v>1601011 2012</v>
      </c>
      <c r="C476" s="637" t="str">
        <f>T("Förstärkning av basfärdigheter")</f>
        <v>Förstärkning av basfärdigheter</v>
      </c>
      <c r="F476" s="428">
        <v>142724.96243000001</v>
      </c>
      <c r="G476" s="428">
        <v>242905.58103</v>
      </c>
      <c r="H476" s="428">
        <v>497046.16483000002</v>
      </c>
      <c r="I476" s="428">
        <v>383009.07504999998</v>
      </c>
      <c r="J476" s="428">
        <v>240022.40397000001</v>
      </c>
      <c r="K476" s="428">
        <v>-3288.48378</v>
      </c>
    </row>
    <row r="477" spans="1:12">
      <c r="A477" s="429" t="str">
        <f t="shared" si="15"/>
        <v>16</v>
      </c>
      <c r="B477" s="429" t="str">
        <f>T("1601012")</f>
        <v>1601012</v>
      </c>
      <c r="C477" s="637" t="str">
        <f>T("Myndigheten för yrkeshögskolan")</f>
        <v>Myndigheten för yrkeshögskolan</v>
      </c>
      <c r="G477" s="428">
        <v>49244.445879999999</v>
      </c>
      <c r="H477" s="428">
        <v>93005.723549999995</v>
      </c>
      <c r="I477" s="428">
        <v>106121.4065</v>
      </c>
      <c r="J477" s="428">
        <v>100828.60966</v>
      </c>
      <c r="K477" s="428">
        <v>98599.091469999999</v>
      </c>
      <c r="L477" s="428">
        <v>101833.44377</v>
      </c>
    </row>
    <row r="478" spans="1:12">
      <c r="A478" s="429" t="str">
        <f t="shared" si="15"/>
        <v>16</v>
      </c>
      <c r="B478" s="429" t="str">
        <f>T("1601013")</f>
        <v>1601013</v>
      </c>
      <c r="C478" s="637" t="str">
        <f>T("Utveckling av vuxenutbildning m.m.")</f>
        <v>Utveckling av vuxenutbildning m.m.</v>
      </c>
      <c r="F478" s="428">
        <v>445</v>
      </c>
      <c r="G478" s="428">
        <v>2937.1463899999999</v>
      </c>
      <c r="H478" s="428">
        <v>7426.5454399999999</v>
      </c>
      <c r="I478" s="428">
        <v>9190.6708099999996</v>
      </c>
      <c r="J478" s="428">
        <v>7580.0544300000001</v>
      </c>
      <c r="K478" s="428">
        <v>1180.92383</v>
      </c>
      <c r="L478" s="428">
        <v>5826.1322899999996</v>
      </c>
    </row>
    <row r="479" spans="1:12">
      <c r="A479" s="429" t="str">
        <f t="shared" si="15"/>
        <v>16</v>
      </c>
      <c r="B479" s="429" t="str">
        <f>T("1601014")</f>
        <v>1601014</v>
      </c>
      <c r="C479" s="637" t="str">
        <f>T("Statligt stöd till vuxenutbildning")</f>
        <v>Statligt stöd till vuxenutbildning</v>
      </c>
      <c r="D479" s="428">
        <v>149965.33765</v>
      </c>
      <c r="E479" s="428">
        <v>299728.76159000001</v>
      </c>
      <c r="F479" s="428">
        <v>431450.17561999999</v>
      </c>
      <c r="G479" s="428">
        <v>784835.99260999996</v>
      </c>
      <c r="H479" s="428">
        <v>3195073.1345000002</v>
      </c>
      <c r="I479" s="428">
        <v>3030219.1386699998</v>
      </c>
      <c r="J479" s="428">
        <v>2082593.40833</v>
      </c>
      <c r="K479" s="428">
        <v>2892302.57167</v>
      </c>
      <c r="L479" s="428">
        <v>2786178.6745000002</v>
      </c>
    </row>
    <row r="480" spans="1:12">
      <c r="A480" s="429" t="str">
        <f t="shared" si="15"/>
        <v>16</v>
      </c>
      <c r="B480" s="429" t="str">
        <f>T("1601015")</f>
        <v>1601015</v>
      </c>
      <c r="C480" s="637" t="str">
        <f>T("Särskilt utbildningsstöd")</f>
        <v>Särskilt utbildningsstöd</v>
      </c>
      <c r="I480" s="428">
        <v>137395.70000000001</v>
      </c>
      <c r="J480" s="428">
        <v>149933</v>
      </c>
      <c r="K480" s="428">
        <v>145551.84599999999</v>
      </c>
      <c r="L480" s="428">
        <v>156387</v>
      </c>
    </row>
    <row r="481" spans="1:12">
      <c r="A481" s="429" t="str">
        <f t="shared" si="15"/>
        <v>16</v>
      </c>
      <c r="B481" s="429" t="str">
        <f>T("1601016 2009")</f>
        <v>1601016 2009</v>
      </c>
      <c r="C481" s="637" t="str">
        <f>T("Myndigheten för kvalificerad yrkesutbildning")</f>
        <v>Myndigheten för kvalificerad yrkesutbildning</v>
      </c>
      <c r="D481" s="428">
        <v>22407.949519999998</v>
      </c>
      <c r="E481" s="428">
        <v>25893.686610000001</v>
      </c>
      <c r="F481" s="428">
        <v>26234.58423</v>
      </c>
      <c r="G481" s="428">
        <v>21548.037079999998</v>
      </c>
      <c r="H481" s="428">
        <v>-261.78140000000002</v>
      </c>
    </row>
    <row r="482" spans="1:12">
      <c r="A482" s="429" t="str">
        <f t="shared" si="15"/>
        <v>16</v>
      </c>
      <c r="B482" s="429" t="str">
        <f>T("1601017 2009")</f>
        <v>1601017 2009</v>
      </c>
      <c r="C482" s="637" t="str">
        <f>T("Bidrag till kvalificerad yrkesutbildning")</f>
        <v>Bidrag till kvalificerad yrkesutbildning</v>
      </c>
      <c r="D482" s="428">
        <v>1009457.49555</v>
      </c>
      <c r="E482" s="428">
        <v>1158947.753</v>
      </c>
      <c r="F482" s="428">
        <v>1233238.7350000001</v>
      </c>
      <c r="G482" s="428">
        <v>1270249.5495800001</v>
      </c>
      <c r="H482" s="428">
        <v>-117018.88958</v>
      </c>
    </row>
    <row r="483" spans="1:12">
      <c r="A483" s="429" t="str">
        <f t="shared" si="15"/>
        <v>16</v>
      </c>
      <c r="B483" s="429" t="str">
        <f>T("1602001")</f>
        <v>1602001</v>
      </c>
      <c r="C483" s="637" t="str">
        <f>T("Universitetskanslersämbetet")</f>
        <v>Universitetskanslersämbetet</v>
      </c>
      <c r="K483" s="428">
        <v>127145.35168000001</v>
      </c>
      <c r="L483" s="428">
        <v>127149.09623</v>
      </c>
    </row>
    <row r="484" spans="1:12">
      <c r="A484" s="429" t="str">
        <f t="shared" si="15"/>
        <v>16</v>
      </c>
      <c r="B484" s="429" t="str">
        <f>T("1602001 2012")</f>
        <v>1602001 2012</v>
      </c>
      <c r="C484" s="637" t="str">
        <f>T("Högskoleverket")</f>
        <v>Högskoleverket</v>
      </c>
      <c r="D484" s="428">
        <v>155955.51120000001</v>
      </c>
      <c r="E484" s="428">
        <v>164978.11157000001</v>
      </c>
      <c r="F484" s="428">
        <v>167792.39778999999</v>
      </c>
      <c r="G484" s="428">
        <v>170183.59664999999</v>
      </c>
      <c r="H484" s="428">
        <v>176352.24781</v>
      </c>
      <c r="I484" s="428">
        <v>177009.62909999999</v>
      </c>
      <c r="J484" s="428">
        <v>179595.87212000001</v>
      </c>
      <c r="K484" s="428">
        <v>2424.6337600000002</v>
      </c>
    </row>
    <row r="485" spans="1:12">
      <c r="A485" s="429" t="str">
        <f t="shared" si="15"/>
        <v>16</v>
      </c>
      <c r="B485" s="429" t="str">
        <f>T("1602002")</f>
        <v>1602002</v>
      </c>
      <c r="C485" s="637" t="str">
        <f>T("Universitets- och högskolerådet")</f>
        <v>Universitets- och högskolerådet</v>
      </c>
      <c r="K485" s="428">
        <v>104869.53759000001</v>
      </c>
      <c r="L485" s="428">
        <v>102397.90397</v>
      </c>
    </row>
    <row r="486" spans="1:12">
      <c r="A486" s="429" t="str">
        <f t="shared" si="15"/>
        <v>16</v>
      </c>
      <c r="B486" s="429" t="str">
        <f>T("1602002 2012")</f>
        <v>1602002 2012</v>
      </c>
      <c r="C486" s="637" t="str">
        <f>T("Verket för högskoleservice")</f>
        <v>Verket för högskoleservice</v>
      </c>
      <c r="D486" s="428">
        <v>15786</v>
      </c>
      <c r="E486" s="428">
        <v>16870.662759999999</v>
      </c>
      <c r="F486" s="428">
        <v>17150.948380000002</v>
      </c>
      <c r="G486" s="428">
        <v>19776.850689999999</v>
      </c>
      <c r="H486" s="428">
        <v>19375.412670000002</v>
      </c>
      <c r="I486" s="428">
        <v>19932.235189999999</v>
      </c>
      <c r="J486" s="428">
        <v>24004.661069999998</v>
      </c>
      <c r="K486" s="428">
        <v>-1996.7707600000001</v>
      </c>
    </row>
    <row r="487" spans="1:12">
      <c r="A487" s="429" t="str">
        <f t="shared" si="15"/>
        <v>16</v>
      </c>
      <c r="B487" s="429" t="str">
        <f>T("1602003")</f>
        <v>1602003</v>
      </c>
      <c r="C487" s="637" t="str">
        <f>T("Uppsala universitet: Utbildning på grundnivå och avancerad nivå")</f>
        <v>Uppsala universitet: Utbildning på grundnivå och avancerad nivå</v>
      </c>
      <c r="D487" s="428">
        <v>1179467</v>
      </c>
      <c r="E487" s="428">
        <v>1148541</v>
      </c>
      <c r="F487" s="428">
        <v>1178802</v>
      </c>
      <c r="G487" s="428">
        <v>1265891</v>
      </c>
      <c r="H487" s="428">
        <v>1358422</v>
      </c>
      <c r="I487" s="428">
        <v>1400645.294</v>
      </c>
      <c r="J487" s="428">
        <v>1399403.8729999999</v>
      </c>
      <c r="K487" s="428">
        <v>1438140.1329999999</v>
      </c>
      <c r="L487" s="428">
        <v>1522625</v>
      </c>
    </row>
    <row r="488" spans="1:12">
      <c r="A488" s="429" t="str">
        <f t="shared" si="15"/>
        <v>16</v>
      </c>
      <c r="B488" s="429" t="str">
        <f>T("1602004")</f>
        <v>1602004</v>
      </c>
      <c r="C488" s="637" t="str">
        <f>T("Uppsala universitet: Forskning och forskarutbildning")</f>
        <v>Uppsala universitet: Forskning och forskarutbildning</v>
      </c>
      <c r="D488" s="428">
        <v>1208652</v>
      </c>
      <c r="E488" s="428">
        <v>1286995</v>
      </c>
      <c r="F488" s="428">
        <v>1372078</v>
      </c>
      <c r="G488" s="428">
        <v>1397506</v>
      </c>
      <c r="H488" s="428">
        <v>1650212</v>
      </c>
      <c r="I488" s="428">
        <v>1717156</v>
      </c>
      <c r="J488" s="428">
        <v>1833236</v>
      </c>
      <c r="K488" s="428">
        <v>1841565</v>
      </c>
      <c r="L488" s="428">
        <v>1969455</v>
      </c>
    </row>
    <row r="489" spans="1:12">
      <c r="A489" s="429" t="str">
        <f t="shared" si="15"/>
        <v>16</v>
      </c>
      <c r="B489" s="429" t="str">
        <f>T("1602005")</f>
        <v>1602005</v>
      </c>
      <c r="C489" s="637" t="str">
        <f>T("Lunds universitet: Utbildning på grundnivå och avancerad nivå")</f>
        <v>Lunds universitet: Utbildning på grundnivå och avancerad nivå</v>
      </c>
      <c r="D489" s="428">
        <v>1601215</v>
      </c>
      <c r="E489" s="428">
        <v>1554082.868</v>
      </c>
      <c r="F489" s="428">
        <v>1588590</v>
      </c>
      <c r="G489" s="428">
        <v>1760565</v>
      </c>
      <c r="H489" s="428">
        <v>1844438.132</v>
      </c>
      <c r="I489" s="428">
        <v>1756694</v>
      </c>
      <c r="J489" s="428">
        <v>1763735</v>
      </c>
      <c r="K489" s="428">
        <v>1797531</v>
      </c>
      <c r="L489" s="428">
        <v>1839950</v>
      </c>
    </row>
    <row r="490" spans="1:12">
      <c r="A490" s="429" t="str">
        <f t="shared" si="15"/>
        <v>16</v>
      </c>
      <c r="B490" s="429" t="str">
        <f>T("1602006")</f>
        <v>1602006</v>
      </c>
      <c r="C490" s="637" t="str">
        <f>T("Lunds universitet: Forskning och forskarutbildning")</f>
        <v>Lunds universitet: Forskning och forskarutbildning</v>
      </c>
      <c r="D490" s="428">
        <v>1227032</v>
      </c>
      <c r="E490" s="428">
        <v>1279376</v>
      </c>
      <c r="F490" s="428">
        <v>1368013</v>
      </c>
      <c r="G490" s="428">
        <v>1393365</v>
      </c>
      <c r="H490" s="428">
        <v>1732820</v>
      </c>
      <c r="I490" s="428">
        <v>1754167</v>
      </c>
      <c r="J490" s="428">
        <v>1886895</v>
      </c>
      <c r="K490" s="428">
        <v>1896253</v>
      </c>
      <c r="L490" s="428">
        <v>2008160</v>
      </c>
    </row>
    <row r="491" spans="1:12">
      <c r="A491" s="429" t="str">
        <f t="shared" si="15"/>
        <v>16</v>
      </c>
      <c r="B491" s="429" t="str">
        <f>T("1602007")</f>
        <v>1602007</v>
      </c>
      <c r="C491" s="637" t="str">
        <f>T("Göteborgs universitet: Utbildning på grundnivå och avancerad nivå")</f>
        <v>Göteborgs universitet: Utbildning på grundnivå och avancerad nivå</v>
      </c>
      <c r="D491" s="428">
        <v>1568728</v>
      </c>
      <c r="E491" s="428">
        <v>1601874</v>
      </c>
      <c r="F491" s="428">
        <v>1631859</v>
      </c>
      <c r="G491" s="428">
        <v>1678871</v>
      </c>
      <c r="H491" s="428">
        <v>1764834</v>
      </c>
      <c r="I491" s="428">
        <v>1770474</v>
      </c>
      <c r="J491" s="428">
        <v>1788883</v>
      </c>
      <c r="K491" s="428">
        <v>1833249</v>
      </c>
      <c r="L491" s="428">
        <v>1871951</v>
      </c>
    </row>
    <row r="492" spans="1:12">
      <c r="A492" s="429" t="str">
        <f t="shared" ref="A492:A555" si="16">T("16")</f>
        <v>16</v>
      </c>
      <c r="B492" s="429" t="str">
        <f>T("1602008")</f>
        <v>1602008</v>
      </c>
      <c r="C492" s="637" t="str">
        <f>T("Göteborgs universitet: Forskning och forskarutbildning")</f>
        <v>Göteborgs universitet: Forskning och forskarutbildning</v>
      </c>
      <c r="D492" s="428">
        <v>997049</v>
      </c>
      <c r="E492" s="428">
        <v>1044536</v>
      </c>
      <c r="F492" s="428">
        <v>1108767</v>
      </c>
      <c r="G492" s="428">
        <v>1140014</v>
      </c>
      <c r="H492" s="428">
        <v>1285310</v>
      </c>
      <c r="I492" s="428">
        <v>1319593</v>
      </c>
      <c r="J492" s="428">
        <v>1362281</v>
      </c>
      <c r="K492" s="428">
        <v>1376929</v>
      </c>
      <c r="L492" s="428">
        <v>1463380</v>
      </c>
    </row>
    <row r="493" spans="1:12">
      <c r="A493" s="429" t="str">
        <f t="shared" si="16"/>
        <v>16</v>
      </c>
      <c r="B493" s="429" t="str">
        <f>T("1602009")</f>
        <v>1602009</v>
      </c>
      <c r="C493" s="637" t="str">
        <f>T("Stockholms universitet: Utbildning på grundnivå och avancerad nivå")</f>
        <v>Stockholms universitet: Utbildning på grundnivå och avancerad nivå</v>
      </c>
      <c r="D493" s="428">
        <v>1028140</v>
      </c>
      <c r="E493" s="428">
        <v>956665</v>
      </c>
      <c r="F493" s="428">
        <v>1374345</v>
      </c>
      <c r="G493" s="428">
        <v>1448620</v>
      </c>
      <c r="H493" s="428">
        <v>1537131</v>
      </c>
      <c r="I493" s="428">
        <v>1516538</v>
      </c>
      <c r="J493" s="428">
        <v>1536083</v>
      </c>
      <c r="K493" s="428">
        <v>1631911</v>
      </c>
      <c r="L493" s="428">
        <v>1629386.7</v>
      </c>
    </row>
    <row r="494" spans="1:12">
      <c r="A494" s="429" t="str">
        <f t="shared" si="16"/>
        <v>16</v>
      </c>
      <c r="B494" s="429" t="str">
        <f>T("1602010")</f>
        <v>1602010</v>
      </c>
      <c r="C494" s="637" t="str">
        <f>T("Stockholms universitet: Forskning och forskarutbildning")</f>
        <v>Stockholms universitet: Forskning och forskarutbildning</v>
      </c>
      <c r="D494" s="428">
        <v>1024184</v>
      </c>
      <c r="E494" s="428">
        <v>1057435</v>
      </c>
      <c r="F494" s="428">
        <v>1169604</v>
      </c>
      <c r="G494" s="428">
        <v>1189608</v>
      </c>
      <c r="H494" s="428">
        <v>1335642</v>
      </c>
      <c r="I494" s="428">
        <v>1373807</v>
      </c>
      <c r="J494" s="428">
        <v>1430122</v>
      </c>
      <c r="K494" s="428">
        <v>1447906</v>
      </c>
      <c r="L494" s="428">
        <v>1520323</v>
      </c>
    </row>
    <row r="495" spans="1:12">
      <c r="A495" s="429" t="str">
        <f t="shared" si="16"/>
        <v>16</v>
      </c>
      <c r="B495" s="429" t="str">
        <f>T("1602011")</f>
        <v>1602011</v>
      </c>
      <c r="C495" s="637" t="str">
        <f>T("Umeå universitet: Utbildning på grundnivå och avancerad nivå")</f>
        <v>Umeå universitet: Utbildning på grundnivå och avancerad nivå</v>
      </c>
      <c r="D495" s="428">
        <v>1072238</v>
      </c>
      <c r="E495" s="428">
        <v>1055902</v>
      </c>
      <c r="F495" s="428">
        <v>1071063</v>
      </c>
      <c r="G495" s="428">
        <v>1156782</v>
      </c>
      <c r="H495" s="428">
        <v>1246469</v>
      </c>
      <c r="I495" s="428">
        <v>1249804</v>
      </c>
      <c r="J495" s="428">
        <v>1218920</v>
      </c>
      <c r="K495" s="428">
        <v>1213911.2</v>
      </c>
      <c r="L495" s="428">
        <v>1235819</v>
      </c>
    </row>
    <row r="496" spans="1:12">
      <c r="A496" s="429" t="str">
        <f t="shared" si="16"/>
        <v>16</v>
      </c>
      <c r="B496" s="429" t="str">
        <f>T("1602012")</f>
        <v>1602012</v>
      </c>
      <c r="C496" s="637" t="str">
        <f>T("Umeå universitet: Forskning och forskarutbildning")</f>
        <v>Umeå universitet: Forskning och forskarutbildning</v>
      </c>
      <c r="D496" s="428">
        <v>701427</v>
      </c>
      <c r="E496" s="428">
        <v>737738</v>
      </c>
      <c r="F496" s="428">
        <v>787272</v>
      </c>
      <c r="G496" s="428">
        <v>801861</v>
      </c>
      <c r="H496" s="428">
        <v>903571</v>
      </c>
      <c r="I496" s="428">
        <v>935352</v>
      </c>
      <c r="J496" s="428">
        <v>986957</v>
      </c>
      <c r="K496" s="428">
        <v>992689</v>
      </c>
      <c r="L496" s="428">
        <v>1035060</v>
      </c>
    </row>
    <row r="497" spans="1:12">
      <c r="A497" s="429" t="str">
        <f t="shared" si="16"/>
        <v>16</v>
      </c>
      <c r="B497" s="429" t="str">
        <f>T("1602013")</f>
        <v>1602013</v>
      </c>
      <c r="C497" s="637" t="str">
        <f>T("Linköpings universitet: Utbildning på grundnivå och avancerad nivå")</f>
        <v>Linköpings universitet: Utbildning på grundnivå och avancerad nivå</v>
      </c>
      <c r="D497" s="428">
        <v>1186040</v>
      </c>
      <c r="E497" s="428">
        <v>1158872</v>
      </c>
      <c r="F497" s="428">
        <v>1157504</v>
      </c>
      <c r="G497" s="428">
        <v>1227094</v>
      </c>
      <c r="H497" s="428">
        <v>1340424</v>
      </c>
      <c r="I497" s="428">
        <v>1345785</v>
      </c>
      <c r="J497" s="428">
        <v>1325355</v>
      </c>
      <c r="K497" s="428">
        <v>1346681</v>
      </c>
      <c r="L497" s="428">
        <v>1353522.8</v>
      </c>
    </row>
    <row r="498" spans="1:12">
      <c r="A498" s="429" t="str">
        <f t="shared" si="16"/>
        <v>16</v>
      </c>
      <c r="B498" s="429" t="str">
        <f>T("1602014")</f>
        <v>1602014</v>
      </c>
      <c r="C498" s="637" t="str">
        <f>T("Linköpings universitet: Forskning och forskarutbildning")</f>
        <v>Linköpings universitet: Forskning och forskarutbildning</v>
      </c>
      <c r="D498" s="428">
        <v>488961</v>
      </c>
      <c r="E498" s="428">
        <v>514008</v>
      </c>
      <c r="F498" s="428">
        <v>560804</v>
      </c>
      <c r="G498" s="428">
        <v>571197</v>
      </c>
      <c r="H498" s="428">
        <v>670239</v>
      </c>
      <c r="I498" s="428">
        <v>695834</v>
      </c>
      <c r="J498" s="428">
        <v>742912</v>
      </c>
      <c r="K498" s="428">
        <v>750324</v>
      </c>
      <c r="L498" s="428">
        <v>800342</v>
      </c>
    </row>
    <row r="499" spans="1:12">
      <c r="A499" s="429" t="str">
        <f t="shared" si="16"/>
        <v>16</v>
      </c>
      <c r="B499" s="429" t="str">
        <f>T("1602015")</f>
        <v>1602015</v>
      </c>
      <c r="C499" s="637" t="str">
        <f>T("Karolinska institutet: Utbildning på grundnivå och avancerad nivå")</f>
        <v>Karolinska institutet: Utbildning på grundnivå och avancerad nivå</v>
      </c>
      <c r="D499" s="428">
        <v>586293</v>
      </c>
      <c r="E499" s="428">
        <v>615565</v>
      </c>
      <c r="F499" s="428">
        <v>617283</v>
      </c>
      <c r="G499" s="428">
        <v>626861</v>
      </c>
      <c r="H499" s="428">
        <v>639817</v>
      </c>
      <c r="I499" s="428">
        <v>675539</v>
      </c>
      <c r="J499" s="428">
        <v>600358</v>
      </c>
      <c r="K499" s="428">
        <v>633368</v>
      </c>
      <c r="L499" s="428">
        <v>637784.30000000005</v>
      </c>
    </row>
    <row r="500" spans="1:12">
      <c r="A500" s="429" t="str">
        <f t="shared" si="16"/>
        <v>16</v>
      </c>
      <c r="B500" s="429" t="str">
        <f>T("1602016")</f>
        <v>1602016</v>
      </c>
      <c r="C500" s="637" t="str">
        <f>T("Karolinska institutet: Forskning och forskarutbildning")</f>
        <v>Karolinska institutet: Forskning och forskarutbildning</v>
      </c>
      <c r="D500" s="428">
        <v>783715</v>
      </c>
      <c r="E500" s="428">
        <v>830128</v>
      </c>
      <c r="F500" s="428">
        <v>892107</v>
      </c>
      <c r="G500" s="428">
        <v>908640</v>
      </c>
      <c r="H500" s="428">
        <v>1131761</v>
      </c>
      <c r="I500" s="428">
        <v>1201613</v>
      </c>
      <c r="J500" s="428">
        <v>1307185</v>
      </c>
      <c r="K500" s="428">
        <v>1338788</v>
      </c>
      <c r="L500" s="428">
        <v>1460085</v>
      </c>
    </row>
    <row r="501" spans="1:12">
      <c r="A501" s="429" t="str">
        <f t="shared" si="16"/>
        <v>16</v>
      </c>
      <c r="B501" s="429" t="str">
        <f>T("1602017")</f>
        <v>1602017</v>
      </c>
      <c r="C501" s="637" t="str">
        <f>T("Kungl. Tekniska högskolan: Utbildning på grundnivå och avancerad nivå")</f>
        <v>Kungl. Tekniska högskolan: Utbildning på grundnivå och avancerad nivå</v>
      </c>
      <c r="D501" s="428">
        <v>878542</v>
      </c>
      <c r="E501" s="428">
        <v>889954</v>
      </c>
      <c r="F501" s="428">
        <v>933313</v>
      </c>
      <c r="G501" s="428">
        <v>1037312.307</v>
      </c>
      <c r="H501" s="428">
        <v>1121347.8930599999</v>
      </c>
      <c r="I501" s="428">
        <v>1063687</v>
      </c>
      <c r="J501" s="428">
        <v>1036512</v>
      </c>
      <c r="K501" s="428">
        <v>967391.27099999995</v>
      </c>
      <c r="L501" s="428">
        <v>1057794.3259999999</v>
      </c>
    </row>
    <row r="502" spans="1:12">
      <c r="A502" s="429" t="str">
        <f t="shared" si="16"/>
        <v>16</v>
      </c>
      <c r="B502" s="429" t="str">
        <f>T("1602018")</f>
        <v>1602018</v>
      </c>
      <c r="C502" s="637" t="str">
        <f>T("Kungl. Tekniska högskolan: Forskning och forskarutbildning")</f>
        <v>Kungl. Tekniska högskolan: Forskning och forskarutbildning</v>
      </c>
      <c r="D502" s="428">
        <v>673224</v>
      </c>
      <c r="E502" s="428">
        <v>698772</v>
      </c>
      <c r="F502" s="428">
        <v>748396</v>
      </c>
      <c r="G502" s="428">
        <v>762265</v>
      </c>
      <c r="H502" s="428">
        <v>930727</v>
      </c>
      <c r="I502" s="428">
        <v>999582</v>
      </c>
      <c r="J502" s="428">
        <v>1106317</v>
      </c>
      <c r="K502" s="428">
        <v>1302980</v>
      </c>
      <c r="L502" s="428">
        <v>1370646</v>
      </c>
    </row>
    <row r="503" spans="1:12">
      <c r="A503" s="429" t="str">
        <f t="shared" si="16"/>
        <v>16</v>
      </c>
      <c r="B503" s="429" t="str">
        <f>T("1602019")</f>
        <v>1602019</v>
      </c>
      <c r="C503" s="637" t="str">
        <f>T("Luleå tekniska universitet: Utbildning på grundnivå och avancerad nivå")</f>
        <v>Luleå tekniska universitet: Utbildning på grundnivå och avancerad nivå</v>
      </c>
      <c r="D503" s="428">
        <v>545490</v>
      </c>
      <c r="E503" s="428">
        <v>511964</v>
      </c>
      <c r="F503" s="428">
        <v>517738</v>
      </c>
      <c r="G503" s="428">
        <v>542260.99832999997</v>
      </c>
      <c r="H503" s="428">
        <v>586611</v>
      </c>
      <c r="I503" s="428">
        <v>601031</v>
      </c>
      <c r="J503" s="428">
        <v>619350</v>
      </c>
      <c r="K503" s="428">
        <v>659425</v>
      </c>
      <c r="L503" s="428">
        <v>628811.5</v>
      </c>
    </row>
    <row r="504" spans="1:12">
      <c r="A504" s="429" t="str">
        <f t="shared" si="16"/>
        <v>16</v>
      </c>
      <c r="B504" s="429" t="str">
        <f>T("1602020")</f>
        <v>1602020</v>
      </c>
      <c r="C504" s="637" t="str">
        <f>T("Luleå tekniska universitet: Forskning och forskarutbildning")</f>
        <v>Luleå tekniska universitet: Forskning och forskarutbildning</v>
      </c>
      <c r="D504" s="428">
        <v>259073</v>
      </c>
      <c r="E504" s="428">
        <v>267453</v>
      </c>
      <c r="F504" s="428">
        <v>278487</v>
      </c>
      <c r="G504" s="428">
        <v>283648</v>
      </c>
      <c r="H504" s="428">
        <v>310169</v>
      </c>
      <c r="I504" s="428">
        <v>322059</v>
      </c>
      <c r="J504" s="428">
        <v>338492</v>
      </c>
      <c r="K504" s="428">
        <v>340444</v>
      </c>
      <c r="L504" s="428">
        <v>352795</v>
      </c>
    </row>
    <row r="505" spans="1:12">
      <c r="A505" s="429" t="str">
        <f t="shared" si="16"/>
        <v>16</v>
      </c>
      <c r="B505" s="429" t="str">
        <f>T("1602021")</f>
        <v>1602021</v>
      </c>
      <c r="C505" s="637" t="str">
        <f>T("Karlstads universitet: Utbildning på grundnivå och avancerad nivå")</f>
        <v>Karlstads universitet: Utbildning på grundnivå och avancerad nivå</v>
      </c>
      <c r="D505" s="428">
        <v>466974</v>
      </c>
      <c r="E505" s="428">
        <v>459054</v>
      </c>
      <c r="F505" s="428">
        <v>496760</v>
      </c>
      <c r="G505" s="428">
        <v>546271</v>
      </c>
      <c r="H505" s="428">
        <v>612500</v>
      </c>
      <c r="I505" s="428">
        <v>608286</v>
      </c>
      <c r="J505" s="428">
        <v>561762</v>
      </c>
      <c r="K505" s="428">
        <v>565693</v>
      </c>
      <c r="L505" s="428">
        <v>580991</v>
      </c>
    </row>
    <row r="506" spans="1:12">
      <c r="A506" s="429" t="str">
        <f t="shared" si="16"/>
        <v>16</v>
      </c>
      <c r="B506" s="429" t="str">
        <f>T("1602022")</f>
        <v>1602022</v>
      </c>
      <c r="C506" s="637" t="str">
        <f>T("Karlstads universitet: Forskning och forskarutbildning")</f>
        <v>Karlstads universitet: Forskning och forskarutbildning</v>
      </c>
      <c r="D506" s="428">
        <v>154726</v>
      </c>
      <c r="E506" s="428">
        <v>167656</v>
      </c>
      <c r="F506" s="428">
        <v>175196</v>
      </c>
      <c r="G506" s="428">
        <v>178443</v>
      </c>
      <c r="H506" s="428">
        <v>187114</v>
      </c>
      <c r="I506" s="428">
        <v>189142</v>
      </c>
      <c r="J506" s="428">
        <v>193655</v>
      </c>
      <c r="K506" s="428">
        <v>195257</v>
      </c>
      <c r="L506" s="428">
        <v>201005</v>
      </c>
    </row>
    <row r="507" spans="1:12">
      <c r="A507" s="429" t="str">
        <f t="shared" si="16"/>
        <v>16</v>
      </c>
      <c r="B507" s="429" t="str">
        <f>T("1602023")</f>
        <v>1602023</v>
      </c>
      <c r="C507" s="637" t="str">
        <f>T("Linnéuniversitetet: Utbildning på grundnivå och avancerad nivå")</f>
        <v>Linnéuniversitetet: Utbildning på grundnivå och avancerad nivå</v>
      </c>
      <c r="H507" s="428">
        <v>915628.28099999996</v>
      </c>
      <c r="I507" s="428">
        <v>1002435.719</v>
      </c>
      <c r="J507" s="428">
        <v>945490</v>
      </c>
      <c r="K507" s="428">
        <v>957621</v>
      </c>
      <c r="L507" s="428">
        <v>976138</v>
      </c>
    </row>
    <row r="508" spans="1:12">
      <c r="A508" s="429" t="str">
        <f t="shared" si="16"/>
        <v>16</v>
      </c>
      <c r="B508" s="429" t="str">
        <f>T("1602023 2009")</f>
        <v>1602023 2009</v>
      </c>
      <c r="C508" s="637" t="str">
        <f>T("Växjö universitet: Grundutbildning")</f>
        <v>Växjö universitet: Grundutbildning</v>
      </c>
      <c r="D508" s="428">
        <v>415162</v>
      </c>
      <c r="E508" s="428">
        <v>396032.11300000001</v>
      </c>
      <c r="F508" s="428">
        <v>418242.02</v>
      </c>
      <c r="G508" s="428">
        <v>471433.43900000001</v>
      </c>
      <c r="H508" s="428">
        <v>36117.360999999997</v>
      </c>
    </row>
    <row r="509" spans="1:12">
      <c r="A509" s="429" t="str">
        <f t="shared" si="16"/>
        <v>16</v>
      </c>
      <c r="B509" s="429" t="str">
        <f>T("1602024")</f>
        <v>1602024</v>
      </c>
      <c r="C509" s="637" t="str">
        <f>T("Linnéuniversitetet: Forskning och forskarutbildning")</f>
        <v>Linnéuniversitetet: Forskning och forskarutbildning</v>
      </c>
      <c r="H509" s="428">
        <v>262170</v>
      </c>
      <c r="I509" s="428">
        <v>266652</v>
      </c>
      <c r="J509" s="428">
        <v>274309</v>
      </c>
      <c r="K509" s="428">
        <v>275823</v>
      </c>
      <c r="L509" s="428">
        <v>283945</v>
      </c>
    </row>
    <row r="510" spans="1:12">
      <c r="A510" s="429" t="str">
        <f t="shared" si="16"/>
        <v>16</v>
      </c>
      <c r="B510" s="429" t="str">
        <f>T("1602024 2009")</f>
        <v>1602024 2009</v>
      </c>
      <c r="C510" s="637" t="str">
        <f>T("Växjö universitet: Forskning och forskarutbildning")</f>
        <v>Växjö universitet: Forskning och forskarutbildning</v>
      </c>
      <c r="D510" s="428">
        <v>145676</v>
      </c>
      <c r="E510" s="428">
        <v>154327</v>
      </c>
      <c r="F510" s="428">
        <v>164173</v>
      </c>
      <c r="G510" s="428">
        <v>167216</v>
      </c>
    </row>
    <row r="511" spans="1:12">
      <c r="A511" s="429" t="str">
        <f t="shared" si="16"/>
        <v>16</v>
      </c>
      <c r="B511" s="429" t="str">
        <f>T("1602025")</f>
        <v>1602025</v>
      </c>
      <c r="C511" s="637" t="str">
        <f>T("Örebro universitet: Utbildning på grundnivå och avancerad nivå")</f>
        <v>Örebro universitet: Utbildning på grundnivå och avancerad nivå</v>
      </c>
      <c r="D511" s="428">
        <v>588130</v>
      </c>
      <c r="E511" s="428">
        <v>541065</v>
      </c>
      <c r="F511" s="428">
        <v>539862</v>
      </c>
      <c r="G511" s="428">
        <v>605733</v>
      </c>
      <c r="H511" s="428">
        <v>685709</v>
      </c>
      <c r="I511" s="428">
        <v>687935</v>
      </c>
      <c r="J511" s="428">
        <v>663236.30000000005</v>
      </c>
      <c r="K511" s="428">
        <v>657165</v>
      </c>
      <c r="L511" s="428">
        <v>682498</v>
      </c>
    </row>
    <row r="512" spans="1:12">
      <c r="A512" s="429" t="str">
        <f t="shared" si="16"/>
        <v>16</v>
      </c>
      <c r="B512" s="429" t="str">
        <f>T("1602026")</f>
        <v>1602026</v>
      </c>
      <c r="C512" s="637" t="str">
        <f>T("Örebro universitet: Forskning och forskarutbildning")</f>
        <v>Örebro universitet: Forskning och forskarutbildning</v>
      </c>
      <c r="D512" s="428">
        <v>162268</v>
      </c>
      <c r="E512" s="428">
        <v>175697</v>
      </c>
      <c r="F512" s="428">
        <v>182698</v>
      </c>
      <c r="G512" s="428">
        <v>186084</v>
      </c>
      <c r="H512" s="428">
        <v>203492</v>
      </c>
      <c r="I512" s="428">
        <v>207485</v>
      </c>
      <c r="J512" s="428">
        <v>214871</v>
      </c>
      <c r="K512" s="428">
        <v>216478</v>
      </c>
      <c r="L512" s="428">
        <v>223017</v>
      </c>
    </row>
    <row r="513" spans="1:12">
      <c r="A513" s="429" t="str">
        <f t="shared" si="16"/>
        <v>16</v>
      </c>
      <c r="B513" s="429" t="str">
        <f>T("1602027")</f>
        <v>1602027</v>
      </c>
      <c r="C513" s="637" t="str">
        <f>T("Mittuniversitetet: Utbildning på grundnivå och avancerad nivå")</f>
        <v>Mittuniversitetet: Utbildning på grundnivå och avancerad nivå</v>
      </c>
      <c r="D513" s="428">
        <v>439181</v>
      </c>
      <c r="E513" s="428">
        <v>422849.76500000001</v>
      </c>
      <c r="F513" s="428">
        <v>408117.20899999997</v>
      </c>
      <c r="G513" s="428">
        <v>474158.94199999998</v>
      </c>
      <c r="H513" s="428">
        <v>571909.5</v>
      </c>
      <c r="I513" s="428">
        <v>515111</v>
      </c>
      <c r="J513" s="428">
        <v>509725</v>
      </c>
      <c r="K513" s="428">
        <v>513334</v>
      </c>
      <c r="L513" s="428">
        <v>522156</v>
      </c>
    </row>
    <row r="514" spans="1:12">
      <c r="A514" s="429" t="str">
        <f t="shared" si="16"/>
        <v>16</v>
      </c>
      <c r="B514" s="429" t="str">
        <f>T("1602028")</f>
        <v>1602028</v>
      </c>
      <c r="C514" s="637" t="str">
        <f>T("Mittuniversitetet: Forskning och forskarutbildning")</f>
        <v>Mittuniversitetet: Forskning och forskarutbildning</v>
      </c>
      <c r="D514" s="428">
        <v>165524</v>
      </c>
      <c r="E514" s="428">
        <v>170796</v>
      </c>
      <c r="F514" s="428">
        <v>173236</v>
      </c>
      <c r="G514" s="428">
        <v>176447</v>
      </c>
      <c r="H514" s="428">
        <v>187143</v>
      </c>
      <c r="I514" s="428">
        <v>190623</v>
      </c>
      <c r="J514" s="428">
        <v>197272</v>
      </c>
      <c r="K514" s="428">
        <v>198719</v>
      </c>
      <c r="L514" s="428">
        <v>207207</v>
      </c>
    </row>
    <row r="515" spans="1:12">
      <c r="A515" s="429" t="str">
        <f t="shared" si="16"/>
        <v>16</v>
      </c>
      <c r="B515" s="429" t="str">
        <f>T("1602029")</f>
        <v>1602029</v>
      </c>
      <c r="C515" s="637" t="str">
        <f>T("Blekinge tekniska högskola: Utbildning på grundnivå och avancerad nivå")</f>
        <v>Blekinge tekniska högskola: Utbildning på grundnivå och avancerad nivå</v>
      </c>
      <c r="D515" s="428">
        <v>229072</v>
      </c>
      <c r="E515" s="428">
        <v>236419</v>
      </c>
      <c r="F515" s="428">
        <v>239837</v>
      </c>
      <c r="G515" s="428">
        <v>261797</v>
      </c>
      <c r="H515" s="428">
        <v>302439</v>
      </c>
      <c r="I515" s="428">
        <v>297326</v>
      </c>
      <c r="J515" s="428">
        <v>269544</v>
      </c>
      <c r="K515" s="428">
        <v>262198</v>
      </c>
      <c r="L515" s="428">
        <v>260241</v>
      </c>
    </row>
    <row r="516" spans="1:12">
      <c r="A516" s="429" t="str">
        <f t="shared" si="16"/>
        <v>16</v>
      </c>
      <c r="B516" s="429" t="str">
        <f>T("1602030")</f>
        <v>1602030</v>
      </c>
      <c r="C516" s="637" t="str">
        <f>T("Blekinge tekniska högskola: Forskning och forskarutbildning")</f>
        <v>Blekinge tekniska högskola: Forskning och forskarutbildning</v>
      </c>
      <c r="D516" s="428">
        <v>67194</v>
      </c>
      <c r="E516" s="428">
        <v>72992</v>
      </c>
      <c r="F516" s="428">
        <v>75592</v>
      </c>
      <c r="G516" s="428">
        <v>76993</v>
      </c>
      <c r="H516" s="428">
        <v>79508</v>
      </c>
      <c r="I516" s="428">
        <v>80617</v>
      </c>
      <c r="J516" s="428">
        <v>82504</v>
      </c>
      <c r="K516" s="428">
        <v>83122</v>
      </c>
      <c r="L516" s="428">
        <v>85569</v>
      </c>
    </row>
    <row r="517" spans="1:12">
      <c r="A517" s="429" t="str">
        <f t="shared" si="16"/>
        <v>16</v>
      </c>
      <c r="B517" s="429" t="str">
        <f>T("1602031")</f>
        <v>1602031</v>
      </c>
      <c r="C517" s="637" t="str">
        <f>T("Malmö högskola: Utbildning på grundnivå och avancerad nivå")</f>
        <v>Malmö högskola: Utbildning på grundnivå och avancerad nivå</v>
      </c>
      <c r="D517" s="428">
        <v>728843</v>
      </c>
      <c r="E517" s="428">
        <v>712307</v>
      </c>
      <c r="F517" s="428">
        <v>750830</v>
      </c>
      <c r="G517" s="428">
        <v>808942</v>
      </c>
      <c r="H517" s="428">
        <v>871920</v>
      </c>
      <c r="I517" s="428">
        <v>890450.61499999999</v>
      </c>
      <c r="J517" s="428">
        <v>833584</v>
      </c>
      <c r="K517" s="428">
        <v>819850.08499999996</v>
      </c>
      <c r="L517" s="428">
        <v>814559</v>
      </c>
    </row>
    <row r="518" spans="1:12">
      <c r="A518" s="429" t="str">
        <f t="shared" si="16"/>
        <v>16</v>
      </c>
      <c r="B518" s="429" t="str">
        <f>T("1602032")</f>
        <v>1602032</v>
      </c>
      <c r="C518" s="637" t="str">
        <f>T("Malmö högskola: Forskning och forskarutbildning")</f>
        <v>Malmö högskola: Forskning och forskarutbildning</v>
      </c>
      <c r="D518" s="428">
        <v>78396</v>
      </c>
      <c r="E518" s="428">
        <v>85284</v>
      </c>
      <c r="F518" s="428">
        <v>88487</v>
      </c>
      <c r="G518" s="428">
        <v>90127</v>
      </c>
      <c r="H518" s="428">
        <v>100254</v>
      </c>
      <c r="I518" s="428">
        <v>101332</v>
      </c>
      <c r="J518" s="428">
        <v>104104</v>
      </c>
      <c r="K518" s="428">
        <v>105214</v>
      </c>
      <c r="L518" s="428">
        <v>110103</v>
      </c>
    </row>
    <row r="519" spans="1:12">
      <c r="A519" s="429" t="str">
        <f t="shared" si="16"/>
        <v>16</v>
      </c>
      <c r="B519" s="429" t="str">
        <f>T("1602033")</f>
        <v>1602033</v>
      </c>
      <c r="C519" s="637" t="str">
        <f>T("Mälardalens högskola: Utbildning på grundnivå och avancerad nivå")</f>
        <v>Mälardalens högskola: Utbildning på grundnivå och avancerad nivå</v>
      </c>
      <c r="D519" s="428">
        <v>513399.7</v>
      </c>
      <c r="E519" s="428">
        <v>498264</v>
      </c>
      <c r="F519" s="428">
        <v>511326.52500000002</v>
      </c>
      <c r="G519" s="428">
        <v>523174.5</v>
      </c>
      <c r="H519" s="428">
        <v>568824.6</v>
      </c>
      <c r="I519" s="428">
        <v>588250.30000000005</v>
      </c>
      <c r="J519" s="428">
        <v>566393</v>
      </c>
      <c r="K519" s="428">
        <v>558760.4</v>
      </c>
      <c r="L519" s="428">
        <v>552219.95799999998</v>
      </c>
    </row>
    <row r="520" spans="1:12">
      <c r="A520" s="429" t="str">
        <f t="shared" si="16"/>
        <v>16</v>
      </c>
      <c r="B520" s="429" t="str">
        <f>T("1602033 2009")</f>
        <v>1602033 2009</v>
      </c>
      <c r="C520" s="637" t="str">
        <f>T("Högskolan i Kalmar: Grundutbildning")</f>
        <v>Högskolan i Kalmar: Grundutbildning</v>
      </c>
      <c r="D520" s="428">
        <v>420568</v>
      </c>
      <c r="E520" s="428">
        <v>390211.84899999999</v>
      </c>
      <c r="F520" s="428">
        <v>399969.696</v>
      </c>
      <c r="G520" s="428">
        <v>420990.11</v>
      </c>
      <c r="H520" s="428">
        <v>42999.9</v>
      </c>
    </row>
    <row r="521" spans="1:12">
      <c r="A521" s="429" t="str">
        <f t="shared" si="16"/>
        <v>16</v>
      </c>
      <c r="B521" s="429" t="str">
        <f>T("1602034")</f>
        <v>1602034</v>
      </c>
      <c r="C521" s="637" t="str">
        <f>T("Mälardalens högskola: Forskning och forskarutbildning")</f>
        <v>Mälardalens högskola: Forskning och forskarutbildning</v>
      </c>
      <c r="D521" s="428">
        <v>49015</v>
      </c>
      <c r="E521" s="428">
        <v>50868</v>
      </c>
      <c r="F521" s="428">
        <v>62326</v>
      </c>
      <c r="G521" s="428">
        <v>63481</v>
      </c>
      <c r="H521" s="428">
        <v>73826</v>
      </c>
      <c r="I521" s="428">
        <v>75382</v>
      </c>
      <c r="J521" s="428">
        <v>77864</v>
      </c>
      <c r="K521" s="428">
        <v>78135</v>
      </c>
      <c r="L521" s="428">
        <v>83977</v>
      </c>
    </row>
    <row r="522" spans="1:12">
      <c r="A522" s="429" t="str">
        <f t="shared" si="16"/>
        <v>16</v>
      </c>
      <c r="B522" s="429" t="str">
        <f>T("1602034 2009")</f>
        <v>1602034 2009</v>
      </c>
      <c r="C522" s="637" t="str">
        <f>T("Högskolan i Kalmar: Forskning och forskarutbildning")</f>
        <v>Högskolan i Kalmar: Forskning och forskarutbildning</v>
      </c>
      <c r="D522" s="428">
        <v>68147</v>
      </c>
      <c r="E522" s="428">
        <v>73952</v>
      </c>
      <c r="F522" s="428">
        <v>77635</v>
      </c>
      <c r="G522" s="428">
        <v>79073</v>
      </c>
    </row>
    <row r="523" spans="1:12">
      <c r="A523" s="429" t="str">
        <f t="shared" si="16"/>
        <v>16</v>
      </c>
      <c r="B523" s="429" t="str">
        <f>T("1602035")</f>
        <v>1602035</v>
      </c>
      <c r="C523" s="637" t="str">
        <f>T("Stockholms konstnärliga högskola: Utbildning på grundnivå och avancerad nivå")</f>
        <v>Stockholms konstnärliga högskola: Utbildning på grundnivå och avancerad nivå</v>
      </c>
      <c r="L523" s="428">
        <v>186705.48199999999</v>
      </c>
    </row>
    <row r="524" spans="1:12">
      <c r="A524" s="429" t="str">
        <f t="shared" si="16"/>
        <v>16</v>
      </c>
      <c r="B524" s="429" t="str">
        <f>T("1602035 2013")</f>
        <v>1602035 2013</v>
      </c>
      <c r="C524" s="637" t="str">
        <f>T("Dans- och cirkushögskolan: Grundutbildning")</f>
        <v>Dans- och cirkushögskolan: Grundutbildning</v>
      </c>
      <c r="D524" s="428">
        <v>43995</v>
      </c>
      <c r="E524" s="428">
        <v>46476</v>
      </c>
      <c r="F524" s="428">
        <v>52404</v>
      </c>
      <c r="G524" s="428">
        <v>48896</v>
      </c>
      <c r="H524" s="428">
        <v>49326</v>
      </c>
      <c r="I524" s="428">
        <v>49438</v>
      </c>
      <c r="J524" s="428">
        <v>51959</v>
      </c>
      <c r="K524" s="428">
        <v>52174.482000000004</v>
      </c>
      <c r="L524" s="428">
        <v>4359.518</v>
      </c>
    </row>
    <row r="525" spans="1:12">
      <c r="A525" s="429" t="str">
        <f t="shared" si="16"/>
        <v>16</v>
      </c>
      <c r="B525" s="429" t="str">
        <f>T("1602036")</f>
        <v>1602036</v>
      </c>
      <c r="C525" s="637" t="str">
        <f>T("Stockholms konstnärliga högskola: Konstnärlig forskning och forskarutbildning")</f>
        <v>Stockholms konstnärliga högskola: Konstnärlig forskning och forskarutbildning</v>
      </c>
      <c r="L525" s="428">
        <v>47759</v>
      </c>
    </row>
    <row r="526" spans="1:12">
      <c r="A526" s="429" t="str">
        <f t="shared" si="16"/>
        <v>16</v>
      </c>
      <c r="B526" s="429" t="str">
        <f>T("1602036 2010")</f>
        <v>1602036 2010</v>
      </c>
      <c r="C526" s="637" t="str">
        <f>T("Dramatiska institutet: Grundutbildning")</f>
        <v>Dramatiska institutet: Grundutbildning</v>
      </c>
      <c r="D526" s="428">
        <v>78092</v>
      </c>
      <c r="E526" s="428">
        <v>78717</v>
      </c>
      <c r="F526" s="428">
        <v>79348</v>
      </c>
      <c r="G526" s="428">
        <v>80819</v>
      </c>
      <c r="H526" s="428">
        <v>83513</v>
      </c>
    </row>
    <row r="527" spans="1:12">
      <c r="A527" s="429" t="str">
        <f t="shared" si="16"/>
        <v>16</v>
      </c>
      <c r="B527" s="429" t="str">
        <f>T("1602036 2013")</f>
        <v>1602036 2013</v>
      </c>
      <c r="C527" s="637" t="str">
        <f>T("Dans- och cirkushögskolan: Konstnärlig forskning och konstnärligt utvecklingsarbete")</f>
        <v>Dans- och cirkushögskolan: Konstnärlig forskning och konstnärligt utvecklingsarbete</v>
      </c>
      <c r="J527" s="428">
        <v>5605</v>
      </c>
      <c r="K527" s="428">
        <v>5637</v>
      </c>
    </row>
    <row r="528" spans="1:12">
      <c r="A528" s="429" t="str">
        <f t="shared" si="16"/>
        <v>16</v>
      </c>
      <c r="B528" s="429" t="str">
        <f>T("1602037")</f>
        <v>1602037</v>
      </c>
      <c r="C528" s="637" t="str">
        <f>T("Gymnastik- och idrottshögskolan: Utbildning på grundnivå och avancerad nivå")</f>
        <v>Gymnastik- och idrottshögskolan: Utbildning på grundnivå och avancerad nivå</v>
      </c>
      <c r="D528" s="428">
        <v>45716</v>
      </c>
      <c r="E528" s="428">
        <v>48230</v>
      </c>
      <c r="F528" s="428">
        <v>48725</v>
      </c>
      <c r="G528" s="428">
        <v>49628</v>
      </c>
      <c r="H528" s="428">
        <v>51283</v>
      </c>
      <c r="I528" s="428">
        <v>86840</v>
      </c>
      <c r="J528" s="428">
        <v>87623</v>
      </c>
      <c r="K528" s="428">
        <v>86895</v>
      </c>
      <c r="L528" s="428">
        <v>87946</v>
      </c>
    </row>
    <row r="529" spans="1:12">
      <c r="A529" s="429" t="str">
        <f t="shared" si="16"/>
        <v>16</v>
      </c>
      <c r="B529" s="429" t="str">
        <f>T("1602037 2013")</f>
        <v>1602037 2013</v>
      </c>
      <c r="C529" s="637" t="str">
        <f>T("Stockholms dramatiska högskola: Grundutbildning")</f>
        <v>Stockholms dramatiska högskola: Grundutbildning</v>
      </c>
      <c r="I529" s="428">
        <v>113535</v>
      </c>
      <c r="J529" s="428">
        <v>111156</v>
      </c>
      <c r="K529" s="428">
        <v>112037</v>
      </c>
    </row>
    <row r="530" spans="1:12">
      <c r="A530" s="429" t="str">
        <f t="shared" si="16"/>
        <v>16</v>
      </c>
      <c r="B530" s="429" t="str">
        <f>T("1602038")</f>
        <v>1602038</v>
      </c>
      <c r="C530" s="637" t="str">
        <f>T("Gymnastik- och idrottshögskolan: Forskning och forskarutbildning")</f>
        <v>Gymnastik- och idrottshögskolan: Forskning och forskarutbildning</v>
      </c>
      <c r="J530" s="428">
        <v>25180</v>
      </c>
      <c r="K530" s="428">
        <v>25202</v>
      </c>
      <c r="L530" s="428">
        <v>25874</v>
      </c>
    </row>
    <row r="531" spans="1:12">
      <c r="A531" s="429" t="str">
        <f t="shared" si="16"/>
        <v>16</v>
      </c>
      <c r="B531" s="429" t="str">
        <f>T("1602038 2013")</f>
        <v>1602038 2013</v>
      </c>
      <c r="C531" s="637" t="str">
        <f>T("Stockholms dramatiska högskola: Konstnärlig forskning och konstnärligt utvecklingsarbete")</f>
        <v>Stockholms dramatiska högskola: Konstnärlig forskning och konstnärligt utvecklingsarbete</v>
      </c>
      <c r="J531" s="428">
        <v>10580</v>
      </c>
      <c r="K531" s="428">
        <v>23640</v>
      </c>
    </row>
    <row r="532" spans="1:12">
      <c r="A532" s="429" t="str">
        <f t="shared" si="16"/>
        <v>16</v>
      </c>
      <c r="B532" s="429" t="str">
        <f>T("1602039")</f>
        <v>1602039</v>
      </c>
      <c r="C532" s="637" t="str">
        <f>T("Högskolan i Borås: Utbildning på grundnivå och avancerad nivå")</f>
        <v>Högskolan i Borås: Utbildning på grundnivå och avancerad nivå</v>
      </c>
      <c r="D532" s="428">
        <v>361937</v>
      </c>
      <c r="E532" s="428">
        <v>367040</v>
      </c>
      <c r="F532" s="428">
        <v>400950</v>
      </c>
      <c r="G532" s="428">
        <v>427015</v>
      </c>
      <c r="H532" s="428">
        <v>440634</v>
      </c>
      <c r="I532" s="428">
        <v>441487</v>
      </c>
      <c r="J532" s="428">
        <v>430688</v>
      </c>
      <c r="K532" s="428">
        <v>432542</v>
      </c>
      <c r="L532" s="428">
        <v>440294</v>
      </c>
    </row>
    <row r="533" spans="1:12">
      <c r="A533" s="429" t="str">
        <f t="shared" si="16"/>
        <v>16</v>
      </c>
      <c r="B533" s="429" t="str">
        <f>T("1602040")</f>
        <v>1602040</v>
      </c>
      <c r="C533" s="637" t="str">
        <f>T("Högskolan i Borås: Forskning och forskarutbildning")</f>
        <v>Högskolan i Borås: Forskning och forskarutbildning</v>
      </c>
      <c r="J533" s="428">
        <v>53347</v>
      </c>
      <c r="K533" s="428">
        <v>54619</v>
      </c>
      <c r="L533" s="428">
        <v>57228</v>
      </c>
    </row>
    <row r="534" spans="1:12">
      <c r="A534" s="429" t="str">
        <f t="shared" si="16"/>
        <v>16</v>
      </c>
      <c r="B534" s="429" t="str">
        <f>T("1602041")</f>
        <v>1602041</v>
      </c>
      <c r="C534" s="637" t="str">
        <f>T("Högskolan Dalarna: Utbildning på grundnivå och avancerad nivå")</f>
        <v>Högskolan Dalarna: Utbildning på grundnivå och avancerad nivå</v>
      </c>
      <c r="D534" s="428">
        <v>309111.03499999997</v>
      </c>
      <c r="E534" s="428">
        <v>312681.946</v>
      </c>
      <c r="F534" s="428">
        <v>345995.59100000001</v>
      </c>
      <c r="G534" s="428">
        <v>404743.8</v>
      </c>
      <c r="H534" s="428">
        <v>435285</v>
      </c>
      <c r="I534" s="428">
        <v>430234</v>
      </c>
      <c r="J534" s="428">
        <v>393184</v>
      </c>
      <c r="K534" s="428">
        <v>388928</v>
      </c>
      <c r="L534" s="428">
        <v>395688</v>
      </c>
    </row>
    <row r="535" spans="1:12">
      <c r="A535" s="429" t="str">
        <f t="shared" si="16"/>
        <v>16</v>
      </c>
      <c r="B535" s="429" t="str">
        <f>T("1602042")</f>
        <v>1602042</v>
      </c>
      <c r="C535" s="637" t="str">
        <f>T("Högskolan Dalarna: Forskning och forskarutbildning")</f>
        <v>Högskolan Dalarna: Forskning och forskarutbildning</v>
      </c>
      <c r="J535" s="428">
        <v>53531</v>
      </c>
      <c r="K535" s="428">
        <v>53996</v>
      </c>
      <c r="L535" s="428">
        <v>55586</v>
      </c>
    </row>
    <row r="536" spans="1:12">
      <c r="A536" s="429" t="str">
        <f t="shared" si="16"/>
        <v>16</v>
      </c>
      <c r="B536" s="429" t="str">
        <f>T("1602043")</f>
        <v>1602043</v>
      </c>
      <c r="C536" s="637" t="str">
        <f>T("Högskolan i Gävle: Utbildning på grundnivå och avancerad nivå")</f>
        <v>Högskolan i Gävle: Utbildning på grundnivå och avancerad nivå</v>
      </c>
      <c r="D536" s="428">
        <v>359122.21799999999</v>
      </c>
      <c r="E536" s="428">
        <v>345886.15</v>
      </c>
      <c r="F536" s="428">
        <v>358597.27</v>
      </c>
      <c r="G536" s="428">
        <v>387286.30599999998</v>
      </c>
      <c r="H536" s="428">
        <v>428517.147</v>
      </c>
      <c r="I536" s="428">
        <v>433413.65299999999</v>
      </c>
      <c r="J536" s="428">
        <v>411805</v>
      </c>
      <c r="K536" s="428">
        <v>410789</v>
      </c>
      <c r="L536" s="428">
        <v>417968</v>
      </c>
    </row>
    <row r="537" spans="1:12">
      <c r="A537" s="429" t="str">
        <f t="shared" si="16"/>
        <v>16</v>
      </c>
      <c r="B537" s="429" t="str">
        <f>T("1602044")</f>
        <v>1602044</v>
      </c>
      <c r="C537" s="637" t="str">
        <f>T("Högskolan i Gävle: Forskning och forskarutbildning")</f>
        <v>Högskolan i Gävle: Forskning och forskarutbildning</v>
      </c>
      <c r="J537" s="428">
        <v>82347</v>
      </c>
      <c r="K537" s="428">
        <v>82229</v>
      </c>
      <c r="L537" s="428">
        <v>84649</v>
      </c>
    </row>
    <row r="538" spans="1:12">
      <c r="A538" s="429" t="str">
        <f t="shared" si="16"/>
        <v>16</v>
      </c>
      <c r="B538" s="429" t="str">
        <f>T("1602045")</f>
        <v>1602045</v>
      </c>
      <c r="C538" s="637" t="str">
        <f>T("Högskolan i Halmstad: Utbildning på grundnivå och avancerad nivå")</f>
        <v>Högskolan i Halmstad: Utbildning på grundnivå och avancerad nivå</v>
      </c>
      <c r="D538" s="428">
        <v>297080</v>
      </c>
      <c r="E538" s="428">
        <v>302210</v>
      </c>
      <c r="F538" s="428">
        <v>309536</v>
      </c>
      <c r="G538" s="428">
        <v>331273</v>
      </c>
      <c r="H538" s="428">
        <v>368365</v>
      </c>
      <c r="I538" s="428">
        <v>365602</v>
      </c>
      <c r="J538" s="428">
        <v>349306</v>
      </c>
      <c r="K538" s="428">
        <v>355798</v>
      </c>
      <c r="L538" s="428">
        <v>361923</v>
      </c>
    </row>
    <row r="539" spans="1:12">
      <c r="A539" s="429" t="str">
        <f t="shared" si="16"/>
        <v>16</v>
      </c>
      <c r="B539" s="429" t="str">
        <f>T("1602045 2013")</f>
        <v>1602045 2013</v>
      </c>
      <c r="C539" s="637" t="str">
        <f>T("Högskolan på Gotland: Grundutbildning")</f>
        <v>Högskolan på Gotland: Grundutbildning</v>
      </c>
      <c r="D539" s="428">
        <v>107733</v>
      </c>
      <c r="E539" s="428">
        <v>105639.683</v>
      </c>
      <c r="F539" s="428">
        <v>124456.84</v>
      </c>
      <c r="G539" s="428">
        <v>130506.16</v>
      </c>
      <c r="H539" s="428">
        <v>136699</v>
      </c>
      <c r="I539" s="428">
        <v>136410</v>
      </c>
      <c r="J539" s="428">
        <v>125743</v>
      </c>
      <c r="K539" s="428">
        <v>124157</v>
      </c>
    </row>
    <row r="540" spans="1:12">
      <c r="A540" s="429" t="str">
        <f t="shared" si="16"/>
        <v>16</v>
      </c>
      <c r="B540" s="429" t="str">
        <f>T("1602046")</f>
        <v>1602046</v>
      </c>
      <c r="C540" s="637" t="str">
        <f>T("Högskolan i Halmstad: Forskning och forskarutbildning")</f>
        <v>Högskolan i Halmstad: Forskning och forskarutbildning</v>
      </c>
      <c r="J540" s="428">
        <v>52564</v>
      </c>
      <c r="K540" s="428">
        <v>53955</v>
      </c>
      <c r="L540" s="428">
        <v>56210</v>
      </c>
    </row>
    <row r="541" spans="1:12">
      <c r="A541" s="429" t="str">
        <f t="shared" si="16"/>
        <v>16</v>
      </c>
      <c r="B541" s="429" t="str">
        <f>T("1602046 2013")</f>
        <v>1602046 2013</v>
      </c>
      <c r="C541" s="637" t="str">
        <f>T("Högskolan på Gotland: Forskning och forskarutbildning")</f>
        <v>Högskolan på Gotland: Forskning och forskarutbildning</v>
      </c>
      <c r="J541" s="428">
        <v>20426</v>
      </c>
      <c r="K541" s="428">
        <v>20848</v>
      </c>
    </row>
    <row r="542" spans="1:12">
      <c r="A542" s="429" t="str">
        <f t="shared" si="16"/>
        <v>16</v>
      </c>
      <c r="B542" s="429" t="str">
        <f>T("1602047")</f>
        <v>1602047</v>
      </c>
      <c r="C542" s="637" t="str">
        <f>T("Högskolan Kristianstad: Utbildning på grundnivå och avancerad nivå")</f>
        <v>Högskolan Kristianstad: Utbildning på grundnivå och avancerad nivå</v>
      </c>
      <c r="D542" s="428">
        <v>297663.94699999999</v>
      </c>
      <c r="E542" s="428">
        <v>283107.57299999997</v>
      </c>
      <c r="F542" s="428">
        <v>289847.37599999999</v>
      </c>
      <c r="G542" s="428">
        <v>307551.22700000001</v>
      </c>
      <c r="H542" s="428">
        <v>353426.67</v>
      </c>
      <c r="I542" s="428">
        <v>363778.03200000001</v>
      </c>
      <c r="J542" s="428">
        <v>344864.29800000001</v>
      </c>
      <c r="K542" s="428">
        <v>344867</v>
      </c>
      <c r="L542" s="428">
        <v>350782</v>
      </c>
    </row>
    <row r="543" spans="1:12">
      <c r="A543" s="429" t="str">
        <f t="shared" si="16"/>
        <v>16</v>
      </c>
      <c r="B543" s="429" t="str">
        <f>T("1602048")</f>
        <v>1602048</v>
      </c>
      <c r="C543" s="637" t="str">
        <f>T("Högskolan Kristianstad: Forskning och forskarutbildning")</f>
        <v>Högskolan Kristianstad: Forskning och forskarutbildning</v>
      </c>
      <c r="J543" s="428">
        <v>45777</v>
      </c>
      <c r="K543" s="428">
        <v>45739</v>
      </c>
      <c r="L543" s="428">
        <v>47084</v>
      </c>
    </row>
    <row r="544" spans="1:12">
      <c r="A544" s="429" t="str">
        <f t="shared" si="16"/>
        <v>16</v>
      </c>
      <c r="B544" s="429" t="str">
        <f>T("1602049")</f>
        <v>1602049</v>
      </c>
      <c r="C544" s="637" t="str">
        <f>T("Högskolan i Skövde: Utbildning på grundnivå och avancerad nivå")</f>
        <v>Högskolan i Skövde: Utbildning på grundnivå och avancerad nivå</v>
      </c>
      <c r="D544" s="428">
        <v>289829</v>
      </c>
      <c r="E544" s="428">
        <v>251794</v>
      </c>
      <c r="F544" s="428">
        <v>271040.77500000002</v>
      </c>
      <c r="G544" s="428">
        <v>289881.63799999998</v>
      </c>
      <c r="H544" s="428">
        <v>302882.58799999999</v>
      </c>
      <c r="I544" s="428">
        <v>306522.8</v>
      </c>
      <c r="J544" s="428">
        <v>305360.8</v>
      </c>
      <c r="K544" s="428">
        <v>310591.15700000001</v>
      </c>
      <c r="L544" s="428">
        <v>318917.83399999997</v>
      </c>
    </row>
    <row r="545" spans="1:12">
      <c r="A545" s="429" t="str">
        <f t="shared" si="16"/>
        <v>16</v>
      </c>
      <c r="B545" s="429" t="str">
        <f>T("1602050")</f>
        <v>1602050</v>
      </c>
      <c r="C545" s="637" t="str">
        <f>T("Högskolan i Skövde: Forskning och forskarutbildning")</f>
        <v>Högskolan i Skövde: Forskning och forskarutbildning</v>
      </c>
      <c r="J545" s="428">
        <v>38781</v>
      </c>
      <c r="K545" s="428">
        <v>39767</v>
      </c>
      <c r="L545" s="428">
        <v>41253</v>
      </c>
    </row>
    <row r="546" spans="1:12">
      <c r="A546" s="429" t="str">
        <f t="shared" si="16"/>
        <v>16</v>
      </c>
      <c r="B546" s="429" t="str">
        <f>T("1602051")</f>
        <v>1602051</v>
      </c>
      <c r="C546" s="637" t="str">
        <f>T("Högskolan Väst: Utbildning på grundnivå och avancerad nivå")</f>
        <v>Högskolan Väst: Utbildning på grundnivå och avancerad nivå</v>
      </c>
      <c r="D546" s="428">
        <v>250775.69500000001</v>
      </c>
      <c r="E546" s="428">
        <v>254299.72899999999</v>
      </c>
      <c r="F546" s="428">
        <v>275108.93400000001</v>
      </c>
      <c r="G546" s="428">
        <v>307276.17800000001</v>
      </c>
      <c r="H546" s="428">
        <v>348305.97700000001</v>
      </c>
      <c r="I546" s="428">
        <v>350391.33100000001</v>
      </c>
      <c r="J546" s="428">
        <v>335433.35399999999</v>
      </c>
      <c r="K546" s="428">
        <v>350964.61300000001</v>
      </c>
      <c r="L546" s="428">
        <v>367745.06800000003</v>
      </c>
    </row>
    <row r="547" spans="1:12">
      <c r="A547" s="429" t="str">
        <f t="shared" si="16"/>
        <v>16</v>
      </c>
      <c r="B547" s="429" t="str">
        <f>T("1602051 2010")</f>
        <v>1602051 2010</v>
      </c>
      <c r="C547" s="637" t="str">
        <f>T("Teaterhögskolan i Stockholm: Grundutbildning")</f>
        <v>Teaterhögskolan i Stockholm: Grundutbildning</v>
      </c>
      <c r="D547" s="428">
        <v>27665</v>
      </c>
      <c r="E547" s="428">
        <v>27887</v>
      </c>
      <c r="F547" s="428">
        <v>28110</v>
      </c>
      <c r="G547" s="428">
        <v>28631</v>
      </c>
      <c r="H547" s="428">
        <v>29345</v>
      </c>
      <c r="J547" s="428">
        <v>240</v>
      </c>
    </row>
    <row r="548" spans="1:12">
      <c r="A548" s="429" t="str">
        <f t="shared" si="16"/>
        <v>16</v>
      </c>
      <c r="B548" s="429" t="str">
        <f>T("1602052")</f>
        <v>1602052</v>
      </c>
      <c r="C548" s="637" t="str">
        <f>T("Högskolan Väst: Forskning och forskarutbildning")</f>
        <v>Högskolan Väst: Forskning och forskarutbildning</v>
      </c>
      <c r="J548" s="428">
        <v>38778</v>
      </c>
      <c r="K548" s="428">
        <v>39190</v>
      </c>
      <c r="L548" s="428">
        <v>40796</v>
      </c>
    </row>
    <row r="549" spans="1:12">
      <c r="A549" s="429" t="str">
        <f t="shared" si="16"/>
        <v>16</v>
      </c>
      <c r="B549" s="429" t="str">
        <f>T("1602053")</f>
        <v>1602053</v>
      </c>
      <c r="C549" s="637" t="str">
        <f>T("Konstfack: Utbildning på grundnivå och avancerad nivå")</f>
        <v>Konstfack: Utbildning på grundnivå och avancerad nivå</v>
      </c>
      <c r="D549" s="428">
        <v>121887</v>
      </c>
      <c r="E549" s="428">
        <v>122863</v>
      </c>
      <c r="F549" s="428">
        <v>123847</v>
      </c>
      <c r="G549" s="428">
        <v>126142</v>
      </c>
      <c r="H549" s="428">
        <v>130347</v>
      </c>
      <c r="I549" s="428">
        <v>130543</v>
      </c>
      <c r="J549" s="428">
        <v>143199</v>
      </c>
      <c r="K549" s="428">
        <v>141339</v>
      </c>
      <c r="L549" s="428">
        <v>152631</v>
      </c>
    </row>
    <row r="550" spans="1:12">
      <c r="A550" s="429" t="str">
        <f t="shared" si="16"/>
        <v>16</v>
      </c>
      <c r="B550" s="429" t="str">
        <f>T("1602054")</f>
        <v>1602054</v>
      </c>
      <c r="C550" s="637" t="str">
        <f>T("Konstfack: Konstnärlig forskning och forskarutbildning")</f>
        <v>Konstfack: Konstnärlig forskning och forskarutbildning</v>
      </c>
      <c r="J550" s="428">
        <v>7514</v>
      </c>
      <c r="K550" s="428">
        <v>7557</v>
      </c>
      <c r="L550" s="428">
        <v>8202</v>
      </c>
    </row>
    <row r="551" spans="1:12">
      <c r="A551" s="429" t="str">
        <f t="shared" si="16"/>
        <v>16</v>
      </c>
      <c r="B551" s="429" t="str">
        <f>T("1602054 2011")</f>
        <v>1602054 2011</v>
      </c>
      <c r="C551" s="637" t="str">
        <f>T("Forskning och konstnärligt utvecklingsarbete vid vissa högskolor")</f>
        <v>Forskning och konstnärligt utvecklingsarbete vid vissa högskolor</v>
      </c>
      <c r="D551" s="428">
        <v>371277</v>
      </c>
      <c r="E551" s="428">
        <v>390059</v>
      </c>
      <c r="F551" s="428">
        <v>396088.83763000002</v>
      </c>
      <c r="G551" s="428">
        <v>403796.5</v>
      </c>
      <c r="H551" s="428">
        <v>479485</v>
      </c>
      <c r="I551" s="428">
        <v>487804</v>
      </c>
    </row>
    <row r="552" spans="1:12">
      <c r="A552" s="429" t="str">
        <f t="shared" si="16"/>
        <v>16</v>
      </c>
      <c r="B552" s="429" t="str">
        <f>T("1602055")</f>
        <v>1602055</v>
      </c>
      <c r="C552" s="637" t="str">
        <f>T("Kungl. Konsthögskolan: Utbildning på grundnivå och avancerad nivå")</f>
        <v>Kungl. Konsthögskolan: Utbildning på grundnivå och avancerad nivå</v>
      </c>
      <c r="D552" s="428">
        <v>55751</v>
      </c>
      <c r="E552" s="428">
        <v>56196</v>
      </c>
      <c r="F552" s="428">
        <v>56644</v>
      </c>
      <c r="G552" s="428">
        <v>57696</v>
      </c>
      <c r="H552" s="428">
        <v>59619</v>
      </c>
      <c r="I552" s="428">
        <v>59694</v>
      </c>
      <c r="J552" s="428">
        <v>58956</v>
      </c>
      <c r="K552" s="428">
        <v>59295</v>
      </c>
      <c r="L552" s="428">
        <v>60431</v>
      </c>
    </row>
    <row r="553" spans="1:12">
      <c r="A553" s="429" t="str">
        <f t="shared" si="16"/>
        <v>16</v>
      </c>
      <c r="B553" s="429" t="str">
        <f>T("1602056")</f>
        <v>1602056</v>
      </c>
      <c r="C553" s="637" t="str">
        <f>T("Kungl. Konsthögskolan: Konstnärlig forskning och forskarutbildning")</f>
        <v>Kungl. Konsthögskolan: Konstnärlig forskning och forskarutbildning</v>
      </c>
      <c r="J553" s="428">
        <v>4301</v>
      </c>
      <c r="K553" s="428">
        <v>4326</v>
      </c>
      <c r="L553" s="428">
        <v>4909</v>
      </c>
    </row>
    <row r="554" spans="1:12">
      <c r="A554" s="429" t="str">
        <f t="shared" si="16"/>
        <v>16</v>
      </c>
      <c r="B554" s="429" t="str">
        <f>T("1602057")</f>
        <v>1602057</v>
      </c>
      <c r="C554" s="637" t="str">
        <f>T("Kungl. Musikhögskolan i Stockholm: Utbildning på grundnivå och avancerad nivå")</f>
        <v>Kungl. Musikhögskolan i Stockholm: Utbildning på grundnivå och avancerad nivå</v>
      </c>
      <c r="D554" s="428">
        <v>127387</v>
      </c>
      <c r="E554" s="428">
        <v>128407</v>
      </c>
      <c r="F554" s="428">
        <v>129436</v>
      </c>
      <c r="G554" s="428">
        <v>131835</v>
      </c>
      <c r="H554" s="428">
        <v>136230</v>
      </c>
      <c r="I554" s="428">
        <v>136440</v>
      </c>
      <c r="J554" s="428">
        <v>118592</v>
      </c>
      <c r="K554" s="428">
        <v>118001</v>
      </c>
      <c r="L554" s="428">
        <v>122811</v>
      </c>
    </row>
    <row r="555" spans="1:12">
      <c r="A555" s="429" t="str">
        <f t="shared" si="16"/>
        <v>16</v>
      </c>
      <c r="B555" s="429" t="str">
        <f>T("1602058")</f>
        <v>1602058</v>
      </c>
      <c r="C555" s="637" t="str">
        <f>T("Kungl. Musikhögskolan i Stockholm: Konstnärlig forskning och forskarutbildning")</f>
        <v>Kungl. Musikhögskolan i Stockholm: Konstnärlig forskning och forskarutbildning</v>
      </c>
      <c r="J555" s="428">
        <v>7604</v>
      </c>
      <c r="K555" s="428">
        <v>7647</v>
      </c>
      <c r="L555" s="428">
        <v>8294</v>
      </c>
    </row>
    <row r="556" spans="1:12">
      <c r="A556" s="429" t="str">
        <f t="shared" ref="A556:A619" si="17">T("16")</f>
        <v>16</v>
      </c>
      <c r="B556" s="429" t="str">
        <f>T("1602059")</f>
        <v>1602059</v>
      </c>
      <c r="C556" s="637" t="str">
        <f>T("Södertörns högskola: Utbildning på grundnivå och avancerad nivå")</f>
        <v>Södertörns högskola: Utbildning på grundnivå och avancerad nivå</v>
      </c>
      <c r="D556" s="428">
        <v>295623</v>
      </c>
      <c r="E556" s="428">
        <v>268432.27899999998</v>
      </c>
      <c r="F556" s="428">
        <v>276107</v>
      </c>
      <c r="G556" s="428">
        <v>313591.51299999998</v>
      </c>
      <c r="H556" s="428">
        <v>379106.73499999999</v>
      </c>
      <c r="I556" s="428">
        <v>398744.46500000003</v>
      </c>
      <c r="J556" s="428">
        <v>350043</v>
      </c>
      <c r="K556" s="428">
        <v>363505</v>
      </c>
      <c r="L556" s="428">
        <v>370473</v>
      </c>
    </row>
    <row r="557" spans="1:12">
      <c r="A557" s="429" t="str">
        <f t="shared" si="17"/>
        <v>16</v>
      </c>
      <c r="B557" s="429" t="str">
        <f>T("1602060")</f>
        <v>1602060</v>
      </c>
      <c r="C557" s="637" t="str">
        <f>T("Södertörns högskola: Forskning och forskarutbildning")</f>
        <v>Södertörns högskola: Forskning och forskarutbildning</v>
      </c>
      <c r="J557" s="428">
        <v>39934</v>
      </c>
      <c r="K557" s="428">
        <v>40504</v>
      </c>
      <c r="L557" s="428">
        <v>52546</v>
      </c>
    </row>
    <row r="558" spans="1:12">
      <c r="A558" s="429" t="str">
        <f t="shared" si="17"/>
        <v>16</v>
      </c>
      <c r="B558" s="429" t="str">
        <f>T("1602061")</f>
        <v>1602061</v>
      </c>
      <c r="C558" s="637" t="str">
        <f>T("Försvarshögskolan: Utbildning på grundnivå och avancerad nivå")</f>
        <v>Försvarshögskolan: Utbildning på grundnivå och avancerad nivå</v>
      </c>
      <c r="F558" s="428">
        <v>13892.95996</v>
      </c>
      <c r="G558" s="428">
        <v>22018.04004</v>
      </c>
      <c r="H558" s="428">
        <v>22695</v>
      </c>
      <c r="I558" s="428">
        <v>22675</v>
      </c>
      <c r="J558" s="428">
        <v>22922</v>
      </c>
      <c r="K558" s="428">
        <v>23053</v>
      </c>
      <c r="L558" s="428">
        <v>23548</v>
      </c>
    </row>
    <row r="559" spans="1:12">
      <c r="A559" s="429" t="str">
        <f t="shared" si="17"/>
        <v>16</v>
      </c>
      <c r="B559" s="429" t="str">
        <f>T("1602062")</f>
        <v>1602062</v>
      </c>
      <c r="C559" s="637" t="str">
        <f>T("Försvarshögskolan: Forskning och forskarutbildning")</f>
        <v>Försvarshögskolan: Forskning och forskarutbildning</v>
      </c>
      <c r="J559" s="428">
        <v>8517</v>
      </c>
      <c r="K559" s="428">
        <v>8566</v>
      </c>
      <c r="L559" s="428">
        <v>9231</v>
      </c>
    </row>
    <row r="560" spans="1:12">
      <c r="A560" s="429" t="str">
        <f t="shared" si="17"/>
        <v>16</v>
      </c>
      <c r="B560" s="429" t="str">
        <f>T("1602063")</f>
        <v>1602063</v>
      </c>
      <c r="C560" s="637" t="str">
        <f>T("Enskilda utbildningsanordnare på högskoleområdet")</f>
        <v>Enskilda utbildningsanordnare på högskoleområdet</v>
      </c>
      <c r="D560" s="428">
        <v>1992042.1680000001</v>
      </c>
      <c r="E560" s="428">
        <v>2068698.148</v>
      </c>
      <c r="F560" s="428">
        <v>2141984.335</v>
      </c>
      <c r="G560" s="428">
        <v>2255781.7250000001</v>
      </c>
      <c r="H560" s="428">
        <v>2579464.7590000001</v>
      </c>
      <c r="I560" s="428">
        <v>2680482.3629999999</v>
      </c>
      <c r="J560" s="428">
        <v>2747582.1669999999</v>
      </c>
      <c r="K560" s="428">
        <v>2758767.1030000001</v>
      </c>
      <c r="L560" s="428">
        <v>2888770.639</v>
      </c>
    </row>
    <row r="561" spans="1:12">
      <c r="A561" s="429" t="str">
        <f t="shared" si="17"/>
        <v>16</v>
      </c>
      <c r="B561" s="429" t="str">
        <f>T("1602063 2013")</f>
        <v>1602063 2013</v>
      </c>
      <c r="C561" s="637" t="str">
        <f>T("Operahögskolan i Stockholm: Grundutbildning")</f>
        <v>Operahögskolan i Stockholm: Grundutbildning</v>
      </c>
      <c r="D561" s="428">
        <v>17182</v>
      </c>
      <c r="E561" s="428">
        <v>17320</v>
      </c>
      <c r="F561" s="428">
        <v>17459</v>
      </c>
      <c r="G561" s="428">
        <v>17783</v>
      </c>
      <c r="H561" s="428">
        <v>18376</v>
      </c>
      <c r="I561" s="428">
        <v>18358</v>
      </c>
      <c r="J561" s="428">
        <v>17288</v>
      </c>
      <c r="K561" s="428">
        <v>17388</v>
      </c>
    </row>
    <row r="562" spans="1:12">
      <c r="A562" s="429" t="str">
        <f t="shared" si="17"/>
        <v>16</v>
      </c>
      <c r="B562" s="429" t="str">
        <f>T("1602064")</f>
        <v>1602064</v>
      </c>
      <c r="C562" s="637" t="str">
        <f>T("Särskilda utgifter inom universitet och högskolor")</f>
        <v>Särskilda utgifter inom universitet och högskolor</v>
      </c>
      <c r="D562" s="428">
        <v>513548.163</v>
      </c>
      <c r="E562" s="428">
        <v>375427.26523999998</v>
      </c>
      <c r="F562" s="428">
        <v>352957.875</v>
      </c>
      <c r="G562" s="428">
        <v>1680661.41512</v>
      </c>
      <c r="H562" s="428">
        <v>429259.54609000002</v>
      </c>
      <c r="I562" s="428">
        <v>382590.57900000003</v>
      </c>
      <c r="J562" s="428">
        <v>558936.31941</v>
      </c>
      <c r="K562" s="428">
        <v>575826.24497</v>
      </c>
      <c r="L562" s="428">
        <v>525162.34649999999</v>
      </c>
    </row>
    <row r="563" spans="1:12">
      <c r="A563" s="429" t="str">
        <f t="shared" si="17"/>
        <v>16</v>
      </c>
      <c r="B563" s="429" t="str">
        <f>T("1602064 2013")</f>
        <v>1602064 2013</v>
      </c>
      <c r="C563" s="637" t="str">
        <f>T("Operahögskolan i Stockholm: Konstnärlig forskning och konstnärligt utvecklingsarbete")</f>
        <v>Operahögskolan i Stockholm: Konstnärlig forskning och konstnärligt utvecklingsarbete</v>
      </c>
      <c r="J563" s="428">
        <v>4782</v>
      </c>
      <c r="K563" s="428">
        <v>4809</v>
      </c>
    </row>
    <row r="564" spans="1:12">
      <c r="A564" s="429" t="str">
        <f t="shared" si="17"/>
        <v>16</v>
      </c>
      <c r="B564" s="429" t="str">
        <f>T("1602065")</f>
        <v>1602065</v>
      </c>
      <c r="C564" s="637" t="str">
        <f>T("Särskilda medel till universitet och högskolor")</f>
        <v>Särskilda medel till universitet och högskolor</v>
      </c>
      <c r="J564" s="428">
        <v>358749</v>
      </c>
      <c r="K564" s="428">
        <v>450282.02638</v>
      </c>
      <c r="L564" s="428">
        <v>592124</v>
      </c>
    </row>
    <row r="565" spans="1:12">
      <c r="A565" s="429" t="str">
        <f t="shared" si="17"/>
        <v>16</v>
      </c>
      <c r="B565" s="429" t="str">
        <f>T("1602066")</f>
        <v>1602066</v>
      </c>
      <c r="C565" s="637" t="str">
        <f>T("Ersättningar för klinisk utbildning och forskning")</f>
        <v>Ersättningar för klinisk utbildning och forskning</v>
      </c>
      <c r="D565" s="428">
        <v>1986092</v>
      </c>
      <c r="E565" s="428">
        <v>2014568</v>
      </c>
      <c r="F565" s="428">
        <v>2035759</v>
      </c>
      <c r="G565" s="428">
        <v>2087152</v>
      </c>
      <c r="H565" s="428">
        <v>2172015</v>
      </c>
      <c r="I565" s="428">
        <v>2193612</v>
      </c>
      <c r="J565" s="428">
        <v>2224767</v>
      </c>
      <c r="K565" s="428">
        <v>2256393</v>
      </c>
      <c r="L565" s="428">
        <v>2314815</v>
      </c>
    </row>
    <row r="566" spans="1:12">
      <c r="A566" s="429" t="str">
        <f t="shared" si="17"/>
        <v>16</v>
      </c>
      <c r="B566" s="429" t="str">
        <f>T("1603001")</f>
        <v>1603001</v>
      </c>
      <c r="C566" s="637" t="str">
        <f>T("Vetenskapsrådet: Forskning och forskningsinformation")</f>
        <v>Vetenskapsrådet: Forskning och forskningsinformation</v>
      </c>
      <c r="D566" s="428">
        <v>2760869.9060900002</v>
      </c>
      <c r="E566" s="428">
        <v>3010932.5888100001</v>
      </c>
      <c r="F566" s="428">
        <v>3576210.30669</v>
      </c>
      <c r="G566" s="428">
        <v>4059542.61736</v>
      </c>
      <c r="H566" s="428">
        <v>4454990.4867700003</v>
      </c>
      <c r="I566" s="428">
        <v>4368539.4903300004</v>
      </c>
      <c r="J566" s="428">
        <v>4604486.87775</v>
      </c>
      <c r="K566" s="428">
        <v>5006344.79122</v>
      </c>
      <c r="L566" s="428">
        <v>5750326.8415999999</v>
      </c>
    </row>
    <row r="567" spans="1:12">
      <c r="A567" s="429" t="str">
        <f t="shared" si="17"/>
        <v>16</v>
      </c>
      <c r="B567" s="429" t="str">
        <f>T("1603002")</f>
        <v>1603002</v>
      </c>
      <c r="C567" s="637" t="str">
        <f>T("Vetenskapsrådet: Avgifter till internationella organisationer")</f>
        <v>Vetenskapsrådet: Avgifter till internationella organisationer</v>
      </c>
      <c r="I567" s="428">
        <v>250689.76491</v>
      </c>
      <c r="J567" s="428">
        <v>316829</v>
      </c>
      <c r="K567" s="428">
        <v>256483.18033999999</v>
      </c>
      <c r="L567" s="428">
        <v>274292.05978000001</v>
      </c>
    </row>
    <row r="568" spans="1:12">
      <c r="A568" s="429" t="str">
        <f t="shared" si="17"/>
        <v>16</v>
      </c>
      <c r="B568" s="429" t="str">
        <f>T("1603003")</f>
        <v>1603003</v>
      </c>
      <c r="C568" s="637" t="str">
        <f>T("Vetenskapsrådet: Förvaltning")</f>
        <v>Vetenskapsrådet: Förvaltning</v>
      </c>
      <c r="D568" s="428">
        <v>108081.61483000001</v>
      </c>
      <c r="E568" s="428">
        <v>106554.57266000001</v>
      </c>
      <c r="F568" s="428">
        <v>111262.31797</v>
      </c>
      <c r="G568" s="428">
        <v>111000.72267</v>
      </c>
      <c r="H568" s="428">
        <v>112480.26895</v>
      </c>
      <c r="I568" s="428">
        <v>116970.86130999999</v>
      </c>
      <c r="J568" s="428">
        <v>118486.46352999999</v>
      </c>
      <c r="K568" s="428">
        <v>125367.02049</v>
      </c>
      <c r="L568" s="428">
        <v>133330.38566999999</v>
      </c>
    </row>
    <row r="569" spans="1:12">
      <c r="A569" s="429" t="str">
        <f t="shared" si="17"/>
        <v>16</v>
      </c>
      <c r="B569" s="429" t="str">
        <f>T("1603004")</f>
        <v>1603004</v>
      </c>
      <c r="C569" s="637" t="str">
        <f>T("Rymdforskning och rymdverksamhet")</f>
        <v>Rymdforskning och rymdverksamhet</v>
      </c>
      <c r="D569" s="428">
        <v>164599.14384999999</v>
      </c>
      <c r="E569" s="428">
        <v>164479.12684000001</v>
      </c>
      <c r="F569" s="428">
        <v>172873.54525</v>
      </c>
      <c r="G569" s="428">
        <v>193502.18601</v>
      </c>
      <c r="H569" s="428">
        <v>190341.30089000001</v>
      </c>
      <c r="I569" s="428">
        <v>100057.02123</v>
      </c>
      <c r="J569" s="428">
        <v>267444.96976000001</v>
      </c>
      <c r="K569" s="428">
        <v>342171.83688999998</v>
      </c>
      <c r="L569" s="428">
        <v>350495.47337000002</v>
      </c>
    </row>
    <row r="570" spans="1:12">
      <c r="A570" s="429" t="str">
        <f t="shared" si="17"/>
        <v>16</v>
      </c>
      <c r="B570" s="429" t="str">
        <f>T("1603005")</f>
        <v>1603005</v>
      </c>
      <c r="C570" s="637" t="str">
        <f>T("Rymdstyrelsen: Förvaltning")</f>
        <v>Rymdstyrelsen: Förvaltning</v>
      </c>
      <c r="D570" s="428">
        <v>22598.92556</v>
      </c>
      <c r="E570" s="428">
        <v>22708.792259999998</v>
      </c>
      <c r="F570" s="428">
        <v>22693.668269999998</v>
      </c>
      <c r="G570" s="428">
        <v>24755.40914</v>
      </c>
      <c r="H570" s="428">
        <v>22843.799050000001</v>
      </c>
      <c r="I570" s="428">
        <v>24018.07315</v>
      </c>
      <c r="J570" s="428">
        <v>25985.766909999998</v>
      </c>
      <c r="K570" s="428">
        <v>26233.018179999999</v>
      </c>
      <c r="L570" s="428">
        <v>26164.885050000001</v>
      </c>
    </row>
    <row r="571" spans="1:12">
      <c r="A571" s="429" t="str">
        <f t="shared" si="17"/>
        <v>16</v>
      </c>
      <c r="B571" s="429" t="str">
        <f>T("1603006")</f>
        <v>1603006</v>
      </c>
      <c r="C571" s="637" t="str">
        <f>T("Rymdstyrelsen: Avgifter till internationella organisationer")</f>
        <v>Rymdstyrelsen: Avgifter till internationella organisationer</v>
      </c>
      <c r="I571" s="428">
        <v>110447.16546</v>
      </c>
      <c r="J571" s="428">
        <v>549389.30123999994</v>
      </c>
      <c r="K571" s="428">
        <v>549033.06388000003</v>
      </c>
      <c r="L571" s="428">
        <v>550598.93238999997</v>
      </c>
    </row>
    <row r="572" spans="1:12">
      <c r="A572" s="429" t="str">
        <f t="shared" si="17"/>
        <v>16</v>
      </c>
      <c r="B572" s="429" t="str">
        <f>T("1603007")</f>
        <v>1603007</v>
      </c>
      <c r="C572" s="637" t="str">
        <f>T("Institutet för rymdfysik")</f>
        <v>Institutet för rymdfysik</v>
      </c>
      <c r="D572" s="428">
        <v>44994.367469999997</v>
      </c>
      <c r="E572" s="428">
        <v>45462.739889999997</v>
      </c>
      <c r="F572" s="428">
        <v>46237.242059999997</v>
      </c>
      <c r="G572" s="428">
        <v>46979.505969999998</v>
      </c>
      <c r="H572" s="428">
        <v>47823.986570000001</v>
      </c>
      <c r="I572" s="428">
        <v>47510.298889999998</v>
      </c>
      <c r="J572" s="428">
        <v>46990.748919999998</v>
      </c>
      <c r="K572" s="428">
        <v>48406.083919999997</v>
      </c>
      <c r="L572" s="428">
        <v>49851.181100000002</v>
      </c>
    </row>
    <row r="573" spans="1:12">
      <c r="A573" s="429" t="str">
        <f t="shared" si="17"/>
        <v>16</v>
      </c>
      <c r="B573" s="429" t="str">
        <f>T("1603008")</f>
        <v>1603008</v>
      </c>
      <c r="C573" s="637" t="str">
        <f>T("Kungl. biblioteket")</f>
        <v>Kungl. biblioteket</v>
      </c>
      <c r="D573" s="428">
        <v>243901.28528000001</v>
      </c>
      <c r="E573" s="428">
        <v>244245.71242</v>
      </c>
      <c r="F573" s="428">
        <v>258937.87471999999</v>
      </c>
      <c r="G573" s="428">
        <v>315385.97291000001</v>
      </c>
      <c r="H573" s="428">
        <v>320802.68712999998</v>
      </c>
      <c r="I573" s="428">
        <v>326659.67216999998</v>
      </c>
      <c r="J573" s="428">
        <v>327509.17093000002</v>
      </c>
      <c r="K573" s="428">
        <v>341454.74330999999</v>
      </c>
      <c r="L573" s="428">
        <v>338552.87190000003</v>
      </c>
    </row>
    <row r="574" spans="1:12">
      <c r="A574" s="429" t="str">
        <f t="shared" si="17"/>
        <v>16</v>
      </c>
      <c r="B574" s="429" t="str">
        <f>T("1603009")</f>
        <v>1603009</v>
      </c>
      <c r="C574" s="637" t="str">
        <f>T("Polarforskningssekretariatet")</f>
        <v>Polarforskningssekretariatet</v>
      </c>
      <c r="D574" s="428">
        <v>26097.010859999999</v>
      </c>
      <c r="E574" s="428">
        <v>31224.927780000002</v>
      </c>
      <c r="F574" s="428">
        <v>31478.58627</v>
      </c>
      <c r="G574" s="428">
        <v>23719.20592</v>
      </c>
      <c r="H574" s="428">
        <v>24072.570940000001</v>
      </c>
      <c r="I574" s="428">
        <v>25632.482749999999</v>
      </c>
      <c r="J574" s="428">
        <v>37778.760970000003</v>
      </c>
      <c r="K574" s="428">
        <v>31926.981319999999</v>
      </c>
      <c r="L574" s="428">
        <v>59076.803979999997</v>
      </c>
    </row>
    <row r="575" spans="1:12">
      <c r="A575" s="429" t="str">
        <f t="shared" si="17"/>
        <v>16</v>
      </c>
      <c r="B575" s="429" t="str">
        <f>T("1603010")</f>
        <v>1603010</v>
      </c>
      <c r="C575" s="637" t="str">
        <f>T("Sunet")</f>
        <v>Sunet</v>
      </c>
      <c r="D575" s="428">
        <v>39805</v>
      </c>
      <c r="E575" s="428">
        <v>41652.945099999997</v>
      </c>
      <c r="F575" s="428">
        <v>38906.054900000003</v>
      </c>
      <c r="G575" s="428">
        <v>41503</v>
      </c>
      <c r="H575" s="428">
        <v>42146</v>
      </c>
      <c r="I575" s="428">
        <v>42740</v>
      </c>
      <c r="J575" s="428">
        <v>43077.35123</v>
      </c>
      <c r="K575" s="428">
        <v>44377.335149999999</v>
      </c>
      <c r="L575" s="428">
        <v>45076.61103</v>
      </c>
    </row>
    <row r="576" spans="1:12">
      <c r="A576" s="429" t="str">
        <f t="shared" si="17"/>
        <v>16</v>
      </c>
      <c r="B576" s="429" t="str">
        <f>T("1603011")</f>
        <v>1603011</v>
      </c>
      <c r="C576" s="637" t="str">
        <f>T("Centrala etikprövningsnämnden")</f>
        <v>Centrala etikprövningsnämnden</v>
      </c>
      <c r="D576" s="428">
        <v>4320.3816399999996</v>
      </c>
      <c r="E576" s="428">
        <v>3993.22849</v>
      </c>
      <c r="F576" s="428">
        <v>3971.3684400000002</v>
      </c>
      <c r="G576" s="428">
        <v>4842.1463899999999</v>
      </c>
      <c r="H576" s="428">
        <v>5477.6610700000001</v>
      </c>
      <c r="I576" s="428">
        <v>6006.9362600000004</v>
      </c>
      <c r="J576" s="428">
        <v>5880.6468299999997</v>
      </c>
      <c r="K576" s="428">
        <v>5668.4588700000004</v>
      </c>
      <c r="L576" s="428">
        <v>7103.0155299999997</v>
      </c>
    </row>
    <row r="577" spans="1:12">
      <c r="A577" s="429" t="str">
        <f t="shared" si="17"/>
        <v>16</v>
      </c>
      <c r="B577" s="429" t="str">
        <f>T("1603012")</f>
        <v>1603012</v>
      </c>
      <c r="C577" s="637" t="str">
        <f>T("Regionala etikprövningsnämnder")</f>
        <v>Regionala etikprövningsnämnder</v>
      </c>
      <c r="D577" s="428">
        <v>26472.397379999999</v>
      </c>
      <c r="E577" s="428">
        <v>27903.821479999999</v>
      </c>
      <c r="F577" s="428">
        <v>28222.63106</v>
      </c>
      <c r="G577" s="428">
        <v>31387.10514</v>
      </c>
      <c r="H577" s="428">
        <v>31451.379690000002</v>
      </c>
      <c r="I577" s="428">
        <v>31645.631860000001</v>
      </c>
      <c r="J577" s="428">
        <v>32121.122029999999</v>
      </c>
      <c r="K577" s="428">
        <v>32578.982639999998</v>
      </c>
      <c r="L577" s="428">
        <v>33516.092909999999</v>
      </c>
    </row>
    <row r="578" spans="1:12">
      <c r="A578" s="429" t="str">
        <f t="shared" si="17"/>
        <v>16</v>
      </c>
      <c r="B578" s="429" t="str">
        <f>T("1603013")</f>
        <v>1603013</v>
      </c>
      <c r="C578" s="637" t="str">
        <f>T("Särskilda utgifter för forskningsändamål")</f>
        <v>Särskilda utgifter för forskningsändamål</v>
      </c>
      <c r="D578" s="428">
        <v>108408.75</v>
      </c>
      <c r="E578" s="428">
        <v>112240</v>
      </c>
      <c r="F578" s="428">
        <v>115111.61</v>
      </c>
      <c r="G578" s="428">
        <v>87820.047000000006</v>
      </c>
      <c r="H578" s="428">
        <v>143915.41</v>
      </c>
      <c r="I578" s="428">
        <v>110599.94833</v>
      </c>
      <c r="J578" s="428">
        <v>130266.55</v>
      </c>
      <c r="K578" s="428">
        <v>150370.55687</v>
      </c>
      <c r="L578" s="428">
        <v>120404.70388</v>
      </c>
    </row>
    <row r="579" spans="1:12">
      <c r="A579" s="429" t="str">
        <f t="shared" si="17"/>
        <v>16</v>
      </c>
      <c r="B579" s="429" t="str">
        <f>T("1604001")</f>
        <v>1604001</v>
      </c>
      <c r="C579" s="637" t="str">
        <f>T("Internationella program")</f>
        <v>Internationella program</v>
      </c>
      <c r="K579" s="428">
        <v>78887.733810000005</v>
      </c>
      <c r="L579" s="428">
        <v>80639.236099999995</v>
      </c>
    </row>
    <row r="580" spans="1:12">
      <c r="A580" s="429" t="str">
        <f t="shared" si="17"/>
        <v>16</v>
      </c>
      <c r="B580" s="429" t="str">
        <f>T("1604001 2012")</f>
        <v>1604001 2012</v>
      </c>
      <c r="C580" s="637" t="str">
        <f>T("Internationella programkontoret för utbildningsområdet")</f>
        <v>Internationella programkontoret för utbildningsområdet</v>
      </c>
      <c r="D580" s="428">
        <v>42524.188900000001</v>
      </c>
      <c r="E580" s="428">
        <v>41735.468489999999</v>
      </c>
      <c r="F580" s="428">
        <v>52428.58956</v>
      </c>
      <c r="G580" s="428">
        <v>55318.296300000002</v>
      </c>
      <c r="H580" s="428">
        <v>55261.63437</v>
      </c>
      <c r="I580" s="428">
        <v>57310.371330000002</v>
      </c>
      <c r="J580" s="428">
        <v>56874.30298</v>
      </c>
      <c r="K580" s="428">
        <v>2671.67337</v>
      </c>
    </row>
    <row r="581" spans="1:12">
      <c r="A581" s="429" t="str">
        <f t="shared" si="17"/>
        <v>16</v>
      </c>
      <c r="B581" s="429" t="str">
        <f>T("1604002")</f>
        <v>1604002</v>
      </c>
      <c r="C581" s="637" t="str">
        <f>T("Avgift till Unesco och ICCROM")</f>
        <v>Avgift till Unesco och ICCROM</v>
      </c>
      <c r="I581" s="428">
        <v>23749.960729999999</v>
      </c>
      <c r="J581" s="428">
        <v>30886.000499999998</v>
      </c>
      <c r="K581" s="428">
        <v>30506.28715</v>
      </c>
      <c r="L581" s="428">
        <v>12080.259840000001</v>
      </c>
    </row>
    <row r="582" spans="1:12">
      <c r="A582" s="429" t="str">
        <f t="shared" si="17"/>
        <v>16</v>
      </c>
      <c r="B582" s="429" t="str">
        <f>T("1604003")</f>
        <v>1604003</v>
      </c>
      <c r="C582" s="637" t="str">
        <f>T("Kostnader för Svenska Unescorådet")</f>
        <v>Kostnader för Svenska Unescorådet</v>
      </c>
      <c r="D582" s="428">
        <v>26945.226650000001</v>
      </c>
      <c r="E582" s="428">
        <v>27341.078450000001</v>
      </c>
      <c r="F582" s="428">
        <v>29397.29535</v>
      </c>
      <c r="G582" s="428">
        <v>31052.66202</v>
      </c>
      <c r="H582" s="428">
        <v>32426.05457</v>
      </c>
      <c r="I582" s="428">
        <v>4745.4212699999998</v>
      </c>
      <c r="J582" s="428">
        <v>7992.7088700000004</v>
      </c>
      <c r="K582" s="428">
        <v>9170.4117399999996</v>
      </c>
      <c r="L582" s="428">
        <v>8923.8404699999992</v>
      </c>
    </row>
    <row r="583" spans="1:12">
      <c r="A583" s="429" t="str">
        <f t="shared" si="17"/>
        <v>16</v>
      </c>
      <c r="B583" s="429" t="str">
        <f>T("1604004")</f>
        <v>1604004</v>
      </c>
      <c r="C583" s="637" t="str">
        <f>T("Utvecklingsarbete inom områdena utbildning och forskning")</f>
        <v>Utvecklingsarbete inom områdena utbildning och forskning</v>
      </c>
      <c r="D583" s="428">
        <v>10054.50913</v>
      </c>
      <c r="E583" s="428">
        <v>10332.23223</v>
      </c>
      <c r="F583" s="428">
        <v>8451.4255799999992</v>
      </c>
      <c r="G583" s="428">
        <v>9010.6212300000007</v>
      </c>
      <c r="H583" s="428">
        <v>8580.3223500000004</v>
      </c>
      <c r="I583" s="428">
        <v>9014.7421799999993</v>
      </c>
      <c r="J583" s="428">
        <v>9646.7104299999992</v>
      </c>
      <c r="K583" s="428">
        <v>11721.326059999999</v>
      </c>
      <c r="L583" s="428">
        <v>12420.86436</v>
      </c>
    </row>
    <row r="584" spans="1:12">
      <c r="A584" s="429" t="str">
        <f t="shared" si="17"/>
        <v>16</v>
      </c>
      <c r="B584" s="429" t="str">
        <f>T("161101 2002")</f>
        <v>161101 2002</v>
      </c>
      <c r="C584" s="637" t="str">
        <f>T("Förstärkning av utbildning i storstadsregionerna")</f>
        <v>Förstärkning av utbildning i storstadsregionerna</v>
      </c>
      <c r="D584" s="428">
        <v>8873.8310000000001</v>
      </c>
      <c r="E584" s="428">
        <v>322</v>
      </c>
    </row>
    <row r="585" spans="1:12">
      <c r="A585" s="429" t="str">
        <f t="shared" si="17"/>
        <v>16</v>
      </c>
      <c r="B585" s="429" t="str">
        <f>T("162502 2008")</f>
        <v>162502 2008</v>
      </c>
      <c r="C585" s="637" t="str">
        <f>T("Myndigheten för skolutveckling")</f>
        <v>Myndigheten för skolutveckling</v>
      </c>
      <c r="D585" s="428">
        <v>95651.959069999997</v>
      </c>
      <c r="E585" s="428">
        <v>96158.807620000007</v>
      </c>
      <c r="F585" s="428">
        <v>75944.449900000007</v>
      </c>
    </row>
    <row r="586" spans="1:12">
      <c r="A586" s="429" t="str">
        <f t="shared" si="17"/>
        <v>16</v>
      </c>
      <c r="B586" s="429" t="str">
        <f>T("162503 2002")</f>
        <v>162503 2002</v>
      </c>
      <c r="C586" s="637" t="str">
        <f>T("Forskning inom skolväsendet")</f>
        <v>Forskning inom skolväsendet</v>
      </c>
    </row>
    <row r="587" spans="1:12">
      <c r="A587" s="429" t="str">
        <f t="shared" si="17"/>
        <v>16</v>
      </c>
      <c r="B587" s="429" t="str">
        <f>T("162504 2002")</f>
        <v>162504 2002</v>
      </c>
      <c r="C587" s="637" t="str">
        <f>T("Program för IT i skolan")</f>
        <v>Program för IT i skolan</v>
      </c>
    </row>
    <row r="588" spans="1:12">
      <c r="A588" s="429" t="str">
        <f t="shared" si="17"/>
        <v>16</v>
      </c>
      <c r="B588" s="429" t="str">
        <f>T("162504 2008")</f>
        <v>162504 2008</v>
      </c>
      <c r="C588" s="637" t="str">
        <f>T("Specialpedagogiska institutet")</f>
        <v>Specialpedagogiska institutet</v>
      </c>
      <c r="D588" s="428">
        <v>364648.49027000001</v>
      </c>
      <c r="E588" s="428">
        <v>373017.59094000002</v>
      </c>
      <c r="F588" s="428">
        <v>189600.05274000001</v>
      </c>
    </row>
    <row r="589" spans="1:12">
      <c r="A589" s="429" t="str">
        <f t="shared" si="17"/>
        <v>16</v>
      </c>
      <c r="B589" s="429" t="str">
        <f>T("162505 2005")</f>
        <v>162505 2005</v>
      </c>
      <c r="C589" s="637" t="str">
        <f>T("Skolutveckling och produktion av läromedel för elever med funktionshinder")</f>
        <v>Skolutveckling och produktion av läromedel för elever med funktionshinder</v>
      </c>
      <c r="E589" s="428">
        <v>695.94</v>
      </c>
    </row>
    <row r="590" spans="1:12">
      <c r="A590" s="429" t="str">
        <f t="shared" si="17"/>
        <v>16</v>
      </c>
      <c r="B590" s="429" t="str">
        <f>T("162505 2008")</f>
        <v>162505 2008</v>
      </c>
      <c r="C590" s="637" t="str">
        <f>T("Specialskolemyndigheten")</f>
        <v>Specialskolemyndigheten</v>
      </c>
      <c r="D590" s="428">
        <v>252078.66338000001</v>
      </c>
      <c r="E590" s="428">
        <v>256215.33218</v>
      </c>
      <c r="F590" s="428">
        <v>135073.19528000001</v>
      </c>
      <c r="G590" s="428">
        <v>6571</v>
      </c>
    </row>
    <row r="591" spans="1:12">
      <c r="A591" s="429" t="str">
        <f t="shared" si="17"/>
        <v>16</v>
      </c>
      <c r="B591" s="429" t="str">
        <f>T("162509 2006")</f>
        <v>162509 2006</v>
      </c>
      <c r="C591" s="637" t="str">
        <f>T("Bidrag till personalförstärkningar i förskola")</f>
        <v>Bidrag till personalförstärkningar i förskola</v>
      </c>
      <c r="D591" s="428">
        <v>2277042.9974699998</v>
      </c>
      <c r="E591" s="428">
        <v>-56789.259440000002</v>
      </c>
      <c r="F591" s="428">
        <v>740.61924999999997</v>
      </c>
    </row>
    <row r="592" spans="1:12">
      <c r="A592" s="429" t="str">
        <f t="shared" si="17"/>
        <v>16</v>
      </c>
      <c r="B592" s="429" t="str">
        <f>T("162510 2006")</f>
        <v>162510 2006</v>
      </c>
      <c r="C592" s="637" t="str">
        <f>T("Bidrag till personalförstärkningar i skola och fritidshem")</f>
        <v>Bidrag till personalförstärkningar i skola och fritidshem</v>
      </c>
      <c r="D592" s="428">
        <v>924757.45128000004</v>
      </c>
      <c r="E592" s="428">
        <v>997.30888000000004</v>
      </c>
    </row>
    <row r="593" spans="1:9" customFormat="1">
      <c r="A593" s="429" t="str">
        <f t="shared" si="17"/>
        <v>16</v>
      </c>
      <c r="B593" s="429" t="str">
        <f>T("162512 2008")</f>
        <v>162512 2008</v>
      </c>
      <c r="C593" s="637" t="str">
        <f>T("Nationellt centrum för flexibelt lärande")</f>
        <v>Nationellt centrum för flexibelt lärande</v>
      </c>
      <c r="D593" s="428">
        <v>95820.470159999997</v>
      </c>
      <c r="E593" s="428">
        <v>83021.221959999995</v>
      </c>
      <c r="F593" s="428">
        <v>47905.273450000001</v>
      </c>
      <c r="G593" s="428"/>
      <c r="H593" s="428"/>
      <c r="I593" s="428"/>
    </row>
    <row r="594" spans="1:9" customFormat="1">
      <c r="A594" s="429" t="str">
        <f t="shared" si="17"/>
        <v>16</v>
      </c>
      <c r="B594" s="429" t="str">
        <f>T("162515 2006")</f>
        <v>162515 2006</v>
      </c>
      <c r="C594" s="637" t="str">
        <f>T("Bidrag till vissa organisationer för uppsökande verksamhet")</f>
        <v>Bidrag till vissa organisationer för uppsökande verksamhet</v>
      </c>
      <c r="D594" s="428">
        <v>48757.216999999997</v>
      </c>
      <c r="E594" s="428">
        <v>-951.83500000000004</v>
      </c>
      <c r="F594" s="428"/>
      <c r="G594" s="428"/>
      <c r="H594" s="428"/>
      <c r="I594" s="428"/>
    </row>
    <row r="595" spans="1:9" customFormat="1">
      <c r="A595" s="429" t="str">
        <f t="shared" si="17"/>
        <v>16</v>
      </c>
      <c r="B595" s="429" t="str">
        <f>T("162515 2007")</f>
        <v>162515 2007</v>
      </c>
      <c r="C595" s="637" t="str">
        <f>T("Valideringsdelegationen")</f>
        <v>Valideringsdelegationen</v>
      </c>
      <c r="D595" s="428">
        <v>17310.222470000001</v>
      </c>
      <c r="E595" s="428">
        <v>26643.336589999999</v>
      </c>
      <c r="F595" s="428">
        <v>709.01505999999995</v>
      </c>
      <c r="G595" s="428"/>
      <c r="H595" s="428"/>
      <c r="I595" s="428"/>
    </row>
    <row r="596" spans="1:9" customFormat="1">
      <c r="A596" s="429" t="str">
        <f t="shared" si="17"/>
        <v>16</v>
      </c>
      <c r="B596" s="429" t="str">
        <f>T("162516 2001")</f>
        <v>162516 2001</v>
      </c>
      <c r="C596" s="637" t="str">
        <f>T("Särskilda utbildningsinsatser för vuxna")</f>
        <v>Särskilda utbildningsinsatser för vuxna</v>
      </c>
      <c r="D596" s="428"/>
      <c r="E596" s="428"/>
      <c r="F596" s="428"/>
      <c r="G596" s="428"/>
      <c r="H596" s="428"/>
      <c r="I596" s="428"/>
    </row>
    <row r="597" spans="1:9" customFormat="1">
      <c r="A597" s="429" t="str">
        <f t="shared" si="17"/>
        <v>16</v>
      </c>
      <c r="B597" s="429" t="str">
        <f>T("162516 2006")</f>
        <v>162516 2006</v>
      </c>
      <c r="C597" s="637" t="str">
        <f>T("Statligt stöd för utbildning av vuxna")</f>
        <v>Statligt stöd för utbildning av vuxna</v>
      </c>
      <c r="D597" s="428">
        <v>1795802.8958000001</v>
      </c>
      <c r="E597" s="428">
        <v>6057.9279999999999</v>
      </c>
      <c r="F597" s="428"/>
      <c r="G597" s="428"/>
      <c r="H597" s="428"/>
      <c r="I597" s="428"/>
    </row>
    <row r="598" spans="1:9" customFormat="1">
      <c r="A598" s="429" t="str">
        <f t="shared" si="17"/>
        <v>16</v>
      </c>
      <c r="B598" s="429" t="str">
        <f>T("162516 2007")</f>
        <v>162516 2007</v>
      </c>
      <c r="C598" s="637" t="str">
        <f>T("Utveckling av påbyggnadsutbildningar")</f>
        <v>Utveckling av påbyggnadsutbildningar</v>
      </c>
      <c r="D598" s="428">
        <v>108237.11986999999</v>
      </c>
      <c r="E598" s="428">
        <v>98319.863630000007</v>
      </c>
      <c r="F598" s="428"/>
      <c r="G598" s="428"/>
      <c r="H598" s="428"/>
      <c r="I598" s="428"/>
    </row>
    <row r="599" spans="1:9" customFormat="1">
      <c r="A599" s="429" t="str">
        <f t="shared" si="17"/>
        <v>16</v>
      </c>
      <c r="B599" s="429" t="str">
        <f>T("162565 2007")</f>
        <v>162565 2007</v>
      </c>
      <c r="C599" s="637" t="str">
        <f>T("Lärarhögskolan i Stockholm: Grundutbildning")</f>
        <v>Lärarhögskolan i Stockholm: Grundutbildning</v>
      </c>
      <c r="D599" s="428">
        <v>428762</v>
      </c>
      <c r="E599" s="428">
        <v>416974</v>
      </c>
      <c r="F599" s="428"/>
      <c r="G599" s="428"/>
      <c r="H599" s="428"/>
      <c r="I599" s="428"/>
    </row>
    <row r="600" spans="1:9" customFormat="1">
      <c r="A600" s="429" t="str">
        <f t="shared" si="17"/>
        <v>16</v>
      </c>
      <c r="B600" s="429" t="str">
        <f>T("162576 2002")</f>
        <v>162576 2002</v>
      </c>
      <c r="C600" s="637" t="str">
        <f>T("Universitets och högskolors premier för de statliga avtalsförsäkringarna")</f>
        <v>Universitets och högskolors premier för de statliga avtalsförsäkringarna</v>
      </c>
      <c r="D600" s="428"/>
      <c r="E600" s="428"/>
      <c r="F600" s="428"/>
      <c r="G600" s="428"/>
      <c r="H600" s="428"/>
      <c r="I600" s="428"/>
    </row>
    <row r="601" spans="1:9" customFormat="1">
      <c r="A601" s="429" t="str">
        <f t="shared" si="17"/>
        <v>16</v>
      </c>
      <c r="B601" s="429" t="str">
        <f>T("162578 2008")</f>
        <v>162578 2008</v>
      </c>
      <c r="C601" s="637" t="str">
        <f>T("Myndigheten för nätverk och samarbete inom högre utbildning")</f>
        <v>Myndigheten för nätverk och samarbete inom högre utbildning</v>
      </c>
      <c r="D601" s="428">
        <v>72972.139899999995</v>
      </c>
      <c r="E601" s="428">
        <v>61433.175730000003</v>
      </c>
      <c r="F601" s="428">
        <v>24042.19585</v>
      </c>
      <c r="G601" s="428">
        <v>2863.44796</v>
      </c>
      <c r="H601" s="428">
        <v>1768.4609599999999</v>
      </c>
      <c r="I601" s="428"/>
    </row>
    <row r="602" spans="1:9" customFormat="1">
      <c r="A602" s="429" t="str">
        <f t="shared" si="17"/>
        <v>16</v>
      </c>
      <c r="B602" s="429" t="str">
        <f>T("162579 2001")</f>
        <v>162579 2001</v>
      </c>
      <c r="C602" s="637" t="str">
        <f>T("Distansutbildningsmyndigheten")</f>
        <v>Distansutbildningsmyndigheten</v>
      </c>
      <c r="D602" s="428"/>
      <c r="E602" s="428"/>
      <c r="F602" s="428"/>
      <c r="G602" s="428"/>
      <c r="H602" s="428"/>
      <c r="I602" s="428"/>
    </row>
    <row r="603" spans="1:9" customFormat="1">
      <c r="A603" s="429" t="str">
        <f t="shared" si="17"/>
        <v>16</v>
      </c>
      <c r="B603" s="429" t="str">
        <f>T("162584 2008")</f>
        <v>162584 2008</v>
      </c>
      <c r="C603" s="637" t="str">
        <f>T("Avvecklingsmyndigheten för skolmyndigheter m.m.")</f>
        <v>Avvecklingsmyndigheten för skolmyndigheter m.m.</v>
      </c>
      <c r="D603" s="428"/>
      <c r="E603" s="428"/>
      <c r="F603" s="428">
        <v>23612.915860000001</v>
      </c>
      <c r="G603" s="428">
        <v>78398.704410000006</v>
      </c>
      <c r="H603" s="428">
        <v>9387.848</v>
      </c>
      <c r="I603" s="428">
        <v>96.808459999999997</v>
      </c>
    </row>
    <row r="604" spans="1:9" customFormat="1">
      <c r="A604" s="429" t="str">
        <f t="shared" si="17"/>
        <v>16</v>
      </c>
      <c r="B604" s="429" t="str">
        <f>T("162607 2006")</f>
        <v>162607 2006</v>
      </c>
      <c r="C604" s="637" t="str">
        <f>T("Främjande och analys av forsknings- och utvecklingssamarbetet inom EU m.m.")</f>
        <v>Främjande och analys av forsknings- och utvecklingssamarbetet inom EU m.m.</v>
      </c>
      <c r="D604" s="428">
        <v>16354.288420000001</v>
      </c>
      <c r="E604" s="428">
        <v>2772.8665299999998</v>
      </c>
      <c r="F604" s="428"/>
      <c r="G604" s="428"/>
      <c r="H604" s="428"/>
      <c r="I604" s="428"/>
    </row>
    <row r="605" spans="1:9" customFormat="1">
      <c r="A605" s="429" t="str">
        <f t="shared" si="17"/>
        <v>16</v>
      </c>
      <c r="B605" s="429" t="str">
        <f>T("16A004 1998")</f>
        <v>16A004 1998</v>
      </c>
      <c r="C605" s="637" t="str">
        <f>T("Genomförande av skolreformer")</f>
        <v>Genomförande av skolreformer</v>
      </c>
      <c r="D605" s="428"/>
      <c r="E605" s="428"/>
      <c r="F605" s="428"/>
      <c r="G605" s="428"/>
      <c r="H605" s="428"/>
      <c r="I605" s="428"/>
    </row>
    <row r="606" spans="1:9" customFormat="1">
      <c r="A606" s="429" t="str">
        <f t="shared" si="17"/>
        <v>16</v>
      </c>
      <c r="B606" s="429" t="str">
        <f>T("16D001 2000")</f>
        <v>16D001 2000</v>
      </c>
      <c r="C606" s="637" t="str">
        <f>T("Forskningsrådsnämnden: Forskning och forskningsinformation")</f>
        <v>Forskningsrådsnämnden: Forskning och forskningsinformation</v>
      </c>
      <c r="D606" s="428"/>
      <c r="E606" s="428"/>
      <c r="F606" s="428"/>
      <c r="G606" s="428"/>
      <c r="H606" s="428"/>
      <c r="I606" s="428"/>
    </row>
    <row r="607" spans="1:9" customFormat="1">
      <c r="A607" s="429" t="str">
        <f t="shared" si="17"/>
        <v>16</v>
      </c>
      <c r="B607" s="429" t="str">
        <f>T("16D002 2000")</f>
        <v>16D002 2000</v>
      </c>
      <c r="C607" s="637" t="str">
        <f>T("Forskningsrådsnämnden: Förvaltning")</f>
        <v>Forskningsrådsnämnden: Förvaltning</v>
      </c>
      <c r="D607" s="428"/>
      <c r="E607" s="428"/>
      <c r="F607" s="428"/>
      <c r="G607" s="428"/>
      <c r="H607" s="428"/>
      <c r="I607" s="428"/>
    </row>
    <row r="608" spans="1:9" customFormat="1">
      <c r="A608" s="429" t="str">
        <f t="shared" si="17"/>
        <v>16</v>
      </c>
      <c r="B608" s="429" t="str">
        <f>T("16D003 2000")</f>
        <v>16D003 2000</v>
      </c>
      <c r="C608" s="637" t="str">
        <f>T("Humanistisk-samhällsvetenskapliga forskningsrådet: Forskning")</f>
        <v>Humanistisk-samhällsvetenskapliga forskningsrådet: Forskning</v>
      </c>
      <c r="D608" s="428"/>
      <c r="E608" s="428"/>
      <c r="F608" s="428"/>
      <c r="G608" s="428"/>
      <c r="H608" s="428"/>
      <c r="I608" s="428"/>
    </row>
    <row r="609" spans="1:12">
      <c r="A609" s="429" t="str">
        <f t="shared" si="17"/>
        <v>16</v>
      </c>
      <c r="B609" s="429" t="str">
        <f>T("16D004 2000")</f>
        <v>16D004 2000</v>
      </c>
      <c r="C609" s="637" t="str">
        <f>T("Humanistisk-samhällsvetenskapliga forskningsrådet: Förvaltning")</f>
        <v>Humanistisk-samhällsvetenskapliga forskningsrådet: Förvaltning</v>
      </c>
    </row>
    <row r="610" spans="1:12">
      <c r="A610" s="429" t="str">
        <f t="shared" si="17"/>
        <v>16</v>
      </c>
      <c r="B610" s="429" t="str">
        <f>T("16D005 2000")</f>
        <v>16D005 2000</v>
      </c>
      <c r="C610" s="637" t="str">
        <f>T("Medicinska forskningsrådet: Forskning")</f>
        <v>Medicinska forskningsrådet: Forskning</v>
      </c>
    </row>
    <row r="611" spans="1:12">
      <c r="A611" s="429" t="str">
        <f t="shared" si="17"/>
        <v>16</v>
      </c>
      <c r="B611" s="429" t="str">
        <f>T("16D006 2000")</f>
        <v>16D006 2000</v>
      </c>
      <c r="C611" s="637" t="str">
        <f>T("Medicinska forskningsrådet: Förvaltning")</f>
        <v>Medicinska forskningsrådet: Förvaltning</v>
      </c>
    </row>
    <row r="612" spans="1:12">
      <c r="A612" s="429" t="str">
        <f t="shared" si="17"/>
        <v>16</v>
      </c>
      <c r="B612" s="429" t="str">
        <f>T("16D007 2000")</f>
        <v>16D007 2000</v>
      </c>
      <c r="C612" s="637" t="str">
        <f>T("Naturvetenskapliga forskningsrådet: Forskning")</f>
        <v>Naturvetenskapliga forskningsrådet: Forskning</v>
      </c>
    </row>
    <row r="613" spans="1:12">
      <c r="A613" s="429" t="str">
        <f t="shared" si="17"/>
        <v>16</v>
      </c>
      <c r="B613" s="429" t="str">
        <f>T("16D008 2000")</f>
        <v>16D008 2000</v>
      </c>
      <c r="C613" s="637" t="str">
        <f>T("Naturvetenskapliga forskningsrådet: Förvaltning")</f>
        <v>Naturvetenskapliga forskningsrådet: Förvaltning</v>
      </c>
    </row>
    <row r="614" spans="1:12">
      <c r="A614" s="429" t="str">
        <f t="shared" si="17"/>
        <v>16</v>
      </c>
      <c r="B614" s="429" t="str">
        <f>T("16D009 2000")</f>
        <v>16D009 2000</v>
      </c>
      <c r="C614" s="637" t="str">
        <f>T("Teknikvetenskapliga forskningsrådet: Forskning")</f>
        <v>Teknikvetenskapliga forskningsrådet: Forskning</v>
      </c>
    </row>
    <row r="615" spans="1:12">
      <c r="A615" s="429" t="str">
        <f t="shared" si="17"/>
        <v>16</v>
      </c>
      <c r="B615" s="429" t="str">
        <f>T("16D010 1997")</f>
        <v>16D010 1997</v>
      </c>
      <c r="C615" s="637" t="str">
        <f>T("HPDR: Förvaltning")</f>
        <v>HPDR: Förvaltning</v>
      </c>
    </row>
    <row r="616" spans="1:12">
      <c r="A616" s="429" t="str">
        <f t="shared" si="17"/>
        <v>16</v>
      </c>
      <c r="B616" s="429" t="str">
        <f>T("16D010 2000")</f>
        <v>16D010 2000</v>
      </c>
      <c r="C616" s="637" t="str">
        <f>T("Teknikvetenskapliga forskningsrådet: Förvaltning")</f>
        <v>Teknikvetenskapliga forskningsrådet: Förvaltning</v>
      </c>
    </row>
    <row r="617" spans="1:12">
      <c r="A617" s="429" t="str">
        <f t="shared" si="17"/>
        <v>16</v>
      </c>
      <c r="B617" s="429" t="str">
        <f>T("16D012 1997")</f>
        <v>16D012 1997</v>
      </c>
      <c r="C617" s="637" t="str">
        <f>T("Rådet för forskning om universitet och högskolor")</f>
        <v>Rådet för forskning om universitet och högskolor</v>
      </c>
    </row>
    <row r="618" spans="1:12">
      <c r="A618" s="429" t="str">
        <f t="shared" si="17"/>
        <v>16</v>
      </c>
      <c r="B618" s="429" t="str">
        <f>T("16D013 1999")</f>
        <v>16D013 1999</v>
      </c>
      <c r="C618" s="637" t="str">
        <f>T("Statens psykologisk-pedagogiska bibliotek")</f>
        <v>Statens psykologisk-pedagogiska bibliotek</v>
      </c>
    </row>
    <row r="619" spans="1:12">
      <c r="A619" s="429" t="str">
        <f t="shared" si="17"/>
        <v>16</v>
      </c>
      <c r="B619" s="429" t="str">
        <f>T("16D017 2000")</f>
        <v>16D017 2000</v>
      </c>
      <c r="C619" s="637" t="str">
        <f>T("Medel för dyrbar vetenskaplig utrustning")</f>
        <v>Medel för dyrbar vetenskaplig utrustning</v>
      </c>
    </row>
    <row r="620" spans="1:12">
      <c r="A620" s="429" t="str">
        <f t="shared" ref="A620" si="18">T("16")</f>
        <v>16</v>
      </c>
      <c r="B620" s="429" t="str">
        <f>T("16D018 1997")</f>
        <v>16D018 1997</v>
      </c>
      <c r="C620" s="637" t="str">
        <f>T("Europeisk forskningssamverkan")</f>
        <v>Europeisk forskningssamverkan</v>
      </c>
    </row>
    <row r="621" spans="1:12">
      <c r="A621" s="430" t="s">
        <v>1650</v>
      </c>
      <c r="B621" s="430"/>
      <c r="C621" s="430" t="str">
        <f>T("Utbildning och universitetsforskning")</f>
        <v>Utbildning och universitetsforskning</v>
      </c>
      <c r="D621" s="431">
        <v>46103286.102069996</v>
      </c>
      <c r="E621" s="431">
        <v>41814350.794</v>
      </c>
      <c r="F621" s="431">
        <v>44160119.652199998</v>
      </c>
      <c r="G621" s="431">
        <v>48879449.293530002</v>
      </c>
      <c r="H621" s="431">
        <v>53256438.913510002</v>
      </c>
      <c r="I621" s="431">
        <v>53709383.724509999</v>
      </c>
      <c r="J621" s="431">
        <v>53836812.991609998</v>
      </c>
      <c r="K621" s="431">
        <v>56484321.75818</v>
      </c>
      <c r="L621" s="431">
        <v>59419088.450989999</v>
      </c>
    </row>
    <row r="622" spans="1:12">
      <c r="A622" s="429" t="str">
        <f t="shared" ref="A622:A685" si="19">T("17")</f>
        <v>17</v>
      </c>
      <c r="B622" s="429" t="str">
        <f>T("07B004 9596")</f>
        <v>07B004 9596</v>
      </c>
      <c r="C622" s="637" t="str">
        <f>T("Restaureringsarbeten vid de kungliga slotten och rikets fästningar")</f>
        <v>Restaureringsarbeten vid de kungliga slotten och rikets fästningar</v>
      </c>
    </row>
    <row r="623" spans="1:12">
      <c r="A623" s="429" t="str">
        <f t="shared" si="19"/>
        <v>17</v>
      </c>
      <c r="B623" s="429" t="str">
        <f>T("11A001 9596")</f>
        <v>11A001 9596</v>
      </c>
      <c r="C623" s="637" t="str">
        <f>T("Utveckling, internationellt samarbete m.m")</f>
        <v>Utveckling, internationellt samarbete m.m</v>
      </c>
    </row>
    <row r="624" spans="1:12">
      <c r="A624" s="429" t="str">
        <f t="shared" si="19"/>
        <v>17</v>
      </c>
      <c r="B624" s="429" t="str">
        <f>T("11B013 9596")</f>
        <v>11B013 9596</v>
      </c>
      <c r="C624" s="637" t="str">
        <f>T("Sysselsättningsinsatser inom kulturområdet")</f>
        <v>Sysselsättningsinsatser inom kulturområdet</v>
      </c>
    </row>
    <row r="625" spans="1:3" customFormat="1">
      <c r="A625" s="429" t="str">
        <f t="shared" si="19"/>
        <v>17</v>
      </c>
      <c r="B625" s="429" t="str">
        <f>T("11B028 9394")</f>
        <v>11B028 9394</v>
      </c>
      <c r="C625" s="637" t="str">
        <f>T("Kulturmiljövård")</f>
        <v>Kulturmiljövård</v>
      </c>
    </row>
    <row r="626" spans="1:3" customFormat="1">
      <c r="A626" s="429" t="str">
        <f t="shared" si="19"/>
        <v>17</v>
      </c>
      <c r="B626" s="429" t="str">
        <f>T("11C002 9596")</f>
        <v>11C002 9596</v>
      </c>
      <c r="C626" s="637" t="str">
        <f>T("Bidrag till utvecklingsverksamhet inom kulturområdet m.m")</f>
        <v>Bidrag till utvecklingsverksamhet inom kulturområdet m.m</v>
      </c>
    </row>
    <row r="627" spans="1:3" customFormat="1">
      <c r="A627" s="429" t="str">
        <f t="shared" si="19"/>
        <v>17</v>
      </c>
      <c r="B627" s="429" t="str">
        <f>T("11C003 9596")</f>
        <v>11C003 9596</v>
      </c>
      <c r="C627" s="637" t="str">
        <f>T("Bidrag till samisk kultur")</f>
        <v>Bidrag till samisk kultur</v>
      </c>
    </row>
    <row r="628" spans="1:3" customFormat="1">
      <c r="A628" s="429" t="str">
        <f t="shared" si="19"/>
        <v>17</v>
      </c>
      <c r="B628" s="429" t="str">
        <f>T("11C005 9596")</f>
        <v>11C005 9596</v>
      </c>
      <c r="C628" s="637" t="str">
        <f>T("Visningsersättning åt bild- och formkonstnärer")</f>
        <v>Visningsersättning åt bild- och formkonstnärer</v>
      </c>
    </row>
    <row r="629" spans="1:3" customFormat="1">
      <c r="A629" s="429" t="str">
        <f t="shared" si="19"/>
        <v>17</v>
      </c>
      <c r="B629" s="429" t="str">
        <f>T("11C006 9596")</f>
        <v>11C006 9596</v>
      </c>
      <c r="C629" s="637" t="str">
        <f>T("Bidrag till konstnärer")</f>
        <v>Bidrag till konstnärer</v>
      </c>
    </row>
    <row r="630" spans="1:3" customFormat="1">
      <c r="A630" s="429" t="str">
        <f t="shared" si="19"/>
        <v>17</v>
      </c>
      <c r="B630" s="429" t="str">
        <f>T("11C014 9596")</f>
        <v>11C014 9596</v>
      </c>
      <c r="C630" s="637" t="str">
        <f>T("Bidrag till fria teater-, dans- och musikgrupper m.m")</f>
        <v>Bidrag till fria teater-, dans- och musikgrupper m.m</v>
      </c>
    </row>
    <row r="631" spans="1:3" customFormat="1">
      <c r="A631" s="429" t="str">
        <f t="shared" si="19"/>
        <v>17</v>
      </c>
      <c r="B631" s="429" t="str">
        <f>T("11C017 9596")</f>
        <v>11C017 9596</v>
      </c>
      <c r="C631" s="637" t="str">
        <f>T("Litteraturstöd")</f>
        <v>Litteraturstöd</v>
      </c>
    </row>
    <row r="632" spans="1:3" customFormat="1">
      <c r="A632" s="429" t="str">
        <f t="shared" si="19"/>
        <v>17</v>
      </c>
      <c r="B632" s="429" t="str">
        <f>T("11C018 9596")</f>
        <v>11C018 9596</v>
      </c>
      <c r="C632" s="637" t="str">
        <f>T("Stöd till kulturtidskrifter")</f>
        <v>Stöd till kulturtidskrifter</v>
      </c>
    </row>
    <row r="633" spans="1:3" customFormat="1">
      <c r="A633" s="429" t="str">
        <f t="shared" si="19"/>
        <v>17</v>
      </c>
      <c r="B633" s="429" t="str">
        <f>T("11C019 9596")</f>
        <v>11C019 9596</v>
      </c>
      <c r="C633" s="637" t="str">
        <f>T("Stöd till bokhandel")</f>
        <v>Stöd till bokhandel</v>
      </c>
    </row>
    <row r="634" spans="1:3" customFormat="1">
      <c r="A634" s="429" t="str">
        <f t="shared" si="19"/>
        <v>17</v>
      </c>
      <c r="B634" s="429" t="str">
        <f>T("11C020 9596")</f>
        <v>11C020 9596</v>
      </c>
      <c r="C634" s="637" t="str">
        <f>T("Bidrag till Stiftelsen för lättläst nyhetsinformation och li")</f>
        <v>Bidrag till Stiftelsen för lättläst nyhetsinformation och li</v>
      </c>
    </row>
    <row r="635" spans="1:3" customFormat="1">
      <c r="A635" s="429" t="str">
        <f t="shared" si="19"/>
        <v>17</v>
      </c>
      <c r="B635" s="429" t="str">
        <f>T("11C022 9596")</f>
        <v>11C022 9596</v>
      </c>
      <c r="C635" s="637" t="str">
        <f>T("Bidrag till Sveriges Dövas Riksförbund för produktion av vid")</f>
        <v>Bidrag till Sveriges Dövas Riksförbund för produktion av vid</v>
      </c>
    </row>
    <row r="636" spans="1:3" customFormat="1">
      <c r="A636" s="429" t="str">
        <f t="shared" si="19"/>
        <v>17</v>
      </c>
      <c r="B636" s="429" t="str">
        <f>T("11C025 9596")</f>
        <v>11C025 9596</v>
      </c>
      <c r="C636" s="637" t="str">
        <f>T("Förvärv av konst för statens byggnader m.m")</f>
        <v>Förvärv av konst för statens byggnader m.m</v>
      </c>
    </row>
    <row r="637" spans="1:3" customFormat="1">
      <c r="A637" s="429" t="str">
        <f t="shared" si="19"/>
        <v>17</v>
      </c>
      <c r="B637" s="429" t="str">
        <f>T("11C027 9596")</f>
        <v>11C027 9596</v>
      </c>
      <c r="C637" s="637" t="str">
        <f>T("Utställningar av nutida svensk konst i utlandet")</f>
        <v>Utställningar av nutida svensk konst i utlandet</v>
      </c>
    </row>
    <row r="638" spans="1:3" customFormat="1">
      <c r="A638" s="429" t="str">
        <f t="shared" si="19"/>
        <v>17</v>
      </c>
      <c r="B638" s="429" t="str">
        <f>T("11C029 9596")</f>
        <v>11C029 9596</v>
      </c>
      <c r="C638" s="637" t="str">
        <f>T("Stöd till svensk filmproduktion m m")</f>
        <v>Stöd till svensk filmproduktion m m</v>
      </c>
    </row>
    <row r="639" spans="1:3" customFormat="1">
      <c r="A639" s="429" t="str">
        <f t="shared" si="19"/>
        <v>17</v>
      </c>
      <c r="B639" s="429" t="str">
        <f>T("11C030 9596")</f>
        <v>11C030 9596</v>
      </c>
      <c r="C639" s="637" t="str">
        <f>T("Stöd till filmkulturell verksamhet")</f>
        <v>Stöd till filmkulturell verksamhet</v>
      </c>
    </row>
    <row r="640" spans="1:3" customFormat="1">
      <c r="A640" s="429" t="str">
        <f t="shared" si="19"/>
        <v>17</v>
      </c>
      <c r="B640" s="429" t="str">
        <f>T("11C031 9596")</f>
        <v>11C031 9596</v>
      </c>
      <c r="C640" s="637" t="str">
        <f>T("Stöd till fonogram och musikalier")</f>
        <v>Stöd till fonogram och musikalier</v>
      </c>
    </row>
    <row r="641" spans="1:12">
      <c r="A641" s="429" t="str">
        <f t="shared" si="19"/>
        <v>17</v>
      </c>
      <c r="B641" s="429" t="str">
        <f>T("11D006 9596")</f>
        <v>11D006 9596</v>
      </c>
      <c r="C641" s="637" t="str">
        <f>T("Forskning och dokumentation om medieutvecklingen m.m.")</f>
        <v>Forskning och dokumentation om medieutvecklingen m.m.</v>
      </c>
    </row>
    <row r="642" spans="1:12">
      <c r="A642" s="429" t="str">
        <f t="shared" si="19"/>
        <v>17</v>
      </c>
      <c r="B642" s="429" t="str">
        <f>T("13B001 9596")</f>
        <v>13B001 9596</v>
      </c>
      <c r="C642" s="637" t="str">
        <f>T("Stöd till trossamfund m.m.")</f>
        <v>Stöd till trossamfund m.m.</v>
      </c>
    </row>
    <row r="643" spans="1:12">
      <c r="A643" s="429" t="str">
        <f t="shared" si="19"/>
        <v>17</v>
      </c>
      <c r="B643" s="429" t="str">
        <f>T("13D002 9596")</f>
        <v>13D002 9596</v>
      </c>
      <c r="C643" s="637" t="str">
        <f>T("Bidrag till nationell och internationell ungdomsverksamhet m")</f>
        <v>Bidrag till nationell och internationell ungdomsverksamhet m</v>
      </c>
    </row>
    <row r="644" spans="1:12">
      <c r="A644" s="429" t="str">
        <f t="shared" si="19"/>
        <v>17</v>
      </c>
      <c r="B644" s="429" t="str">
        <f>T("13E004 9596")</f>
        <v>13E004 9596</v>
      </c>
      <c r="C644" s="637" t="str">
        <f>T("Utveckling av ideell verksamhet")</f>
        <v>Utveckling av ideell verksamhet</v>
      </c>
    </row>
    <row r="645" spans="1:12">
      <c r="A645" s="429" t="str">
        <f t="shared" si="19"/>
        <v>17</v>
      </c>
      <c r="B645" s="429" t="str">
        <f>T("13E006 9596")</f>
        <v>13E006 9596</v>
      </c>
      <c r="C645" s="637" t="str">
        <f>T("Stöd till idrotten")</f>
        <v>Stöd till idrotten</v>
      </c>
    </row>
    <row r="646" spans="1:12">
      <c r="A646" s="429" t="str">
        <f t="shared" si="19"/>
        <v>17</v>
      </c>
      <c r="B646" s="429" t="str">
        <f>T("1701001")</f>
        <v>1701001</v>
      </c>
      <c r="C646" s="637" t="str">
        <f>T("Statens kulturråd")</f>
        <v>Statens kulturråd</v>
      </c>
      <c r="D646" s="428">
        <v>47643.961710000003</v>
      </c>
      <c r="E646" s="428">
        <v>47493.138769999998</v>
      </c>
      <c r="F646" s="428">
        <v>46622.762410000003</v>
      </c>
      <c r="G646" s="428">
        <v>47282.827129999998</v>
      </c>
      <c r="H646" s="428">
        <v>49892.880230000002</v>
      </c>
      <c r="I646" s="428">
        <v>45582.427230000001</v>
      </c>
      <c r="J646" s="428">
        <v>48542.740740000001</v>
      </c>
      <c r="K646" s="428">
        <v>50947.666570000001</v>
      </c>
      <c r="L646" s="428">
        <v>45897.505369999999</v>
      </c>
    </row>
    <row r="647" spans="1:12">
      <c r="A647" s="429" t="str">
        <f t="shared" si="19"/>
        <v>17</v>
      </c>
      <c r="B647" s="429" t="str">
        <f>T("1701002")</f>
        <v>1701002</v>
      </c>
      <c r="C647" s="637" t="str">
        <f>T("Bidrag till allmän kulturverksamhet, utveckling samt internationellt kulturutbyte och samarbete")</f>
        <v>Bidrag till allmän kulturverksamhet, utveckling samt internationellt kulturutbyte och samarbete</v>
      </c>
      <c r="D647" s="428">
        <v>234004.78622000001</v>
      </c>
      <c r="E647" s="428">
        <v>281641.7072</v>
      </c>
      <c r="F647" s="428">
        <v>207691.41427000001</v>
      </c>
      <c r="G647" s="428">
        <v>204058.69562000001</v>
      </c>
      <c r="H647" s="428">
        <v>209879.98045999999</v>
      </c>
      <c r="I647" s="428">
        <v>212345.69052999999</v>
      </c>
      <c r="J647" s="428">
        <v>204563.12856000001</v>
      </c>
      <c r="K647" s="428">
        <v>244718.25352999999</v>
      </c>
      <c r="L647" s="428">
        <v>243585.14121999999</v>
      </c>
    </row>
    <row r="648" spans="1:12">
      <c r="A648" s="429" t="str">
        <f t="shared" si="19"/>
        <v>17</v>
      </c>
      <c r="B648" s="429" t="str">
        <f>T("1701003")</f>
        <v>1701003</v>
      </c>
      <c r="C648" s="637" t="str">
        <f>T("Skapande skola")</f>
        <v>Skapande skola</v>
      </c>
      <c r="F648" s="428">
        <v>50270.838629999998</v>
      </c>
      <c r="G648" s="428">
        <v>60634.161</v>
      </c>
      <c r="H648" s="428">
        <v>107049.85155000001</v>
      </c>
      <c r="I648" s="428">
        <v>153438.12963000001</v>
      </c>
      <c r="J648" s="428">
        <v>151398.25701999999</v>
      </c>
      <c r="K648" s="428">
        <v>169444.22016</v>
      </c>
      <c r="L648" s="428">
        <v>171403.83499999999</v>
      </c>
    </row>
    <row r="649" spans="1:12">
      <c r="A649" s="429" t="str">
        <f t="shared" si="19"/>
        <v>17</v>
      </c>
      <c r="B649" s="429" t="str">
        <f>T("1701004")</f>
        <v>1701004</v>
      </c>
      <c r="C649" s="637" t="str">
        <f>T("Forsknings- och utvecklingsinsatser inom kulturområdet")</f>
        <v>Forsknings- och utvecklingsinsatser inom kulturområdet</v>
      </c>
      <c r="D649" s="428">
        <v>35333.080309999998</v>
      </c>
      <c r="E649" s="428">
        <v>35707.376179999999</v>
      </c>
      <c r="F649" s="428">
        <v>37234.137309999998</v>
      </c>
      <c r="G649" s="428">
        <v>36794.596510000003</v>
      </c>
      <c r="H649" s="428">
        <v>37961.847269999998</v>
      </c>
      <c r="I649" s="428">
        <v>35641.51584</v>
      </c>
      <c r="J649" s="428">
        <v>36416.934609999997</v>
      </c>
      <c r="K649" s="428">
        <v>36081.60269</v>
      </c>
      <c r="L649" s="428">
        <v>37648.997560000003</v>
      </c>
    </row>
    <row r="650" spans="1:12">
      <c r="A650" s="429" t="str">
        <f t="shared" si="19"/>
        <v>17</v>
      </c>
      <c r="B650" s="429" t="str">
        <f>T("1701004 2010")</f>
        <v>1701004 2010</v>
      </c>
      <c r="C650" s="637" t="str">
        <f>T("Försöksverksamhet med ändrad regional fördelning av kulturpolitiska medel")</f>
        <v>Försöksverksamhet med ändrad regional fördelning av kulturpolitiska medel</v>
      </c>
      <c r="D650" s="428">
        <v>151057</v>
      </c>
      <c r="E650" s="428">
        <v>142713</v>
      </c>
      <c r="F650" s="428">
        <v>148660</v>
      </c>
      <c r="G650" s="428">
        <v>151955</v>
      </c>
      <c r="H650" s="428">
        <v>158687</v>
      </c>
    </row>
    <row r="651" spans="1:12">
      <c r="A651" s="429" t="str">
        <f t="shared" si="19"/>
        <v>17</v>
      </c>
      <c r="B651" s="429" t="str">
        <f>T("1701005")</f>
        <v>1701005</v>
      </c>
      <c r="C651" s="637" t="str">
        <f>T("Stöd till icke-statliga kulturlokaler")</f>
        <v>Stöd till icke-statliga kulturlokaler</v>
      </c>
      <c r="D651" s="428">
        <v>9303.5540000000001</v>
      </c>
      <c r="E651" s="428">
        <v>10677.494000000001</v>
      </c>
      <c r="F651" s="428">
        <v>9690.9290000000001</v>
      </c>
      <c r="G651" s="428">
        <v>9690.2549999999992</v>
      </c>
      <c r="H651" s="428">
        <v>1041.5360000000001</v>
      </c>
      <c r="I651" s="428">
        <v>15215.281999999999</v>
      </c>
      <c r="J651" s="428">
        <v>8975</v>
      </c>
      <c r="K651" s="428">
        <v>9898</v>
      </c>
      <c r="L651" s="428">
        <v>9364</v>
      </c>
    </row>
    <row r="652" spans="1:12">
      <c r="A652" s="429" t="str">
        <f t="shared" si="19"/>
        <v>17</v>
      </c>
      <c r="B652" s="429" t="str">
        <f>T("1701006")</f>
        <v>1701006</v>
      </c>
      <c r="C652" s="637" t="str">
        <f>T("Bidrag till regional kulturverksamhet")</f>
        <v>Bidrag till regional kulturverksamhet</v>
      </c>
      <c r="I652" s="428">
        <v>1239491.2058300001</v>
      </c>
      <c r="J652" s="428">
        <v>1278613.8824</v>
      </c>
      <c r="K652" s="428">
        <v>1286136.7490900001</v>
      </c>
      <c r="L652" s="428">
        <v>1313137.6802399999</v>
      </c>
    </row>
    <row r="653" spans="1:12">
      <c r="A653" s="429" t="str">
        <f t="shared" si="19"/>
        <v>17</v>
      </c>
      <c r="B653" s="429" t="str">
        <f>T("1701007")</f>
        <v>1701007</v>
      </c>
      <c r="C653" s="637" t="str">
        <f>T("Myndigheten för kulturanalys")</f>
        <v>Myndigheten för kulturanalys</v>
      </c>
      <c r="I653" s="428">
        <v>9292.1666600000008</v>
      </c>
      <c r="J653" s="428">
        <v>9307.79054</v>
      </c>
      <c r="K653" s="428">
        <v>12390.70694</v>
      </c>
      <c r="L653" s="428">
        <v>11876.2102</v>
      </c>
    </row>
    <row r="654" spans="1:12">
      <c r="A654" s="429" t="str">
        <f t="shared" si="19"/>
        <v>17</v>
      </c>
      <c r="B654" s="429" t="str">
        <f>T("1701007 2009")</f>
        <v>1701007 2009</v>
      </c>
      <c r="C654" s="637" t="str">
        <f>T("Sysselsättningsåtgärder inom kulturområdet")</f>
        <v>Sysselsättningsåtgärder inom kulturområdet</v>
      </c>
      <c r="D654" s="428">
        <v>291135.50414999999</v>
      </c>
      <c r="E654" s="428">
        <v>268611.61505000002</v>
      </c>
      <c r="F654" s="428">
        <v>81696.725510000004</v>
      </c>
      <c r="G654" s="428">
        <v>24989.816999999999</v>
      </c>
      <c r="H654" s="428">
        <v>0</v>
      </c>
    </row>
    <row r="655" spans="1:12">
      <c r="A655" s="429" t="str">
        <f t="shared" si="19"/>
        <v>17</v>
      </c>
      <c r="B655" s="429" t="str">
        <f>T("1702001")</f>
        <v>1702001</v>
      </c>
      <c r="C655" s="637" t="str">
        <f>T("Bidrag till Operan, Dramaten, Riksteatern, Dansens Hus, Drottningholms slottsteater och Voksenåsen")</f>
        <v>Bidrag till Operan, Dramaten, Riksteatern, Dansens Hus, Drottningholms slottsteater och Voksenåsen</v>
      </c>
      <c r="D655" s="428">
        <v>874656</v>
      </c>
      <c r="E655" s="428">
        <v>892480</v>
      </c>
      <c r="F655" s="428">
        <v>930097</v>
      </c>
      <c r="G655" s="428">
        <v>987406</v>
      </c>
      <c r="H655" s="428">
        <v>1017719</v>
      </c>
      <c r="I655" s="428">
        <v>944815</v>
      </c>
      <c r="J655" s="428">
        <v>951734</v>
      </c>
      <c r="K655" s="428">
        <v>958042</v>
      </c>
      <c r="L655" s="428">
        <v>978904</v>
      </c>
    </row>
    <row r="656" spans="1:12">
      <c r="A656" s="429" t="str">
        <f t="shared" si="19"/>
        <v>17</v>
      </c>
      <c r="B656" s="429" t="str">
        <f>T("1702002")</f>
        <v>1702002</v>
      </c>
      <c r="C656" s="637" t="str">
        <f>T("Bidrag till vissa teater-, dans- och musikändamål")</f>
        <v>Bidrag till vissa teater-, dans- och musikändamål</v>
      </c>
      <c r="D656" s="428">
        <v>160404.24299999999</v>
      </c>
      <c r="E656" s="428">
        <v>148037.70373000001</v>
      </c>
      <c r="F656" s="428">
        <v>150119.76968999999</v>
      </c>
      <c r="G656" s="428">
        <v>154924.09151999999</v>
      </c>
      <c r="H656" s="428">
        <v>158800.85894999999</v>
      </c>
      <c r="I656" s="428">
        <v>165560.12005999999</v>
      </c>
      <c r="J656" s="428">
        <v>195931.68082000001</v>
      </c>
      <c r="K656" s="428">
        <v>189522.20361999999</v>
      </c>
      <c r="L656" s="428">
        <v>189050.41032</v>
      </c>
    </row>
    <row r="657" spans="1:12">
      <c r="A657" s="429" t="str">
        <f t="shared" si="19"/>
        <v>17</v>
      </c>
      <c r="B657" s="429" t="str">
        <f>T("1702002 2010")</f>
        <v>1702002 2010</v>
      </c>
      <c r="C657" s="637" t="str">
        <f>T("Bidrag till regional musikverksamhet samt regionala och lokala teater-, dans- och musikinstitutioner")</f>
        <v>Bidrag till regional musikverksamhet samt regionala och lokala teater-, dans- och musikinstitutioner</v>
      </c>
      <c r="D657" s="428">
        <v>755595.00399999996</v>
      </c>
      <c r="E657" s="428">
        <v>736258.55628999998</v>
      </c>
      <c r="F657" s="428">
        <v>762443.93238999997</v>
      </c>
      <c r="G657" s="428">
        <v>779802.01899999997</v>
      </c>
      <c r="H657" s="428">
        <v>810637.92287999997</v>
      </c>
      <c r="I657" s="428">
        <v>1616.125</v>
      </c>
    </row>
    <row r="658" spans="1:12">
      <c r="A658" s="429" t="str">
        <f t="shared" si="19"/>
        <v>17</v>
      </c>
      <c r="B658" s="429" t="str">
        <f>T("1702003")</f>
        <v>1702003</v>
      </c>
      <c r="C658" s="637" t="str">
        <f>T("Statens musikverk")</f>
        <v>Statens musikverk</v>
      </c>
      <c r="I658" s="428">
        <v>118937.49235</v>
      </c>
      <c r="J658" s="428">
        <v>104621.84884000001</v>
      </c>
      <c r="K658" s="428">
        <v>103672.90197000001</v>
      </c>
      <c r="L658" s="428">
        <v>108624.4274</v>
      </c>
    </row>
    <row r="659" spans="1:12">
      <c r="A659" s="429" t="str">
        <f t="shared" si="19"/>
        <v>17</v>
      </c>
      <c r="B659" s="429" t="str">
        <f>T("1703001")</f>
        <v>1703001</v>
      </c>
      <c r="C659" s="637" t="str">
        <f>T("Bidrag till litteratur och kulturtidskrifter")</f>
        <v>Bidrag till litteratur och kulturtidskrifter</v>
      </c>
      <c r="D659" s="428">
        <v>121450.84177</v>
      </c>
      <c r="E659" s="428">
        <v>124695.13613</v>
      </c>
      <c r="F659" s="428">
        <v>124846.61336</v>
      </c>
      <c r="G659" s="428">
        <v>125979.60939</v>
      </c>
      <c r="H659" s="428">
        <v>120647.14230000001</v>
      </c>
      <c r="I659" s="428">
        <v>126552.20355999999</v>
      </c>
      <c r="J659" s="428">
        <v>124442.86736</v>
      </c>
      <c r="K659" s="428">
        <v>123694.40961</v>
      </c>
      <c r="L659" s="428">
        <v>137157.21440999999</v>
      </c>
    </row>
    <row r="660" spans="1:12">
      <c r="A660" s="429" t="str">
        <f t="shared" si="19"/>
        <v>17</v>
      </c>
      <c r="B660" s="429" t="str">
        <f>T("1703001 2010")</f>
        <v>1703001 2010</v>
      </c>
      <c r="C660" s="637" t="str">
        <f>T("Bidrag till biblioteksverksamhet")</f>
        <v>Bidrag till biblioteksverksamhet</v>
      </c>
      <c r="D660" s="428">
        <v>46554.42914</v>
      </c>
      <c r="E660" s="428">
        <v>46515.785909999999</v>
      </c>
      <c r="F660" s="428">
        <v>48578.755920000003</v>
      </c>
      <c r="G660" s="428">
        <v>47808.000699999997</v>
      </c>
      <c r="H660" s="428">
        <v>48737.817660000001</v>
      </c>
      <c r="I660" s="428">
        <v>400</v>
      </c>
    </row>
    <row r="661" spans="1:12">
      <c r="A661" s="429" t="str">
        <f t="shared" si="19"/>
        <v>17</v>
      </c>
      <c r="B661" s="429" t="str">
        <f>T("1703002")</f>
        <v>1703002</v>
      </c>
      <c r="C661" s="637" t="str">
        <f>T("Myndigheten för tillgängliga medier")</f>
        <v>Myndigheten för tillgängliga medier</v>
      </c>
      <c r="D661" s="428">
        <v>72357.042000000001</v>
      </c>
      <c r="E661" s="428">
        <v>69579.441359999997</v>
      </c>
      <c r="F661" s="428">
        <v>68534.264469999995</v>
      </c>
      <c r="G661" s="428">
        <v>71003.805980000005</v>
      </c>
      <c r="H661" s="428">
        <v>74708.860700000005</v>
      </c>
      <c r="I661" s="428">
        <v>83108.616150000002</v>
      </c>
      <c r="J661" s="428">
        <v>87852.495200000005</v>
      </c>
      <c r="K661" s="428">
        <v>86198.216130000001</v>
      </c>
      <c r="L661" s="428">
        <v>88717.846650000007</v>
      </c>
    </row>
    <row r="662" spans="1:12">
      <c r="A662" s="429" t="str">
        <f t="shared" si="19"/>
        <v>17</v>
      </c>
      <c r="B662" s="429" t="str">
        <f>T("1703003")</f>
        <v>1703003</v>
      </c>
      <c r="C662" s="637" t="str">
        <f>T("Bidrag till Stiftelsen för lättläst nyhetsinformation och litteratur")</f>
        <v>Bidrag till Stiftelsen för lättläst nyhetsinformation och litteratur</v>
      </c>
      <c r="D662" s="428">
        <v>15428</v>
      </c>
      <c r="E662" s="428">
        <v>15428</v>
      </c>
      <c r="F662" s="428">
        <v>15686</v>
      </c>
      <c r="G662" s="428">
        <v>16192</v>
      </c>
      <c r="H662" s="428">
        <v>16229</v>
      </c>
      <c r="I662" s="428">
        <v>16548</v>
      </c>
      <c r="J662" s="428">
        <v>16698</v>
      </c>
      <c r="K662" s="428">
        <v>16803</v>
      </c>
      <c r="L662" s="428">
        <v>17076</v>
      </c>
    </row>
    <row r="663" spans="1:12">
      <c r="A663" s="429" t="str">
        <f t="shared" si="19"/>
        <v>17</v>
      </c>
      <c r="B663" s="429" t="str">
        <f>T("1703004")</f>
        <v>1703004</v>
      </c>
      <c r="C663" s="637" t="str">
        <f>T("Institutet för språk och folkminnen")</f>
        <v>Institutet för språk och folkminnen</v>
      </c>
      <c r="D663" s="428">
        <v>34582.001250000001</v>
      </c>
      <c r="E663" s="428">
        <v>45040.723360000004</v>
      </c>
      <c r="F663" s="428">
        <v>44770.361490000003</v>
      </c>
      <c r="G663" s="428">
        <v>47019.929040000003</v>
      </c>
      <c r="H663" s="428">
        <v>50945.803549999997</v>
      </c>
      <c r="I663" s="428">
        <v>52486.510799999996</v>
      </c>
      <c r="J663" s="428">
        <v>53981.190040000001</v>
      </c>
      <c r="K663" s="428">
        <v>57887.971579999998</v>
      </c>
      <c r="L663" s="428">
        <v>53299.977460000002</v>
      </c>
    </row>
    <row r="664" spans="1:12">
      <c r="A664" s="429" t="str">
        <f t="shared" si="19"/>
        <v>17</v>
      </c>
      <c r="B664" s="429" t="str">
        <f>T("1704001")</f>
        <v>1704001</v>
      </c>
      <c r="C664" s="637" t="str">
        <f>T("Statens konstråd")</f>
        <v>Statens konstråd</v>
      </c>
      <c r="D664" s="428">
        <v>7131.2607500000004</v>
      </c>
      <c r="E664" s="428">
        <v>7246.2432099999996</v>
      </c>
      <c r="F664" s="428">
        <v>8003.0421900000001</v>
      </c>
      <c r="G664" s="428">
        <v>7227.3925499999996</v>
      </c>
      <c r="H664" s="428">
        <v>7836.6300499999998</v>
      </c>
      <c r="I664" s="428">
        <v>7610.3288400000001</v>
      </c>
      <c r="J664" s="428">
        <v>7918.6151499999996</v>
      </c>
      <c r="K664" s="428">
        <v>7966.6917100000001</v>
      </c>
      <c r="L664" s="428">
        <v>8158.1782599999997</v>
      </c>
    </row>
    <row r="665" spans="1:12">
      <c r="A665" s="429" t="str">
        <f t="shared" si="19"/>
        <v>17</v>
      </c>
      <c r="B665" s="429" t="str">
        <f>T("1704002")</f>
        <v>1704002</v>
      </c>
      <c r="C665" s="637" t="str">
        <f>T("Konstnärlig gestaltning av den gemensamma miljön")</f>
        <v>Konstnärlig gestaltning av den gemensamma miljön</v>
      </c>
      <c r="D665" s="428">
        <v>39989.911139999997</v>
      </c>
      <c r="E665" s="428">
        <v>37030.756979999998</v>
      </c>
      <c r="F665" s="428">
        <v>36611.131679999999</v>
      </c>
      <c r="G665" s="428">
        <v>36099.30934</v>
      </c>
      <c r="H665" s="428">
        <v>33696.418790000003</v>
      </c>
      <c r="I665" s="428">
        <v>32731.053680000001</v>
      </c>
      <c r="J665" s="428">
        <v>34367.891009999999</v>
      </c>
      <c r="K665" s="428">
        <v>32983.931839999997</v>
      </c>
      <c r="L665" s="428">
        <v>32731.867770000001</v>
      </c>
    </row>
    <row r="666" spans="1:12">
      <c r="A666" s="429" t="str">
        <f t="shared" si="19"/>
        <v>17</v>
      </c>
      <c r="B666" s="429" t="str">
        <f>T("1704003")</f>
        <v>1704003</v>
      </c>
      <c r="C666" s="637" t="str">
        <f>T("Nämnden för hemslöjdsfrågor")</f>
        <v>Nämnden för hemslöjdsfrågor</v>
      </c>
      <c r="D666" s="428">
        <v>1893.19552</v>
      </c>
      <c r="E666" s="428">
        <v>1943.88859</v>
      </c>
      <c r="F666" s="428">
        <v>2044.0115699999999</v>
      </c>
      <c r="G666" s="428">
        <v>1880.4071899999999</v>
      </c>
      <c r="H666" s="428">
        <v>2268.8225499999999</v>
      </c>
      <c r="I666" s="428">
        <v>11254.81963</v>
      </c>
      <c r="J666" s="428">
        <v>11209.666010000001</v>
      </c>
      <c r="K666" s="428">
        <v>11496.577509999999</v>
      </c>
      <c r="L666" s="428">
        <v>11367.612880000001</v>
      </c>
    </row>
    <row r="667" spans="1:12">
      <c r="A667" s="429" t="str">
        <f t="shared" si="19"/>
        <v>17</v>
      </c>
      <c r="B667" s="429" t="str">
        <f>T("1704004")</f>
        <v>1704004</v>
      </c>
      <c r="C667" s="637" t="str">
        <f>T("Bidrag till bild- och formområdet")</f>
        <v>Bidrag till bild- och formområdet</v>
      </c>
      <c r="D667" s="428">
        <v>27806.099330000001</v>
      </c>
      <c r="E667" s="428">
        <v>27122.2</v>
      </c>
      <c r="F667" s="428">
        <v>28119.17</v>
      </c>
      <c r="G667" s="428">
        <v>27762.6</v>
      </c>
      <c r="H667" s="428">
        <v>27467.207999999999</v>
      </c>
      <c r="I667" s="428">
        <v>27408.942999999999</v>
      </c>
      <c r="J667" s="428">
        <v>28189.636999999999</v>
      </c>
      <c r="K667" s="428">
        <v>28171.38</v>
      </c>
      <c r="L667" s="428">
        <v>28158.125</v>
      </c>
    </row>
    <row r="668" spans="1:12">
      <c r="A668" s="429" t="str">
        <f t="shared" si="19"/>
        <v>17</v>
      </c>
      <c r="B668" s="429" t="str">
        <f>T("1704004 2010")</f>
        <v>1704004 2010</v>
      </c>
      <c r="C668" s="637" t="str">
        <f>T("Främjande av hemslöjden")</f>
        <v>Främjande av hemslöjden</v>
      </c>
      <c r="D668" s="428">
        <v>20566.023560000001</v>
      </c>
      <c r="E668" s="428">
        <v>21209.783899999999</v>
      </c>
      <c r="F668" s="428">
        <v>22126.80673</v>
      </c>
      <c r="G668" s="428">
        <v>22030.832259999999</v>
      </c>
      <c r="H668" s="428">
        <v>23208.659800000001</v>
      </c>
      <c r="I668" s="428">
        <v>206.96961999999999</v>
      </c>
    </row>
    <row r="669" spans="1:12">
      <c r="A669" s="429" t="str">
        <f t="shared" si="19"/>
        <v>17</v>
      </c>
      <c r="B669" s="429" t="str">
        <f>T("1705001")</f>
        <v>1705001</v>
      </c>
      <c r="C669" s="637" t="str">
        <f>T("Konstnärsnämnden")</f>
        <v>Konstnärsnämnden</v>
      </c>
      <c r="D669" s="428">
        <v>13844.73518</v>
      </c>
      <c r="E669" s="428">
        <v>14327.85749</v>
      </c>
      <c r="F669" s="428">
        <v>14702.93058</v>
      </c>
      <c r="G669" s="428">
        <v>14786.17319</v>
      </c>
      <c r="H669" s="428">
        <v>17175.14055</v>
      </c>
      <c r="I669" s="428">
        <v>17908.375309999999</v>
      </c>
      <c r="J669" s="428">
        <v>17407.353630000001</v>
      </c>
      <c r="K669" s="428">
        <v>18632.811440000001</v>
      </c>
      <c r="L669" s="428">
        <v>19549.41949</v>
      </c>
    </row>
    <row r="670" spans="1:12">
      <c r="A670" s="429" t="str">
        <f t="shared" si="19"/>
        <v>17</v>
      </c>
      <c r="B670" s="429" t="str">
        <f>T("1705002")</f>
        <v>1705002</v>
      </c>
      <c r="C670" s="637" t="str">
        <f>T("Ersättningar och bidrag till konstnärer")</f>
        <v>Ersättningar och bidrag till konstnärer</v>
      </c>
      <c r="D670" s="428">
        <v>293886.85204000003</v>
      </c>
      <c r="E670" s="428">
        <v>296070.59534</v>
      </c>
      <c r="F670" s="428">
        <v>305189.54771000001</v>
      </c>
      <c r="G670" s="428">
        <v>308867.06933000003</v>
      </c>
      <c r="H670" s="428">
        <v>325466.52130000002</v>
      </c>
      <c r="I670" s="428">
        <v>325147.88549999997</v>
      </c>
      <c r="J670" s="428">
        <v>332105.63546000002</v>
      </c>
      <c r="K670" s="428">
        <v>332589.14049000002</v>
      </c>
      <c r="L670" s="428">
        <v>344085.78155999997</v>
      </c>
    </row>
    <row r="671" spans="1:12">
      <c r="A671" s="429" t="str">
        <f t="shared" si="19"/>
        <v>17</v>
      </c>
      <c r="B671" s="429" t="str">
        <f>T("1706001")</f>
        <v>1706001</v>
      </c>
      <c r="C671" s="637" t="str">
        <f>T("Riksarkivet")</f>
        <v>Riksarkivet</v>
      </c>
      <c r="D671" s="428">
        <v>314602.82711999997</v>
      </c>
      <c r="E671" s="428">
        <v>317535.58172999998</v>
      </c>
      <c r="F671" s="428">
        <v>329410.88847000001</v>
      </c>
      <c r="G671" s="428">
        <v>330688.56579999998</v>
      </c>
      <c r="H671" s="428">
        <v>337927.29616000003</v>
      </c>
      <c r="I671" s="428">
        <v>343883.79255000001</v>
      </c>
      <c r="J671" s="428">
        <v>356917.04362000001</v>
      </c>
      <c r="K671" s="428">
        <v>361491.74472000002</v>
      </c>
      <c r="L671" s="428">
        <v>347062.12066999997</v>
      </c>
    </row>
    <row r="672" spans="1:12">
      <c r="A672" s="429" t="str">
        <f t="shared" si="19"/>
        <v>17</v>
      </c>
      <c r="B672" s="429" t="str">
        <f>T("1706002 2010")</f>
        <v>1706002 2010</v>
      </c>
      <c r="C672" s="637" t="str">
        <f>T("Bidrag till regional arkivverksamhet")</f>
        <v>Bidrag till regional arkivverksamhet</v>
      </c>
      <c r="D672" s="428">
        <v>6049</v>
      </c>
      <c r="E672" s="428">
        <v>6110</v>
      </c>
      <c r="F672" s="428">
        <v>6158</v>
      </c>
      <c r="G672" s="428">
        <v>6227.9989100000003</v>
      </c>
      <c r="H672" s="428">
        <v>6405.9999600000001</v>
      </c>
    </row>
    <row r="673" spans="1:12">
      <c r="A673" s="429" t="str">
        <f t="shared" si="19"/>
        <v>17</v>
      </c>
      <c r="B673" s="429" t="str">
        <f>T("1707001")</f>
        <v>1707001</v>
      </c>
      <c r="C673" s="637" t="str">
        <f>T("Riksantikvarieämbetet")</f>
        <v>Riksantikvarieämbetet</v>
      </c>
      <c r="D673" s="428">
        <v>187639.68724</v>
      </c>
      <c r="E673" s="428">
        <v>199476.68465000001</v>
      </c>
      <c r="F673" s="428">
        <v>233493.17613000001</v>
      </c>
      <c r="G673" s="428">
        <v>207656.81696</v>
      </c>
      <c r="H673" s="428">
        <v>214107.07556999999</v>
      </c>
      <c r="I673" s="428">
        <v>207633.27317</v>
      </c>
      <c r="J673" s="428">
        <v>214480.11149000001</v>
      </c>
      <c r="K673" s="428">
        <v>220959.10261</v>
      </c>
      <c r="L673" s="428">
        <v>218297.74431000001</v>
      </c>
    </row>
    <row r="674" spans="1:12">
      <c r="A674" s="429" t="str">
        <f t="shared" si="19"/>
        <v>17</v>
      </c>
      <c r="B674" s="429" t="str">
        <f>T("1707002")</f>
        <v>1707002</v>
      </c>
      <c r="C674" s="637" t="str">
        <f>T("Bidrag till kulturmiljövård")</f>
        <v>Bidrag till kulturmiljövård</v>
      </c>
      <c r="D674" s="428">
        <v>263574.07260999997</v>
      </c>
      <c r="E674" s="428">
        <v>257493.89386000001</v>
      </c>
      <c r="F674" s="428">
        <v>254468.20034000001</v>
      </c>
      <c r="G674" s="428">
        <v>239985.12022000001</v>
      </c>
      <c r="H674" s="428">
        <v>251239.49866000001</v>
      </c>
      <c r="I674" s="428">
        <v>253625.00249000001</v>
      </c>
      <c r="J674" s="428">
        <v>251019.29983999999</v>
      </c>
      <c r="K674" s="428">
        <v>251073.81039999999</v>
      </c>
      <c r="L674" s="428">
        <v>252669.73289000001</v>
      </c>
    </row>
    <row r="675" spans="1:12">
      <c r="A675" s="429" t="str">
        <f t="shared" si="19"/>
        <v>17</v>
      </c>
      <c r="B675" s="429" t="str">
        <f>T("1707003")</f>
        <v>1707003</v>
      </c>
      <c r="C675" s="637" t="str">
        <f>T("Kyrkoantikvarisk ersättning")</f>
        <v>Kyrkoantikvarisk ersättning</v>
      </c>
      <c r="D675" s="428">
        <v>235000</v>
      </c>
      <c r="E675" s="428">
        <v>305000</v>
      </c>
      <c r="F675" s="428">
        <v>395000</v>
      </c>
      <c r="G675" s="428">
        <v>465000</v>
      </c>
      <c r="H675" s="428">
        <v>460000</v>
      </c>
      <c r="I675" s="428">
        <v>460000</v>
      </c>
      <c r="J675" s="428">
        <v>460000</v>
      </c>
      <c r="K675" s="428">
        <v>460000</v>
      </c>
      <c r="L675" s="428">
        <v>460000</v>
      </c>
    </row>
    <row r="676" spans="1:12">
      <c r="A676" s="429" t="str">
        <f t="shared" si="19"/>
        <v>17</v>
      </c>
      <c r="B676" s="429" t="str">
        <f>T("1708001")</f>
        <v>1708001</v>
      </c>
      <c r="C676" s="637" t="str">
        <f>T("Centrala museer: Myndigheter")</f>
        <v>Centrala museer: Myndigheter</v>
      </c>
      <c r="D676" s="428">
        <v>873337.51794000005</v>
      </c>
      <c r="E676" s="428">
        <v>843917.42836999998</v>
      </c>
      <c r="F676" s="428">
        <v>878372.40144000005</v>
      </c>
      <c r="G676" s="428">
        <v>932721.03570999997</v>
      </c>
      <c r="H676" s="428">
        <v>974135.93178999994</v>
      </c>
      <c r="I676" s="428">
        <v>926454.80059999996</v>
      </c>
      <c r="J676" s="428">
        <v>955819.00786999997</v>
      </c>
      <c r="K676" s="428">
        <v>990933.76572999998</v>
      </c>
      <c r="L676" s="428">
        <v>1001265.5118400001</v>
      </c>
    </row>
    <row r="677" spans="1:12">
      <c r="A677" s="429" t="str">
        <f t="shared" si="19"/>
        <v>17</v>
      </c>
      <c r="B677" s="429" t="str">
        <f>T("1708002")</f>
        <v>1708002</v>
      </c>
      <c r="C677" s="637" t="str">
        <f>T("Centrala museer: Stiftelser")</f>
        <v>Centrala museer: Stiftelser</v>
      </c>
      <c r="D677" s="428">
        <v>220818</v>
      </c>
      <c r="E677" s="428">
        <v>217615</v>
      </c>
      <c r="F677" s="428">
        <v>219928</v>
      </c>
      <c r="G677" s="428">
        <v>233937</v>
      </c>
      <c r="H677" s="428">
        <v>234574</v>
      </c>
      <c r="I677" s="428">
        <v>235081</v>
      </c>
      <c r="J677" s="428">
        <v>237388</v>
      </c>
      <c r="K677" s="428">
        <v>239538</v>
      </c>
      <c r="L677" s="428">
        <v>244614</v>
      </c>
    </row>
    <row r="678" spans="1:12">
      <c r="A678" s="429" t="str">
        <f t="shared" si="19"/>
        <v>17</v>
      </c>
      <c r="B678" s="429" t="str">
        <f>T("1708003")</f>
        <v>1708003</v>
      </c>
      <c r="C678" s="637" t="str">
        <f>T("Bidrag till vissa museer")</f>
        <v>Bidrag till vissa museer</v>
      </c>
      <c r="D678" s="428">
        <v>54661.502</v>
      </c>
      <c r="E678" s="428">
        <v>54323</v>
      </c>
      <c r="F678" s="428">
        <v>55521</v>
      </c>
      <c r="G678" s="428">
        <v>51440</v>
      </c>
      <c r="H678" s="428">
        <v>41947</v>
      </c>
      <c r="I678" s="428">
        <v>41213</v>
      </c>
      <c r="J678" s="428">
        <v>42157</v>
      </c>
      <c r="K678" s="428">
        <v>46639</v>
      </c>
      <c r="L678" s="428">
        <v>48392</v>
      </c>
    </row>
    <row r="679" spans="1:12">
      <c r="A679" s="429" t="str">
        <f t="shared" si="19"/>
        <v>17</v>
      </c>
      <c r="B679" s="429" t="str">
        <f>T("1708003 2010")</f>
        <v>1708003 2010</v>
      </c>
      <c r="C679" s="637" t="str">
        <f>T("Bidrag till regionala museer")</f>
        <v>Bidrag till regionala museer</v>
      </c>
      <c r="D679" s="428">
        <v>152219.628</v>
      </c>
      <c r="E679" s="428">
        <v>154266.99799999999</v>
      </c>
      <c r="F679" s="428">
        <v>155004.12700000001</v>
      </c>
      <c r="G679" s="428">
        <v>157622.34</v>
      </c>
      <c r="H679" s="428">
        <v>162753.1</v>
      </c>
      <c r="I679" s="428">
        <v>1500</v>
      </c>
    </row>
    <row r="680" spans="1:12">
      <c r="A680" s="429" t="str">
        <f t="shared" si="19"/>
        <v>17</v>
      </c>
      <c r="B680" s="429" t="str">
        <f>T("1708004")</f>
        <v>1708004</v>
      </c>
      <c r="C680" s="637" t="str">
        <f>T("Riksutställningar")</f>
        <v>Riksutställningar</v>
      </c>
      <c r="D680" s="428">
        <v>45169.022069999999</v>
      </c>
      <c r="E680" s="428">
        <v>52238.616099999999</v>
      </c>
      <c r="F680" s="428">
        <v>50806.92972</v>
      </c>
      <c r="G680" s="428">
        <v>50451.298869999999</v>
      </c>
      <c r="H680" s="428">
        <v>51166.111989999998</v>
      </c>
      <c r="I680" s="428">
        <v>40992.138760000002</v>
      </c>
      <c r="J680" s="428">
        <v>45147.226300000002</v>
      </c>
      <c r="K680" s="428">
        <v>43550.402240000003</v>
      </c>
      <c r="L680" s="428">
        <v>43185.608610000003</v>
      </c>
    </row>
    <row r="681" spans="1:12">
      <c r="A681" s="429" t="str">
        <f t="shared" si="19"/>
        <v>17</v>
      </c>
      <c r="B681" s="429" t="str">
        <f>T("1708005")</f>
        <v>1708005</v>
      </c>
      <c r="C681" s="637" t="str">
        <f>T("Forum för levande historia")</f>
        <v>Forum för levande historia</v>
      </c>
      <c r="D681" s="428">
        <v>40740.641080000001</v>
      </c>
      <c r="E681" s="428">
        <v>42302.175389999997</v>
      </c>
      <c r="F681" s="428">
        <v>43604.019679999998</v>
      </c>
      <c r="G681" s="428">
        <v>43499.964699999997</v>
      </c>
      <c r="H681" s="428">
        <v>44495.704290000001</v>
      </c>
      <c r="I681" s="428">
        <v>42734.437700000002</v>
      </c>
      <c r="J681" s="428">
        <v>42837.184520000003</v>
      </c>
      <c r="K681" s="428">
        <v>44850.464359999998</v>
      </c>
      <c r="L681" s="428">
        <v>45154.059090000002</v>
      </c>
    </row>
    <row r="682" spans="1:12">
      <c r="A682" s="429" t="str">
        <f t="shared" si="19"/>
        <v>17</v>
      </c>
      <c r="B682" s="429" t="str">
        <f>T("1708006")</f>
        <v>1708006</v>
      </c>
      <c r="C682" s="637" t="str">
        <f>T("Statliga utställningsgarantier och inköp av vissa kulturföremål")</f>
        <v>Statliga utställningsgarantier och inköp av vissa kulturföremål</v>
      </c>
      <c r="J682" s="428">
        <v>79</v>
      </c>
      <c r="K682" s="428">
        <v>-79</v>
      </c>
    </row>
    <row r="683" spans="1:12">
      <c r="A683" s="429" t="str">
        <f t="shared" si="19"/>
        <v>17</v>
      </c>
      <c r="B683" s="429" t="str">
        <f>T("1709001")</f>
        <v>1709001</v>
      </c>
      <c r="C683" s="637" t="str">
        <f>T("Nämnden för statligt stöd till trossamfund")</f>
        <v>Nämnden för statligt stöd till trossamfund</v>
      </c>
      <c r="D683" s="428">
        <v>3854.9632200000001</v>
      </c>
      <c r="E683" s="428">
        <v>4773.69776</v>
      </c>
      <c r="F683" s="428">
        <v>4438.6364899999999</v>
      </c>
      <c r="G683" s="428">
        <v>4818.1955900000003</v>
      </c>
      <c r="H683" s="428">
        <v>4704.9786000000004</v>
      </c>
      <c r="I683" s="428">
        <v>4946.9635799999996</v>
      </c>
      <c r="J683" s="428">
        <v>6370.89815</v>
      </c>
      <c r="K683" s="428">
        <v>7229.9063500000002</v>
      </c>
      <c r="L683" s="428">
        <v>7580.1179199999997</v>
      </c>
    </row>
    <row r="684" spans="1:12">
      <c r="A684" s="429" t="str">
        <f t="shared" si="19"/>
        <v>17</v>
      </c>
      <c r="B684" s="429" t="str">
        <f>T("1709002")</f>
        <v>1709002</v>
      </c>
      <c r="C684" s="637" t="str">
        <f>T("Stöd till trossamfund")</f>
        <v>Stöd till trossamfund</v>
      </c>
      <c r="D684" s="428">
        <v>54188.360999999997</v>
      </c>
      <c r="E684" s="428">
        <v>48396.536500000002</v>
      </c>
      <c r="F684" s="428">
        <v>50389.758000000002</v>
      </c>
      <c r="G684" s="428">
        <v>50096.777999999998</v>
      </c>
      <c r="H684" s="428">
        <v>50494.593000000001</v>
      </c>
      <c r="I684" s="428">
        <v>50337.061999999998</v>
      </c>
      <c r="J684" s="428">
        <v>60232.24</v>
      </c>
      <c r="K684" s="428">
        <v>71650.968550000005</v>
      </c>
      <c r="L684" s="428">
        <v>76670.528430000006</v>
      </c>
    </row>
    <row r="685" spans="1:12">
      <c r="A685" s="429" t="str">
        <f t="shared" si="19"/>
        <v>17</v>
      </c>
      <c r="B685" s="429" t="str">
        <f>T("1710001")</f>
        <v>1710001</v>
      </c>
      <c r="C685" s="637" t="str">
        <f>T("Filmstöd")</f>
        <v>Filmstöd</v>
      </c>
      <c r="D685" s="428">
        <v>289304</v>
      </c>
      <c r="E685" s="428">
        <v>299222.94079999998</v>
      </c>
      <c r="F685" s="428">
        <v>309381.00300000003</v>
      </c>
      <c r="G685" s="428">
        <v>309390.99300000002</v>
      </c>
      <c r="H685" s="428">
        <v>310814</v>
      </c>
      <c r="I685" s="428">
        <v>302334</v>
      </c>
      <c r="J685" s="428">
        <v>302894</v>
      </c>
      <c r="K685" s="428">
        <v>332083.99900000001</v>
      </c>
      <c r="L685" s="428">
        <v>302144</v>
      </c>
    </row>
    <row r="686" spans="1:12">
      <c r="A686" s="429" t="str">
        <f t="shared" ref="A686:A716" si="20">T("17")</f>
        <v>17</v>
      </c>
      <c r="B686" s="429" t="str">
        <f>T("1711001")</f>
        <v>1711001</v>
      </c>
      <c r="C686" s="637" t="str">
        <f>T("Utbyte av tv-sändningar mellan Sverige och Finland")</f>
        <v>Utbyte av tv-sändningar mellan Sverige och Finland</v>
      </c>
      <c r="D686" s="428">
        <v>20515</v>
      </c>
      <c r="E686" s="428">
        <v>20700</v>
      </c>
      <c r="F686" s="428">
        <v>20289</v>
      </c>
      <c r="G686" s="428">
        <v>20598</v>
      </c>
      <c r="H686" s="428">
        <v>21373</v>
      </c>
      <c r="I686" s="428">
        <v>21261</v>
      </c>
      <c r="J686" s="428">
        <v>21756</v>
      </c>
      <c r="K686" s="428">
        <v>21293</v>
      </c>
      <c r="L686" s="428">
        <v>21793</v>
      </c>
    </row>
    <row r="687" spans="1:12">
      <c r="A687" s="429" t="str">
        <f t="shared" si="20"/>
        <v>17</v>
      </c>
      <c r="B687" s="429" t="str">
        <f>T("1711001 2010")</f>
        <v>1711001 2010</v>
      </c>
      <c r="C687" s="637" t="str">
        <f>T("Statens biografbyrå")</f>
        <v>Statens biografbyrå</v>
      </c>
      <c r="D687" s="428">
        <v>10008.101699999999</v>
      </c>
      <c r="E687" s="428">
        <v>9501.1590099999994</v>
      </c>
      <c r="F687" s="428">
        <v>9476.8571200000006</v>
      </c>
      <c r="G687" s="428">
        <v>10862.62232</v>
      </c>
      <c r="H687" s="428">
        <v>10094.284739999999</v>
      </c>
      <c r="J687" s="428">
        <v>-282.20418000000001</v>
      </c>
    </row>
    <row r="688" spans="1:12">
      <c r="A688" s="429" t="str">
        <f t="shared" si="20"/>
        <v>17</v>
      </c>
      <c r="B688" s="429" t="str">
        <f>T("1711002")</f>
        <v>1711002</v>
      </c>
      <c r="C688" s="637" t="str">
        <f>T("Forskning och dokumentation om medieutvecklingen")</f>
        <v>Forskning och dokumentation om medieutvecklingen</v>
      </c>
      <c r="D688" s="428">
        <v>2011</v>
      </c>
      <c r="E688" s="428">
        <v>2031</v>
      </c>
      <c r="F688" s="428">
        <v>2047</v>
      </c>
      <c r="G688" s="428">
        <v>2070</v>
      </c>
      <c r="H688" s="428">
        <v>2162</v>
      </c>
      <c r="I688" s="428">
        <v>2173</v>
      </c>
      <c r="J688" s="428">
        <v>2593</v>
      </c>
      <c r="K688" s="428">
        <v>2193</v>
      </c>
      <c r="L688" s="428">
        <v>2624</v>
      </c>
    </row>
    <row r="689" spans="1:12">
      <c r="A689" s="429" t="str">
        <f t="shared" si="20"/>
        <v>17</v>
      </c>
      <c r="B689" s="429" t="str">
        <f>T("1711003")</f>
        <v>1711003</v>
      </c>
      <c r="C689" s="637" t="str">
        <f>T("Avgift till Europeiska audiovisuella observatoriet")</f>
        <v>Avgift till Europeiska audiovisuella observatoriet</v>
      </c>
      <c r="I689" s="428">
        <v>315.93808999999999</v>
      </c>
      <c r="J689" s="428">
        <v>306.52278999999999</v>
      </c>
      <c r="K689" s="428">
        <v>294.67838</v>
      </c>
      <c r="L689" s="428">
        <v>318.84775999999999</v>
      </c>
    </row>
    <row r="690" spans="1:12">
      <c r="A690" s="429" t="str">
        <f t="shared" si="20"/>
        <v>17</v>
      </c>
      <c r="B690" s="429" t="str">
        <f>T("1711003 2010")</f>
        <v>1711003 2010</v>
      </c>
      <c r="C690" s="637" t="str">
        <f>T("Bidrag till dokumentation om den mediepolitiska utvecklingen och till europeiskt mediesamarbete")</f>
        <v>Bidrag till dokumentation om den mediepolitiska utvecklingen och till europeiskt mediesamarbete</v>
      </c>
      <c r="D690" s="428">
        <v>739.94494999999995</v>
      </c>
      <c r="E690" s="428">
        <v>378.61754000000002</v>
      </c>
      <c r="F690" s="428">
        <v>339.31398999999999</v>
      </c>
      <c r="G690" s="428">
        <v>420.55335000000002</v>
      </c>
      <c r="H690" s="428">
        <v>361.87443999999999</v>
      </c>
    </row>
    <row r="691" spans="1:12">
      <c r="A691" s="429" t="str">
        <f t="shared" si="20"/>
        <v>17</v>
      </c>
      <c r="B691" s="429" t="str">
        <f>T("1711004")</f>
        <v>1711004</v>
      </c>
      <c r="C691" s="637" t="str">
        <f>T("Statens medieråd")</f>
        <v>Statens medieråd</v>
      </c>
      <c r="I691" s="428">
        <v>16709.839329999999</v>
      </c>
      <c r="J691" s="428">
        <v>15905.97644</v>
      </c>
      <c r="K691" s="428">
        <v>17114.772059999999</v>
      </c>
      <c r="L691" s="428">
        <v>17697.099419999999</v>
      </c>
    </row>
    <row r="692" spans="1:12">
      <c r="A692" s="429" t="str">
        <f t="shared" si="20"/>
        <v>17</v>
      </c>
      <c r="B692" s="429" t="str">
        <f>T("1711005")</f>
        <v>1711005</v>
      </c>
      <c r="C692" s="637" t="str">
        <f>T("Stöd till taltidningar")</f>
        <v>Stöd till taltidningar</v>
      </c>
      <c r="I692" s="428">
        <v>125253.14203</v>
      </c>
      <c r="J692" s="428">
        <v>117868.72175</v>
      </c>
      <c r="K692" s="428">
        <v>122377.51459000001</v>
      </c>
      <c r="L692" s="428">
        <v>76080.651159999994</v>
      </c>
    </row>
    <row r="693" spans="1:12">
      <c r="A693" s="429" t="str">
        <f t="shared" si="20"/>
        <v>17</v>
      </c>
      <c r="B693" s="429" t="str">
        <f>T("1712001")</f>
        <v>1712001</v>
      </c>
      <c r="C693" s="637" t="str">
        <f>T("Ungdomsstyrelsen")</f>
        <v>Ungdomsstyrelsen</v>
      </c>
      <c r="D693" s="428">
        <v>19324.051500000001</v>
      </c>
      <c r="E693" s="428">
        <v>18983.53485</v>
      </c>
      <c r="F693" s="428">
        <v>23218.91634</v>
      </c>
      <c r="G693" s="428">
        <v>29133.634709999998</v>
      </c>
      <c r="H693" s="428">
        <v>27009.504270000001</v>
      </c>
      <c r="I693" s="428">
        <v>27125.878049999999</v>
      </c>
      <c r="J693" s="428">
        <v>32069.899669999999</v>
      </c>
      <c r="K693" s="428">
        <v>31839.588500000002</v>
      </c>
      <c r="L693" s="428">
        <v>32579.765889999999</v>
      </c>
    </row>
    <row r="694" spans="1:12">
      <c r="A694" s="429" t="str">
        <f t="shared" si="20"/>
        <v>17</v>
      </c>
      <c r="B694" s="429" t="str">
        <f>T("1712002")</f>
        <v>1712002</v>
      </c>
      <c r="C694" s="637" t="str">
        <f>T("Bidrag till nationell och internationell ungdomsverksamhet")</f>
        <v>Bidrag till nationell och internationell ungdomsverksamhet</v>
      </c>
      <c r="D694" s="428">
        <v>123548.95600000001</v>
      </c>
      <c r="E694" s="428">
        <v>175444.27329000001</v>
      </c>
      <c r="F694" s="428">
        <v>90761.238729999997</v>
      </c>
      <c r="G694" s="428">
        <v>86550.363249999995</v>
      </c>
      <c r="H694" s="428">
        <v>98121.366110000003</v>
      </c>
      <c r="I694" s="428">
        <v>253093.62573999999</v>
      </c>
      <c r="J694" s="428">
        <v>249306.32451999999</v>
      </c>
      <c r="K694" s="428">
        <v>248842.77956</v>
      </c>
      <c r="L694" s="428">
        <v>258676.18091</v>
      </c>
    </row>
    <row r="695" spans="1:12">
      <c r="A695" s="429" t="str">
        <f t="shared" si="20"/>
        <v>17</v>
      </c>
      <c r="B695" s="429" t="str">
        <f>T("1713001")</f>
        <v>1713001</v>
      </c>
      <c r="C695" s="637" t="str">
        <f>T("Stöd till idrotten")</f>
        <v>Stöd till idrotten</v>
      </c>
      <c r="D695" s="428">
        <v>458458.22534</v>
      </c>
      <c r="E695" s="428">
        <v>445783.71250999998</v>
      </c>
      <c r="F695" s="428">
        <v>445519.66566</v>
      </c>
      <c r="G695" s="428">
        <v>445318.98</v>
      </c>
      <c r="H695" s="428">
        <v>1204276.92344</v>
      </c>
      <c r="I695" s="428">
        <v>1454728.3563399999</v>
      </c>
      <c r="J695" s="428">
        <v>1704823.5481400001</v>
      </c>
      <c r="K695" s="428">
        <v>1705145.3200999999</v>
      </c>
      <c r="L695" s="428">
        <v>1705216.32198</v>
      </c>
    </row>
    <row r="696" spans="1:12">
      <c r="A696" s="429" t="str">
        <f t="shared" si="20"/>
        <v>17</v>
      </c>
      <c r="B696" s="429" t="str">
        <f>T("1713002")</f>
        <v>1713002</v>
      </c>
      <c r="C696" s="637" t="str">
        <f>T("Bidrag till allmänna samlingslokaler")</f>
        <v>Bidrag till allmänna samlingslokaler</v>
      </c>
      <c r="D696" s="428">
        <v>36329.853000000003</v>
      </c>
      <c r="E696" s="428">
        <v>19625.918000000001</v>
      </c>
      <c r="F696" s="428">
        <v>32199.284</v>
      </c>
      <c r="G696" s="428">
        <v>34652.048000000003</v>
      </c>
      <c r="H696" s="428">
        <v>43873.595000000001</v>
      </c>
      <c r="I696" s="428">
        <v>31603.072</v>
      </c>
      <c r="J696" s="428">
        <v>33490.470999999998</v>
      </c>
      <c r="K696" s="428">
        <v>31355.437999999998</v>
      </c>
      <c r="L696" s="428">
        <v>31880.983</v>
      </c>
    </row>
    <row r="697" spans="1:12">
      <c r="A697" s="429" t="str">
        <f t="shared" si="20"/>
        <v>17</v>
      </c>
      <c r="B697" s="429" t="str">
        <f>T("1713003")</f>
        <v>1713003</v>
      </c>
      <c r="C697" s="637" t="str">
        <f>T("Bidrag för kvinnors organisering")</f>
        <v>Bidrag för kvinnors organisering</v>
      </c>
      <c r="D697" s="428">
        <v>25433.090329999999</v>
      </c>
      <c r="E697" s="428">
        <v>28699.89632</v>
      </c>
      <c r="F697" s="428">
        <v>30759.405780000001</v>
      </c>
      <c r="G697" s="428">
        <v>27505.835800000001</v>
      </c>
      <c r="H697" s="428">
        <v>28033.868200000001</v>
      </c>
      <c r="I697" s="428">
        <v>28086.365170000001</v>
      </c>
      <c r="J697" s="428">
        <v>27593.486519999999</v>
      </c>
      <c r="K697" s="428">
        <v>27679.038639999999</v>
      </c>
      <c r="L697" s="428">
        <v>27758.377</v>
      </c>
    </row>
    <row r="698" spans="1:12">
      <c r="A698" s="429" t="str">
        <f t="shared" si="20"/>
        <v>17</v>
      </c>
      <c r="B698" s="429" t="str">
        <f>T("1713004")</f>
        <v>1713004</v>
      </c>
      <c r="C698" s="637" t="str">
        <f>T("Stöd till friluftsorganisationer")</f>
        <v>Stöd till friluftsorganisationer</v>
      </c>
      <c r="D698" s="428">
        <v>24910</v>
      </c>
      <c r="E698" s="428">
        <v>24697.5</v>
      </c>
      <c r="F698" s="428">
        <v>25091.212</v>
      </c>
      <c r="G698" s="428">
        <v>24941.288</v>
      </c>
      <c r="H698" s="428">
        <v>24345</v>
      </c>
      <c r="I698" s="428">
        <v>27785</v>
      </c>
      <c r="J698" s="428">
        <v>27785</v>
      </c>
      <c r="K698" s="428">
        <v>27785</v>
      </c>
      <c r="L698" s="428">
        <v>27785</v>
      </c>
    </row>
    <row r="699" spans="1:12">
      <c r="A699" s="429" t="str">
        <f t="shared" si="20"/>
        <v>17</v>
      </c>
      <c r="B699" s="429" t="str">
        <f>T("1713005")</f>
        <v>1713005</v>
      </c>
      <c r="C699" s="637" t="str">
        <f>T("Bidrag till riksdagspartiers kvinnoorganisationer")</f>
        <v>Bidrag till riksdagspartiers kvinnoorganisationer</v>
      </c>
      <c r="F699" s="428">
        <v>15000</v>
      </c>
      <c r="G699" s="428">
        <v>15000</v>
      </c>
      <c r="H699" s="428">
        <v>14613.487999999999</v>
      </c>
      <c r="I699" s="428">
        <v>15386.172</v>
      </c>
      <c r="J699" s="428">
        <v>14999.66</v>
      </c>
      <c r="K699" s="428">
        <v>14999.66</v>
      </c>
      <c r="L699" s="428">
        <v>14999.66</v>
      </c>
    </row>
    <row r="700" spans="1:12">
      <c r="A700" s="429" t="str">
        <f t="shared" si="20"/>
        <v>17</v>
      </c>
      <c r="B700" s="429" t="str">
        <f>T("1713006")</f>
        <v>1713006</v>
      </c>
      <c r="C700" s="637" t="str">
        <f>T("Insatser för den ideella sektorn")</f>
        <v>Insatser för den ideella sektorn</v>
      </c>
      <c r="H700" s="428">
        <v>22387.054260000001</v>
      </c>
      <c r="I700" s="428">
        <v>24785.110189999999</v>
      </c>
      <c r="J700" s="428">
        <v>22591</v>
      </c>
      <c r="K700" s="428">
        <v>22700</v>
      </c>
      <c r="L700" s="428">
        <v>24750</v>
      </c>
    </row>
    <row r="701" spans="1:12">
      <c r="A701" s="429" t="str">
        <f t="shared" si="20"/>
        <v>17</v>
      </c>
      <c r="B701" s="429" t="str">
        <f>T("1714001")</f>
        <v>1714001</v>
      </c>
      <c r="C701" s="637" t="str">
        <f>T("Bidrag till folkbildningen")</f>
        <v>Bidrag till folkbildningen</v>
      </c>
      <c r="D701" s="428">
        <v>2688646</v>
      </c>
      <c r="E701" s="428">
        <v>3079439</v>
      </c>
      <c r="F701" s="428">
        <v>3106957</v>
      </c>
      <c r="G701" s="428">
        <v>3166290</v>
      </c>
      <c r="H701" s="428">
        <v>3260013</v>
      </c>
      <c r="I701" s="428">
        <v>3274817</v>
      </c>
      <c r="J701" s="428">
        <v>3306021</v>
      </c>
      <c r="K701" s="428">
        <v>3546705</v>
      </c>
      <c r="L701" s="428">
        <v>3624840</v>
      </c>
    </row>
    <row r="702" spans="1:12">
      <c r="A702" s="429" t="str">
        <f t="shared" si="20"/>
        <v>17</v>
      </c>
      <c r="B702" s="429" t="str">
        <f>T("1714002")</f>
        <v>1714002</v>
      </c>
      <c r="C702" s="637" t="str">
        <f>T("Bidrag till kontakttolkutbildning")</f>
        <v>Bidrag till kontakttolkutbildning</v>
      </c>
      <c r="D702" s="428">
        <v>12426.467780000001</v>
      </c>
      <c r="E702" s="428">
        <v>14719.891680000001</v>
      </c>
      <c r="F702" s="428">
        <v>15675.82921</v>
      </c>
      <c r="G702" s="428">
        <v>15708</v>
      </c>
      <c r="H702" s="428">
        <v>15770</v>
      </c>
      <c r="I702" s="428">
        <v>16782</v>
      </c>
      <c r="J702" s="428">
        <v>16073.597820000001</v>
      </c>
      <c r="K702" s="428">
        <v>16597.255720000001</v>
      </c>
      <c r="L702" s="428">
        <v>16775.99987</v>
      </c>
    </row>
    <row r="703" spans="1:12">
      <c r="A703" s="429" t="str">
        <f t="shared" si="20"/>
        <v>17</v>
      </c>
      <c r="B703" s="429" t="str">
        <f>T("1714002 2011")</f>
        <v>1714002 2011</v>
      </c>
      <c r="C703" s="637" t="str">
        <f>T("Bidrag till tolkutbildning och teckenspråklärarutbildning")</f>
        <v>Bidrag till tolkutbildning och teckenspråklärarutbildning</v>
      </c>
      <c r="D703" s="428">
        <v>73997.639500000005</v>
      </c>
      <c r="E703" s="428">
        <v>75355.115000000005</v>
      </c>
      <c r="F703" s="428">
        <v>74412.088990000004</v>
      </c>
      <c r="G703" s="428">
        <v>78241.35557</v>
      </c>
      <c r="H703" s="428">
        <v>75609.717000000004</v>
      </c>
      <c r="I703" s="428">
        <v>33769.652999999998</v>
      </c>
    </row>
    <row r="704" spans="1:12">
      <c r="A704" s="429" t="str">
        <f t="shared" si="20"/>
        <v>17</v>
      </c>
      <c r="B704" s="429" t="str">
        <f>T("1715001")</f>
        <v>1715001</v>
      </c>
      <c r="C704" s="637" t="str">
        <f>T("Lotteriinspektionen")</f>
        <v>Lotteriinspektionen</v>
      </c>
      <c r="D704" s="428">
        <v>34840.415500000003</v>
      </c>
      <c r="E704" s="428">
        <v>37534.687749999997</v>
      </c>
      <c r="F704" s="428">
        <v>38192.400070000003</v>
      </c>
      <c r="G704" s="428">
        <v>40816.629639999999</v>
      </c>
      <c r="H704" s="428">
        <v>44917.351089999996</v>
      </c>
      <c r="I704" s="428">
        <v>44027.203809999999</v>
      </c>
      <c r="J704" s="428">
        <v>45471.214209999998</v>
      </c>
      <c r="K704" s="428">
        <v>45985.551220000001</v>
      </c>
      <c r="L704" s="428">
        <v>46537.326500000003</v>
      </c>
    </row>
    <row r="705" spans="1:12">
      <c r="A705" s="429" t="str">
        <f t="shared" si="20"/>
        <v>17</v>
      </c>
      <c r="B705" s="429" t="str">
        <f>T("172504 2003")</f>
        <v>172504 2003</v>
      </c>
      <c r="C705" s="637" t="str">
        <f>T("Folkbildningsinsatser för folkomröstning om införande av euron")</f>
        <v>Folkbildningsinsatser för folkomröstning om införande av euron</v>
      </c>
    </row>
    <row r="706" spans="1:12">
      <c r="A706" s="429" t="str">
        <f t="shared" si="20"/>
        <v>17</v>
      </c>
      <c r="B706" s="429" t="str">
        <f>T("172601 2008")</f>
        <v>172601 2008</v>
      </c>
      <c r="C706" s="637" t="str">
        <f>T("Statens ljud- och bildarkiv")</f>
        <v>Statens ljud- och bildarkiv</v>
      </c>
      <c r="D706" s="428">
        <v>46208.06652</v>
      </c>
      <c r="E706" s="428">
        <v>59653.662179999999</v>
      </c>
      <c r="F706" s="428">
        <v>50992.379820000002</v>
      </c>
      <c r="G706" s="428">
        <v>3389.5131500000002</v>
      </c>
    </row>
    <row r="707" spans="1:12">
      <c r="A707" s="429" t="str">
        <f t="shared" si="20"/>
        <v>17</v>
      </c>
      <c r="B707" s="429" t="str">
        <f>T("172803 2008")</f>
        <v>172803 2008</v>
      </c>
      <c r="C707" s="637" t="str">
        <f>T("Nationella uppdrag")</f>
        <v>Nationella uppdrag</v>
      </c>
      <c r="D707" s="428">
        <v>2952</v>
      </c>
      <c r="E707" s="428">
        <v>1952</v>
      </c>
      <c r="F707" s="428">
        <v>1952</v>
      </c>
    </row>
    <row r="708" spans="1:12">
      <c r="A708" s="429" t="str">
        <f t="shared" si="20"/>
        <v>17</v>
      </c>
      <c r="B708" s="429" t="str">
        <f>T("172809 2005")</f>
        <v>172809 2005</v>
      </c>
      <c r="C708" s="637" t="str">
        <f>T("Litteraturstöd")</f>
        <v>Litteraturstöd</v>
      </c>
      <c r="D708" s="428">
        <v>1619.4643799999999</v>
      </c>
    </row>
    <row r="709" spans="1:12">
      <c r="A709" s="429" t="str">
        <f t="shared" si="20"/>
        <v>17</v>
      </c>
      <c r="B709" s="429" t="str">
        <f>T("172810 2005")</f>
        <v>172810 2005</v>
      </c>
      <c r="C709" s="637" t="str">
        <f>T("Stöd till kulturtidskrifter")</f>
        <v>Stöd till kulturtidskrifter</v>
      </c>
      <c r="D709" s="428">
        <v>335</v>
      </c>
    </row>
    <row r="710" spans="1:12">
      <c r="A710" s="429" t="str">
        <f t="shared" si="20"/>
        <v>17</v>
      </c>
      <c r="B710" s="429" t="str">
        <f>T("172811 2002")</f>
        <v>172811 2002</v>
      </c>
      <c r="C710" s="637" t="str">
        <f>T("Stöd till bokhandeln")</f>
        <v>Stöd till bokhandeln</v>
      </c>
    </row>
    <row r="711" spans="1:12">
      <c r="A711" s="429" t="str">
        <f t="shared" si="20"/>
        <v>17</v>
      </c>
      <c r="B711" s="429" t="str">
        <f>T("172813 2006")</f>
        <v>172813 2006</v>
      </c>
      <c r="C711" s="637" t="str">
        <f>T("Bidrag till Svenska språknämnden och Sverigefinska språknämnden")</f>
        <v>Bidrag till Svenska språknämnden och Sverigefinska språknämnden</v>
      </c>
      <c r="D711" s="428">
        <v>2795</v>
      </c>
    </row>
    <row r="712" spans="1:12">
      <c r="A712" s="429" t="str">
        <f t="shared" si="20"/>
        <v>17</v>
      </c>
      <c r="B712" s="429" t="str">
        <f>T("172823 2008")</f>
        <v>172823 2008</v>
      </c>
      <c r="C712" s="637" t="str">
        <f>T("Svenskt biografiskt lexikon")</f>
        <v>Svenskt biografiskt lexikon</v>
      </c>
      <c r="D712" s="428">
        <v>4323.3019100000001</v>
      </c>
      <c r="E712" s="428">
        <v>4425.32978</v>
      </c>
      <c r="F712" s="428">
        <v>4410.8484600000002</v>
      </c>
      <c r="H712" s="428">
        <v>64.374579999999995</v>
      </c>
    </row>
    <row r="713" spans="1:12">
      <c r="A713" s="429" t="str">
        <f t="shared" si="20"/>
        <v>17</v>
      </c>
      <c r="B713" s="429" t="str">
        <f>T("17A003 1998")</f>
        <v>17A003 1998</v>
      </c>
      <c r="C713" s="637" t="str">
        <f>T("Kulturåret 1998")</f>
        <v>Kulturåret 1998</v>
      </c>
    </row>
    <row r="714" spans="1:12">
      <c r="A714" s="429" t="str">
        <f t="shared" si="20"/>
        <v>17</v>
      </c>
      <c r="B714" s="429" t="str">
        <f>T("17G003 1999")</f>
        <v>17G003 1999</v>
      </c>
      <c r="C714" s="637" t="str">
        <f>T("Restaureringsarbeten vid de kungliga slotten och rikets fästningar")</f>
        <v>Restaureringsarbeten vid de kungliga slotten och rikets fästningar</v>
      </c>
    </row>
    <row r="715" spans="1:12">
      <c r="A715" s="429" t="str">
        <f t="shared" si="20"/>
        <v>17</v>
      </c>
      <c r="B715" s="429" t="str">
        <f>T("17I005 1999")</f>
        <v>17I005 1999</v>
      </c>
      <c r="C715" s="637" t="str">
        <f>T("Bidrag till Sveriges Dövas Riksförbund för produktion av videogr på teckenspråk")</f>
        <v>Bidrag till Sveriges Dövas Riksförbund för produktion av videogr på teckenspråk</v>
      </c>
    </row>
    <row r="716" spans="1:12">
      <c r="A716" s="429" t="str">
        <f t="shared" si="20"/>
        <v>17</v>
      </c>
      <c r="B716" s="429" t="str">
        <f>T("17N002 1997")</f>
        <v>17N002 1997</v>
      </c>
      <c r="C716" s="637" t="str">
        <f>T("Stöd till demokratiutveckling")</f>
        <v>Stöd till demokratiutveckling</v>
      </c>
    </row>
    <row r="717" spans="1:12">
      <c r="A717" s="430" t="s">
        <v>1651</v>
      </c>
      <c r="B717" s="430"/>
      <c r="C717" s="430" t="str">
        <f>T("Kultur, medier, trossamfund och fritid")</f>
        <v>Kultur, medier, trossamfund och fritid</v>
      </c>
      <c r="D717" s="431">
        <v>9585204.3257599995</v>
      </c>
      <c r="E717" s="431">
        <v>10091428.854560001</v>
      </c>
      <c r="F717" s="431">
        <v>10117010.72535</v>
      </c>
      <c r="G717" s="431">
        <v>10269229.5233</v>
      </c>
      <c r="H717" s="431">
        <v>11337850.593739999</v>
      </c>
      <c r="I717" s="431">
        <v>11951736.687820001</v>
      </c>
      <c r="J717" s="431">
        <v>12317992.844860001</v>
      </c>
      <c r="K717" s="431">
        <v>12730108.19561</v>
      </c>
      <c r="L717" s="431">
        <v>12827142.868039999</v>
      </c>
    </row>
    <row r="718" spans="1:12">
      <c r="A718" s="429" t="str">
        <f t="shared" ref="A718:A752" si="21">T("18")</f>
        <v>18</v>
      </c>
      <c r="B718" s="429" t="str">
        <f>T("12G010 9596")</f>
        <v>12G010 9596</v>
      </c>
      <c r="C718" s="637" t="str">
        <f>T("Byggforskning")</f>
        <v>Byggforskning</v>
      </c>
    </row>
    <row r="719" spans="1:12">
      <c r="A719" s="429" t="str">
        <f t="shared" si="21"/>
        <v>18</v>
      </c>
      <c r="B719" s="429" t="str">
        <f>T("1801001")</f>
        <v>1801001</v>
      </c>
      <c r="C719" s="637" t="str">
        <f>T("Bostadspolitisk utveckling")</f>
        <v>Bostadspolitisk utveckling</v>
      </c>
      <c r="K719" s="428">
        <v>7544.1388399999996</v>
      </c>
      <c r="L719" s="428">
        <v>18983.687030000001</v>
      </c>
    </row>
    <row r="720" spans="1:12">
      <c r="A720" s="429" t="str">
        <f t="shared" si="21"/>
        <v>18</v>
      </c>
      <c r="B720" s="429" t="str">
        <f>T("1801001 2012")</f>
        <v>1801001 2012</v>
      </c>
      <c r="C720" s="637" t="str">
        <f>T("Statens bostadskreditnämnd: Förvaltningskostnader")</f>
        <v>Statens bostadskreditnämnd: Förvaltningskostnader</v>
      </c>
      <c r="D720" s="428">
        <v>11171.55565</v>
      </c>
      <c r="E720" s="428">
        <v>10607.04515</v>
      </c>
      <c r="F720" s="428">
        <v>16152.69894</v>
      </c>
      <c r="G720" s="428">
        <v>13021.449479999999</v>
      </c>
      <c r="H720" s="428">
        <v>13320.526589999999</v>
      </c>
      <c r="I720" s="428">
        <v>13234.8568</v>
      </c>
      <c r="J720" s="428">
        <v>11596.503650000001</v>
      </c>
      <c r="K720" s="428">
        <v>111.51</v>
      </c>
    </row>
    <row r="721" spans="1:12">
      <c r="A721" s="429" t="str">
        <f t="shared" si="21"/>
        <v>18</v>
      </c>
      <c r="B721" s="429" t="str">
        <f>T("1801002")</f>
        <v>1801002</v>
      </c>
      <c r="C721" s="637" t="str">
        <f>T("Omstrukturering av kommunala bostadsföretag")</f>
        <v>Omstrukturering av kommunala bostadsföretag</v>
      </c>
      <c r="D721" s="428">
        <v>-16203.05</v>
      </c>
      <c r="E721" s="428">
        <v>14760.022999999999</v>
      </c>
      <c r="F721" s="428">
        <v>9350.7000000000007</v>
      </c>
      <c r="G721" s="428">
        <v>-6337</v>
      </c>
      <c r="H721" s="428">
        <v>11450</v>
      </c>
      <c r="I721" s="428">
        <v>-718.4</v>
      </c>
      <c r="J721" s="428">
        <v>8938.9</v>
      </c>
      <c r="K721" s="428">
        <v>-291.5</v>
      </c>
      <c r="L721" s="428">
        <v>14320</v>
      </c>
    </row>
    <row r="722" spans="1:12">
      <c r="A722" s="429" t="str">
        <f t="shared" si="21"/>
        <v>18</v>
      </c>
      <c r="B722" s="429" t="str">
        <f>T("1801003")</f>
        <v>1801003</v>
      </c>
      <c r="C722" s="637" t="str">
        <f>T("Stöd för att underlätta för enskilda att ordna bostad")</f>
        <v>Stöd för att underlätta för enskilda att ordna bostad</v>
      </c>
      <c r="E722" s="428">
        <v>180</v>
      </c>
      <c r="F722" s="428">
        <v>455</v>
      </c>
      <c r="G722" s="428">
        <v>640</v>
      </c>
      <c r="H722" s="428">
        <v>815</v>
      </c>
      <c r="I722" s="428">
        <v>1265</v>
      </c>
      <c r="J722" s="428">
        <v>765</v>
      </c>
      <c r="K722" s="428">
        <v>815</v>
      </c>
      <c r="L722" s="428">
        <v>895</v>
      </c>
    </row>
    <row r="723" spans="1:12">
      <c r="A723" s="429" t="str">
        <f t="shared" si="21"/>
        <v>18</v>
      </c>
      <c r="B723" s="429" t="str">
        <f>T("1801004")</f>
        <v>1801004</v>
      </c>
      <c r="C723" s="637" t="str">
        <f>T("Innovativt byggande")</f>
        <v>Innovativt byggande</v>
      </c>
      <c r="K723" s="428">
        <v>6470.625</v>
      </c>
      <c r="L723" s="428">
        <v>19082.323400000001</v>
      </c>
    </row>
    <row r="724" spans="1:12">
      <c r="A724" s="429" t="str">
        <f t="shared" si="21"/>
        <v>18</v>
      </c>
      <c r="B724" s="429" t="str">
        <f>T("1801004 2012")</f>
        <v>1801004 2012</v>
      </c>
      <c r="C724" s="637" t="str">
        <f>T("Räntebidrag m.m.")</f>
        <v>Räntebidrag m.m.</v>
      </c>
      <c r="D724" s="428">
        <v>1573127.7590000001</v>
      </c>
      <c r="E724" s="428">
        <v>1137753.4080000001</v>
      </c>
      <c r="F724" s="428">
        <v>818641</v>
      </c>
      <c r="G724" s="428">
        <v>697404.69900000002</v>
      </c>
      <c r="H724" s="428">
        <v>441110.625</v>
      </c>
      <c r="I724" s="428">
        <v>177108.58</v>
      </c>
      <c r="J724" s="428">
        <v>19377.945</v>
      </c>
    </row>
    <row r="725" spans="1:12">
      <c r="A725" s="429" t="str">
        <f t="shared" si="21"/>
        <v>18</v>
      </c>
      <c r="B725" s="429" t="str">
        <f>T("1801005")</f>
        <v>1801005</v>
      </c>
      <c r="C725" s="637" t="str">
        <f>T("Boverket")</f>
        <v>Boverket</v>
      </c>
      <c r="D725" s="428">
        <v>174176.92035999999</v>
      </c>
      <c r="E725" s="428">
        <v>193871.67022999999</v>
      </c>
      <c r="F725" s="428">
        <v>201711.55480000001</v>
      </c>
      <c r="G725" s="428">
        <v>204048.77449000001</v>
      </c>
      <c r="H725" s="428">
        <v>198142.88524</v>
      </c>
      <c r="I725" s="428">
        <v>169543.38827</v>
      </c>
      <c r="J725" s="428">
        <v>176624.79212999999</v>
      </c>
      <c r="K725" s="428">
        <v>212474.62604999999</v>
      </c>
      <c r="L725" s="428">
        <v>229914.91339</v>
      </c>
    </row>
    <row r="726" spans="1:12">
      <c r="A726" s="429" t="str">
        <f t="shared" si="21"/>
        <v>18</v>
      </c>
      <c r="B726" s="429" t="str">
        <f>T("1801006")</f>
        <v>1801006</v>
      </c>
      <c r="C726" s="637" t="str">
        <f>T("Bidrag till åtgärder mot radon i bostäder")</f>
        <v>Bidrag till åtgärder mot radon i bostäder</v>
      </c>
      <c r="D726" s="428">
        <v>22337.944319999999</v>
      </c>
      <c r="E726" s="428">
        <v>35735.802219999998</v>
      </c>
      <c r="F726" s="428">
        <v>39688.294240000003</v>
      </c>
      <c r="G726" s="428">
        <v>33317.759749999997</v>
      </c>
      <c r="H726" s="428">
        <v>33511.196900000003</v>
      </c>
      <c r="I726" s="428">
        <v>31765.210500000001</v>
      </c>
      <c r="J726" s="428">
        <v>30207.757799999999</v>
      </c>
      <c r="K726" s="428">
        <v>22580.447</v>
      </c>
      <c r="L726" s="428">
        <v>23618.44384</v>
      </c>
    </row>
    <row r="727" spans="1:12">
      <c r="A727" s="429" t="str">
        <f t="shared" si="21"/>
        <v>18</v>
      </c>
      <c r="B727" s="429" t="str">
        <f>T("1801007")</f>
        <v>1801007</v>
      </c>
      <c r="C727" s="637" t="str">
        <f>T("Statens geotekniska institut")</f>
        <v>Statens geotekniska institut</v>
      </c>
      <c r="D727" s="428">
        <v>31246.974099999999</v>
      </c>
      <c r="E727" s="428">
        <v>30542.986720000001</v>
      </c>
      <c r="F727" s="428">
        <v>30317.716130000001</v>
      </c>
      <c r="G727" s="428">
        <v>26369.449990000001</v>
      </c>
      <c r="H727" s="428">
        <v>32193.684809999999</v>
      </c>
      <c r="I727" s="428">
        <v>32465.81134</v>
      </c>
      <c r="J727" s="428">
        <v>42330.631170000001</v>
      </c>
      <c r="K727" s="428">
        <v>43546.916590000001</v>
      </c>
      <c r="L727" s="428">
        <v>44883.154580000002</v>
      </c>
    </row>
    <row r="728" spans="1:12">
      <c r="A728" s="429" t="str">
        <f t="shared" si="21"/>
        <v>18</v>
      </c>
      <c r="B728" s="429" t="str">
        <f>T("1801008")</f>
        <v>1801008</v>
      </c>
      <c r="C728" s="637" t="str">
        <f>T("Lantmäteriet")</f>
        <v>Lantmäteriet</v>
      </c>
      <c r="D728" s="428">
        <v>342942.4057</v>
      </c>
      <c r="E728" s="428">
        <v>357753.82675000001</v>
      </c>
      <c r="F728" s="428">
        <v>411554.35329</v>
      </c>
      <c r="G728" s="428">
        <v>490932.50667999999</v>
      </c>
      <c r="H728" s="428">
        <v>476530.66648999997</v>
      </c>
      <c r="I728" s="428">
        <v>506193.70932999998</v>
      </c>
      <c r="J728" s="428">
        <v>488933.36206000001</v>
      </c>
      <c r="K728" s="428">
        <v>498678.60982999997</v>
      </c>
      <c r="L728" s="428">
        <v>495170.62355000002</v>
      </c>
    </row>
    <row r="729" spans="1:12">
      <c r="A729" s="429" t="str">
        <f t="shared" si="21"/>
        <v>18</v>
      </c>
      <c r="B729" s="429" t="str">
        <f>T("1801009")</f>
        <v>1801009</v>
      </c>
      <c r="C729" s="637" t="str">
        <f>T("Statens va-nämnd")</f>
        <v>Statens va-nämnd</v>
      </c>
      <c r="D729" s="428">
        <v>7330.6242599999996</v>
      </c>
      <c r="E729" s="428">
        <v>7710.6042500000003</v>
      </c>
      <c r="F729" s="428">
        <v>7281.4954900000002</v>
      </c>
      <c r="G729" s="428">
        <v>7215.0173500000001</v>
      </c>
      <c r="H729" s="428">
        <v>7935.7973599999996</v>
      </c>
      <c r="I729" s="428">
        <v>7813.5492000000004</v>
      </c>
      <c r="J729" s="428">
        <v>8016.9760999999999</v>
      </c>
      <c r="K729" s="428">
        <v>8671.3191900000002</v>
      </c>
      <c r="L729" s="428">
        <v>9428.5986300000004</v>
      </c>
    </row>
    <row r="730" spans="1:12">
      <c r="A730" s="429" t="str">
        <f t="shared" si="21"/>
        <v>18</v>
      </c>
      <c r="B730" s="429" t="str">
        <f>T("1801010")</f>
        <v>1801010</v>
      </c>
      <c r="C730" s="637" t="str">
        <f>T("Stöd gällande utveckling i strandnära lägen")</f>
        <v>Stöd gällande utveckling i strandnära lägen</v>
      </c>
      <c r="K730" s="428">
        <v>3689.6610000000001</v>
      </c>
      <c r="L730" s="428">
        <v>4199.0685000000003</v>
      </c>
    </row>
    <row r="731" spans="1:12">
      <c r="A731" s="429" t="str">
        <f t="shared" si="21"/>
        <v>18</v>
      </c>
      <c r="B731" s="429" t="str">
        <f>T("1801011")</f>
        <v>1801011</v>
      </c>
      <c r="C731" s="637" t="str">
        <f>T("Utvecklingsprojekt för jämställda offentliga rum")</f>
        <v>Utvecklingsprojekt för jämställda offentliga rum</v>
      </c>
      <c r="L731" s="428">
        <v>5681.7337200000002</v>
      </c>
    </row>
    <row r="732" spans="1:12">
      <c r="A732" s="429" t="str">
        <f t="shared" si="21"/>
        <v>18</v>
      </c>
      <c r="B732" s="429" t="str">
        <f>T("1802001")</f>
        <v>1802001</v>
      </c>
      <c r="C732" s="637" t="str">
        <f>T("Marknadsdomstolen")</f>
        <v>Marknadsdomstolen</v>
      </c>
      <c r="D732" s="428">
        <v>9352.3882400000002</v>
      </c>
      <c r="E732" s="428">
        <v>9305.2732699999997</v>
      </c>
      <c r="F732" s="428">
        <v>9214.07215</v>
      </c>
      <c r="G732" s="428">
        <v>9765.6166699999994</v>
      </c>
      <c r="H732" s="428">
        <v>9539.7288599999993</v>
      </c>
      <c r="I732" s="428">
        <v>9758.2518999999993</v>
      </c>
      <c r="J732" s="428">
        <v>10986.251319999999</v>
      </c>
      <c r="K732" s="428">
        <v>11152.35878</v>
      </c>
      <c r="L732" s="428">
        <v>10037.213</v>
      </c>
    </row>
    <row r="733" spans="1:12">
      <c r="A733" s="429" t="str">
        <f t="shared" si="21"/>
        <v>18</v>
      </c>
      <c r="B733" s="429" t="str">
        <f>T("1802002")</f>
        <v>1802002</v>
      </c>
      <c r="C733" s="637" t="str">
        <f>T("Konsumentverket")</f>
        <v>Konsumentverket</v>
      </c>
      <c r="D733" s="428">
        <v>115473.51871999999</v>
      </c>
      <c r="E733" s="428">
        <v>115222.62466</v>
      </c>
      <c r="F733" s="428">
        <v>101097.12834</v>
      </c>
      <c r="G733" s="428">
        <v>102177.32717999999</v>
      </c>
      <c r="H733" s="428">
        <v>108039.07233</v>
      </c>
      <c r="I733" s="428">
        <v>111285.35578</v>
      </c>
      <c r="J733" s="428">
        <v>112868.41394</v>
      </c>
      <c r="K733" s="428">
        <v>113274.57582</v>
      </c>
      <c r="L733" s="428">
        <v>126502.14758999999</v>
      </c>
    </row>
    <row r="734" spans="1:12">
      <c r="A734" s="429" t="str">
        <f t="shared" si="21"/>
        <v>18</v>
      </c>
      <c r="B734" s="429" t="str">
        <f>T("1802003")</f>
        <v>1802003</v>
      </c>
      <c r="C734" s="637" t="str">
        <f>T("Allmänna reklamationsnämnden")</f>
        <v>Allmänna reklamationsnämnden</v>
      </c>
      <c r="D734" s="428">
        <v>23620.411830000001</v>
      </c>
      <c r="E734" s="428">
        <v>25082.576679999998</v>
      </c>
      <c r="F734" s="428">
        <v>24181.7536</v>
      </c>
      <c r="G734" s="428">
        <v>26824.504809999999</v>
      </c>
      <c r="H734" s="428">
        <v>27403.09535</v>
      </c>
      <c r="I734" s="428">
        <v>30601.254010000001</v>
      </c>
      <c r="J734" s="428">
        <v>32071.22695</v>
      </c>
      <c r="K734" s="428">
        <v>33445.702089999999</v>
      </c>
      <c r="L734" s="428">
        <v>34257.845909999996</v>
      </c>
    </row>
    <row r="735" spans="1:12">
      <c r="A735" s="429" t="str">
        <f t="shared" si="21"/>
        <v>18</v>
      </c>
      <c r="B735" s="429" t="str">
        <f>T("1802004")</f>
        <v>1802004</v>
      </c>
      <c r="C735" s="637" t="str">
        <f>T("Fastighetsmäklarinspektionen")</f>
        <v>Fastighetsmäklarinspektionen</v>
      </c>
      <c r="D735" s="428">
        <v>11444.695530000001</v>
      </c>
      <c r="E735" s="428">
        <v>12402.7603</v>
      </c>
      <c r="F735" s="428">
        <v>14757.384249999999</v>
      </c>
      <c r="G735" s="428">
        <v>14215.6484</v>
      </c>
      <c r="H735" s="428">
        <v>13921.42654</v>
      </c>
      <c r="I735" s="428">
        <v>14307.154560000001</v>
      </c>
      <c r="J735" s="428">
        <v>15650.14645</v>
      </c>
      <c r="K735" s="428">
        <v>15450.429480000001</v>
      </c>
      <c r="L735" s="428">
        <v>17745.623909999998</v>
      </c>
    </row>
    <row r="736" spans="1:12">
      <c r="A736" s="429" t="str">
        <f t="shared" si="21"/>
        <v>18</v>
      </c>
      <c r="B736" s="429" t="str">
        <f>T("1802005")</f>
        <v>1802005</v>
      </c>
      <c r="C736" s="637" t="str">
        <f>T("Åtgärder på konsumentområdet")</f>
        <v>Åtgärder på konsumentområdet</v>
      </c>
      <c r="D736" s="428">
        <v>17487.859499999999</v>
      </c>
      <c r="E736" s="428">
        <v>17350.9692</v>
      </c>
      <c r="F736" s="428">
        <v>17619.721160000001</v>
      </c>
      <c r="G736" s="428">
        <v>16254.54357</v>
      </c>
      <c r="H736" s="428">
        <v>16934.262999999999</v>
      </c>
      <c r="I736" s="428">
        <v>17149.164000000001</v>
      </c>
      <c r="J736" s="428">
        <v>17097.136180000001</v>
      </c>
      <c r="K736" s="428">
        <v>17427.197</v>
      </c>
      <c r="L736" s="428">
        <v>17303.511180000001</v>
      </c>
    </row>
    <row r="737" spans="1:12">
      <c r="A737" s="429" t="str">
        <f t="shared" si="21"/>
        <v>18</v>
      </c>
      <c r="B737" s="429" t="str">
        <f>T("1802006")</f>
        <v>1802006</v>
      </c>
      <c r="C737" s="637" t="str">
        <f>T("Bidrag till miljömärkning av produkter")</f>
        <v>Bidrag till miljömärkning av produkter</v>
      </c>
      <c r="D737" s="428">
        <v>4374</v>
      </c>
      <c r="E737" s="428">
        <v>4374</v>
      </c>
      <c r="F737" s="428">
        <v>4374</v>
      </c>
      <c r="G737" s="428">
        <v>4374</v>
      </c>
      <c r="H737" s="428">
        <v>4374</v>
      </c>
      <c r="I737" s="428">
        <v>4374</v>
      </c>
      <c r="J737" s="428">
        <v>4374</v>
      </c>
      <c r="K737" s="428">
        <v>4374</v>
      </c>
      <c r="L737" s="428">
        <v>4374</v>
      </c>
    </row>
    <row r="738" spans="1:12">
      <c r="A738" s="429" t="str">
        <f t="shared" si="21"/>
        <v>18</v>
      </c>
      <c r="B738" s="429" t="str">
        <f>T("183104 2007")</f>
        <v>183104 2007</v>
      </c>
      <c r="C738" s="637" t="str">
        <f>T("Statens bostadskreditnämnd: Garantiverksamhet")</f>
        <v>Statens bostadskreditnämnd: Garantiverksamhet</v>
      </c>
      <c r="D738" s="428">
        <v>203504</v>
      </c>
    </row>
    <row r="739" spans="1:12">
      <c r="A739" s="429" t="str">
        <f t="shared" si="21"/>
        <v>18</v>
      </c>
      <c r="B739" s="429" t="str">
        <f>T("183107 2003")</f>
        <v>183107 2003</v>
      </c>
      <c r="C739" s="637" t="str">
        <f>T("Investeringsbidrag för anordnande av bostäder för studenter")</f>
        <v>Investeringsbidrag för anordnande av bostäder för studenter</v>
      </c>
      <c r="D739" s="428">
        <v>5810</v>
      </c>
      <c r="E739" s="428">
        <v>3400</v>
      </c>
    </row>
    <row r="740" spans="1:12">
      <c r="A740" s="429" t="str">
        <f t="shared" si="21"/>
        <v>18</v>
      </c>
      <c r="B740" s="429" t="str">
        <f>T("183110 2007")</f>
        <v>183110 2007</v>
      </c>
      <c r="C740" s="637" t="str">
        <f>T("Byggkostnadsforum m.m.")</f>
        <v>Byggkostnadsforum m.m.</v>
      </c>
      <c r="D740" s="428">
        <v>37942.823049999999</v>
      </c>
      <c r="E740" s="428">
        <v>19516.08656</v>
      </c>
    </row>
    <row r="741" spans="1:12">
      <c r="A741" s="429" t="str">
        <f t="shared" si="21"/>
        <v>18</v>
      </c>
      <c r="B741" s="429" t="str">
        <f>T("183110 2008")</f>
        <v>183110 2008</v>
      </c>
      <c r="C741" s="637" t="str">
        <f>T("Fonden för fukt- och mögelskador")</f>
        <v>Fonden för fukt- och mögelskador</v>
      </c>
      <c r="D741" s="428">
        <v>12706.28434</v>
      </c>
      <c r="E741" s="428">
        <v>11645.46998</v>
      </c>
      <c r="F741" s="428">
        <v>8311.0689999999995</v>
      </c>
      <c r="G741" s="428">
        <v>1270.4659999999999</v>
      </c>
      <c r="H741" s="428">
        <v>580.62914000000001</v>
      </c>
      <c r="I741" s="428">
        <v>352.23347999999999</v>
      </c>
      <c r="J741" s="428">
        <v>848.64335000000005</v>
      </c>
    </row>
    <row r="742" spans="1:12">
      <c r="A742" s="429" t="str">
        <f t="shared" si="21"/>
        <v>18</v>
      </c>
      <c r="B742" s="429" t="str">
        <f>T("183111 2006")</f>
        <v>183111 2006</v>
      </c>
      <c r="C742" s="637" t="str">
        <f>T("Investeringsbidrag för anordnande av hyresbostäder")</f>
        <v>Investeringsbidrag för anordnande av hyresbostäder</v>
      </c>
      <c r="D742" s="428">
        <v>344726.092</v>
      </c>
      <c r="E742" s="428">
        <v>406613.33399999997</v>
      </c>
      <c r="F742" s="428">
        <v>377292.79399999999</v>
      </c>
      <c r="G742" s="428">
        <v>264180.91600000003</v>
      </c>
      <c r="H742" s="428">
        <v>163385.606</v>
      </c>
      <c r="I742" s="428">
        <v>-16511.527999999998</v>
      </c>
    </row>
    <row r="743" spans="1:12">
      <c r="A743" s="429" t="str">
        <f t="shared" si="21"/>
        <v>18</v>
      </c>
      <c r="B743" s="429" t="str">
        <f>T("183112 2005")</f>
        <v>183112 2005</v>
      </c>
      <c r="C743" s="637" t="str">
        <f>T("Statens bostadsnämnd")</f>
        <v>Statens bostadsnämnd</v>
      </c>
    </row>
    <row r="744" spans="1:12">
      <c r="A744" s="429" t="str">
        <f t="shared" si="21"/>
        <v>18</v>
      </c>
      <c r="B744" s="429" t="str">
        <f>T("183112 2007")</f>
        <v>183112 2007</v>
      </c>
      <c r="C744" s="637" t="str">
        <f>T("Ungdomsbostadssamordnare")</f>
        <v>Ungdomsbostadssamordnare</v>
      </c>
      <c r="D744" s="428">
        <v>2642.4719100000002</v>
      </c>
      <c r="E744" s="428">
        <v>756.14392999999995</v>
      </c>
    </row>
    <row r="745" spans="1:12">
      <c r="A745" s="429" t="str">
        <f t="shared" si="21"/>
        <v>18</v>
      </c>
      <c r="B745" s="429" t="str">
        <f>T("183114 2005")</f>
        <v>183114 2005</v>
      </c>
      <c r="C745" s="637" t="str">
        <f>T("Bidrag till installation av hissar")</f>
        <v>Bidrag till installation av hissar</v>
      </c>
      <c r="D745" s="428">
        <v>10201.16</v>
      </c>
      <c r="E745" s="428">
        <v>8740.5</v>
      </c>
    </row>
    <row r="746" spans="1:12">
      <c r="A746" s="429" t="str">
        <f t="shared" si="21"/>
        <v>18</v>
      </c>
      <c r="B746" s="429" t="str">
        <f>T("183401 2003")</f>
        <v>183401 2003</v>
      </c>
      <c r="C746" s="637" t="str">
        <f>T("Stöd till lokala investeringsprogram för ekologisk hållbarhet")</f>
        <v>Stöd till lokala investeringsprogram för ekologisk hållbarhet</v>
      </c>
      <c r="D746" s="428">
        <v>-46212.442000000003</v>
      </c>
      <c r="E746" s="428">
        <v>135.89500000000001</v>
      </c>
      <c r="F746" s="428">
        <v>-17381.007000000001</v>
      </c>
    </row>
    <row r="747" spans="1:12">
      <c r="A747" s="429" t="str">
        <f t="shared" si="21"/>
        <v>18</v>
      </c>
      <c r="B747" s="429" t="str">
        <f>T("183401 2004")</f>
        <v>183401 2004</v>
      </c>
      <c r="C747" s="637" t="str">
        <f>T("Statens institut för ekologisk hållbarhet")</f>
        <v>Statens institut för ekologisk hållbarhet</v>
      </c>
    </row>
    <row r="748" spans="1:12">
      <c r="A748" s="429" t="str">
        <f t="shared" si="21"/>
        <v>18</v>
      </c>
      <c r="B748" s="429" t="str">
        <f>T("18A003 1999")</f>
        <v>18A003 1999</v>
      </c>
      <c r="C748" s="637" t="str">
        <f>T("Vissa äldre låne- och bidragsstöd för bostadsändamål m.m")</f>
        <v>Vissa äldre låne- och bidragsstöd för bostadsändamål m.m</v>
      </c>
    </row>
    <row r="749" spans="1:12">
      <c r="A749" s="429" t="str">
        <f t="shared" si="21"/>
        <v>18</v>
      </c>
      <c r="B749" s="429" t="str">
        <f>T("18A009 2000")</f>
        <v>18A009 2000</v>
      </c>
      <c r="C749" s="637" t="str">
        <f>T("Bonusränta för ungdomsbosparande, 2000")</f>
        <v>Bonusränta för ungdomsbosparande, 2000</v>
      </c>
    </row>
    <row r="750" spans="1:12">
      <c r="A750" s="429" t="str">
        <f t="shared" si="21"/>
        <v>18</v>
      </c>
      <c r="B750" s="429" t="str">
        <f>T("18A011 2000")</f>
        <v>18A011 2000</v>
      </c>
      <c r="C750" s="637" t="str">
        <f>T("Internationellt samarbete")</f>
        <v>Internationellt samarbete</v>
      </c>
    </row>
    <row r="751" spans="1:12">
      <c r="A751" s="429" t="str">
        <f t="shared" si="21"/>
        <v>18</v>
      </c>
      <c r="B751" s="429" t="str">
        <f>T("18A012 1999")</f>
        <v>18A012 1999</v>
      </c>
      <c r="C751" s="637" t="str">
        <f>T("Investeringsbidrag för anordnande av bostäder för studenter")</f>
        <v>Investeringsbidrag för anordnande av bostäder för studenter</v>
      </c>
    </row>
    <row r="752" spans="1:12">
      <c r="A752" s="429" t="str">
        <f t="shared" si="21"/>
        <v>18</v>
      </c>
      <c r="B752" s="429" t="str">
        <f>T("18A013 2000")</f>
        <v>18A013 2000</v>
      </c>
      <c r="C752" s="637" t="str">
        <f>T("Vissa investeringsbidrag")</f>
        <v>Vissa investeringsbidrag</v>
      </c>
    </row>
    <row r="753" spans="1:12">
      <c r="A753" s="430" t="s">
        <v>1652</v>
      </c>
      <c r="B753" s="430"/>
      <c r="C753" s="430" t="str">
        <f>T("Samhällsplanering, bostadsförsörjning, byggande samt konsumentpolitik")</f>
        <v>Samhällsplanering, bostadsförsörjning, byggande samt konsumentpolitik</v>
      </c>
      <c r="D753" s="431">
        <v>2899204.3965099999</v>
      </c>
      <c r="E753" s="431">
        <v>2423460.9999000002</v>
      </c>
      <c r="F753" s="431">
        <v>2074619.7283900001</v>
      </c>
      <c r="G753" s="431">
        <v>1905675.67937</v>
      </c>
      <c r="H753" s="431">
        <v>1559188.20361</v>
      </c>
      <c r="I753" s="431">
        <v>1109987.5911699999</v>
      </c>
      <c r="J753" s="431">
        <v>980687.68610000005</v>
      </c>
      <c r="K753" s="431">
        <v>999415.61667000002</v>
      </c>
      <c r="L753" s="431">
        <v>1076397.8882299999</v>
      </c>
    </row>
    <row r="754" spans="1:12">
      <c r="A754" s="429" t="str">
        <f t="shared" ref="A754:A776" si="22">T("19")</f>
        <v>19</v>
      </c>
      <c r="B754" s="429" t="str">
        <f>T("10C001 9596")</f>
        <v>10C001 9596</v>
      </c>
      <c r="C754" s="637" t="str">
        <f>T("Lokaliseringsbidrag m.m")</f>
        <v>Lokaliseringsbidrag m.m</v>
      </c>
    </row>
    <row r="755" spans="1:12">
      <c r="A755" s="429" t="str">
        <f t="shared" si="22"/>
        <v>19</v>
      </c>
      <c r="B755" s="429" t="str">
        <f>T("10C002 9596")</f>
        <v>10C002 9596</v>
      </c>
      <c r="C755" s="637" t="str">
        <f>T("Regionala utvecklingsinsatser m.m")</f>
        <v>Regionala utvecklingsinsatser m.m</v>
      </c>
    </row>
    <row r="756" spans="1:12">
      <c r="A756" s="429" t="str">
        <f t="shared" si="22"/>
        <v>19</v>
      </c>
      <c r="B756" s="429" t="str">
        <f>T("10C006 9495")</f>
        <v>10C006 9495</v>
      </c>
      <c r="C756" s="637" t="str">
        <f>T("Särskilda regionalpolitiska infrastrukturåtgärder m.m")</f>
        <v>Särskilda regionalpolitiska infrastrukturåtgärder m.m</v>
      </c>
    </row>
    <row r="757" spans="1:12">
      <c r="A757" s="429" t="str">
        <f t="shared" si="22"/>
        <v>19</v>
      </c>
      <c r="B757" s="429" t="str">
        <f>T("1901001")</f>
        <v>1901001</v>
      </c>
      <c r="C757" s="637" t="str">
        <f>T("Regionala tillväxtåtgärder")</f>
        <v>Regionala tillväxtåtgärder</v>
      </c>
      <c r="D757" s="428">
        <v>1514427.31085</v>
      </c>
      <c r="E757" s="428">
        <v>1497340.2309600001</v>
      </c>
      <c r="F757" s="428">
        <v>1469853.0647400001</v>
      </c>
      <c r="G757" s="428">
        <v>1515812.9978799999</v>
      </c>
      <c r="H757" s="428">
        <v>1386245.6536999999</v>
      </c>
      <c r="I757" s="428">
        <v>1452358.18579</v>
      </c>
      <c r="J757" s="428">
        <v>1470666.12366</v>
      </c>
      <c r="K757" s="428">
        <v>1537083.5979899999</v>
      </c>
      <c r="L757" s="428">
        <v>1543302.8739499999</v>
      </c>
    </row>
    <row r="758" spans="1:12">
      <c r="A758" s="429" t="str">
        <f t="shared" si="22"/>
        <v>19</v>
      </c>
      <c r="B758" s="429" t="str">
        <f>T("1901002")</f>
        <v>1901002</v>
      </c>
      <c r="C758" s="637" t="str">
        <f>T("Transportbidrag")</f>
        <v>Transportbidrag</v>
      </c>
      <c r="D758" s="428">
        <v>494643.77100000001</v>
      </c>
      <c r="E758" s="428">
        <v>313727.33799999999</v>
      </c>
      <c r="F758" s="428">
        <v>593657.26500000001</v>
      </c>
      <c r="G758" s="428">
        <v>376428.45899999997</v>
      </c>
      <c r="H758" s="428">
        <v>365850.90970000002</v>
      </c>
      <c r="I758" s="428">
        <v>376736.70500000002</v>
      </c>
      <c r="J758" s="428">
        <v>390799.91200000001</v>
      </c>
      <c r="K758" s="428">
        <v>359741.37099999998</v>
      </c>
      <c r="L758" s="428">
        <v>368856.61499999999</v>
      </c>
    </row>
    <row r="759" spans="1:12">
      <c r="A759" s="429" t="str">
        <f t="shared" si="22"/>
        <v>19</v>
      </c>
      <c r="B759" s="429" t="str">
        <f>T("1901003")</f>
        <v>1901003</v>
      </c>
      <c r="C759" s="637" t="str">
        <f>T("Europeiska regionala utvecklingsfonden perioden 2007-2013")</f>
        <v>Europeiska regionala utvecklingsfonden perioden 2007-2013</v>
      </c>
      <c r="F759" s="428">
        <v>186602.24900000001</v>
      </c>
      <c r="G759" s="428">
        <v>1299880.0049999999</v>
      </c>
      <c r="H759" s="428">
        <v>1410058.0063</v>
      </c>
      <c r="I759" s="428">
        <v>1391596.91</v>
      </c>
      <c r="J759" s="428">
        <v>1546077.6640000001</v>
      </c>
      <c r="K759" s="428">
        <v>1373209.649</v>
      </c>
      <c r="L759" s="428">
        <v>966370.55698999995</v>
      </c>
    </row>
    <row r="760" spans="1:12">
      <c r="A760" s="429" t="str">
        <f t="shared" si="22"/>
        <v>19</v>
      </c>
      <c r="B760" s="429" t="str">
        <f>T("1901003 2009")</f>
        <v>1901003 2009</v>
      </c>
      <c r="C760" s="637" t="str">
        <f>T("Glesbygdsverket")</f>
        <v>Glesbygdsverket</v>
      </c>
      <c r="D760" s="428">
        <v>26027.295699999999</v>
      </c>
      <c r="E760" s="428">
        <v>25530.858769999999</v>
      </c>
      <c r="F760" s="428">
        <v>25779.124520000001</v>
      </c>
      <c r="G760" s="428">
        <v>7633.3990800000001</v>
      </c>
    </row>
    <row r="761" spans="1:12">
      <c r="A761" s="429" t="str">
        <f t="shared" si="22"/>
        <v>19</v>
      </c>
      <c r="B761" s="429" t="str">
        <f>T("193302 2008")</f>
        <v>193302 2008</v>
      </c>
      <c r="C761" s="637" t="str">
        <f>T("Landsbygdslån")</f>
        <v>Landsbygdslån</v>
      </c>
      <c r="D761" s="428">
        <v>239.5</v>
      </c>
      <c r="E761" s="428">
        <v>341.5</v>
      </c>
    </row>
    <row r="762" spans="1:12">
      <c r="A762" s="429" t="str">
        <f t="shared" si="22"/>
        <v>19</v>
      </c>
      <c r="B762" s="429" t="str">
        <f>T("193303 2002")</f>
        <v>193303 2002</v>
      </c>
      <c r="C762" s="637" t="str">
        <f>T("Avsättning för kreditgarantier inom regionalpolitiken")</f>
        <v>Avsättning för kreditgarantier inom regionalpolitiken</v>
      </c>
    </row>
    <row r="763" spans="1:12">
      <c r="A763" s="429" t="str">
        <f t="shared" si="22"/>
        <v>19</v>
      </c>
      <c r="B763" s="429" t="str">
        <f>T("193304 2001")</f>
        <v>193304 2001</v>
      </c>
      <c r="C763" s="637" t="str">
        <f>T("Ersättning för nedsättning av socialavgifter")</f>
        <v>Ersättning för nedsättning av socialavgifter</v>
      </c>
    </row>
    <row r="764" spans="1:12">
      <c r="A764" s="429" t="str">
        <f t="shared" si="22"/>
        <v>19</v>
      </c>
      <c r="B764" s="429" t="str">
        <f>T("193305 2008")</f>
        <v>193305 2008</v>
      </c>
      <c r="C764" s="637" t="str">
        <f>T("Europeiska regionala utvecklingsfonden perioden 2000-2006")</f>
        <v>Europeiska regionala utvecklingsfonden perioden 2000-2006</v>
      </c>
      <c r="D764" s="428">
        <v>1187519.2790000001</v>
      </c>
      <c r="E764" s="428">
        <v>1023021.56479</v>
      </c>
      <c r="F764" s="428">
        <v>513265.21909000003</v>
      </c>
      <c r="G764" s="428">
        <v>-2192.8049999999998</v>
      </c>
      <c r="H764" s="428">
        <v>-2044.0163399999999</v>
      </c>
      <c r="J764" s="428">
        <v>0</v>
      </c>
    </row>
    <row r="765" spans="1:12">
      <c r="A765" s="429" t="str">
        <f t="shared" si="22"/>
        <v>19</v>
      </c>
      <c r="B765" s="429" t="str">
        <f>T("193306 2006")</f>
        <v>193306 2006</v>
      </c>
      <c r="C765" s="637" t="str">
        <f>T("Insatser med anledning av försvarsomställningen")</f>
        <v>Insatser med anledning av försvarsomställningen</v>
      </c>
      <c r="D765" s="428">
        <v>109039.45600000001</v>
      </c>
      <c r="E765" s="428">
        <v>18569.988000000001</v>
      </c>
      <c r="F765" s="428">
        <v>9411.7332499999993</v>
      </c>
      <c r="G765" s="428">
        <v>6266.0009799999998</v>
      </c>
      <c r="H765" s="428">
        <v>18421.09</v>
      </c>
      <c r="I765" s="428">
        <v>1455.905</v>
      </c>
    </row>
    <row r="766" spans="1:12">
      <c r="A766" s="429" t="str">
        <f t="shared" si="22"/>
        <v>19</v>
      </c>
      <c r="B766" s="429" t="str">
        <f>T("193307 2001")</f>
        <v>193307 2001</v>
      </c>
      <c r="C766" s="637" t="str">
        <f>T("Europeiska regionala utvecklingsfonden perioden 1995-1999")</f>
        <v>Europeiska regionala utvecklingsfonden perioden 1995-1999</v>
      </c>
    </row>
    <row r="767" spans="1:12">
      <c r="A767" s="429" t="str">
        <f t="shared" si="22"/>
        <v>19</v>
      </c>
      <c r="B767" s="429" t="str">
        <f>T("193307 2002")</f>
        <v>193307 2002</v>
      </c>
      <c r="C767" s="637" t="str">
        <f>T("Särskilda regionala utvecklingsprogram")</f>
        <v>Särskilda regionala utvecklingsprogram</v>
      </c>
    </row>
    <row r="768" spans="1:12">
      <c r="A768" s="429" t="str">
        <f t="shared" si="22"/>
        <v>19</v>
      </c>
      <c r="B768" s="429" t="str">
        <f>T("193309 2001")</f>
        <v>193309 2001</v>
      </c>
      <c r="C768" s="637" t="str">
        <f>T("Utgifter för lokalisering av statliga arbetstillfällen till vissa kommuner")</f>
        <v>Utgifter för lokalisering av statliga arbetstillfällen till vissa kommuner</v>
      </c>
    </row>
    <row r="769" spans="1:12">
      <c r="A769" s="429" t="str">
        <f t="shared" si="22"/>
        <v>19</v>
      </c>
      <c r="B769" s="429" t="str">
        <f>T("19A001 1998")</f>
        <v>19A001 1998</v>
      </c>
      <c r="C769" s="637" t="str">
        <f>T("Regionalpolitiska åtgärder")</f>
        <v>Regionalpolitiska åtgärder</v>
      </c>
    </row>
    <row r="770" spans="1:12">
      <c r="A770" s="429" t="str">
        <f t="shared" si="22"/>
        <v>19</v>
      </c>
      <c r="B770" s="429" t="str">
        <f>T("19A005 1997")</f>
        <v>19A005 1997</v>
      </c>
      <c r="C770" s="637" t="str">
        <f>T("Sysselsättningsbidrag")</f>
        <v>Sysselsättningsbidrag</v>
      </c>
    </row>
    <row r="771" spans="1:12">
      <c r="A771" s="429" t="str">
        <f t="shared" si="22"/>
        <v>19</v>
      </c>
      <c r="B771" s="429" t="str">
        <f>T("19A009 1998")</f>
        <v>19A009 1998</v>
      </c>
      <c r="C771" s="637" t="str">
        <f>T("Utgifter för lokalisering av statliga arbetstillfällen till Söderhamn")</f>
        <v>Utgifter för lokalisering av statliga arbetstillfällen till Söderhamn</v>
      </c>
    </row>
    <row r="772" spans="1:12">
      <c r="A772" s="429" t="str">
        <f t="shared" si="22"/>
        <v>19</v>
      </c>
      <c r="B772" s="429" t="str">
        <f>T("19A009 1999")</f>
        <v>19A009 1999</v>
      </c>
      <c r="C772" s="637" t="str">
        <f>T("Kapitaltillskott till Stiftelsen Norrlandsfonden")</f>
        <v>Kapitaltillskott till Stiftelsen Norrlandsfonden</v>
      </c>
    </row>
    <row r="773" spans="1:12">
      <c r="A773" s="429" t="str">
        <f t="shared" si="22"/>
        <v>19</v>
      </c>
      <c r="B773" s="429" t="str">
        <f>T("19A010 2000")</f>
        <v>19A010 2000</v>
      </c>
      <c r="C773" s="637" t="str">
        <f>T("Flygplatsbolag i Ljungbyhed")</f>
        <v>Flygplatsbolag i Ljungbyhed</v>
      </c>
    </row>
    <row r="774" spans="1:12">
      <c r="A774" s="429" t="str">
        <f t="shared" si="22"/>
        <v>19</v>
      </c>
      <c r="B774" s="429" t="str">
        <f>T("19A011 1999")</f>
        <v>19A011 1999</v>
      </c>
      <c r="C774" s="637" t="str">
        <f>T("Regionalpolitiska infrastrukturprojekt m.m")</f>
        <v>Regionalpolitiska infrastrukturprojekt m.m</v>
      </c>
    </row>
    <row r="775" spans="1:12">
      <c r="A775" s="429" t="str">
        <f t="shared" si="22"/>
        <v>19</v>
      </c>
      <c r="B775" s="429" t="str">
        <f>T("19A011 2000")</f>
        <v>19A011 2000</v>
      </c>
      <c r="C775" s="637" t="str">
        <f>T("Regionalpolitiska insatser")</f>
        <v>Regionalpolitiska insatser</v>
      </c>
    </row>
    <row r="776" spans="1:12">
      <c r="A776" s="429" t="str">
        <f t="shared" si="22"/>
        <v>19</v>
      </c>
      <c r="B776" s="429" t="str">
        <f>T("19A012 2000")</f>
        <v>19A012 2000</v>
      </c>
      <c r="C776" s="637" t="str">
        <f>T("Medel för tillfälligt småföretagsstöd m.m.")</f>
        <v>Medel för tillfälligt småföretagsstöd m.m.</v>
      </c>
    </row>
    <row r="777" spans="1:12">
      <c r="A777" s="430" t="s">
        <v>1653</v>
      </c>
      <c r="B777" s="430"/>
      <c r="C777" s="430" t="str">
        <f>T("Regional tillväxt")</f>
        <v>Regional tillväxt</v>
      </c>
      <c r="D777" s="431">
        <v>3331896.6125500002</v>
      </c>
      <c r="E777" s="431">
        <v>2878531.4805200002</v>
      </c>
      <c r="F777" s="431">
        <v>2798568.6556000002</v>
      </c>
      <c r="G777" s="431">
        <v>3203828.05694</v>
      </c>
      <c r="H777" s="431">
        <v>3178531.6433600001</v>
      </c>
      <c r="I777" s="431">
        <v>3222147.70579</v>
      </c>
      <c r="J777" s="431">
        <v>3407543.6996599999</v>
      </c>
      <c r="K777" s="431">
        <v>3270034.6179900002</v>
      </c>
      <c r="L777" s="431">
        <v>2878530.0459400001</v>
      </c>
    </row>
    <row r="778" spans="1:12">
      <c r="A778" s="429" t="str">
        <f t="shared" ref="A778:A826" si="23">T("20")</f>
        <v>20</v>
      </c>
      <c r="B778" s="429" t="str">
        <f>T("14A002 9596")</f>
        <v>14A002 9596</v>
      </c>
      <c r="C778" s="637" t="str">
        <f>T("Bidrag till miljöarbete")</f>
        <v>Bidrag till miljöarbete</v>
      </c>
    </row>
    <row r="779" spans="1:12">
      <c r="A779" s="429" t="str">
        <f t="shared" si="23"/>
        <v>20</v>
      </c>
      <c r="B779" s="429" t="str">
        <f>T("14A003 9596")</f>
        <v>14A003 9596</v>
      </c>
      <c r="C779" s="637" t="str">
        <f>T("Bidrag till kalkningsverksamhet för sjöar och vattendrag")</f>
        <v>Bidrag till kalkningsverksamhet för sjöar och vattendrag</v>
      </c>
    </row>
    <row r="780" spans="1:12">
      <c r="A780" s="429" t="str">
        <f t="shared" si="23"/>
        <v>20</v>
      </c>
      <c r="B780" s="429" t="str">
        <f>T("14A004 9596")</f>
        <v>14A004 9596</v>
      </c>
      <c r="C780" s="637" t="str">
        <f>T("Investeringar inom miljöområdet")</f>
        <v>Investeringar inom miljöområdet</v>
      </c>
    </row>
    <row r="781" spans="1:12">
      <c r="A781" s="429" t="str">
        <f t="shared" si="23"/>
        <v>20</v>
      </c>
      <c r="B781" s="429" t="str">
        <f>T("14A005 9596")</f>
        <v>14A005 9596</v>
      </c>
      <c r="C781" s="637" t="str">
        <f>T("Miljöforskning")</f>
        <v>Miljöforskning</v>
      </c>
    </row>
    <row r="782" spans="1:12">
      <c r="A782" s="429" t="str">
        <f t="shared" si="23"/>
        <v>20</v>
      </c>
      <c r="B782" s="429" t="str">
        <f>T("14A006 9495")</f>
        <v>14A006 9495</v>
      </c>
      <c r="C782" s="637" t="str">
        <f>T("Landskapsvårdande åtgärder")</f>
        <v>Landskapsvårdande åtgärder</v>
      </c>
    </row>
    <row r="783" spans="1:12">
      <c r="A783" s="429" t="str">
        <f t="shared" si="23"/>
        <v>20</v>
      </c>
      <c r="B783" s="429" t="str">
        <f>T("14A007 9596")</f>
        <v>14A007 9596</v>
      </c>
      <c r="C783" s="637" t="str">
        <f>T("Forskning för en kretsloppsanpassad samhällsutveckling")</f>
        <v>Forskning för en kretsloppsanpassad samhällsutveckling</v>
      </c>
    </row>
    <row r="784" spans="1:12">
      <c r="A784" s="429" t="str">
        <f t="shared" si="23"/>
        <v>20</v>
      </c>
      <c r="B784" s="429" t="str">
        <f>T("14A008 9495")</f>
        <v>14A008 9495</v>
      </c>
      <c r="C784" s="637" t="str">
        <f>T("Miljöinsatser i Östersjöregionen")</f>
        <v>Miljöinsatser i Östersjöregionen</v>
      </c>
    </row>
    <row r="785" spans="1:12">
      <c r="A785" s="429" t="str">
        <f t="shared" si="23"/>
        <v>20</v>
      </c>
      <c r="B785" s="429" t="str">
        <f>T("14A008 9596")</f>
        <v>14A008 9596</v>
      </c>
      <c r="C785" s="637" t="str">
        <f>T("Investeringsbidrag för främjande av omställning i ekologiskt hållbar riktning")</f>
        <v>Investeringsbidrag för främjande av omställning i ekologiskt hållbar riktning</v>
      </c>
    </row>
    <row r="786" spans="1:12">
      <c r="A786" s="429" t="str">
        <f t="shared" si="23"/>
        <v>20</v>
      </c>
      <c r="B786" s="429" t="str">
        <f>T("14A011 9596")</f>
        <v>14A011 9596</v>
      </c>
      <c r="C786" s="637" t="str">
        <f>T("Särskilda projekt")</f>
        <v>Särskilda projekt</v>
      </c>
    </row>
    <row r="787" spans="1:12">
      <c r="A787" s="429" t="str">
        <f t="shared" si="23"/>
        <v>20</v>
      </c>
      <c r="B787" s="429" t="str">
        <f>T("14A013 9596")</f>
        <v>14A013 9596</v>
      </c>
      <c r="C787" s="637" t="str">
        <f>T("Visst internationellt miljösamarbete")</f>
        <v>Visst internationellt miljösamarbete</v>
      </c>
    </row>
    <row r="788" spans="1:12">
      <c r="A788" s="429" t="str">
        <f t="shared" si="23"/>
        <v>20</v>
      </c>
      <c r="B788" s="429" t="str">
        <f>T("14A016 9495")</f>
        <v>14A016 9495</v>
      </c>
      <c r="C788" s="637" t="str">
        <f>T("Åtgärder för att rena Dalälven")</f>
        <v>Åtgärder för att rena Dalälven</v>
      </c>
    </row>
    <row r="789" spans="1:12">
      <c r="A789" s="429" t="str">
        <f t="shared" si="23"/>
        <v>20</v>
      </c>
      <c r="B789" s="429" t="str">
        <f>T("14E001 9495")</f>
        <v>14E001 9495</v>
      </c>
      <c r="C789" s="637" t="str">
        <f>T("Bidrag till internationellt samarbete kring den byggda miljön")</f>
        <v>Bidrag till internationellt samarbete kring den byggda miljön</v>
      </c>
    </row>
    <row r="790" spans="1:12">
      <c r="A790" s="429" t="str">
        <f t="shared" si="23"/>
        <v>20</v>
      </c>
      <c r="B790" s="429" t="str">
        <f>T("18A005 2000")</f>
        <v>18A005 2000</v>
      </c>
      <c r="C790" s="637" t="str">
        <f>T("Byggforskningsrådet: Förvaltningskostnader")</f>
        <v>Byggforskningsrådet: Förvaltningskostnader</v>
      </c>
    </row>
    <row r="791" spans="1:12">
      <c r="A791" s="429" t="str">
        <f t="shared" si="23"/>
        <v>20</v>
      </c>
      <c r="B791" s="429" t="str">
        <f>T("18A006 2000")</f>
        <v>18A006 2000</v>
      </c>
      <c r="C791" s="637" t="str">
        <f>T("Byggforskning")</f>
        <v>Byggforskning</v>
      </c>
    </row>
    <row r="792" spans="1:12">
      <c r="A792" s="429" t="str">
        <f t="shared" si="23"/>
        <v>20</v>
      </c>
      <c r="B792" s="429" t="str">
        <f>T("2001001")</f>
        <v>2001001</v>
      </c>
      <c r="C792" s="637" t="str">
        <f>T("Naturvårdsverket")</f>
        <v>Naturvårdsverket</v>
      </c>
      <c r="D792" s="428">
        <v>330692.64497000002</v>
      </c>
      <c r="E792" s="428">
        <v>352274.23054999998</v>
      </c>
      <c r="F792" s="428">
        <v>339190.80690000003</v>
      </c>
      <c r="G792" s="428">
        <v>334934.49050000001</v>
      </c>
      <c r="H792" s="428">
        <v>348144.98161999998</v>
      </c>
      <c r="I792" s="428">
        <v>375037.67741</v>
      </c>
      <c r="J792" s="428">
        <v>367606.48498000001</v>
      </c>
      <c r="K792" s="428">
        <v>367613.82384999999</v>
      </c>
      <c r="L792" s="428">
        <v>385606.15379999997</v>
      </c>
    </row>
    <row r="793" spans="1:12">
      <c r="A793" s="429" t="str">
        <f t="shared" si="23"/>
        <v>20</v>
      </c>
      <c r="B793" s="429" t="str">
        <f>T("2001002")</f>
        <v>2001002</v>
      </c>
      <c r="C793" s="637" t="str">
        <f>T("Miljöövervakning m.m.")</f>
        <v>Miljöövervakning m.m.</v>
      </c>
      <c r="D793" s="428">
        <v>222054.11111</v>
      </c>
      <c r="E793" s="428">
        <v>275558.23923000001</v>
      </c>
      <c r="F793" s="428">
        <v>297521.16872000002</v>
      </c>
      <c r="G793" s="428">
        <v>306981.69319000002</v>
      </c>
      <c r="H793" s="428">
        <v>302512.46182999999</v>
      </c>
      <c r="I793" s="428">
        <v>286833.30865000002</v>
      </c>
      <c r="J793" s="428">
        <v>291369.82378999999</v>
      </c>
      <c r="K793" s="428">
        <v>290978.60029999999</v>
      </c>
      <c r="L793" s="428">
        <v>292241.94303000002</v>
      </c>
    </row>
    <row r="794" spans="1:12">
      <c r="A794" s="429" t="str">
        <f t="shared" si="23"/>
        <v>20</v>
      </c>
      <c r="B794" s="429" t="str">
        <f>T("2001003")</f>
        <v>2001003</v>
      </c>
      <c r="C794" s="637" t="str">
        <f>T("Åtgärder för värdefull natur")</f>
        <v>Åtgärder för värdefull natur</v>
      </c>
      <c r="D794" s="428">
        <v>1989621.60677</v>
      </c>
      <c r="E794" s="428">
        <v>1952358.42395</v>
      </c>
      <c r="F794" s="428">
        <v>1957795.14726</v>
      </c>
      <c r="G794" s="428">
        <v>1801138.91656</v>
      </c>
      <c r="H794" s="428">
        <v>1748294.1296600001</v>
      </c>
      <c r="I794" s="428">
        <v>826334.15917</v>
      </c>
      <c r="J794" s="428">
        <v>614538.39034000004</v>
      </c>
      <c r="K794" s="428">
        <v>612334.29839000001</v>
      </c>
      <c r="L794" s="428">
        <v>638654.34646999999</v>
      </c>
    </row>
    <row r="795" spans="1:12">
      <c r="A795" s="429" t="str">
        <f t="shared" si="23"/>
        <v>20</v>
      </c>
      <c r="B795" s="429" t="str">
        <f>T("2001004")</f>
        <v>2001004</v>
      </c>
      <c r="C795" s="637" t="str">
        <f>T("Sanering och återställning av förorenade områden")</f>
        <v>Sanering och återställning av förorenade områden</v>
      </c>
      <c r="D795" s="428">
        <v>618163.53535999998</v>
      </c>
      <c r="E795" s="428">
        <v>504099.67589999997</v>
      </c>
      <c r="F795" s="428">
        <v>250133.09886999999</v>
      </c>
      <c r="G795" s="428">
        <v>305644.85019999999</v>
      </c>
      <c r="H795" s="428">
        <v>414149.49936999998</v>
      </c>
      <c r="I795" s="428">
        <v>656210.61725999997</v>
      </c>
      <c r="J795" s="428">
        <v>421333.98268000002</v>
      </c>
      <c r="K795" s="428">
        <v>412062.72355</v>
      </c>
      <c r="L795" s="428">
        <v>387353.97849000001</v>
      </c>
    </row>
    <row r="796" spans="1:12">
      <c r="A796" s="429" t="str">
        <f t="shared" si="23"/>
        <v>20</v>
      </c>
      <c r="B796" s="429" t="str">
        <f>T("2001005")</f>
        <v>2001005</v>
      </c>
      <c r="C796" s="637" t="str">
        <f>T("Miljöforskning")</f>
        <v>Miljöforskning</v>
      </c>
      <c r="D796" s="428">
        <v>86243.748290000003</v>
      </c>
      <c r="E796" s="428">
        <v>84676.775259999995</v>
      </c>
      <c r="F796" s="428">
        <v>88757.999689999997</v>
      </c>
      <c r="G796" s="428">
        <v>88943.268890000007</v>
      </c>
      <c r="H796" s="428">
        <v>90446.490669999999</v>
      </c>
      <c r="I796" s="428">
        <v>90964.142240000001</v>
      </c>
      <c r="J796" s="428">
        <v>87617.028569999995</v>
      </c>
      <c r="K796" s="428">
        <v>88166.702369999999</v>
      </c>
      <c r="L796" s="428">
        <v>82145.882819999999</v>
      </c>
    </row>
    <row r="797" spans="1:12">
      <c r="A797" s="429" t="str">
        <f t="shared" si="23"/>
        <v>20</v>
      </c>
      <c r="B797" s="429" t="str">
        <f>T("2001006")</f>
        <v>2001006</v>
      </c>
      <c r="C797" s="637" t="str">
        <f>T("Kemikalieinspektionen")</f>
        <v>Kemikalieinspektionen</v>
      </c>
      <c r="D797" s="428">
        <v>118176.26205</v>
      </c>
      <c r="E797" s="428">
        <v>137882.45322</v>
      </c>
      <c r="F797" s="428">
        <v>135949.66144</v>
      </c>
      <c r="G797" s="428">
        <v>136061.4523</v>
      </c>
      <c r="H797" s="428">
        <v>156033.36082999999</v>
      </c>
      <c r="I797" s="428">
        <v>185950.12443</v>
      </c>
      <c r="J797" s="428">
        <v>189200.48942999999</v>
      </c>
      <c r="K797" s="428">
        <v>191461.73851</v>
      </c>
      <c r="L797" s="428">
        <v>213104.59440999999</v>
      </c>
    </row>
    <row r="798" spans="1:12">
      <c r="A798" s="429" t="str">
        <f t="shared" si="23"/>
        <v>20</v>
      </c>
      <c r="B798" s="429" t="str">
        <f>T("2001007")</f>
        <v>2001007</v>
      </c>
      <c r="C798" s="637" t="str">
        <f>T("Internationellt miljösamarbete")</f>
        <v>Internationellt miljösamarbete</v>
      </c>
      <c r="D798" s="428">
        <v>72382.787160000007</v>
      </c>
      <c r="E798" s="428">
        <v>72216.947719999996</v>
      </c>
      <c r="F798" s="428">
        <v>73735.643790000002</v>
      </c>
      <c r="G798" s="428">
        <v>78515.655350000001</v>
      </c>
      <c r="H798" s="428">
        <v>73189.930819999994</v>
      </c>
      <c r="I798" s="428">
        <v>153191.74588999999</v>
      </c>
      <c r="J798" s="428">
        <v>169278.77215999999</v>
      </c>
      <c r="K798" s="428">
        <v>164902.39803000001</v>
      </c>
      <c r="L798" s="428">
        <v>157205.22273000001</v>
      </c>
    </row>
    <row r="799" spans="1:12">
      <c r="A799" s="429" t="str">
        <f t="shared" si="23"/>
        <v>20</v>
      </c>
      <c r="B799" s="429" t="str">
        <f>T("2001008")</f>
        <v>2001008</v>
      </c>
      <c r="C799" s="637" t="str">
        <f>T("Supermiljöbilspremie")</f>
        <v>Supermiljöbilspremie</v>
      </c>
      <c r="J799" s="428">
        <v>20000</v>
      </c>
      <c r="K799" s="428">
        <v>62200</v>
      </c>
      <c r="L799" s="428">
        <v>117080</v>
      </c>
    </row>
    <row r="800" spans="1:12">
      <c r="A800" s="429" t="str">
        <f t="shared" si="23"/>
        <v>20</v>
      </c>
      <c r="B800" s="429" t="str">
        <f>T("2001008 2011")</f>
        <v>2001008 2011</v>
      </c>
      <c r="C800" s="637" t="str">
        <f>T("Stockholms internationella miljöinstitut")</f>
        <v>Stockholms internationella miljöinstitut</v>
      </c>
      <c r="D800" s="428">
        <v>11928</v>
      </c>
      <c r="E800" s="428">
        <v>11928</v>
      </c>
      <c r="F800" s="428">
        <v>11928</v>
      </c>
      <c r="G800" s="428">
        <v>11928</v>
      </c>
      <c r="H800" s="428">
        <v>11928</v>
      </c>
      <c r="I800" s="428">
        <v>11928</v>
      </c>
    </row>
    <row r="801" spans="1:12">
      <c r="A801" s="429" t="str">
        <f t="shared" si="23"/>
        <v>20</v>
      </c>
      <c r="B801" s="429" t="str">
        <f>T("2001009")</f>
        <v>2001009</v>
      </c>
      <c r="C801" s="637" t="str">
        <f>T("Sveriges meteorologiska och hydrologiska institut")</f>
        <v>Sveriges meteorologiska och hydrologiska institut</v>
      </c>
      <c r="D801" s="428">
        <v>254842.81307999999</v>
      </c>
      <c r="E801" s="428">
        <v>236096.58478999999</v>
      </c>
      <c r="F801" s="428">
        <v>236158.91167</v>
      </c>
      <c r="G801" s="428">
        <v>264395.33257999999</v>
      </c>
      <c r="H801" s="428">
        <v>278745.07196999999</v>
      </c>
      <c r="I801" s="428">
        <v>207804.73869</v>
      </c>
      <c r="J801" s="428">
        <v>210411.19917000001</v>
      </c>
      <c r="K801" s="428">
        <v>201171.67404000001</v>
      </c>
      <c r="L801" s="428">
        <v>215524.52204000001</v>
      </c>
    </row>
    <row r="802" spans="1:12">
      <c r="A802" s="429" t="str">
        <f t="shared" si="23"/>
        <v>20</v>
      </c>
      <c r="B802" s="429" t="str">
        <f>T("2001010")</f>
        <v>2001010</v>
      </c>
      <c r="C802" s="637" t="str">
        <f>T("Klimatanpassning")</f>
        <v>Klimatanpassning</v>
      </c>
      <c r="G802" s="428">
        <v>73567.933529999995</v>
      </c>
      <c r="H802" s="428">
        <v>137673.99914</v>
      </c>
      <c r="I802" s="428">
        <v>115361.66422999999</v>
      </c>
      <c r="J802" s="428">
        <v>103642.60974</v>
      </c>
      <c r="K802" s="428">
        <v>98195.916630000007</v>
      </c>
      <c r="L802" s="428">
        <v>94162.470849999998</v>
      </c>
    </row>
    <row r="803" spans="1:12">
      <c r="A803" s="429" t="str">
        <f t="shared" si="23"/>
        <v>20</v>
      </c>
      <c r="B803" s="429" t="str">
        <f>T("2001011")</f>
        <v>2001011</v>
      </c>
      <c r="C803" s="637" t="str">
        <f>T("Inspire")</f>
        <v>Inspire</v>
      </c>
      <c r="H803" s="428">
        <v>47977.885840000003</v>
      </c>
      <c r="I803" s="428">
        <v>51687.634830000003</v>
      </c>
      <c r="J803" s="428">
        <v>48126.424169999998</v>
      </c>
      <c r="K803" s="428">
        <v>20262.83915</v>
      </c>
      <c r="L803" s="428">
        <v>18080.507269999998</v>
      </c>
    </row>
    <row r="804" spans="1:12">
      <c r="A804" s="429" t="str">
        <f t="shared" si="23"/>
        <v>20</v>
      </c>
      <c r="B804" s="429" t="str">
        <f>T("2001011 2009")</f>
        <v>2001011 2009</v>
      </c>
      <c r="C804" s="637" t="str">
        <f>T("Miljöbilspremie")</f>
        <v>Miljöbilspremie</v>
      </c>
      <c r="E804" s="428">
        <v>41564</v>
      </c>
      <c r="F804" s="428">
        <v>322270</v>
      </c>
      <c r="G804" s="428">
        <v>349108.68618000002</v>
      </c>
      <c r="H804" s="428">
        <v>40970</v>
      </c>
    </row>
    <row r="805" spans="1:12">
      <c r="A805" s="429" t="str">
        <f t="shared" si="23"/>
        <v>20</v>
      </c>
      <c r="B805" s="429" t="str">
        <f>T("2001012")</f>
        <v>2001012</v>
      </c>
      <c r="C805" s="637" t="str">
        <f>T("Åtgärder för havs- och vattenmiljö")</f>
        <v>Åtgärder för havs- och vattenmiljö</v>
      </c>
      <c r="E805" s="428">
        <v>33870.336759999998</v>
      </c>
      <c r="F805" s="428">
        <v>97593.600990000006</v>
      </c>
      <c r="G805" s="428">
        <v>283033.63118999999</v>
      </c>
      <c r="H805" s="428">
        <v>359421.24151000002</v>
      </c>
      <c r="I805" s="428">
        <v>562365.86164999998</v>
      </c>
      <c r="J805" s="428">
        <v>736740.88242000004</v>
      </c>
      <c r="K805" s="428">
        <v>496750.53921999998</v>
      </c>
      <c r="L805" s="428">
        <v>668212.01231999998</v>
      </c>
    </row>
    <row r="806" spans="1:12">
      <c r="A806" s="429" t="str">
        <f t="shared" si="23"/>
        <v>20</v>
      </c>
      <c r="B806" s="429" t="str">
        <f>T("2001013")</f>
        <v>2001013</v>
      </c>
      <c r="C806" s="637" t="str">
        <f>T("Insatser för internationella klimatinvesteringar")</f>
        <v>Insatser för internationella klimatinvesteringar</v>
      </c>
      <c r="F806" s="428">
        <v>48984.23216</v>
      </c>
      <c r="G806" s="428">
        <v>275916.36988000001</v>
      </c>
      <c r="H806" s="428">
        <v>271964.81751999998</v>
      </c>
      <c r="I806" s="428">
        <v>82496.16936</v>
      </c>
      <c r="J806" s="428">
        <v>60933.641080000001</v>
      </c>
      <c r="K806" s="428">
        <v>94966.000660000005</v>
      </c>
      <c r="L806" s="428">
        <v>113096.60631</v>
      </c>
    </row>
    <row r="807" spans="1:12">
      <c r="A807" s="429" t="str">
        <f t="shared" si="23"/>
        <v>20</v>
      </c>
      <c r="B807" s="429" t="str">
        <f>T("2001014")</f>
        <v>2001014</v>
      </c>
      <c r="C807" s="637" t="str">
        <f>T("Internationellt miljö- och kärnsäkerhetssamarbete med Ryssland")</f>
        <v>Internationellt miljö- och kärnsäkerhetssamarbete med Ryssland</v>
      </c>
      <c r="F807" s="428">
        <v>49577.516020000003</v>
      </c>
      <c r="G807" s="428">
        <v>60700.14443</v>
      </c>
      <c r="H807" s="428">
        <v>56527.711150000003</v>
      </c>
      <c r="I807" s="428">
        <v>46485.245170000002</v>
      </c>
      <c r="J807" s="428">
        <v>45667.691290000002</v>
      </c>
      <c r="K807" s="428">
        <v>38575.594250000002</v>
      </c>
      <c r="L807" s="428">
        <v>23883.780559999999</v>
      </c>
    </row>
    <row r="808" spans="1:12">
      <c r="A808" s="429" t="str">
        <f t="shared" si="23"/>
        <v>20</v>
      </c>
      <c r="B808" s="429" t="str">
        <f>T("2001015")</f>
        <v>2001015</v>
      </c>
      <c r="C808" s="637" t="str">
        <f>T("Hållbara städer")</f>
        <v>Hållbara städer</v>
      </c>
      <c r="G808" s="428">
        <v>6329.72091</v>
      </c>
      <c r="H808" s="428">
        <v>97460.854300000006</v>
      </c>
      <c r="I808" s="428">
        <v>138192.87935999999</v>
      </c>
      <c r="J808" s="428">
        <v>22984.183990000001</v>
      </c>
      <c r="K808" s="428">
        <v>12306.03226</v>
      </c>
      <c r="L808" s="428">
        <v>5514.3099099999999</v>
      </c>
    </row>
    <row r="809" spans="1:12">
      <c r="A809" s="429" t="str">
        <f t="shared" si="23"/>
        <v>20</v>
      </c>
      <c r="B809" s="429" t="str">
        <f>T("2001016")</f>
        <v>2001016</v>
      </c>
      <c r="C809" s="637" t="str">
        <f>T("Skydd av värdefull natur")</f>
        <v>Skydd av värdefull natur</v>
      </c>
      <c r="I809" s="428">
        <v>741743.74514000001</v>
      </c>
      <c r="J809" s="428">
        <v>750450.57706000004</v>
      </c>
      <c r="K809" s="428">
        <v>807394.35889999999</v>
      </c>
      <c r="L809" s="428">
        <v>810856.79836000002</v>
      </c>
    </row>
    <row r="810" spans="1:12">
      <c r="A810" s="429" t="str">
        <f t="shared" si="23"/>
        <v>20</v>
      </c>
      <c r="B810" s="429" t="str">
        <f>T("2001017")</f>
        <v>2001017</v>
      </c>
      <c r="C810" s="637" t="str">
        <f>T("Havs- och vattenmyndigheten")</f>
        <v>Havs- och vattenmyndigheten</v>
      </c>
      <c r="I810" s="428">
        <v>97198.481220000001</v>
      </c>
      <c r="J810" s="428">
        <v>195079.29253999999</v>
      </c>
      <c r="K810" s="428">
        <v>199155.34007000001</v>
      </c>
      <c r="L810" s="428">
        <v>204250.71197</v>
      </c>
    </row>
    <row r="811" spans="1:12">
      <c r="A811" s="429" t="str">
        <f t="shared" si="23"/>
        <v>20</v>
      </c>
      <c r="B811" s="429" t="str">
        <f>T("2002001")</f>
        <v>2002001</v>
      </c>
      <c r="C811" s="637" t="str">
        <f>T("Forskningsrådet för miljö, areella näringar och samhällsbyggande: Förvaltningskostnader")</f>
        <v>Forskningsrådet för miljö, areella näringar och samhällsbyggande: Förvaltningskostnader</v>
      </c>
      <c r="D811" s="428">
        <v>40660.336300000003</v>
      </c>
      <c r="E811" s="428">
        <v>40992.654340000001</v>
      </c>
      <c r="F811" s="428">
        <v>44818.171710000002</v>
      </c>
      <c r="G811" s="428">
        <v>43668.180840000001</v>
      </c>
      <c r="H811" s="428">
        <v>44181.650070000003</v>
      </c>
      <c r="I811" s="428">
        <v>43978.618119999999</v>
      </c>
      <c r="J811" s="428">
        <v>53111.603109999996</v>
      </c>
      <c r="K811" s="428">
        <v>48385.262549999999</v>
      </c>
      <c r="L811" s="428">
        <v>53323.601580000002</v>
      </c>
    </row>
    <row r="812" spans="1:12">
      <c r="A812" s="429" t="str">
        <f t="shared" si="23"/>
        <v>20</v>
      </c>
      <c r="B812" s="429" t="str">
        <f>T("2002002")</f>
        <v>2002002</v>
      </c>
      <c r="C812" s="637" t="str">
        <f>T("Forskningsrådet för miljö, areella näringar och samhällsbyggande: Forskning")</f>
        <v>Forskningsrådet för miljö, areella näringar och samhällsbyggande: Forskning</v>
      </c>
      <c r="D812" s="428">
        <v>318384.14199999999</v>
      </c>
      <c r="E812" s="428">
        <v>351478.95276999997</v>
      </c>
      <c r="F812" s="428">
        <v>406749.37293000001</v>
      </c>
      <c r="G812" s="428">
        <v>473190.44790999999</v>
      </c>
      <c r="H812" s="428">
        <v>494635.75782</v>
      </c>
      <c r="I812" s="428">
        <v>487396.16175999999</v>
      </c>
      <c r="J812" s="428">
        <v>544807.92703000002</v>
      </c>
      <c r="K812" s="428">
        <v>599967.20366</v>
      </c>
      <c r="L812" s="428">
        <v>604804.87106000003</v>
      </c>
    </row>
    <row r="813" spans="1:12">
      <c r="A813" s="429" t="str">
        <f t="shared" si="23"/>
        <v>20</v>
      </c>
      <c r="B813" s="429" t="str">
        <f>T("203410 2008")</f>
        <v>203410 2008</v>
      </c>
      <c r="C813" s="637" t="str">
        <f>T("Stöd till klimatinvesteringar")</f>
        <v>Stöd till klimatinvesteringar</v>
      </c>
      <c r="D813" s="428">
        <v>482448.28122</v>
      </c>
      <c r="E813" s="428">
        <v>216991.46856000001</v>
      </c>
      <c r="F813" s="428">
        <v>305386.39532000001</v>
      </c>
      <c r="G813" s="428">
        <v>267251.64130000002</v>
      </c>
      <c r="H813" s="428">
        <v>187148.18729999999</v>
      </c>
      <c r="I813" s="428">
        <v>-92535.949609999996</v>
      </c>
      <c r="J813" s="428">
        <v>-101934.64004</v>
      </c>
    </row>
    <row r="814" spans="1:12">
      <c r="A814" s="429" t="str">
        <f t="shared" si="23"/>
        <v>20</v>
      </c>
      <c r="B814" s="429" t="str">
        <f>T("203412 2002")</f>
        <v>203412 2002</v>
      </c>
      <c r="C814" s="637" t="str">
        <f>T("Internationellt samarbete i fråga om kärnsäkerhet m.m.")</f>
        <v>Internationellt samarbete i fråga om kärnsäkerhet m.m.</v>
      </c>
    </row>
    <row r="815" spans="1:12">
      <c r="A815" s="429" t="str">
        <f t="shared" si="23"/>
        <v>20</v>
      </c>
      <c r="B815" s="429" t="str">
        <f>T("203413 2003")</f>
        <v>203413 2003</v>
      </c>
      <c r="C815" s="637" t="str">
        <f>T("Information om klimatfrågor")</f>
        <v>Information om klimatfrågor</v>
      </c>
    </row>
    <row r="816" spans="1:12">
      <c r="A816" s="429" t="str">
        <f t="shared" si="23"/>
        <v>20</v>
      </c>
      <c r="B816" s="429" t="str">
        <f>T("20A003 1998")</f>
        <v>20A003 1998</v>
      </c>
      <c r="C816" s="637" t="str">
        <f>T("Bidrag till kalkningsverksamhet för sjöar och vattendrag")</f>
        <v>Bidrag till kalkningsverksamhet för sjöar och vattendrag</v>
      </c>
    </row>
    <row r="817" spans="1:12">
      <c r="A817" s="429" t="str">
        <f t="shared" si="23"/>
        <v>20</v>
      </c>
      <c r="B817" s="429" t="str">
        <f>T("20A004 1998")</f>
        <v>20A004 1998</v>
      </c>
      <c r="C817" s="637" t="str">
        <f>T("Investeringar och skötsel för miljönaturvård")</f>
        <v>Investeringar och skötsel för miljönaturvård</v>
      </c>
    </row>
    <row r="818" spans="1:12">
      <c r="A818" s="429" t="str">
        <f t="shared" si="23"/>
        <v>20</v>
      </c>
      <c r="B818" s="429" t="str">
        <f>T("20A005 1997")</f>
        <v>20A005 1997</v>
      </c>
      <c r="C818" s="637" t="str">
        <f>T("Miljö- och kretsloppsforskning")</f>
        <v>Miljö- och kretsloppsforskning</v>
      </c>
    </row>
    <row r="819" spans="1:12">
      <c r="A819" s="429" t="str">
        <f t="shared" si="23"/>
        <v>20</v>
      </c>
      <c r="B819" s="429" t="str">
        <f>T("20A005 1998")</f>
        <v>20A005 1998</v>
      </c>
      <c r="C819" s="637" t="str">
        <f>T("Koncessionsnämnden för miljöskydd")</f>
        <v>Koncessionsnämnden för miljöskydd</v>
      </c>
    </row>
    <row r="820" spans="1:12">
      <c r="A820" s="429" t="str">
        <f t="shared" si="23"/>
        <v>20</v>
      </c>
      <c r="B820" s="429" t="str">
        <f>T("20A005 1999")</f>
        <v>20A005 1999</v>
      </c>
      <c r="C820" s="637" t="str">
        <f>T("Åtgärder för att rena Dalälven")</f>
        <v>Åtgärder för att rena Dalälven</v>
      </c>
    </row>
    <row r="821" spans="1:12">
      <c r="A821" s="429" t="str">
        <f t="shared" si="23"/>
        <v>20</v>
      </c>
      <c r="B821" s="429" t="str">
        <f>T("20A006 1997")</f>
        <v>20A006 1997</v>
      </c>
      <c r="C821" s="637" t="str">
        <f>T("Sanering och återställning av miljöskadade områden")</f>
        <v>Sanering och återställning av miljöskadade områden</v>
      </c>
    </row>
    <row r="822" spans="1:12">
      <c r="A822" s="429" t="str">
        <f t="shared" si="23"/>
        <v>20</v>
      </c>
      <c r="B822" s="429" t="str">
        <f>T("20A009 1999")</f>
        <v>20A009 1999</v>
      </c>
      <c r="C822" s="637" t="str">
        <f>T("Stiftelsen Institutet för vatten o luftvårdsforskning")</f>
        <v>Stiftelsen Institutet för vatten o luftvårdsforskning</v>
      </c>
    </row>
    <row r="823" spans="1:12">
      <c r="A823" s="429" t="str">
        <f t="shared" si="23"/>
        <v>20</v>
      </c>
      <c r="B823" s="429" t="str">
        <f>T("20A009 2000")</f>
        <v>20A009 2000</v>
      </c>
      <c r="C823" s="637" t="str">
        <f>T("Investeringsbidrag för främjande av omställning i ekologiskt hållbar riktning")</f>
        <v>Investeringsbidrag för främjande av omställning i ekologiskt hållbar riktning</v>
      </c>
    </row>
    <row r="824" spans="1:12">
      <c r="A824" s="429" t="str">
        <f t="shared" si="23"/>
        <v>20</v>
      </c>
      <c r="B824" s="429" t="str">
        <f>T("20A010 1999")</f>
        <v>20A010 1999</v>
      </c>
      <c r="C824" s="637" t="str">
        <f>T("Miljöinsatser i Östersjöregionen")</f>
        <v>Miljöinsatser i Östersjöregionen</v>
      </c>
    </row>
    <row r="825" spans="1:12">
      <c r="A825" s="429" t="str">
        <f t="shared" si="23"/>
        <v>20</v>
      </c>
      <c r="B825" s="429" t="str">
        <f>T("20A011 1997")</f>
        <v>20A011 1997</v>
      </c>
      <c r="C825" s="637" t="str">
        <f>T("Utbildning och information om miljöbalken")</f>
        <v>Utbildning och information om miljöbalken</v>
      </c>
    </row>
    <row r="826" spans="1:12">
      <c r="A826" s="429" t="str">
        <f t="shared" si="23"/>
        <v>20</v>
      </c>
      <c r="B826" s="429" t="str">
        <f>T("23G002 2000")</f>
        <v>23G002 2000</v>
      </c>
      <c r="C826" s="637" t="str">
        <f>T("Skogs- och jordbrukets forskningsråd: Förvaltningskostnader")</f>
        <v>Skogs- och jordbrukets forskningsråd: Förvaltningskostnader</v>
      </c>
    </row>
    <row r="827" spans="1:12">
      <c r="A827" s="430" t="s">
        <v>1654</v>
      </c>
      <c r="B827" s="430"/>
      <c r="C827" s="430" t="str">
        <f>T("Allmän miljö- och naturvård")</f>
        <v>Allmän miljö- och naturvård</v>
      </c>
      <c r="D827" s="431">
        <v>4545598.2683100002</v>
      </c>
      <c r="E827" s="431">
        <v>4311988.7430499997</v>
      </c>
      <c r="F827" s="431">
        <v>4666549.7274700003</v>
      </c>
      <c r="G827" s="431">
        <v>5161310.4157400001</v>
      </c>
      <c r="H827" s="431">
        <v>5161406.0314199999</v>
      </c>
      <c r="I827" s="431">
        <v>5068625.0249699997</v>
      </c>
      <c r="J827" s="431">
        <v>4830966.3635099996</v>
      </c>
      <c r="K827" s="431">
        <v>4806851.0463899998</v>
      </c>
      <c r="L827" s="431">
        <v>5085102.3139800001</v>
      </c>
    </row>
    <row r="828" spans="1:12">
      <c r="A828" s="429" t="str">
        <f t="shared" ref="A828:A861" si="24">T("21")</f>
        <v>21</v>
      </c>
      <c r="B828" s="429" t="str">
        <f>T("09J003 9293")</f>
        <v>09J003 9293</v>
      </c>
      <c r="C828" s="637" t="str">
        <f>T("Främjande av biobränsleanvändningen")</f>
        <v>Främjande av biobränsleanvändningen</v>
      </c>
    </row>
    <row r="829" spans="1:12">
      <c r="A829" s="429" t="str">
        <f t="shared" si="24"/>
        <v>21</v>
      </c>
      <c r="B829" s="429" t="str">
        <f>T("12E007 9596")</f>
        <v>12E007 9596</v>
      </c>
      <c r="C829" s="637" t="str">
        <f>T("Insatser för ny energiteknik")</f>
        <v>Insatser för ny energiteknik</v>
      </c>
    </row>
    <row r="830" spans="1:12">
      <c r="A830" s="429" t="str">
        <f t="shared" si="24"/>
        <v>21</v>
      </c>
      <c r="B830" s="429" t="str">
        <f>T("12E009 9596")</f>
        <v>12E009 9596</v>
      </c>
      <c r="C830" s="637" t="str">
        <f>T("Energiforskning")</f>
        <v>Energiforskning</v>
      </c>
    </row>
    <row r="831" spans="1:12">
      <c r="A831" s="429" t="str">
        <f t="shared" si="24"/>
        <v>21</v>
      </c>
      <c r="B831" s="429" t="str">
        <f>T("12E010 9394")</f>
        <v>12E010 9394</v>
      </c>
      <c r="C831" s="637" t="str">
        <f>T("Insatser för utbyggnad av fjärrvärmenäten")</f>
        <v>Insatser för utbyggnad av fjärrvärmenäten</v>
      </c>
    </row>
    <row r="832" spans="1:12">
      <c r="A832" s="429" t="str">
        <f t="shared" si="24"/>
        <v>21</v>
      </c>
      <c r="B832" s="429" t="str">
        <f>T("12E011 9596")</f>
        <v>12E011 9596</v>
      </c>
      <c r="C832" s="637" t="str">
        <f>T("Åtgärder för energieffektiviseringar i bl a Baltikum och Östeuropa")</f>
        <v>Åtgärder för energieffektiviseringar i bl a Baltikum och Östeuropa</v>
      </c>
    </row>
    <row r="833" spans="1:12">
      <c r="A833" s="429" t="str">
        <f t="shared" si="24"/>
        <v>21</v>
      </c>
      <c r="B833" s="429" t="str">
        <f>T("2101001")</f>
        <v>2101001</v>
      </c>
      <c r="C833" s="637" t="str">
        <f>T("Statens energimyndighet: Förvaltningskostnader")</f>
        <v>Statens energimyndighet: Förvaltningskostnader</v>
      </c>
      <c r="D833" s="428">
        <v>192977.42885</v>
      </c>
      <c r="E833" s="428">
        <v>202033.64608000001</v>
      </c>
      <c r="F833" s="428">
        <v>132937.03372000001</v>
      </c>
      <c r="G833" s="428">
        <v>153499.16050999999</v>
      </c>
      <c r="H833" s="428">
        <v>230837.05398</v>
      </c>
      <c r="I833" s="428">
        <v>239881.34951</v>
      </c>
      <c r="J833" s="428">
        <v>260281.53864000001</v>
      </c>
      <c r="K833" s="428">
        <v>259037.16784000001</v>
      </c>
      <c r="L833" s="428">
        <v>278909.50336999999</v>
      </c>
    </row>
    <row r="834" spans="1:12">
      <c r="A834" s="429" t="str">
        <f t="shared" si="24"/>
        <v>21</v>
      </c>
      <c r="B834" s="429" t="str">
        <f>T("2101002")</f>
        <v>2101002</v>
      </c>
      <c r="C834" s="637" t="str">
        <f>T("Regionala och lokala insatser för energieffektivisering m.m.")</f>
        <v>Regionala och lokala insatser för energieffektivisering m.m.</v>
      </c>
      <c r="D834" s="428">
        <v>163794.92532000001</v>
      </c>
      <c r="E834" s="428">
        <v>139078.83299</v>
      </c>
      <c r="F834" s="428">
        <v>130610.01169</v>
      </c>
      <c r="G834" s="428">
        <v>151891.56489000001</v>
      </c>
      <c r="H834" s="428">
        <v>135235.29639</v>
      </c>
      <c r="I834" s="428">
        <v>126336.07821000001</v>
      </c>
      <c r="J834" s="428">
        <v>141218.88274999999</v>
      </c>
      <c r="K834" s="428">
        <v>137545.04895999999</v>
      </c>
      <c r="L834" s="428">
        <v>134327.17627</v>
      </c>
    </row>
    <row r="835" spans="1:12">
      <c r="A835" s="429" t="str">
        <f t="shared" si="24"/>
        <v>21</v>
      </c>
      <c r="B835" s="429" t="str">
        <f>T("2101003")</f>
        <v>2101003</v>
      </c>
      <c r="C835" s="637" t="str">
        <f>T("Insatser för uthållig energianvändning")</f>
        <v>Insatser för uthållig energianvändning</v>
      </c>
      <c r="D835" s="428">
        <v>91885.183929999999</v>
      </c>
      <c r="E835" s="428">
        <v>63195.665659999999</v>
      </c>
      <c r="F835" s="428">
        <v>96027.32591</v>
      </c>
      <c r="G835" s="428">
        <v>137958.07803999999</v>
      </c>
      <c r="H835" s="428">
        <v>101873.93343</v>
      </c>
      <c r="I835" s="428">
        <v>133722.82161000001</v>
      </c>
      <c r="J835" s="428">
        <v>125048.23196</v>
      </c>
      <c r="K835" s="428">
        <v>74169.545440000002</v>
      </c>
      <c r="L835" s="428">
        <v>112966.03898</v>
      </c>
    </row>
    <row r="836" spans="1:12">
      <c r="A836" s="429" t="str">
        <f t="shared" si="24"/>
        <v>21</v>
      </c>
      <c r="B836" s="429" t="str">
        <f>T("2101004")</f>
        <v>2101004</v>
      </c>
      <c r="C836" s="637" t="str">
        <f>T("Stöd för marknadsintroduktion av vindkraft")</f>
        <v>Stöd för marknadsintroduktion av vindkraft</v>
      </c>
      <c r="D836" s="428">
        <v>50016.537750000003</v>
      </c>
      <c r="E836" s="428">
        <v>41441.523529999999</v>
      </c>
      <c r="F836" s="428">
        <v>42937.091</v>
      </c>
      <c r="G836" s="428">
        <v>180986.15328999999</v>
      </c>
      <c r="H836" s="428">
        <v>107125.07618</v>
      </c>
      <c r="I836" s="428">
        <v>87357.742629999993</v>
      </c>
      <c r="J836" s="428">
        <v>34262.933400000002</v>
      </c>
      <c r="K836" s="428">
        <v>35126.079689999999</v>
      </c>
      <c r="L836" s="428">
        <v>10280.02599</v>
      </c>
    </row>
    <row r="837" spans="1:12">
      <c r="A837" s="429" t="str">
        <f t="shared" si="24"/>
        <v>21</v>
      </c>
      <c r="B837" s="429" t="str">
        <f>T("2101005")</f>
        <v>2101005</v>
      </c>
      <c r="C837" s="637" t="str">
        <f>T("Energiforskning")</f>
        <v>Energiforskning</v>
      </c>
      <c r="D837" s="428">
        <v>589601.79709999997</v>
      </c>
      <c r="E837" s="428">
        <v>697805.04787999997</v>
      </c>
      <c r="F837" s="428">
        <v>701460.69585999998</v>
      </c>
      <c r="G837" s="428">
        <v>1115156.0877700001</v>
      </c>
      <c r="H837" s="428">
        <v>1062390.7067400001</v>
      </c>
      <c r="I837" s="428">
        <v>1173913.60745</v>
      </c>
      <c r="J837" s="428">
        <v>1259360.58</v>
      </c>
      <c r="K837" s="428">
        <v>1142683.32519</v>
      </c>
      <c r="L837" s="428">
        <v>1401476.0079999999</v>
      </c>
    </row>
    <row r="838" spans="1:12">
      <c r="A838" s="429" t="str">
        <f t="shared" si="24"/>
        <v>21</v>
      </c>
      <c r="B838" s="429" t="str">
        <f>T("2101006")</f>
        <v>2101006</v>
      </c>
      <c r="C838" s="637" t="str">
        <f>T("Ersättning för vissa kostnader vid avveckling av Barsebäcksverket")</f>
        <v>Ersättning för vissa kostnader vid avveckling av Barsebäcksverket</v>
      </c>
      <c r="D838" s="428">
        <v>425084.39899999998</v>
      </c>
      <c r="E838" s="428">
        <v>245656.679</v>
      </c>
      <c r="F838" s="428">
        <v>243416.73300000001</v>
      </c>
      <c r="G838" s="428">
        <v>208725.01199999999</v>
      </c>
      <c r="H838" s="428">
        <v>186190.97099999999</v>
      </c>
      <c r="I838" s="428">
        <v>188989.65</v>
      </c>
      <c r="J838" s="428">
        <v>189327.584</v>
      </c>
      <c r="K838" s="428">
        <v>183929.307</v>
      </c>
      <c r="L838" s="428">
        <v>182678.94</v>
      </c>
    </row>
    <row r="839" spans="1:12">
      <c r="A839" s="429" t="str">
        <f t="shared" si="24"/>
        <v>21</v>
      </c>
      <c r="B839" s="429" t="str">
        <f>T("2101007")</f>
        <v>2101007</v>
      </c>
      <c r="C839" s="637" t="str">
        <f>T("Planeringsstöd för vindkraft m.m.")</f>
        <v>Planeringsstöd för vindkraft m.m.</v>
      </c>
      <c r="E839" s="428">
        <v>1532.45929</v>
      </c>
      <c r="F839" s="428">
        <v>36119.657859999999</v>
      </c>
      <c r="G839" s="428">
        <v>40539.90509</v>
      </c>
      <c r="H839" s="428">
        <v>35658.12472</v>
      </c>
      <c r="I839" s="428">
        <v>41082.095000000001</v>
      </c>
      <c r="J839" s="428">
        <v>13415.085870000001</v>
      </c>
      <c r="K839" s="428">
        <v>9272.8134800000007</v>
      </c>
      <c r="L839" s="428">
        <v>14981.95996</v>
      </c>
    </row>
    <row r="840" spans="1:12">
      <c r="A840" s="429" t="str">
        <f t="shared" si="24"/>
        <v>21</v>
      </c>
      <c r="B840" s="429" t="str">
        <f>T("2101008")</f>
        <v>2101008</v>
      </c>
      <c r="C840" s="637" t="str">
        <f>T("Energimarknadsinspektionen: Förvaltningskostnader")</f>
        <v>Energimarknadsinspektionen: Förvaltningskostnader</v>
      </c>
      <c r="F840" s="428">
        <v>76919</v>
      </c>
      <c r="G840" s="428">
        <v>83639.766440000007</v>
      </c>
      <c r="H840" s="428">
        <v>86686.152459999998</v>
      </c>
      <c r="I840" s="428">
        <v>92599.06482</v>
      </c>
      <c r="J840" s="428">
        <v>94262.552100000001</v>
      </c>
      <c r="K840" s="428">
        <v>98701.875539999994</v>
      </c>
      <c r="L840" s="428">
        <v>101933.32707</v>
      </c>
    </row>
    <row r="841" spans="1:12">
      <c r="A841" s="429" t="str">
        <f t="shared" si="24"/>
        <v>21</v>
      </c>
      <c r="B841" s="429" t="str">
        <f>T("2101008 2009")</f>
        <v>2101008 2009</v>
      </c>
      <c r="C841" s="637" t="str">
        <f>T("Stöd för energiinvesteringar i offentliga lokaler")</f>
        <v>Stöd för energiinvesteringar i offentliga lokaler</v>
      </c>
      <c r="E841" s="428">
        <v>562285.85499999998</v>
      </c>
      <c r="F841" s="428">
        <v>394881.77364999999</v>
      </c>
      <c r="G841" s="428">
        <v>699354.01599999995</v>
      </c>
      <c r="H841" s="428">
        <v>5181.9524799999999</v>
      </c>
    </row>
    <row r="842" spans="1:12">
      <c r="A842" s="429" t="str">
        <f t="shared" si="24"/>
        <v>21</v>
      </c>
      <c r="B842" s="429" t="str">
        <f>T("2101008 2010")</f>
        <v>2101008 2010</v>
      </c>
      <c r="C842" s="637" t="str">
        <f>T("Stöd för konvertering från direktverkande elvärme m.m.")</f>
        <v>Stöd för konvertering från direktverkande elvärme m.m.</v>
      </c>
      <c r="E842" s="428">
        <v>128200.83375000001</v>
      </c>
      <c r="F842" s="428">
        <v>131064.37201000001</v>
      </c>
      <c r="G842" s="428">
        <v>88153.316470000005</v>
      </c>
      <c r="H842" s="428">
        <v>127749.02817999999</v>
      </c>
      <c r="I842" s="428">
        <v>210252.93273</v>
      </c>
      <c r="J842" s="428">
        <v>14.618</v>
      </c>
    </row>
    <row r="843" spans="1:12">
      <c r="A843" s="429" t="str">
        <f t="shared" si="24"/>
        <v>21</v>
      </c>
      <c r="B843" s="429" t="str">
        <f>T("2101008 2011")</f>
        <v>2101008 2011</v>
      </c>
      <c r="C843" s="637" t="str">
        <f>T("Stöd för installation av solvärme")</f>
        <v>Stöd för installation av solvärme</v>
      </c>
      <c r="E843" s="428">
        <v>474.31900000000002</v>
      </c>
      <c r="F843" s="428">
        <v>8238.5759899999994</v>
      </c>
      <c r="G843" s="428">
        <v>17026.132870000001</v>
      </c>
      <c r="H843" s="428">
        <v>16421.11822</v>
      </c>
      <c r="I843" s="428">
        <v>20320.77118</v>
      </c>
      <c r="J843" s="428">
        <v>11258.603450000001</v>
      </c>
      <c r="K843" s="428">
        <v>3532.1921699999998</v>
      </c>
    </row>
    <row r="844" spans="1:12">
      <c r="A844" s="429" t="str">
        <f t="shared" si="24"/>
        <v>21</v>
      </c>
      <c r="B844" s="429" t="str">
        <f>T("2101009")</f>
        <v>2101009</v>
      </c>
      <c r="C844" s="637" t="str">
        <f>T("Energiteknik")</f>
        <v>Energiteknik</v>
      </c>
      <c r="G844" s="428">
        <v>48115.86</v>
      </c>
      <c r="H844" s="428">
        <v>108495.50371999999</v>
      </c>
      <c r="I844" s="428">
        <v>72070.944380000001</v>
      </c>
      <c r="J844" s="428">
        <v>84047.089439999996</v>
      </c>
      <c r="K844" s="428">
        <v>185743.50935000001</v>
      </c>
      <c r="L844" s="428">
        <v>96139.704360000003</v>
      </c>
    </row>
    <row r="845" spans="1:12">
      <c r="A845" s="429" t="str">
        <f t="shared" si="24"/>
        <v>21</v>
      </c>
      <c r="B845" s="429" t="str">
        <f>T("2101010")</f>
        <v>2101010</v>
      </c>
      <c r="C845" s="637" t="str">
        <f>T("Elberedskap")</f>
        <v>Elberedskap</v>
      </c>
      <c r="H845" s="428">
        <v>235223.80674999999</v>
      </c>
      <c r="I845" s="428">
        <v>235884.47766999999</v>
      </c>
      <c r="J845" s="428">
        <v>200688.93512000001</v>
      </c>
      <c r="K845" s="428">
        <v>201674.49384000001</v>
      </c>
      <c r="L845" s="428">
        <v>247651.03638000001</v>
      </c>
    </row>
    <row r="846" spans="1:12">
      <c r="A846" s="429" t="str">
        <f t="shared" si="24"/>
        <v>21</v>
      </c>
      <c r="B846" s="429" t="str">
        <f>T("2101011")</f>
        <v>2101011</v>
      </c>
      <c r="C846" s="637" t="str">
        <f>T("Energieffektiviseringsprogram")</f>
        <v>Energieffektiviseringsprogram</v>
      </c>
      <c r="H846" s="428">
        <v>209990.35866</v>
      </c>
      <c r="I846" s="428">
        <v>275967.93809000001</v>
      </c>
      <c r="J846" s="428">
        <v>277494.88001000002</v>
      </c>
      <c r="K846" s="428">
        <v>260774.82621</v>
      </c>
      <c r="L846" s="428">
        <v>258326.45475</v>
      </c>
    </row>
    <row r="847" spans="1:12">
      <c r="A847" s="429" t="str">
        <f t="shared" si="24"/>
        <v>21</v>
      </c>
      <c r="B847" s="429" t="str">
        <f>T("2101011 2009")</f>
        <v>2101011 2009</v>
      </c>
      <c r="C847" s="637" t="str">
        <f>T("Stöd för installation av energieffektiva fönster m.m. i småhus")</f>
        <v>Stöd för installation av energieffektiva fönster m.m. i småhus</v>
      </c>
      <c r="E847" s="428">
        <v>39455.081200000001</v>
      </c>
      <c r="F847" s="428">
        <v>55451.832490000001</v>
      </c>
      <c r="G847" s="428">
        <v>63721.781000000003</v>
      </c>
      <c r="H847" s="428">
        <v>444.98874999999998</v>
      </c>
    </row>
    <row r="848" spans="1:12">
      <c r="A848" s="429" t="str">
        <f t="shared" si="24"/>
        <v>21</v>
      </c>
      <c r="B848" s="429" t="str">
        <f>T("2101012")</f>
        <v>2101012</v>
      </c>
      <c r="C848" s="637" t="str">
        <f>T("Avgifter till internationella organisationer")</f>
        <v>Avgifter till internationella organisationer</v>
      </c>
      <c r="I848" s="428">
        <v>19587.034080000001</v>
      </c>
      <c r="J848" s="428">
        <v>22365.885849999999</v>
      </c>
      <c r="K848" s="428">
        <v>21162.19398</v>
      </c>
      <c r="L848" s="428">
        <v>18586.058400000002</v>
      </c>
    </row>
    <row r="849" spans="1:12">
      <c r="A849" s="429" t="str">
        <f t="shared" si="24"/>
        <v>21</v>
      </c>
      <c r="B849" s="429" t="str">
        <f>T("213502 2002")</f>
        <v>213502 2002</v>
      </c>
      <c r="C849" s="637" t="str">
        <f>T("Bidrag för att minska elanvändning")</f>
        <v>Bidrag för att minska elanvändning</v>
      </c>
    </row>
    <row r="850" spans="1:12">
      <c r="A850" s="429" t="str">
        <f t="shared" si="24"/>
        <v>21</v>
      </c>
      <c r="B850" s="429" t="str">
        <f>T("213503 2002")</f>
        <v>213503 2002</v>
      </c>
      <c r="C850" s="637" t="str">
        <f>T("Bidrag till investeringar i elproduktion från förnybara energikällor")</f>
        <v>Bidrag till investeringar i elproduktion från förnybara energikällor</v>
      </c>
    </row>
    <row r="851" spans="1:12">
      <c r="A851" s="429" t="str">
        <f t="shared" si="24"/>
        <v>21</v>
      </c>
      <c r="B851" s="429" t="str">
        <f>T("213504 2002")</f>
        <v>213504 2002</v>
      </c>
      <c r="C851" s="637" t="str">
        <f>T("Åtgärder för effektivare energianvändning")</f>
        <v>Åtgärder för effektivare energianvändning</v>
      </c>
    </row>
    <row r="852" spans="1:12">
      <c r="A852" s="429" t="str">
        <f t="shared" si="24"/>
        <v>21</v>
      </c>
      <c r="B852" s="429" t="str">
        <f>T("213506 2004")</f>
        <v>213506 2004</v>
      </c>
      <c r="C852" s="637" t="str">
        <f>T("Energiteknikstöd")</f>
        <v>Energiteknikstöd</v>
      </c>
      <c r="D852" s="428">
        <v>25909.996760000002</v>
      </c>
      <c r="E852" s="428">
        <v>9421.0902900000001</v>
      </c>
      <c r="F852" s="428">
        <v>2933.5873299999998</v>
      </c>
    </row>
    <row r="853" spans="1:12">
      <c r="A853" s="429" t="str">
        <f t="shared" si="24"/>
        <v>21</v>
      </c>
      <c r="B853" s="429" t="str">
        <f>T("213506 2007")</f>
        <v>213506 2007</v>
      </c>
      <c r="C853" s="637" t="str">
        <f>T("Energipolitiskt motiverade internationella klimatinsatser")</f>
        <v>Energipolitiskt motiverade internationella klimatinsatser</v>
      </c>
      <c r="D853" s="428">
        <v>15483.5867</v>
      </c>
      <c r="E853" s="428">
        <v>18100.145069999999</v>
      </c>
      <c r="F853" s="428">
        <v>357.01141999999999</v>
      </c>
    </row>
    <row r="854" spans="1:12">
      <c r="A854" s="429" t="str">
        <f t="shared" si="24"/>
        <v>21</v>
      </c>
      <c r="B854" s="429" t="str">
        <f>T("213507 2004")</f>
        <v>213507 2004</v>
      </c>
      <c r="C854" s="637" t="str">
        <f>T("Introduktion av ny energiteknik")</f>
        <v>Introduktion av ny energiteknik</v>
      </c>
      <c r="D854" s="428">
        <v>48513.606079999998</v>
      </c>
      <c r="E854" s="428">
        <v>23251.704440000001</v>
      </c>
      <c r="F854" s="428">
        <v>25918.534500000002</v>
      </c>
      <c r="G854" s="428">
        <v>56457.288719999997</v>
      </c>
      <c r="H854" s="428">
        <v>54953.617290000002</v>
      </c>
    </row>
    <row r="855" spans="1:12">
      <c r="A855" s="429" t="str">
        <f t="shared" si="24"/>
        <v>21</v>
      </c>
      <c r="B855" s="429" t="str">
        <f>T("213509 2003")</f>
        <v>213509 2003</v>
      </c>
      <c r="C855" s="637" t="str">
        <f>T("Skydd för småskalig elproduktion")</f>
        <v>Skydd för småskalig elproduktion</v>
      </c>
    </row>
    <row r="856" spans="1:12">
      <c r="A856" s="429" t="str">
        <f t="shared" si="24"/>
        <v>21</v>
      </c>
      <c r="B856" s="429" t="str">
        <f>T("21A001 1997")</f>
        <v>21A001 1997</v>
      </c>
      <c r="C856" s="637" t="str">
        <f>T("Vissa åtgärder för effektivare användning av energi")</f>
        <v>Vissa åtgärder för effektivare användning av energi</v>
      </c>
    </row>
    <row r="857" spans="1:12">
      <c r="A857" s="429" t="str">
        <f t="shared" si="24"/>
        <v>21</v>
      </c>
      <c r="B857" s="429" t="str">
        <f>T("21A002 1998")</f>
        <v>21A002 1998</v>
      </c>
      <c r="C857" s="637" t="str">
        <f>T("Kostnader för bildandet av en ny energimyndighet")</f>
        <v>Kostnader för bildandet av en ny energimyndighet</v>
      </c>
    </row>
    <row r="858" spans="1:12">
      <c r="A858" s="429" t="str">
        <f t="shared" si="24"/>
        <v>21</v>
      </c>
      <c r="B858" s="429" t="str">
        <f>T("21B005")</f>
        <v>21B005</v>
      </c>
      <c r="C858" s="637" t="str">
        <f>T("Bidrag till Energiteknikfonden")</f>
        <v>Bidrag till Energiteknikfonden</v>
      </c>
    </row>
    <row r="859" spans="1:12">
      <c r="A859" s="429" t="str">
        <f t="shared" si="24"/>
        <v>21</v>
      </c>
      <c r="B859" s="429" t="str">
        <f>T("21B009 1999")</f>
        <v>21B009 1999</v>
      </c>
      <c r="C859" s="637" t="str">
        <f>T("Åtgärder för el- och värmeförsörjningen i Sydsverige")</f>
        <v>Åtgärder för el- och värmeförsörjningen i Sydsverige</v>
      </c>
    </row>
    <row r="860" spans="1:12">
      <c r="A860" s="429" t="str">
        <f t="shared" si="24"/>
        <v>21</v>
      </c>
      <c r="B860" s="429" t="str">
        <f>T("21C001 1997")</f>
        <v>21C001 1997</v>
      </c>
      <c r="C860" s="637" t="str">
        <f>T("Statens oljelager: Förvaltningskostnader")</f>
        <v>Statens oljelager: Förvaltningskostnader</v>
      </c>
    </row>
    <row r="861" spans="1:12">
      <c r="A861" s="429" t="str">
        <f t="shared" si="24"/>
        <v>21</v>
      </c>
      <c r="B861" s="429" t="str">
        <f>T("21C002 1997")</f>
        <v>21C002 1997</v>
      </c>
      <c r="C861" s="637" t="str">
        <f>T("Statens oljelager: Kapitalkostnader")</f>
        <v>Statens oljelager: Kapitalkostnader</v>
      </c>
    </row>
    <row r="862" spans="1:12">
      <c r="A862" s="430" t="s">
        <v>1655</v>
      </c>
      <c r="B862" s="430"/>
      <c r="C862" s="430" t="str">
        <f>T("Energi")</f>
        <v>Energi</v>
      </c>
      <c r="D862" s="431">
        <v>1603267.4614899999</v>
      </c>
      <c r="E862" s="431">
        <v>2171932.8831799999</v>
      </c>
      <c r="F862" s="431">
        <v>2079273.23643</v>
      </c>
      <c r="G862" s="431">
        <v>3045224.1230899999</v>
      </c>
      <c r="H862" s="431">
        <v>2704457.6889499999</v>
      </c>
      <c r="I862" s="431">
        <v>2917966.5073600002</v>
      </c>
      <c r="J862" s="431">
        <v>2713047.4005900002</v>
      </c>
      <c r="K862" s="431">
        <v>2613352.3786900002</v>
      </c>
      <c r="L862" s="431">
        <v>2858256.2335299999</v>
      </c>
    </row>
    <row r="863" spans="1:12">
      <c r="A863" s="429" t="str">
        <f t="shared" ref="A863:A926" si="25">T("22")</f>
        <v>22</v>
      </c>
      <c r="B863" s="429" t="str">
        <f>T("06A002 9495")</f>
        <v>06A002 9495</v>
      </c>
      <c r="C863" s="637" t="str">
        <f>T("Drift och underhåll av statliga vägar")</f>
        <v>Drift och underhåll av statliga vägar</v>
      </c>
    </row>
    <row r="864" spans="1:12">
      <c r="A864" s="429" t="str">
        <f t="shared" si="25"/>
        <v>22</v>
      </c>
      <c r="B864" s="429" t="str">
        <f>T("06A005 9596")</f>
        <v>06A005 9596</v>
      </c>
      <c r="C864" s="637" t="str">
        <f>T("Bidrag till drift och byggande av enskilda vägar")</f>
        <v>Bidrag till drift och byggande av enskilda vägar</v>
      </c>
    </row>
    <row r="865" spans="1:12">
      <c r="A865" s="429" t="str">
        <f t="shared" si="25"/>
        <v>22</v>
      </c>
      <c r="B865" s="429" t="str">
        <f>T("06A006 9394")</f>
        <v>06A006 9394</v>
      </c>
      <c r="C865" s="637" t="str">
        <f>T("Östersjösamarbete om trafik och miljö")</f>
        <v>Östersjösamarbete om trafik och miljö</v>
      </c>
    </row>
    <row r="866" spans="1:12">
      <c r="A866" s="429" t="str">
        <f t="shared" si="25"/>
        <v>22</v>
      </c>
      <c r="B866" s="429" t="str">
        <f>T("06A015 9495")</f>
        <v>06A015 9495</v>
      </c>
      <c r="C866" s="637" t="str">
        <f>T("Underhållsåtgärder för sysselsättning och tillväxt")</f>
        <v>Underhållsåtgärder för sysselsättning och tillväxt</v>
      </c>
    </row>
    <row r="867" spans="1:12">
      <c r="A867" s="429" t="str">
        <f t="shared" si="25"/>
        <v>22</v>
      </c>
      <c r="B867" s="429" t="str">
        <f>T("06A016 9495")</f>
        <v>06A016 9495</v>
      </c>
      <c r="C867" s="637" t="str">
        <f>T("Sysselsättningsskapande åtgärder inom kommunikationsdepartem")</f>
        <v>Sysselsättningsskapande åtgärder inom kommunikationsdepartem</v>
      </c>
    </row>
    <row r="868" spans="1:12">
      <c r="A868" s="429" t="str">
        <f t="shared" si="25"/>
        <v>22</v>
      </c>
      <c r="B868" s="429" t="str">
        <f>T("06B008 9596")</f>
        <v>06B008 9596</v>
      </c>
      <c r="C868" s="637" t="str">
        <f>T("Utredningsarbete med anledning av M/S Estonias förlisning")</f>
        <v>Utredningsarbete med anledning av M/S Estonias förlisning</v>
      </c>
    </row>
    <row r="869" spans="1:12">
      <c r="A869" s="429" t="str">
        <f t="shared" si="25"/>
        <v>22</v>
      </c>
      <c r="B869" s="429" t="str">
        <f>T("06D002 9596")</f>
        <v>06D002 9596</v>
      </c>
      <c r="C869" s="637" t="str">
        <f>T("Upphandling av särskilda samhällsåtaganden")</f>
        <v>Upphandling av särskilda samhällsåtaganden</v>
      </c>
    </row>
    <row r="870" spans="1:12">
      <c r="A870" s="429" t="str">
        <f t="shared" si="25"/>
        <v>22</v>
      </c>
      <c r="B870" s="429" t="str">
        <f>T("06D004 9596")</f>
        <v>06D004 9596</v>
      </c>
      <c r="C870" s="637" t="str">
        <f>T("Kostnader förenade med statens ägande i SOS Alarmering AB")</f>
        <v>Kostnader förenade med statens ägande i SOS Alarmering AB</v>
      </c>
    </row>
    <row r="871" spans="1:12">
      <c r="A871" s="429" t="str">
        <f t="shared" si="25"/>
        <v>22</v>
      </c>
      <c r="B871" s="429" t="str">
        <f>T("06D005 9596")</f>
        <v>06D005 9596</v>
      </c>
      <c r="C871" s="637" t="str">
        <f>T("Informationsteknik: Telekommunikation m.m")</f>
        <v>Informationsteknik: Telekommunikation m.m</v>
      </c>
    </row>
    <row r="872" spans="1:12">
      <c r="A872" s="429" t="str">
        <f t="shared" si="25"/>
        <v>22</v>
      </c>
      <c r="B872" s="429" t="str">
        <f>T("06E002 9596")</f>
        <v>06E002 9596</v>
      </c>
      <c r="C872" s="637" t="str">
        <f>T("Köp av interregional persontrafik på järnväg m.m")</f>
        <v>Köp av interregional persontrafik på järnväg m.m</v>
      </c>
    </row>
    <row r="873" spans="1:12">
      <c r="A873" s="429" t="str">
        <f t="shared" si="25"/>
        <v>22</v>
      </c>
      <c r="B873" s="429" t="str">
        <f>T("06E003 9596")</f>
        <v>06E003 9596</v>
      </c>
      <c r="C873" s="637" t="str">
        <f>T("Ersättning till trafikhuvudmännen för köp av viss kollektivt")</f>
        <v>Ersättning till trafikhuvudmännen för köp av viss kollektivt</v>
      </c>
    </row>
    <row r="874" spans="1:12">
      <c r="A874" s="429" t="str">
        <f t="shared" si="25"/>
        <v>22</v>
      </c>
      <c r="B874" s="429" t="str">
        <f>T("06F006 9596")</f>
        <v>06F006 9596</v>
      </c>
      <c r="C874" s="637" t="str">
        <f>T("Transportinformatik")</f>
        <v>Transportinformatik</v>
      </c>
    </row>
    <row r="875" spans="1:12">
      <c r="A875" s="429" t="str">
        <f t="shared" si="25"/>
        <v>22</v>
      </c>
      <c r="B875" s="429" t="str">
        <f>T("06G003 9596")</f>
        <v>06G003 9596</v>
      </c>
      <c r="C875" s="637" t="str">
        <f>T("EUMETSAT")</f>
        <v>EUMETSAT</v>
      </c>
    </row>
    <row r="876" spans="1:12">
      <c r="A876" s="429" t="str">
        <f t="shared" si="25"/>
        <v>22</v>
      </c>
      <c r="B876" s="429" t="str">
        <f>T("2201001")</f>
        <v>2201001</v>
      </c>
      <c r="C876" s="637" t="str">
        <f>T("Utveckling av statens transportinfrastruktur")</f>
        <v>Utveckling av statens transportinfrastruktur</v>
      </c>
      <c r="L876" s="428">
        <v>17935387.87847</v>
      </c>
    </row>
    <row r="877" spans="1:12">
      <c r="A877" s="429" t="str">
        <f t="shared" si="25"/>
        <v>22</v>
      </c>
      <c r="B877" s="429" t="str">
        <f>T("2201001 2010")</f>
        <v>2201001 2010</v>
      </c>
      <c r="C877" s="637" t="str">
        <f>T("Vägverket: Administration")</f>
        <v>Vägverket: Administration</v>
      </c>
      <c r="D877" s="428">
        <v>938696.79646999994</v>
      </c>
      <c r="E877" s="428">
        <v>851243.46880999999</v>
      </c>
      <c r="F877" s="428">
        <v>894075.38792000001</v>
      </c>
      <c r="G877" s="428">
        <v>848325.26366000006</v>
      </c>
      <c r="H877" s="428">
        <v>228761.31416000001</v>
      </c>
      <c r="I877" s="428">
        <v>20359.28803</v>
      </c>
    </row>
    <row r="878" spans="1:12">
      <c r="A878" s="429" t="str">
        <f t="shared" si="25"/>
        <v>22</v>
      </c>
      <c r="B878" s="429" t="str">
        <f>T("2201001 2013")</f>
        <v>2201001 2013</v>
      </c>
      <c r="C878" s="637" t="str">
        <f>T("Väghållning")</f>
        <v>Väghållning</v>
      </c>
      <c r="D878" s="428">
        <v>15990802.762080001</v>
      </c>
      <c r="E878" s="428">
        <v>23852109.022670001</v>
      </c>
      <c r="F878" s="428">
        <v>30049456.131299999</v>
      </c>
      <c r="G878" s="428">
        <v>21016821.5524</v>
      </c>
      <c r="H878" s="428">
        <v>20249644.525339998</v>
      </c>
      <c r="I878" s="428">
        <v>19360841.080809999</v>
      </c>
      <c r="J878" s="428">
        <v>22048341.332260001</v>
      </c>
      <c r="K878" s="428">
        <v>22107305.290119998</v>
      </c>
      <c r="L878" s="428">
        <v>1614789.98104</v>
      </c>
    </row>
    <row r="879" spans="1:12">
      <c r="A879" s="429" t="str">
        <f t="shared" si="25"/>
        <v>22</v>
      </c>
      <c r="B879" s="429" t="str">
        <f>T("2201002")</f>
        <v>2201002</v>
      </c>
      <c r="C879" s="637" t="str">
        <f>T("Vidmakthållande av statens transportinfrastruktur")</f>
        <v>Vidmakthållande av statens transportinfrastruktur</v>
      </c>
      <c r="L879" s="428">
        <v>19715800.301259998</v>
      </c>
    </row>
    <row r="880" spans="1:12">
      <c r="A880" s="429" t="str">
        <f t="shared" si="25"/>
        <v>22</v>
      </c>
      <c r="B880" s="429" t="str">
        <f>T("2201002 2013")</f>
        <v>2201002 2013</v>
      </c>
      <c r="C880" s="637" t="str">
        <f>T("Banhållning")</f>
        <v>Banhållning</v>
      </c>
      <c r="D880" s="428">
        <v>11027078.73191</v>
      </c>
      <c r="E880" s="428">
        <v>16019072.02001</v>
      </c>
      <c r="F880" s="428">
        <v>27139369.298870001</v>
      </c>
      <c r="G880" s="428">
        <v>15445730.79858</v>
      </c>
      <c r="H880" s="428">
        <v>15040804.792020001</v>
      </c>
      <c r="I880" s="428">
        <v>13474821.671089999</v>
      </c>
      <c r="J880" s="428">
        <v>15007326.526310001</v>
      </c>
      <c r="K880" s="428">
        <v>14812792.282950001</v>
      </c>
      <c r="L880" s="428">
        <v>-308908.53395999997</v>
      </c>
    </row>
    <row r="881" spans="1:12">
      <c r="A881" s="429" t="str">
        <f t="shared" si="25"/>
        <v>22</v>
      </c>
      <c r="B881" s="429" t="str">
        <f>T("2201003")</f>
        <v>2201003</v>
      </c>
      <c r="C881" s="637" t="str">
        <f>T("Trafikverket")</f>
        <v>Trafikverket</v>
      </c>
      <c r="H881" s="428">
        <v>1123576.2827099999</v>
      </c>
      <c r="I881" s="428">
        <v>1416446.01651</v>
      </c>
      <c r="J881" s="428">
        <v>1333893.3357299999</v>
      </c>
      <c r="K881" s="428">
        <v>1390638.6814900001</v>
      </c>
      <c r="L881" s="428">
        <v>1361314.52727</v>
      </c>
    </row>
    <row r="882" spans="1:12">
      <c r="A882" s="429" t="str">
        <f t="shared" si="25"/>
        <v>22</v>
      </c>
      <c r="B882" s="429" t="str">
        <f>T("2201003 2010")</f>
        <v>2201003 2010</v>
      </c>
      <c r="C882" s="637" t="str">
        <f>T("Banverket: Administration")</f>
        <v>Banverket: Administration</v>
      </c>
      <c r="D882" s="428">
        <v>734707.04254000005</v>
      </c>
      <c r="E882" s="428">
        <v>654877.98684000003</v>
      </c>
      <c r="F882" s="428">
        <v>661605.46339000005</v>
      </c>
      <c r="G882" s="428">
        <v>809949.76503000001</v>
      </c>
      <c r="H882" s="428">
        <v>190143.74880999999</v>
      </c>
      <c r="I882" s="428">
        <v>3972.8373000000001</v>
      </c>
    </row>
    <row r="883" spans="1:12">
      <c r="A883" s="429" t="str">
        <f t="shared" si="25"/>
        <v>22</v>
      </c>
      <c r="B883" s="429" t="str">
        <f>T("2201004")</f>
        <v>2201004</v>
      </c>
      <c r="C883" s="637" t="str">
        <f>T("Ersättning för sjöräddning, fritidsbåtsändamål m.m.")</f>
        <v>Ersättning för sjöräddning, fritidsbåtsändamål m.m.</v>
      </c>
      <c r="D883" s="428">
        <v>70574</v>
      </c>
      <c r="E883" s="428">
        <v>70574</v>
      </c>
      <c r="F883" s="428">
        <v>201224</v>
      </c>
      <c r="G883" s="428">
        <v>143308</v>
      </c>
      <c r="H883" s="428">
        <v>143308</v>
      </c>
      <c r="I883" s="428">
        <v>143308</v>
      </c>
      <c r="J883" s="428">
        <v>143308</v>
      </c>
      <c r="K883" s="428">
        <v>143308</v>
      </c>
      <c r="L883" s="428">
        <v>388308</v>
      </c>
    </row>
    <row r="884" spans="1:12">
      <c r="A884" s="429" t="str">
        <f t="shared" si="25"/>
        <v>22</v>
      </c>
      <c r="B884" s="429" t="str">
        <f>T("2201005")</f>
        <v>2201005</v>
      </c>
      <c r="C884" s="637" t="str">
        <f>T("Ersättning till viss kanaltrafik m.m.")</f>
        <v>Ersättning till viss kanaltrafik m.m.</v>
      </c>
      <c r="D884" s="428">
        <v>62284</v>
      </c>
      <c r="E884" s="428">
        <v>62284</v>
      </c>
      <c r="F884" s="428">
        <v>62284</v>
      </c>
      <c r="G884" s="428">
        <v>62284</v>
      </c>
      <c r="H884" s="428">
        <v>62284</v>
      </c>
      <c r="I884" s="428">
        <v>62284</v>
      </c>
      <c r="J884" s="428">
        <v>62284</v>
      </c>
      <c r="K884" s="428">
        <v>62284</v>
      </c>
      <c r="L884" s="428">
        <v>162284</v>
      </c>
    </row>
    <row r="885" spans="1:12">
      <c r="A885" s="429" t="str">
        <f t="shared" si="25"/>
        <v>22</v>
      </c>
      <c r="B885" s="429" t="str">
        <f>T("2201006")</f>
        <v>2201006</v>
      </c>
      <c r="C885" s="637" t="str">
        <f>T("Driftbidrag till icke statliga flygplatser")</f>
        <v>Driftbidrag till icke statliga flygplatser</v>
      </c>
      <c r="D885" s="428">
        <v>80613</v>
      </c>
      <c r="E885" s="428">
        <v>80463</v>
      </c>
      <c r="F885" s="428">
        <v>80613</v>
      </c>
      <c r="G885" s="428">
        <v>80613</v>
      </c>
      <c r="H885" s="428">
        <v>103013</v>
      </c>
      <c r="I885" s="428">
        <v>102975.97291</v>
      </c>
      <c r="J885" s="428">
        <v>110016.34</v>
      </c>
      <c r="K885" s="428">
        <v>69972.411749999999</v>
      </c>
      <c r="L885" s="428">
        <v>69972.338000000003</v>
      </c>
    </row>
    <row r="886" spans="1:12">
      <c r="A886" s="429" t="str">
        <f t="shared" si="25"/>
        <v>22</v>
      </c>
      <c r="B886" s="429" t="str">
        <f>T("2201007")</f>
        <v>2201007</v>
      </c>
      <c r="C886" s="637" t="str">
        <f>T("Trafikavtal")</f>
        <v>Trafikavtal</v>
      </c>
      <c r="D886" s="428">
        <v>758984.73854000005</v>
      </c>
      <c r="E886" s="428">
        <v>1176135.22413</v>
      </c>
      <c r="F886" s="428">
        <v>1087058.7892499999</v>
      </c>
      <c r="G886" s="428">
        <v>849134.63676000002</v>
      </c>
      <c r="H886" s="428">
        <v>819454.90185999998</v>
      </c>
      <c r="I886" s="428">
        <v>771383.53425999999</v>
      </c>
      <c r="J886" s="428">
        <v>804380.76942000003</v>
      </c>
      <c r="K886" s="428">
        <v>810337.58360999997</v>
      </c>
      <c r="L886" s="428">
        <v>793429.18700999999</v>
      </c>
    </row>
    <row r="887" spans="1:12">
      <c r="A887" s="429" t="str">
        <f t="shared" si="25"/>
        <v>22</v>
      </c>
      <c r="B887" s="429" t="str">
        <f>T("2201008")</f>
        <v>2201008</v>
      </c>
      <c r="C887" s="637" t="str">
        <f>T("Viss internationell verksamhet")</f>
        <v>Viss internationell verksamhet</v>
      </c>
      <c r="D887" s="428">
        <v>4256.2325300000002</v>
      </c>
      <c r="E887" s="428">
        <v>2819.5632099999998</v>
      </c>
      <c r="F887" s="428">
        <v>2632.6603700000001</v>
      </c>
      <c r="G887" s="428">
        <v>2970.4103300000002</v>
      </c>
      <c r="H887" s="428">
        <v>27367.637770000001</v>
      </c>
      <c r="I887" s="428">
        <v>25000</v>
      </c>
      <c r="J887" s="428">
        <v>25085</v>
      </c>
      <c r="K887" s="428">
        <v>25085</v>
      </c>
      <c r="L887" s="428">
        <v>25085</v>
      </c>
    </row>
    <row r="888" spans="1:12">
      <c r="A888" s="429" t="str">
        <f t="shared" si="25"/>
        <v>22</v>
      </c>
      <c r="B888" s="429" t="str">
        <f>T("2201008 2010")</f>
        <v>2201008 2010</v>
      </c>
      <c r="C888" s="637" t="str">
        <f>T("Sjöfartsregistret")</f>
        <v>Sjöfartsregistret</v>
      </c>
      <c r="D888" s="428">
        <v>5194</v>
      </c>
      <c r="E888" s="428">
        <v>6110.4</v>
      </c>
      <c r="F888" s="428">
        <v>5980</v>
      </c>
      <c r="G888" s="428">
        <v>5871.7088000000003</v>
      </c>
      <c r="H888" s="428">
        <v>6294.5752300000004</v>
      </c>
    </row>
    <row r="889" spans="1:12">
      <c r="A889" s="429" t="str">
        <f t="shared" si="25"/>
        <v>22</v>
      </c>
      <c r="B889" s="429" t="str">
        <f>T("2201009")</f>
        <v>2201009</v>
      </c>
      <c r="C889" s="637" t="str">
        <f>T("Statens väg- och transportforskningsinstitut")</f>
        <v>Statens väg- och transportforskningsinstitut</v>
      </c>
      <c r="D889" s="428">
        <v>34725.285000000003</v>
      </c>
      <c r="E889" s="428">
        <v>40745.481</v>
      </c>
      <c r="F889" s="428">
        <v>38366.531999999999</v>
      </c>
      <c r="G889" s="428">
        <v>39100.339999999997</v>
      </c>
      <c r="H889" s="428">
        <v>40387.362000000001</v>
      </c>
      <c r="I889" s="428">
        <v>39013.078000000001</v>
      </c>
      <c r="J889" s="428">
        <v>45626.362289999997</v>
      </c>
      <c r="K889" s="428">
        <v>44370.559710000001</v>
      </c>
      <c r="L889" s="428">
        <v>45437</v>
      </c>
    </row>
    <row r="890" spans="1:12">
      <c r="A890" s="429" t="str">
        <f t="shared" si="25"/>
        <v>22</v>
      </c>
      <c r="B890" s="429" t="str">
        <f>T("2201009 2010")</f>
        <v>2201009 2010</v>
      </c>
      <c r="C890" s="637" t="str">
        <f>T("Rederinämnden: Administration")</f>
        <v>Rederinämnden: Administration</v>
      </c>
      <c r="D890" s="428">
        <v>1209.61931</v>
      </c>
      <c r="E890" s="428">
        <v>1259.44769</v>
      </c>
      <c r="F890" s="428">
        <v>1329.9474499999999</v>
      </c>
      <c r="G890" s="428">
        <v>1230.1266599999999</v>
      </c>
      <c r="H890" s="428">
        <v>2072.8050699999999</v>
      </c>
    </row>
    <row r="891" spans="1:12">
      <c r="A891" s="429" t="str">
        <f t="shared" si="25"/>
        <v>22</v>
      </c>
      <c r="B891" s="429" t="str">
        <f>T("2201010")</f>
        <v>2201010</v>
      </c>
      <c r="C891" s="637" t="str">
        <f>T("Från EU-budgeten finansierade stöd till Transeuropeiska nätverk")</f>
        <v>Från EU-budgeten finansierade stöd till Transeuropeiska nätverk</v>
      </c>
      <c r="D891" s="428">
        <v>193806.68825000001</v>
      </c>
      <c r="E891" s="428">
        <v>187452.00305</v>
      </c>
      <c r="F891" s="428">
        <v>272721.93238999997</v>
      </c>
      <c r="G891" s="428">
        <v>315432.20048</v>
      </c>
      <c r="H891" s="428">
        <v>536487.65550999995</v>
      </c>
      <c r="I891" s="428">
        <v>489718.91566</v>
      </c>
      <c r="J891" s="428">
        <v>211908.67747</v>
      </c>
      <c r="K891" s="428">
        <v>393447.57352999999</v>
      </c>
      <c r="L891" s="428">
        <v>309037.14477999997</v>
      </c>
    </row>
    <row r="892" spans="1:12">
      <c r="A892" s="429" t="str">
        <f t="shared" si="25"/>
        <v>22</v>
      </c>
      <c r="B892" s="429" t="str">
        <f>T("2201011")</f>
        <v>2201011</v>
      </c>
      <c r="C892" s="637" t="str">
        <f>T("Trängselskatt i Stockholm")</f>
        <v>Trängselskatt i Stockholm</v>
      </c>
      <c r="E892" s="428">
        <v>434488.46950000001</v>
      </c>
      <c r="F892" s="428">
        <v>394206.67087999999</v>
      </c>
      <c r="G892" s="428">
        <v>289050.05842000002</v>
      </c>
      <c r="H892" s="428">
        <v>261700.11296999999</v>
      </c>
      <c r="I892" s="428">
        <v>425373.71003000002</v>
      </c>
      <c r="J892" s="428">
        <v>721222.27867000003</v>
      </c>
      <c r="K892" s="428">
        <v>663857.41495999997</v>
      </c>
      <c r="L892" s="428">
        <v>434615.15229</v>
      </c>
    </row>
    <row r="893" spans="1:12">
      <c r="A893" s="429" t="str">
        <f t="shared" si="25"/>
        <v>22</v>
      </c>
      <c r="B893" s="429" t="str">
        <f>T("2201011 2010")</f>
        <v>2201011 2010</v>
      </c>
      <c r="C893" s="637" t="str">
        <f>T("Rikstrafiken: Administration")</f>
        <v>Rikstrafiken: Administration</v>
      </c>
      <c r="D893" s="428">
        <v>19257.856879999999</v>
      </c>
      <c r="E893" s="428">
        <v>25286.18346</v>
      </c>
      <c r="F893" s="428">
        <v>26218.018510000002</v>
      </c>
      <c r="G893" s="428">
        <v>25645.632600000001</v>
      </c>
      <c r="H893" s="428">
        <v>23149.947929999998</v>
      </c>
      <c r="I893" s="428">
        <v>839</v>
      </c>
    </row>
    <row r="894" spans="1:12">
      <c r="A894" s="429" t="str">
        <f t="shared" si="25"/>
        <v>22</v>
      </c>
      <c r="B894" s="429" t="str">
        <f>T("2201012")</f>
        <v>2201012</v>
      </c>
      <c r="C894" s="637" t="str">
        <f>T("Transportstyrelsen")</f>
        <v>Transportstyrelsen</v>
      </c>
      <c r="G894" s="428">
        <v>360393.45902000001</v>
      </c>
      <c r="H894" s="428">
        <v>533294.96995000006</v>
      </c>
      <c r="I894" s="428">
        <v>1889010.81644</v>
      </c>
      <c r="J894" s="428">
        <v>1864746.21004</v>
      </c>
      <c r="K894" s="428">
        <v>1893056.70211</v>
      </c>
      <c r="L894" s="428">
        <v>1991631.0243800001</v>
      </c>
    </row>
    <row r="895" spans="1:12">
      <c r="A895" s="429" t="str">
        <f t="shared" si="25"/>
        <v>22</v>
      </c>
      <c r="B895" s="429" t="str">
        <f>T("2201013")</f>
        <v>2201013</v>
      </c>
      <c r="C895" s="637" t="str">
        <f>T("Trafikanalys")</f>
        <v>Trafikanalys</v>
      </c>
      <c r="H895" s="428">
        <v>35984.34906</v>
      </c>
      <c r="I895" s="428">
        <v>58300.458839999999</v>
      </c>
      <c r="J895" s="428">
        <v>59597.257949999999</v>
      </c>
      <c r="K895" s="428">
        <v>60408.607040000003</v>
      </c>
      <c r="L895" s="428">
        <v>58250.532140000003</v>
      </c>
    </row>
    <row r="896" spans="1:12">
      <c r="A896" s="429" t="str">
        <f t="shared" si="25"/>
        <v>22</v>
      </c>
      <c r="B896" s="429" t="str">
        <f>T("2201014")</f>
        <v>2201014</v>
      </c>
      <c r="C896" s="637" t="str">
        <f>T("Trängselskatt i Göteborg")</f>
        <v>Trängselskatt i Göteborg</v>
      </c>
      <c r="K896" s="428">
        <v>668482.82311</v>
      </c>
      <c r="L896" s="428">
        <v>897096.51743000001</v>
      </c>
    </row>
    <row r="897" spans="1:12">
      <c r="A897" s="429" t="str">
        <f t="shared" si="25"/>
        <v>22</v>
      </c>
      <c r="B897" s="429" t="str">
        <f>T("2201015 2010")</f>
        <v>2201015 2010</v>
      </c>
      <c r="C897" s="637" t="str">
        <f>T("Statens institut för kommunikationsanalys")</f>
        <v>Statens institut för kommunikationsanalys</v>
      </c>
      <c r="D897" s="428">
        <v>54738.80474</v>
      </c>
      <c r="E897" s="428">
        <v>55663.081760000001</v>
      </c>
      <c r="F897" s="428">
        <v>51433.391069999998</v>
      </c>
      <c r="G897" s="428">
        <v>54669.061320000001</v>
      </c>
      <c r="H897" s="428">
        <v>15703.90488</v>
      </c>
    </row>
    <row r="898" spans="1:12">
      <c r="A898" s="429" t="str">
        <f t="shared" si="25"/>
        <v>22</v>
      </c>
      <c r="B898" s="429" t="str">
        <f>T("2201015 2013")</f>
        <v>2201015 2013</v>
      </c>
      <c r="C898" s="637" t="str">
        <f>T("Avveckling av affärsverket Statens Järnvägar")</f>
        <v>Avveckling av affärsverket Statens Järnvägar</v>
      </c>
      <c r="K898" s="428">
        <v>8953.1826299999993</v>
      </c>
    </row>
    <row r="899" spans="1:12">
      <c r="A899" s="429" t="str">
        <f t="shared" si="25"/>
        <v>22</v>
      </c>
      <c r="B899" s="429" t="str">
        <f>T("2202001")</f>
        <v>2202001</v>
      </c>
      <c r="C899" s="637" t="str">
        <f>T("Post- och telestyrelsen: Förvaltningskostnader för vissa myndighetsuppgifter")</f>
        <v>Post- och telestyrelsen: Förvaltningskostnader för vissa myndighetsuppgifter</v>
      </c>
      <c r="D899" s="428">
        <v>16727.366129999999</v>
      </c>
      <c r="E899" s="428">
        <v>30998.180530000001</v>
      </c>
      <c r="F899" s="428">
        <v>36260.829140000002</v>
      </c>
      <c r="G899" s="428">
        <v>37611.254500000003</v>
      </c>
      <c r="H899" s="428">
        <v>37913.296869999998</v>
      </c>
      <c r="I899" s="428">
        <v>25825.798859999999</v>
      </c>
      <c r="J899" s="428">
        <v>21298.405409999999</v>
      </c>
      <c r="K899" s="428">
        <v>20183.381099999999</v>
      </c>
      <c r="L899" s="428">
        <v>27095.904989999999</v>
      </c>
    </row>
    <row r="900" spans="1:12">
      <c r="A900" s="429" t="str">
        <f t="shared" si="25"/>
        <v>22</v>
      </c>
      <c r="B900" s="429" t="str">
        <f>T("2202002")</f>
        <v>2202002</v>
      </c>
      <c r="C900" s="637" t="str">
        <f>T("Ersättning för särskilda tjänster till funktionshindrade")</f>
        <v>Ersättning för särskilda tjänster till funktionshindrade</v>
      </c>
      <c r="D900" s="428">
        <v>117311.66045</v>
      </c>
      <c r="E900" s="428">
        <v>125439.78728</v>
      </c>
      <c r="F900" s="428">
        <v>141169.21978000001</v>
      </c>
      <c r="G900" s="428">
        <v>104389.69338</v>
      </c>
      <c r="H900" s="428">
        <v>130155.66627</v>
      </c>
      <c r="I900" s="428">
        <v>146986.01610000001</v>
      </c>
      <c r="J900" s="428">
        <v>148489.68526</v>
      </c>
      <c r="K900" s="428">
        <v>138983.85318999999</v>
      </c>
      <c r="L900" s="428">
        <v>119614.76349</v>
      </c>
    </row>
    <row r="901" spans="1:12">
      <c r="A901" s="429" t="str">
        <f t="shared" si="25"/>
        <v>22</v>
      </c>
      <c r="B901" s="429" t="str">
        <f>T("2202003")</f>
        <v>2202003</v>
      </c>
      <c r="C901" s="637" t="str">
        <f>T("Grundläggande betaltjänster")</f>
        <v>Grundläggande betaltjänster</v>
      </c>
      <c r="D901" s="428">
        <v>400000</v>
      </c>
      <c r="E901" s="428">
        <v>400000</v>
      </c>
      <c r="F901" s="428">
        <v>111200</v>
      </c>
      <c r="G901" s="428">
        <v>34231.603190000002</v>
      </c>
      <c r="H901" s="428">
        <v>48664.382409999998</v>
      </c>
      <c r="I901" s="428">
        <v>48620.290950000002</v>
      </c>
      <c r="J901" s="428">
        <v>36699.999620000002</v>
      </c>
      <c r="K901" s="428">
        <v>22378.936750000001</v>
      </c>
      <c r="L901" s="428">
        <v>20694.740519999999</v>
      </c>
    </row>
    <row r="902" spans="1:12">
      <c r="A902" s="429" t="str">
        <f t="shared" si="25"/>
        <v>22</v>
      </c>
      <c r="B902" s="429" t="str">
        <f>T("2202004")</f>
        <v>2202004</v>
      </c>
      <c r="C902" s="637" t="str">
        <f>T("Informationsteknik: Telekommunikation m.m.")</f>
        <v>Informationsteknik: Telekommunikation m.m.</v>
      </c>
      <c r="D902" s="428">
        <v>15321.36023</v>
      </c>
      <c r="E902" s="428">
        <v>12849.6939</v>
      </c>
      <c r="F902" s="428">
        <v>15835</v>
      </c>
      <c r="G902" s="428">
        <v>18240.617679999999</v>
      </c>
      <c r="H902" s="428">
        <v>5295.0676299999996</v>
      </c>
      <c r="I902" s="428">
        <v>17443.804260000001</v>
      </c>
      <c r="J902" s="428">
        <v>14900.496590000001</v>
      </c>
      <c r="K902" s="428">
        <v>21636.069650000001</v>
      </c>
      <c r="L902" s="428">
        <v>16999.49914</v>
      </c>
    </row>
    <row r="903" spans="1:12">
      <c r="A903" s="429" t="str">
        <f t="shared" si="25"/>
        <v>22</v>
      </c>
      <c r="B903" s="429" t="str">
        <f>T("2202005")</f>
        <v>2202005</v>
      </c>
      <c r="C903" s="637" t="str">
        <f>T("Driftsäker och tillgänglig elektronisk kommunikation")</f>
        <v>Driftsäker och tillgänglig elektronisk kommunikation</v>
      </c>
      <c r="H903" s="428">
        <v>113289.88946000001</v>
      </c>
      <c r="I903" s="428">
        <v>185000.95848</v>
      </c>
      <c r="J903" s="428">
        <v>174602.27325</v>
      </c>
      <c r="K903" s="428">
        <v>260126.03580000001</v>
      </c>
      <c r="L903" s="428">
        <v>245465.20847000001</v>
      </c>
    </row>
    <row r="904" spans="1:12">
      <c r="A904" s="429" t="str">
        <f t="shared" si="25"/>
        <v>22</v>
      </c>
      <c r="B904" s="429" t="str">
        <f>T("2202005 2009")</f>
        <v>2202005 2009</v>
      </c>
      <c r="C904" s="637" t="str">
        <f>T("Samförläggning och kanalisation m.m.")</f>
        <v>Samförläggning och kanalisation m.m.</v>
      </c>
      <c r="F904" s="428">
        <v>75000</v>
      </c>
      <c r="G904" s="428">
        <v>21000</v>
      </c>
    </row>
    <row r="905" spans="1:12">
      <c r="A905" s="429" t="str">
        <f t="shared" si="25"/>
        <v>22</v>
      </c>
      <c r="B905" s="429" t="str">
        <f>T("2202006")</f>
        <v>2202006</v>
      </c>
      <c r="C905" s="637" t="str">
        <f>T("Gemensamma e-förvaltningsprojekt av strategisk betydelse")</f>
        <v>Gemensamma e-förvaltningsprojekt av strategisk betydelse</v>
      </c>
      <c r="H905" s="428">
        <v>4000</v>
      </c>
      <c r="I905" s="428">
        <v>23689.136200000001</v>
      </c>
      <c r="J905" s="428">
        <v>27326.2991</v>
      </c>
      <c r="K905" s="428">
        <v>37106.740149999998</v>
      </c>
      <c r="L905" s="428">
        <v>38191.366540000003</v>
      </c>
    </row>
    <row r="906" spans="1:12">
      <c r="A906" s="429" t="str">
        <f t="shared" si="25"/>
        <v>22</v>
      </c>
      <c r="B906" s="429" t="str">
        <f>T("223605 2003")</f>
        <v>223605 2003</v>
      </c>
      <c r="C906" s="637" t="str">
        <f>T("Ersättning till Statens järnvägar för kostnader i samband med utdelning från AB Swedcarrier m.m.")</f>
        <v>Ersättning till Statens järnvägar för kostnader i samband med utdelning från AB Swedcarrier m.m.</v>
      </c>
      <c r="H906" s="428">
        <v>5564.51</v>
      </c>
      <c r="I906" s="428">
        <v>2330.42</v>
      </c>
    </row>
    <row r="907" spans="1:12">
      <c r="A907" s="429" t="str">
        <f t="shared" si="25"/>
        <v>22</v>
      </c>
      <c r="B907" s="429" t="str">
        <f>T("223609 2002")</f>
        <v>223609 2002</v>
      </c>
      <c r="C907" s="637" t="str">
        <f>T("Bidrag till sjöfarten")</f>
        <v>Bidrag till sjöfarten</v>
      </c>
    </row>
    <row r="908" spans="1:12">
      <c r="A908" s="429" t="str">
        <f t="shared" si="25"/>
        <v>22</v>
      </c>
      <c r="B908" s="429" t="str">
        <f>T("223616 2008")</f>
        <v>223616 2008</v>
      </c>
      <c r="C908" s="637" t="str">
        <f>T("Järnvägsstyrelsen")</f>
        <v>Järnvägsstyrelsen</v>
      </c>
      <c r="D908" s="428">
        <v>49060.210129999999</v>
      </c>
      <c r="E908" s="428">
        <v>48610.013019999999</v>
      </c>
      <c r="F908" s="428">
        <v>58823.828249999999</v>
      </c>
      <c r="G908" s="428">
        <v>6761.9687299999996</v>
      </c>
    </row>
    <row r="909" spans="1:12">
      <c r="A909" s="429" t="str">
        <f t="shared" si="25"/>
        <v>22</v>
      </c>
      <c r="B909" s="429" t="str">
        <f>T("223706 2004")</f>
        <v>223706 2004</v>
      </c>
      <c r="C909" s="637" t="str">
        <f>T("Gemensam radiokommunikation för skydd och säkerhet")</f>
        <v>Gemensam radiokommunikation för skydd och säkerhet</v>
      </c>
      <c r="D909" s="428">
        <v>134691.42318000001</v>
      </c>
    </row>
    <row r="910" spans="1:12">
      <c r="A910" s="429" t="str">
        <f t="shared" si="25"/>
        <v>22</v>
      </c>
      <c r="B910" s="429" t="str">
        <f>T("223707 2004")</f>
        <v>223707 2004</v>
      </c>
      <c r="C910" s="637" t="str">
        <f>T("IT-infrastruktur: Regionala transportnät m.m.")</f>
        <v>IT-infrastruktur: Regionala transportnät m.m.</v>
      </c>
      <c r="D910" s="428">
        <v>245278.44308</v>
      </c>
      <c r="E910" s="428">
        <v>151364.53</v>
      </c>
      <c r="F910" s="428">
        <v>76682.315319999994</v>
      </c>
    </row>
    <row r="911" spans="1:12">
      <c r="A911" s="429" t="str">
        <f t="shared" si="25"/>
        <v>22</v>
      </c>
      <c r="B911" s="429" t="str">
        <f>T("22A002 1997")</f>
        <v>22A002 1997</v>
      </c>
      <c r="C911" s="637" t="str">
        <f>T("Drift och underhåll av statliga vägar")</f>
        <v>Drift och underhåll av statliga vägar</v>
      </c>
    </row>
    <row r="912" spans="1:12">
      <c r="A912" s="429" t="str">
        <f t="shared" si="25"/>
        <v>22</v>
      </c>
      <c r="B912" s="429" t="str">
        <f>T("22A003 1997")</f>
        <v>22A003 1997</v>
      </c>
      <c r="C912" s="637" t="str">
        <f>T("Byggande av vägar")</f>
        <v>Byggande av vägar</v>
      </c>
    </row>
    <row r="913" spans="1:3" customFormat="1">
      <c r="A913" s="429" t="str">
        <f t="shared" si="25"/>
        <v>22</v>
      </c>
      <c r="B913" s="429" t="str">
        <f>T("22A004 1997")</f>
        <v>22A004 1997</v>
      </c>
      <c r="C913" s="637" t="str">
        <f>T("Byggande av länstrafikanläggningar")</f>
        <v>Byggande av länstrafikanläggningar</v>
      </c>
    </row>
    <row r="914" spans="1:3" customFormat="1">
      <c r="A914" s="429" t="str">
        <f t="shared" si="25"/>
        <v>22</v>
      </c>
      <c r="B914" s="429" t="str">
        <f>T("22A005 1997")</f>
        <v>22A005 1997</v>
      </c>
      <c r="C914" s="637" t="str">
        <f>T("Bidrag till drift och byggande av enskilda vägar")</f>
        <v>Bidrag till drift och byggande av enskilda vägar</v>
      </c>
    </row>
    <row r="915" spans="1:3" customFormat="1">
      <c r="A915" s="429" t="str">
        <f t="shared" si="25"/>
        <v>22</v>
      </c>
      <c r="B915" s="429" t="str">
        <f>T("22A006 1997")</f>
        <v>22A006 1997</v>
      </c>
      <c r="C915" s="637" t="str">
        <f>T("Vägverket: Kostnader för registerverksamhet")</f>
        <v>Vägverket: Kostnader för registerverksamhet</v>
      </c>
    </row>
    <row r="916" spans="1:3" customFormat="1">
      <c r="A916" s="429" t="str">
        <f t="shared" si="25"/>
        <v>22</v>
      </c>
      <c r="B916" s="429" t="str">
        <f>T("22A006 2000")</f>
        <v>22A006 2000</v>
      </c>
      <c r="C916" s="637" t="str">
        <f>T("Nationellt investeringsprogram för infrastrukturutveckling")</f>
        <v>Nationellt investeringsprogram för infrastrukturutveckling</v>
      </c>
    </row>
    <row r="917" spans="1:3" customFormat="1">
      <c r="A917" s="429" t="str">
        <f t="shared" si="25"/>
        <v>22</v>
      </c>
      <c r="B917" s="429" t="str">
        <f>T("22A008 1997")</f>
        <v>22A008 1997</v>
      </c>
      <c r="C917" s="637" t="str">
        <f>T("Drift och vidmakthållande av statliga järnvägar")</f>
        <v>Drift och vidmakthållande av statliga järnvägar</v>
      </c>
    </row>
    <row r="918" spans="1:3" customFormat="1">
      <c r="A918" s="429" t="str">
        <f t="shared" si="25"/>
        <v>22</v>
      </c>
      <c r="B918" s="429" t="str">
        <f>T("22A009 1997")</f>
        <v>22A009 1997</v>
      </c>
      <c r="C918" s="637" t="str">
        <f>T("Nyinvesteringar i stomjärnvägar samt ersättning för vissa kapitalkostnader")</f>
        <v>Nyinvesteringar i stomjärnvägar samt ersättning för vissa kapitalkostnader</v>
      </c>
    </row>
    <row r="919" spans="1:3" customFormat="1">
      <c r="A919" s="429" t="str">
        <f t="shared" si="25"/>
        <v>22</v>
      </c>
      <c r="B919" s="429" t="str">
        <f>T("22B002 1999")</f>
        <v>22B002 1999</v>
      </c>
      <c r="C919" s="637" t="str">
        <f>T("Transportstöd till Gotland")</f>
        <v>Transportstöd till Gotland</v>
      </c>
    </row>
    <row r="920" spans="1:3" customFormat="1">
      <c r="A920" s="429" t="str">
        <f t="shared" si="25"/>
        <v>22</v>
      </c>
      <c r="B920" s="429" t="str">
        <f>T("22B005 1997")</f>
        <v>22B005 1997</v>
      </c>
      <c r="C920" s="637" t="str">
        <f>T("Övervakning av M/S Estonia")</f>
        <v>Övervakning av M/S Estonia</v>
      </c>
    </row>
    <row r="921" spans="1:3" customFormat="1">
      <c r="A921" s="429" t="str">
        <f t="shared" si="25"/>
        <v>22</v>
      </c>
      <c r="B921" s="429" t="str">
        <f>T("22B006 1998")</f>
        <v>22B006 1998</v>
      </c>
      <c r="C921" s="637" t="str">
        <f>T("Utredningsarbete med anledning av M/S Estonias förlisning")</f>
        <v>Utredningsarbete med anledning av M/S Estonias förlisning</v>
      </c>
    </row>
    <row r="922" spans="1:3" customFormat="1">
      <c r="A922" s="429" t="str">
        <f t="shared" si="25"/>
        <v>22</v>
      </c>
      <c r="B922" s="429" t="str">
        <f>T("22B006 1999")</f>
        <v>22B006 1999</v>
      </c>
      <c r="C922" s="637" t="str">
        <f>T("Vissa kostnader med anledning av M/S Estonias förlisning")</f>
        <v>Vissa kostnader med anledning av M/S Estonias förlisning</v>
      </c>
    </row>
    <row r="923" spans="1:3" customFormat="1">
      <c r="A923" s="429" t="str">
        <f t="shared" si="25"/>
        <v>22</v>
      </c>
      <c r="B923" s="429" t="str">
        <f>T("22B007 1997")</f>
        <v>22B007 1997</v>
      </c>
      <c r="C923" s="637" t="str">
        <f>T("Utredningsarbete, m m med anledning av M/S Estonias förlisning")</f>
        <v>Utredningsarbete, m m med anledning av M/S Estonias förlisning</v>
      </c>
    </row>
    <row r="924" spans="1:3" customFormat="1">
      <c r="A924" s="429" t="str">
        <f t="shared" si="25"/>
        <v>22</v>
      </c>
      <c r="B924" s="429" t="str">
        <f>T("22B008 1997")</f>
        <v>22B008 1997</v>
      </c>
      <c r="C924" s="637" t="str">
        <f>T("Vissa kostnader för övertäckning av M/S Estonia")</f>
        <v>Vissa kostnader för övertäckning av M/S Estonia</v>
      </c>
    </row>
    <row r="925" spans="1:3" customFormat="1">
      <c r="A925" s="429" t="str">
        <f t="shared" si="25"/>
        <v>22</v>
      </c>
      <c r="B925" s="429" t="str">
        <f>T("22D002 1999")</f>
        <v>22D002 1999</v>
      </c>
      <c r="C925" s="637" t="str">
        <f>T("Köp av interregionalpersontrafik")</f>
        <v>Köp av interregionalpersontrafik</v>
      </c>
    </row>
    <row r="926" spans="1:3" customFormat="1">
      <c r="A926" s="429" t="str">
        <f t="shared" si="25"/>
        <v>22</v>
      </c>
      <c r="B926" s="429" t="str">
        <f>T("22D003 1999")</f>
        <v>22D003 1999</v>
      </c>
      <c r="C926" s="637" t="str">
        <f>T("Ersättning till trafikhuvudmännen för köp av viss kollektivtrafik")</f>
        <v>Ersättning till trafikhuvudmännen för köp av viss kollektivtrafik</v>
      </c>
    </row>
    <row r="927" spans="1:3" customFormat="1">
      <c r="A927" s="429" t="str">
        <f t="shared" ref="A927:A928" si="26">T("22")</f>
        <v>22</v>
      </c>
      <c r="B927" s="429" t="str">
        <f>T("22E003 1997")</f>
        <v>22E003 1997</v>
      </c>
      <c r="C927" s="637" t="str">
        <f>T("Bidrag till forskning om el- och hybridfordon")</f>
        <v>Bidrag till forskning om el- och hybridfordon</v>
      </c>
    </row>
    <row r="928" spans="1:3" customFormat="1">
      <c r="A928" s="429" t="str">
        <f t="shared" si="26"/>
        <v>22</v>
      </c>
      <c r="B928" s="429" t="str">
        <f>T("22E006 1997")</f>
        <v>22E006 1997</v>
      </c>
      <c r="C928" s="637" t="str">
        <f>T("EUMETSAT, WMO och ECMWF")</f>
        <v>EUMETSAT, WMO och ECMWF</v>
      </c>
    </row>
    <row r="929" spans="1:12">
      <c r="A929" s="430" t="s">
        <v>1656</v>
      </c>
      <c r="B929" s="430"/>
      <c r="C929" s="430" t="str">
        <f>T("Kommunikationer")</f>
        <v>Kommunikationer</v>
      </c>
      <c r="D929" s="431">
        <v>30955320.021450002</v>
      </c>
      <c r="E929" s="431">
        <v>44289845.55686</v>
      </c>
      <c r="F929" s="431">
        <v>61483546.415890001</v>
      </c>
      <c r="G929" s="431">
        <v>40572765.151540004</v>
      </c>
      <c r="H929" s="431">
        <v>39788316.697910003</v>
      </c>
      <c r="I929" s="431">
        <v>38733544.804729998</v>
      </c>
      <c r="J929" s="431">
        <v>42861053.249370001</v>
      </c>
      <c r="K929" s="431">
        <v>43654715.129649997</v>
      </c>
      <c r="L929" s="431">
        <v>45961591.533260003</v>
      </c>
    </row>
    <row r="930" spans="1:12">
      <c r="A930" s="429" t="str">
        <f t="shared" ref="A930:A993" si="27">T("23")</f>
        <v>23</v>
      </c>
      <c r="B930" s="429" t="str">
        <f>T("09B004 9596")</f>
        <v>09B004 9596</v>
      </c>
      <c r="C930" s="637" t="str">
        <f>T("Rådgivning och utbildning")</f>
        <v>Rådgivning och utbildning</v>
      </c>
    </row>
    <row r="931" spans="1:12">
      <c r="A931" s="429" t="str">
        <f t="shared" si="27"/>
        <v>23</v>
      </c>
      <c r="B931" s="429" t="str">
        <f>T("09B017 9596")</f>
        <v>09B017 9596</v>
      </c>
      <c r="C931" s="637" t="str">
        <f>T("Från EG-budg finansierad komp för revalvering av jordbruksomräkningskursen")</f>
        <v>Från EG-budg finansierad komp för revalvering av jordbruksomräkningskursen</v>
      </c>
    </row>
    <row r="932" spans="1:12">
      <c r="A932" s="429" t="str">
        <f t="shared" si="27"/>
        <v>23</v>
      </c>
      <c r="B932" s="429" t="str">
        <f>T("09C002 9596")</f>
        <v>09C002 9596</v>
      </c>
      <c r="C932" s="637" t="str">
        <f>T("Främjande av fiskerinäringen")</f>
        <v>Främjande av fiskerinäringen</v>
      </c>
    </row>
    <row r="933" spans="1:12">
      <c r="A933" s="429" t="str">
        <f t="shared" si="27"/>
        <v>23</v>
      </c>
      <c r="B933" s="429" t="str">
        <f>T("09D002 9596")</f>
        <v>09D002 9596</v>
      </c>
      <c r="C933" s="637" t="str">
        <f>T("Främjande av rennäringen")</f>
        <v>Främjande av rennäringen</v>
      </c>
    </row>
    <row r="934" spans="1:12">
      <c r="A934" s="429" t="str">
        <f t="shared" si="27"/>
        <v>23</v>
      </c>
      <c r="B934" s="429" t="str">
        <f>T("09D006 9596")</f>
        <v>09D006 9596</v>
      </c>
      <c r="C934" s="637" t="str">
        <f>T("Stöd till innehavare av fjällägenheter m.m")</f>
        <v>Stöd till innehavare av fjällägenheter m.m</v>
      </c>
    </row>
    <row r="935" spans="1:12">
      <c r="A935" s="429" t="str">
        <f t="shared" si="27"/>
        <v>23</v>
      </c>
      <c r="B935" s="429" t="str">
        <f>T("09E005 9596")</f>
        <v>09E005 9596</v>
      </c>
      <c r="C935" s="637" t="str">
        <f>T("Djurhälsovård och djurskyddsfrämjande åtgärder")</f>
        <v>Djurhälsovård och djurskyddsfrämjande åtgärder</v>
      </c>
    </row>
    <row r="936" spans="1:12">
      <c r="A936" s="429" t="str">
        <f t="shared" si="27"/>
        <v>23</v>
      </c>
      <c r="B936" s="429" t="str">
        <f>T("09G008 9596")</f>
        <v>09G008 9596</v>
      </c>
      <c r="C936" s="637" t="str">
        <f>T("Konsument- och marknadsföringsåtgärder inom livsmedelsområdet")</f>
        <v>Konsument- och marknadsföringsåtgärder inom livsmedelsområdet</v>
      </c>
    </row>
    <row r="937" spans="1:12">
      <c r="A937" s="429" t="str">
        <f t="shared" si="27"/>
        <v>23</v>
      </c>
      <c r="B937" s="429" t="str">
        <f>T("09H002 9596")</f>
        <v>09H002 9596</v>
      </c>
      <c r="C937" s="637" t="str">
        <f>T("Skogs- och jordbrukets forskningsråd: Forskning")</f>
        <v>Skogs- och jordbrukets forskningsråd: Forskning</v>
      </c>
    </row>
    <row r="938" spans="1:12">
      <c r="A938" s="429" t="str">
        <f t="shared" si="27"/>
        <v>23</v>
      </c>
      <c r="B938" s="429" t="str">
        <f>T("09H004 9596")</f>
        <v>09H004 9596</v>
      </c>
      <c r="C938" s="637" t="str">
        <f>T("Stöd till kollektiv forskning")</f>
        <v>Stöd till kollektiv forskning</v>
      </c>
    </row>
    <row r="939" spans="1:12">
      <c r="A939" s="429" t="str">
        <f t="shared" si="27"/>
        <v>23</v>
      </c>
      <c r="B939" s="429" t="str">
        <f>T("12B005 9596")</f>
        <v>12B005 9596</v>
      </c>
      <c r="C939" s="637" t="str">
        <f>T("Insatser för skogsbruket")</f>
        <v>Insatser för skogsbruket</v>
      </c>
    </row>
    <row r="940" spans="1:12">
      <c r="A940" s="429" t="str">
        <f t="shared" si="27"/>
        <v>23</v>
      </c>
      <c r="B940" s="429" t="str">
        <f>T("12B006 9596")</f>
        <v>12B006 9596</v>
      </c>
      <c r="C940" s="637" t="str">
        <f>T("Bidrag till skogsfröplantager")</f>
        <v>Bidrag till skogsfröplantager</v>
      </c>
    </row>
    <row r="941" spans="1:12">
      <c r="A941" s="429" t="str">
        <f t="shared" si="27"/>
        <v>23</v>
      </c>
      <c r="B941" s="429" t="str">
        <f>T("2301001")</f>
        <v>2301001</v>
      </c>
      <c r="C941" s="637" t="str">
        <f>T("Skogsstyrelsen")</f>
        <v>Skogsstyrelsen</v>
      </c>
      <c r="D941" s="428">
        <v>324409.04861</v>
      </c>
      <c r="E941" s="428">
        <v>341472.12605000002</v>
      </c>
      <c r="F941" s="428">
        <v>332008.93667000002</v>
      </c>
      <c r="G941" s="428">
        <v>315948.93492999999</v>
      </c>
      <c r="H941" s="428">
        <v>346129.58334999997</v>
      </c>
      <c r="I941" s="428">
        <v>372244.21149999998</v>
      </c>
      <c r="J941" s="428">
        <v>376013.04830999998</v>
      </c>
      <c r="K941" s="428">
        <v>388942.54720999999</v>
      </c>
      <c r="L941" s="428">
        <v>410765.07695000002</v>
      </c>
    </row>
    <row r="942" spans="1:12">
      <c r="A942" s="429" t="str">
        <f t="shared" si="27"/>
        <v>23</v>
      </c>
      <c r="B942" s="429" t="str">
        <f>T("2301002")</f>
        <v>2301002</v>
      </c>
      <c r="C942" s="637" t="str">
        <f>T("Insatser för skogsbruket")</f>
        <v>Insatser för skogsbruket</v>
      </c>
      <c r="D942" s="428">
        <v>364251.50137999997</v>
      </c>
      <c r="E942" s="428">
        <v>380299.92171999998</v>
      </c>
      <c r="F942" s="428">
        <v>615866.60710000002</v>
      </c>
      <c r="G942" s="428">
        <v>321522.21418000001</v>
      </c>
      <c r="H942" s="428">
        <v>371868.00663000002</v>
      </c>
      <c r="I942" s="428">
        <v>261382.02802</v>
      </c>
      <c r="J942" s="428">
        <v>232584.33794999999</v>
      </c>
      <c r="K942" s="428">
        <v>251561.08011000001</v>
      </c>
      <c r="L942" s="428">
        <v>277662.24212000001</v>
      </c>
    </row>
    <row r="943" spans="1:12">
      <c r="A943" s="429" t="str">
        <f t="shared" si="27"/>
        <v>23</v>
      </c>
      <c r="B943" s="429" t="str">
        <f>T("2301003")</f>
        <v>2301003</v>
      </c>
      <c r="C943" s="637" t="str">
        <f>T("Statens veterinärmedicinska anstalt")</f>
        <v>Statens veterinärmedicinska anstalt</v>
      </c>
      <c r="D943" s="428">
        <v>102914.65691000001</v>
      </c>
      <c r="E943" s="428">
        <v>105752.69884</v>
      </c>
      <c r="F943" s="428">
        <v>104575.3858</v>
      </c>
      <c r="G943" s="428">
        <v>112467.33248</v>
      </c>
      <c r="H943" s="428">
        <v>117342.15807999999</v>
      </c>
      <c r="I943" s="428">
        <v>117275.67178999999</v>
      </c>
      <c r="J943" s="428">
        <v>113854.10322</v>
      </c>
      <c r="K943" s="428">
        <v>114550.40072999999</v>
      </c>
      <c r="L943" s="428">
        <v>115274.83147</v>
      </c>
    </row>
    <row r="944" spans="1:12">
      <c r="A944" s="429" t="str">
        <f t="shared" si="27"/>
        <v>23</v>
      </c>
      <c r="B944" s="429" t="str">
        <f>T("2301003 2012")</f>
        <v>2301003 2012</v>
      </c>
      <c r="C944" s="637" t="str">
        <f>T("Internationellt skogssamarbete")</f>
        <v>Internationellt skogssamarbete</v>
      </c>
      <c r="D944" s="428">
        <v>779.24351000000001</v>
      </c>
      <c r="E944" s="428">
        <v>490.70204999999999</v>
      </c>
      <c r="F944" s="428">
        <v>1185.3899699999999</v>
      </c>
      <c r="G944" s="428">
        <v>1438.91</v>
      </c>
      <c r="H944" s="428">
        <v>1246.86249</v>
      </c>
      <c r="I944" s="428">
        <v>1207.54811</v>
      </c>
      <c r="J944" s="428">
        <v>1394.58329</v>
      </c>
    </row>
    <row r="945" spans="1:12">
      <c r="A945" s="429" t="str">
        <f t="shared" si="27"/>
        <v>23</v>
      </c>
      <c r="B945" s="429" t="str">
        <f>T("2301004")</f>
        <v>2301004</v>
      </c>
      <c r="C945" s="637" t="str">
        <f>T("Bidrag till veterinär fältverksamhet")</f>
        <v>Bidrag till veterinär fältverksamhet</v>
      </c>
      <c r="D945" s="428">
        <v>96810</v>
      </c>
      <c r="E945" s="428">
        <v>97784</v>
      </c>
      <c r="F945" s="428">
        <v>98544</v>
      </c>
      <c r="G945" s="428">
        <v>99694</v>
      </c>
      <c r="H945" s="428">
        <v>104102</v>
      </c>
      <c r="I945" s="428">
        <v>99617</v>
      </c>
      <c r="J945" s="428">
        <v>105966</v>
      </c>
      <c r="K945" s="428">
        <v>107301</v>
      </c>
      <c r="L945" s="428">
        <v>107298</v>
      </c>
    </row>
    <row r="946" spans="1:12">
      <c r="A946" s="429" t="str">
        <f t="shared" si="27"/>
        <v>23</v>
      </c>
      <c r="B946" s="429" t="str">
        <f>T("2301005")</f>
        <v>2301005</v>
      </c>
      <c r="C946" s="637" t="str">
        <f>T("Djurhälsovård och djurskyddsfrämjande åtgärder")</f>
        <v>Djurhälsovård och djurskyddsfrämjande åtgärder</v>
      </c>
      <c r="D946" s="428">
        <v>14025.341399999999</v>
      </c>
      <c r="E946" s="428">
        <v>13846.715459999999</v>
      </c>
      <c r="F946" s="428">
        <v>19901.02706</v>
      </c>
      <c r="G946" s="428">
        <v>14483.90459</v>
      </c>
      <c r="H946" s="428">
        <v>14713.761839999999</v>
      </c>
      <c r="I946" s="428">
        <v>12465.56393</v>
      </c>
      <c r="J946" s="428">
        <v>12653.777179999999</v>
      </c>
      <c r="K946" s="428">
        <v>10115.923769999999</v>
      </c>
      <c r="L946" s="428">
        <v>10909.94751</v>
      </c>
    </row>
    <row r="947" spans="1:12">
      <c r="A947" s="429" t="str">
        <f t="shared" si="27"/>
        <v>23</v>
      </c>
      <c r="B947" s="429" t="str">
        <f>T("2301006")</f>
        <v>2301006</v>
      </c>
      <c r="C947" s="637" t="str">
        <f>T("Bekämpande av smittsamma husdjurssjukdomar")</f>
        <v>Bekämpande av smittsamma husdjurssjukdomar</v>
      </c>
      <c r="D947" s="428">
        <v>189241.82663</v>
      </c>
      <c r="E947" s="428">
        <v>244391.34882000001</v>
      </c>
      <c r="F947" s="428">
        <v>237691.58997</v>
      </c>
      <c r="G947" s="428">
        <v>288611.27059999999</v>
      </c>
      <c r="H947" s="428">
        <v>217209.30192999999</v>
      </c>
      <c r="I947" s="428">
        <v>161955.03029</v>
      </c>
      <c r="J947" s="428">
        <v>129095.77086999999</v>
      </c>
      <c r="K947" s="428">
        <v>117797.98667</v>
      </c>
      <c r="L947" s="428">
        <v>132082.60845999999</v>
      </c>
    </row>
    <row r="948" spans="1:12">
      <c r="A948" s="429" t="str">
        <f t="shared" si="27"/>
        <v>23</v>
      </c>
      <c r="B948" s="429" t="str">
        <f>T("2301007")</f>
        <v>2301007</v>
      </c>
      <c r="C948" s="637" t="str">
        <f>T("Ersättningar för viltskador m.m.")</f>
        <v>Ersättningar för viltskador m.m.</v>
      </c>
      <c r="D948" s="428">
        <v>85854.028999999995</v>
      </c>
      <c r="E948" s="428">
        <v>89864.979980000004</v>
      </c>
      <c r="F948" s="428">
        <v>107803.4555</v>
      </c>
      <c r="G948" s="428">
        <v>112233.2798</v>
      </c>
      <c r="H948" s="428">
        <v>41845.413</v>
      </c>
      <c r="I948" s="428">
        <v>44705.332000000002</v>
      </c>
      <c r="J948" s="428">
        <v>42001.175000000003</v>
      </c>
      <c r="K948" s="428">
        <v>35750.351000000002</v>
      </c>
      <c r="L948" s="428">
        <v>35434.072039999999</v>
      </c>
    </row>
    <row r="949" spans="1:12">
      <c r="A949" s="429" t="str">
        <f t="shared" si="27"/>
        <v>23</v>
      </c>
      <c r="B949" s="429" t="str">
        <f>T("2301008")</f>
        <v>2301008</v>
      </c>
      <c r="C949" s="637" t="str">
        <f>T("Statens jordbruksverk")</f>
        <v>Statens jordbruksverk</v>
      </c>
      <c r="D949" s="428">
        <v>328586.11134</v>
      </c>
      <c r="E949" s="428">
        <v>315637.90931999998</v>
      </c>
      <c r="F949" s="428">
        <v>505037.67810000002</v>
      </c>
      <c r="G949" s="428">
        <v>543152.82169000001</v>
      </c>
      <c r="H949" s="428">
        <v>392927.08909999998</v>
      </c>
      <c r="I949" s="428">
        <v>446125.26876000001</v>
      </c>
      <c r="J949" s="428">
        <v>492300.75218000001</v>
      </c>
      <c r="K949" s="428">
        <v>513184.46361999999</v>
      </c>
      <c r="L949" s="428">
        <v>534829.76251000003</v>
      </c>
    </row>
    <row r="950" spans="1:12">
      <c r="A950" s="429" t="str">
        <f t="shared" si="27"/>
        <v>23</v>
      </c>
      <c r="B950" s="429" t="str">
        <f>T("2301009")</f>
        <v>2301009</v>
      </c>
      <c r="C950" s="637" t="str">
        <f>T("Bekämpande av växtskadegörare")</f>
        <v>Bekämpande av växtskadegörare</v>
      </c>
      <c r="D950" s="428">
        <v>2596</v>
      </c>
      <c r="E950" s="428">
        <v>2962.8670000000002</v>
      </c>
      <c r="F950" s="428">
        <v>3037.616</v>
      </c>
      <c r="G950" s="428">
        <v>5000.0006100000001</v>
      </c>
      <c r="H950" s="428">
        <v>7977.7391299999999</v>
      </c>
      <c r="I950" s="428">
        <v>7991.9803899999997</v>
      </c>
      <c r="J950" s="428">
        <v>5000</v>
      </c>
      <c r="K950" s="428">
        <v>6622.2439999999997</v>
      </c>
      <c r="L950" s="428">
        <v>4985.21</v>
      </c>
    </row>
    <row r="951" spans="1:12">
      <c r="A951" s="429" t="str">
        <f t="shared" si="27"/>
        <v>23</v>
      </c>
      <c r="B951" s="429" t="str">
        <f>T("2301010")</f>
        <v>2301010</v>
      </c>
      <c r="C951" s="637" t="str">
        <f>T("Gårdsstöd m.m.")</f>
        <v>Gårdsstöd m.m.</v>
      </c>
      <c r="D951" s="428">
        <v>11665337.81473</v>
      </c>
      <c r="E951" s="428">
        <v>7193797.5591200003</v>
      </c>
      <c r="F951" s="428">
        <v>6987279.4837800004</v>
      </c>
      <c r="G951" s="428">
        <v>6970453.1124400003</v>
      </c>
      <c r="H951" s="428">
        <v>7119407.8467499996</v>
      </c>
      <c r="I951" s="428">
        <v>6347511.9020199999</v>
      </c>
      <c r="J951" s="428">
        <v>5922181.1289799996</v>
      </c>
      <c r="K951" s="428">
        <v>5917560.2490800004</v>
      </c>
      <c r="L951" s="428">
        <v>6149384.3750200002</v>
      </c>
    </row>
    <row r="952" spans="1:12">
      <c r="A952" s="429" t="str">
        <f t="shared" si="27"/>
        <v>23</v>
      </c>
      <c r="B952" s="429" t="str">
        <f>T("2301011")</f>
        <v>2301011</v>
      </c>
      <c r="C952" s="637" t="str">
        <f>T("Intervention för jordbruksprodukter m.m.")</f>
        <v>Intervention för jordbruksprodukter m.m.</v>
      </c>
      <c r="D952" s="428">
        <v>829300.93368000002</v>
      </c>
      <c r="E952" s="428">
        <v>476489.43173000001</v>
      </c>
      <c r="F952" s="428">
        <v>536779.74127</v>
      </c>
      <c r="G952" s="428">
        <v>759781.01870999997</v>
      </c>
      <c r="H952" s="428">
        <v>471164.60963000002</v>
      </c>
      <c r="I952" s="428">
        <v>195226.95842000001</v>
      </c>
      <c r="J952" s="428">
        <v>175477.73483999999</v>
      </c>
      <c r="K952" s="428">
        <v>88077.974279999995</v>
      </c>
      <c r="L952" s="428">
        <v>131036.71605</v>
      </c>
    </row>
    <row r="953" spans="1:12">
      <c r="A953" s="429" t="str">
        <f t="shared" si="27"/>
        <v>23</v>
      </c>
      <c r="B953" s="429" t="str">
        <f>T("2301012")</f>
        <v>2301012</v>
      </c>
      <c r="C953" s="637" t="str">
        <f>T("Finansiella korrigeringar m.m.")</f>
        <v>Finansiella korrigeringar m.m.</v>
      </c>
      <c r="D953" s="428">
        <v>25225.635190000001</v>
      </c>
      <c r="E953" s="428">
        <v>40478.551489999998</v>
      </c>
      <c r="F953" s="428">
        <v>53628.620389999996</v>
      </c>
      <c r="G953" s="428">
        <v>134178.50834999999</v>
      </c>
      <c r="H953" s="428">
        <v>40288.627829999998</v>
      </c>
      <c r="I953" s="428">
        <v>48373.465649999998</v>
      </c>
      <c r="J953" s="428">
        <v>428649.89493000001</v>
      </c>
      <c r="K953" s="428">
        <v>173232.01050999999</v>
      </c>
      <c r="L953" s="428">
        <v>26602.019329999999</v>
      </c>
    </row>
    <row r="954" spans="1:12">
      <c r="A954" s="429" t="str">
        <f t="shared" si="27"/>
        <v>23</v>
      </c>
      <c r="B954" s="429" t="str">
        <f>T("2301013")</f>
        <v>2301013</v>
      </c>
      <c r="C954" s="637" t="str">
        <f>T("Strukturstöd till fisket m.m.")</f>
        <v>Strukturstöd till fisket m.m.</v>
      </c>
      <c r="D954" s="428">
        <v>29162.89975</v>
      </c>
      <c r="E954" s="428">
        <v>31780.779450000002</v>
      </c>
      <c r="F954" s="428">
        <v>26384.34777</v>
      </c>
      <c r="G954" s="428">
        <v>14939.25338</v>
      </c>
      <c r="H954" s="428">
        <v>42577.165439999997</v>
      </c>
      <c r="I954" s="428">
        <v>22425.178500000002</v>
      </c>
      <c r="J954" s="428">
        <v>19062.57991</v>
      </c>
      <c r="K954" s="428">
        <v>21137.564139999999</v>
      </c>
      <c r="L954" s="428">
        <v>21746.249919999998</v>
      </c>
    </row>
    <row r="955" spans="1:12">
      <c r="A955" s="429" t="str">
        <f t="shared" si="27"/>
        <v>23</v>
      </c>
      <c r="B955" s="429" t="str">
        <f>T("2301014")</f>
        <v>2301014</v>
      </c>
      <c r="C955" s="637" t="str">
        <f>T("Från EU-budgeten finansierade strukturstöd till fisket m.m.")</f>
        <v>Från EU-budgeten finansierade strukturstöd till fisket m.m.</v>
      </c>
      <c r="D955" s="428">
        <v>64662.523000000001</v>
      </c>
      <c r="E955" s="428">
        <v>95678.948499999999</v>
      </c>
      <c r="F955" s="428">
        <v>68797.167300000001</v>
      </c>
      <c r="G955" s="428">
        <v>68157.865000000005</v>
      </c>
      <c r="H955" s="428">
        <v>101570.94</v>
      </c>
      <c r="I955" s="428">
        <v>47861.374029999999</v>
      </c>
      <c r="J955" s="428">
        <v>37332.784</v>
      </c>
      <c r="K955" s="428">
        <v>70624.062940000003</v>
      </c>
      <c r="L955" s="428">
        <v>65724.108089999994</v>
      </c>
    </row>
    <row r="956" spans="1:12">
      <c r="A956" s="429" t="str">
        <f t="shared" si="27"/>
        <v>23</v>
      </c>
      <c r="B956" s="429" t="str">
        <f>T("2301014 2011")</f>
        <v>2301014 2011</v>
      </c>
      <c r="C956" s="637" t="str">
        <f>T("Fiskeriverket")</f>
        <v>Fiskeriverket</v>
      </c>
      <c r="D956" s="428">
        <v>111570.21401</v>
      </c>
      <c r="E956" s="428">
        <v>127103.72551</v>
      </c>
      <c r="F956" s="428">
        <v>140210.91784000001</v>
      </c>
      <c r="G956" s="428">
        <v>155666.27294</v>
      </c>
      <c r="H956" s="428">
        <v>163574.11369999999</v>
      </c>
      <c r="I956" s="428">
        <v>93871.459749999995</v>
      </c>
      <c r="J956" s="428">
        <v>-5327.6442299999999</v>
      </c>
    </row>
    <row r="957" spans="1:12">
      <c r="A957" s="429" t="str">
        <f t="shared" si="27"/>
        <v>23</v>
      </c>
      <c r="B957" s="429" t="str">
        <f>T("2301015")</f>
        <v>2301015</v>
      </c>
      <c r="C957" s="637" t="str">
        <f>T("Livsmedelsverket")</f>
        <v>Livsmedelsverket</v>
      </c>
      <c r="D957" s="428">
        <v>159446.25086</v>
      </c>
      <c r="E957" s="428">
        <v>173514.70994</v>
      </c>
      <c r="F957" s="428">
        <v>180327.53432000001</v>
      </c>
      <c r="G957" s="428">
        <v>190436.83306999999</v>
      </c>
      <c r="H957" s="428">
        <v>191005.46346</v>
      </c>
      <c r="I957" s="428">
        <v>207460.08449000001</v>
      </c>
      <c r="J957" s="428">
        <v>289256.51523999998</v>
      </c>
      <c r="K957" s="428">
        <v>289069.75808</v>
      </c>
      <c r="L957" s="428">
        <v>304207.17874</v>
      </c>
    </row>
    <row r="958" spans="1:12">
      <c r="A958" s="429" t="str">
        <f t="shared" si="27"/>
        <v>23</v>
      </c>
      <c r="B958" s="429" t="str">
        <f>T("2301016")</f>
        <v>2301016</v>
      </c>
      <c r="C958" s="637" t="str">
        <f>T("Konkurrenskraftig livsmedelssektor")</f>
        <v>Konkurrenskraftig livsmedelssektor</v>
      </c>
      <c r="D958" s="428">
        <v>13591.251920000001</v>
      </c>
      <c r="E958" s="428">
        <v>13922</v>
      </c>
      <c r="F958" s="428">
        <v>20320.840830000001</v>
      </c>
      <c r="G958" s="428">
        <v>39568.782379999997</v>
      </c>
      <c r="H958" s="428">
        <v>51690.152979999999</v>
      </c>
      <c r="I958" s="428">
        <v>86596.258230000007</v>
      </c>
      <c r="J958" s="428">
        <v>78686.81551</v>
      </c>
      <c r="K958" s="428">
        <v>79555.604680000004</v>
      </c>
      <c r="L958" s="428">
        <v>84610.062820000006</v>
      </c>
    </row>
    <row r="959" spans="1:12">
      <c r="A959" s="429" t="str">
        <f t="shared" si="27"/>
        <v>23</v>
      </c>
      <c r="B959" s="429" t="str">
        <f>T("2301017")</f>
        <v>2301017</v>
      </c>
      <c r="C959" s="637" t="str">
        <f>T("Bidrag till vissa internationella organisationer m.m.")</f>
        <v>Bidrag till vissa internationella organisationer m.m.</v>
      </c>
      <c r="D959" s="428">
        <v>37764.144359999998</v>
      </c>
      <c r="E959" s="428">
        <v>36097.686809999999</v>
      </c>
      <c r="F959" s="428">
        <v>39728.383170000001</v>
      </c>
      <c r="G959" s="428">
        <v>47528.036240000001</v>
      </c>
      <c r="H959" s="428">
        <v>43658.472130000002</v>
      </c>
      <c r="I959" s="428">
        <v>39438.714540000001</v>
      </c>
      <c r="J959" s="428">
        <v>41829.33496</v>
      </c>
      <c r="K959" s="428">
        <v>42804.865839999999</v>
      </c>
      <c r="L959" s="428">
        <v>41563.596449999997</v>
      </c>
    </row>
    <row r="960" spans="1:12">
      <c r="A960" s="429" t="str">
        <f t="shared" si="27"/>
        <v>23</v>
      </c>
      <c r="B960" s="429" t="str">
        <f>T("2301017 2011")</f>
        <v>2301017 2011</v>
      </c>
      <c r="C960" s="637" t="str">
        <f>T("Fiskevård")</f>
        <v>Fiskevård</v>
      </c>
      <c r="D960" s="428">
        <v>25335.855530000001</v>
      </c>
      <c r="E960" s="428">
        <v>26226.392879999999</v>
      </c>
      <c r="F960" s="428">
        <v>25749.37672</v>
      </c>
      <c r="G960" s="428">
        <v>27838</v>
      </c>
      <c r="H960" s="428">
        <v>24532</v>
      </c>
      <c r="I960" s="428">
        <v>12412.8729</v>
      </c>
    </row>
    <row r="961" spans="1:12">
      <c r="A961" s="429" t="str">
        <f t="shared" si="27"/>
        <v>23</v>
      </c>
      <c r="B961" s="429" t="str">
        <f>T("2301017 2012")</f>
        <v>2301017 2012</v>
      </c>
      <c r="C961" s="637" t="str">
        <f>T("Livsmedelsstatistik")</f>
        <v>Livsmedelsstatistik</v>
      </c>
      <c r="D961" s="428">
        <v>23816.281169999998</v>
      </c>
      <c r="E961" s="428">
        <v>24703.518209999998</v>
      </c>
      <c r="F961" s="428">
        <v>23360.016060000002</v>
      </c>
      <c r="G961" s="428">
        <v>23991.658739999999</v>
      </c>
      <c r="H961" s="428">
        <v>24943.108540000001</v>
      </c>
      <c r="I961" s="428">
        <v>22603.61249</v>
      </c>
      <c r="J961" s="428">
        <v>23651.016240000001</v>
      </c>
      <c r="K961" s="428">
        <v>634.59375999999997</v>
      </c>
    </row>
    <row r="962" spans="1:12">
      <c r="A962" s="429" t="str">
        <f t="shared" si="27"/>
        <v>23</v>
      </c>
      <c r="B962" s="429" t="str">
        <f>T("2301018")</f>
        <v>2301018</v>
      </c>
      <c r="C962" s="637" t="str">
        <f>T("Åtgärder för landsbygdens miljö och struktur")</f>
        <v>Åtgärder för landsbygdens miljö och struktur</v>
      </c>
      <c r="D962" s="428">
        <v>2705392.2379299998</v>
      </c>
      <c r="E962" s="428">
        <v>2134402.8914100002</v>
      </c>
      <c r="F962" s="428">
        <v>2552944.0646099998</v>
      </c>
      <c r="G962" s="428">
        <v>2414235.6080900002</v>
      </c>
      <c r="H962" s="428">
        <v>3017692.0470599998</v>
      </c>
      <c r="I962" s="428">
        <v>2990953.0619000001</v>
      </c>
      <c r="J962" s="428">
        <v>3001993.0512700002</v>
      </c>
      <c r="K962" s="428">
        <v>3174721.4996400001</v>
      </c>
      <c r="L962" s="428">
        <v>3074933.1114599998</v>
      </c>
    </row>
    <row r="963" spans="1:12">
      <c r="A963" s="429" t="str">
        <f t="shared" si="27"/>
        <v>23</v>
      </c>
      <c r="B963" s="429" t="str">
        <f>T("2301018 2012")</f>
        <v>2301018 2012</v>
      </c>
      <c r="C963" s="637" t="str">
        <f>T("Jordbruks- och livsmedelsstatistik finansierad från EU-budgeten")</f>
        <v>Jordbruks- och livsmedelsstatistik finansierad från EU-budgeten</v>
      </c>
      <c r="D963" s="428">
        <v>6500</v>
      </c>
      <c r="E963" s="428">
        <v>7356</v>
      </c>
      <c r="F963" s="428">
        <v>6500</v>
      </c>
      <c r="G963" s="428">
        <v>6500</v>
      </c>
      <c r="H963" s="428">
        <v>7356</v>
      </c>
      <c r="I963" s="428">
        <v>6500</v>
      </c>
      <c r="J963" s="428">
        <v>6500</v>
      </c>
    </row>
    <row r="964" spans="1:12">
      <c r="A964" s="429" t="str">
        <f t="shared" si="27"/>
        <v>23</v>
      </c>
      <c r="B964" s="429" t="str">
        <f>T("2301019")</f>
        <v>2301019</v>
      </c>
      <c r="C964" s="637" t="str">
        <f>T("Från EU-budgeten finansierade åtgärder för landsbygdens miljö och struktur")</f>
        <v>Från EU-budgeten finansierade åtgärder för landsbygdens miljö och struktur</v>
      </c>
      <c r="D964" s="428">
        <v>1876026.21049</v>
      </c>
      <c r="E964" s="428">
        <v>1651380.9604</v>
      </c>
      <c r="F964" s="428">
        <v>1969441.4771</v>
      </c>
      <c r="G964" s="428">
        <v>1724143.0566199999</v>
      </c>
      <c r="H964" s="428">
        <v>2376941.4398699999</v>
      </c>
      <c r="I964" s="428">
        <v>2534713.6825899999</v>
      </c>
      <c r="J964" s="428">
        <v>2659385.9966199999</v>
      </c>
      <c r="K964" s="428">
        <v>2385359.60409</v>
      </c>
      <c r="L964" s="428">
        <v>2339726.9350999999</v>
      </c>
    </row>
    <row r="965" spans="1:12">
      <c r="A965" s="429" t="str">
        <f t="shared" si="27"/>
        <v>23</v>
      </c>
      <c r="B965" s="429" t="str">
        <f>T("2301020")</f>
        <v>2301020</v>
      </c>
      <c r="C965" s="637" t="str">
        <f>T("Miljöförbättrande åtgärder i jordbruket")</f>
        <v>Miljöförbättrande åtgärder i jordbruket</v>
      </c>
      <c r="D965" s="428">
        <v>11947.569</v>
      </c>
      <c r="E965" s="428">
        <v>11870.31747</v>
      </c>
      <c r="F965" s="428">
        <v>24315.796689999999</v>
      </c>
      <c r="G965" s="428">
        <v>24203.877329999999</v>
      </c>
      <c r="H965" s="428">
        <v>24377.516869999999</v>
      </c>
      <c r="I965" s="428">
        <v>23406.381389999999</v>
      </c>
      <c r="J965" s="428">
        <v>29235.361209999999</v>
      </c>
      <c r="K965" s="428">
        <v>29322.018329999999</v>
      </c>
      <c r="L965" s="428">
        <v>27049.874179999999</v>
      </c>
    </row>
    <row r="966" spans="1:12">
      <c r="A966" s="429" t="str">
        <f t="shared" si="27"/>
        <v>23</v>
      </c>
      <c r="B966" s="429" t="str">
        <f>T("2301021")</f>
        <v>2301021</v>
      </c>
      <c r="C966" s="637" t="str">
        <f>T("Stöd till jordbrukets rationalisering m.m.")</f>
        <v>Stöd till jordbrukets rationalisering m.m.</v>
      </c>
      <c r="D966" s="428">
        <v>2982</v>
      </c>
      <c r="E966" s="428">
        <v>2981.6680000000001</v>
      </c>
      <c r="F966" s="428">
        <v>4116</v>
      </c>
      <c r="G966" s="428">
        <v>4116.0004200000003</v>
      </c>
      <c r="H966" s="428">
        <v>4116</v>
      </c>
      <c r="I966" s="428">
        <v>4116</v>
      </c>
      <c r="J966" s="428">
        <v>2616</v>
      </c>
      <c r="K966" s="428">
        <v>2616</v>
      </c>
      <c r="L966" s="428">
        <v>4116</v>
      </c>
    </row>
    <row r="967" spans="1:12">
      <c r="A967" s="429" t="str">
        <f t="shared" si="27"/>
        <v>23</v>
      </c>
      <c r="B967" s="429" t="str">
        <f>T("2301022")</f>
        <v>2301022</v>
      </c>
      <c r="C967" s="637" t="str">
        <f>T("Stöd till innehavare av fjällägenheter m.m.")</f>
        <v>Stöd till innehavare av fjällägenheter m.m.</v>
      </c>
      <c r="D967" s="428">
        <v>1528.384</v>
      </c>
      <c r="E967" s="428">
        <v>1574.87</v>
      </c>
      <c r="F967" s="428">
        <v>1529</v>
      </c>
      <c r="G967" s="428">
        <v>1529</v>
      </c>
      <c r="H967" s="428">
        <v>1681</v>
      </c>
      <c r="I967" s="428">
        <v>1377</v>
      </c>
      <c r="J967" s="428">
        <v>1029</v>
      </c>
      <c r="K967" s="428">
        <v>1029</v>
      </c>
      <c r="L967" s="428">
        <v>1029</v>
      </c>
    </row>
    <row r="968" spans="1:12">
      <c r="A968" s="429" t="str">
        <f t="shared" si="27"/>
        <v>23</v>
      </c>
      <c r="B968" s="429" t="str">
        <f>T("2301023")</f>
        <v>2301023</v>
      </c>
      <c r="C968" s="637" t="str">
        <f>T("Främjande av rennäringen m.m.")</f>
        <v>Främjande av rennäringen m.m.</v>
      </c>
      <c r="D968" s="428">
        <v>50894.679029999999</v>
      </c>
      <c r="E968" s="428">
        <v>57130.49712</v>
      </c>
      <c r="F968" s="428">
        <v>54548.086210000001</v>
      </c>
      <c r="G968" s="428">
        <v>55446.477250000004</v>
      </c>
      <c r="H968" s="428">
        <v>102298.56954</v>
      </c>
      <c r="I968" s="428">
        <v>114684.41936</v>
      </c>
      <c r="J968" s="428">
        <v>109881.07175</v>
      </c>
      <c r="K968" s="428">
        <v>105804.3909</v>
      </c>
      <c r="L968" s="428">
        <v>110065.23639999999</v>
      </c>
    </row>
    <row r="969" spans="1:12">
      <c r="A969" s="429" t="str">
        <f t="shared" si="27"/>
        <v>23</v>
      </c>
      <c r="B969" s="429" t="str">
        <f>T("2301024")</f>
        <v>2301024</v>
      </c>
      <c r="C969" s="637" t="str">
        <f>T("Sveriges lantbruksuniversitet")</f>
        <v>Sveriges lantbruksuniversitet</v>
      </c>
      <c r="D969" s="428">
        <v>1382014</v>
      </c>
      <c r="E969" s="428">
        <v>1391376</v>
      </c>
      <c r="F969" s="428">
        <v>1424915</v>
      </c>
      <c r="G969" s="428">
        <v>1502882</v>
      </c>
      <c r="H969" s="428">
        <v>1624296</v>
      </c>
      <c r="I969" s="428">
        <v>1648913</v>
      </c>
      <c r="J969" s="428">
        <v>1632269</v>
      </c>
      <c r="K969" s="428">
        <v>1634369</v>
      </c>
      <c r="L969" s="428">
        <v>1705926</v>
      </c>
    </row>
    <row r="970" spans="1:12">
      <c r="A970" s="429" t="str">
        <f t="shared" si="27"/>
        <v>23</v>
      </c>
      <c r="B970" s="429" t="str">
        <f>T("2301025")</f>
        <v>2301025</v>
      </c>
      <c r="C970" s="637" t="str">
        <f>T("Forskningsrådet för miljö, areella näringar och samhällsbyggande: Forskning och samfinansierad forskning")</f>
        <v>Forskningsrådet för miljö, areella näringar och samhällsbyggande: Forskning och samfinansierad forskning</v>
      </c>
      <c r="D970" s="428">
        <v>250416.22162999999</v>
      </c>
      <c r="E970" s="428">
        <v>282332.57182999997</v>
      </c>
      <c r="F970" s="428">
        <v>322361.64867999998</v>
      </c>
      <c r="G970" s="428">
        <v>380601.94374000002</v>
      </c>
      <c r="H970" s="428">
        <v>397446.61927999998</v>
      </c>
      <c r="I970" s="428">
        <v>396757.23751000001</v>
      </c>
      <c r="J970" s="428">
        <v>420957.86822</v>
      </c>
      <c r="K970" s="428">
        <v>443380.32072999998</v>
      </c>
      <c r="L970" s="428">
        <v>484431.36564999999</v>
      </c>
    </row>
    <row r="971" spans="1:12">
      <c r="A971" s="429" t="str">
        <f t="shared" si="27"/>
        <v>23</v>
      </c>
      <c r="B971" s="429" t="str">
        <f>T("2301026")</f>
        <v>2301026</v>
      </c>
      <c r="C971" s="637" t="str">
        <f>T("Bidrag till Skogs- och lantbruksakademien")</f>
        <v>Bidrag till Skogs- och lantbruksakademien</v>
      </c>
      <c r="D971" s="428">
        <v>1177</v>
      </c>
      <c r="E971" s="428">
        <v>1177</v>
      </c>
      <c r="F971" s="428">
        <v>1977</v>
      </c>
      <c r="G971" s="428">
        <v>1427</v>
      </c>
      <c r="H971" s="428">
        <v>1427</v>
      </c>
      <c r="I971" s="428">
        <v>1427</v>
      </c>
      <c r="J971" s="428">
        <v>1177</v>
      </c>
      <c r="K971" s="428">
        <v>1177</v>
      </c>
      <c r="L971" s="428">
        <v>1177</v>
      </c>
    </row>
    <row r="972" spans="1:12">
      <c r="A972" s="429" t="str">
        <f t="shared" si="27"/>
        <v>23</v>
      </c>
      <c r="B972" s="429" t="str">
        <f>T("2301032 2009")</f>
        <v>2301032 2009</v>
      </c>
      <c r="C972" s="637" t="str">
        <f>T("Avvecklingsmyndigheten för Livsmedelsekonomiska institutet")</f>
        <v>Avvecklingsmyndigheten för Livsmedelsekonomiska institutet</v>
      </c>
      <c r="G972" s="428">
        <v>900</v>
      </c>
    </row>
    <row r="973" spans="1:12">
      <c r="A973" s="429" t="str">
        <f t="shared" si="27"/>
        <v>23</v>
      </c>
      <c r="B973" s="429" t="str">
        <f>T("234104 2008")</f>
        <v>234104 2008</v>
      </c>
      <c r="C973" s="637" t="str">
        <f>T("Från EG-budgeten finansierade medel för skogsskadeövervakning")</f>
        <v>Från EG-budgeten finansierade medel för skogsskadeövervakning</v>
      </c>
      <c r="D973" s="428">
        <v>11812.7595</v>
      </c>
      <c r="E973" s="428">
        <v>5011.5848699999997</v>
      </c>
      <c r="F973" s="428">
        <v>1799.5753</v>
      </c>
      <c r="G973" s="428">
        <v>5502.27988</v>
      </c>
    </row>
    <row r="974" spans="1:12">
      <c r="A974" s="429" t="str">
        <f t="shared" si="27"/>
        <v>23</v>
      </c>
      <c r="B974" s="429" t="str">
        <f>T("234204 2003")</f>
        <v>234204 2003</v>
      </c>
      <c r="C974" s="637" t="str">
        <f>T("Centrala försöksdjursnämnden")</f>
        <v>Centrala försöksdjursnämnden</v>
      </c>
    </row>
    <row r="975" spans="1:12">
      <c r="A975" s="429" t="str">
        <f t="shared" si="27"/>
        <v>23</v>
      </c>
      <c r="B975" s="429" t="str">
        <f>T("234206 2007")</f>
        <v>234206 2007</v>
      </c>
      <c r="C975" s="637" t="str">
        <f>T("Djurskyddsmyndigheten")</f>
        <v>Djurskyddsmyndigheten</v>
      </c>
      <c r="D975" s="428">
        <v>87063.181490000003</v>
      </c>
      <c r="E975" s="428">
        <v>59821.067369999997</v>
      </c>
      <c r="F975" s="428">
        <v>5711.9230399999997</v>
      </c>
    </row>
    <row r="976" spans="1:12">
      <c r="A976" s="429" t="str">
        <f t="shared" si="27"/>
        <v>23</v>
      </c>
      <c r="B976" s="429" t="str">
        <f>T("234302 2005")</f>
        <v>234302 2005</v>
      </c>
      <c r="C976" s="637" t="str">
        <f>T("Statens utsädeskontroll")</f>
        <v>Statens utsädeskontroll</v>
      </c>
    </row>
    <row r="977" spans="1:6" customFormat="1">
      <c r="A977" s="429" t="str">
        <f t="shared" si="27"/>
        <v>23</v>
      </c>
      <c r="B977" s="429" t="str">
        <f>T("234303 2005")</f>
        <v>234303 2005</v>
      </c>
      <c r="C977" s="637" t="str">
        <f>T("Statens växtsortnämnd")</f>
        <v>Statens växtsortnämnd</v>
      </c>
      <c r="D977" s="428"/>
      <c r="E977" s="428"/>
      <c r="F977" s="428"/>
    </row>
    <row r="978" spans="1:6" customFormat="1">
      <c r="A978" s="429" t="str">
        <f t="shared" si="27"/>
        <v>23</v>
      </c>
      <c r="B978" s="429" t="str">
        <f>T("234311 2008")</f>
        <v>234311 2008</v>
      </c>
      <c r="C978" s="637" t="str">
        <f>T("Livsmedelsekonomiska institutet")</f>
        <v>Livsmedelsekonomiska institutet</v>
      </c>
      <c r="D978" s="428">
        <v>9593.5222200000007</v>
      </c>
      <c r="E978" s="428">
        <v>10012.96163</v>
      </c>
      <c r="F978" s="428">
        <v>9472.2996199999998</v>
      </c>
    </row>
    <row r="979" spans="1:6" customFormat="1">
      <c r="A979" s="429" t="str">
        <f t="shared" si="27"/>
        <v>23</v>
      </c>
      <c r="B979" s="429" t="str">
        <f>T("234406 2006")</f>
        <v>234406 2006</v>
      </c>
      <c r="C979" s="637" t="str">
        <f>T("Återföring av skatt på handelsgödsel och bekämpningsmedel m.m.")</f>
        <v>Återföring av skatt på handelsgödsel och bekämpningsmedel m.m.</v>
      </c>
      <c r="D979" s="428">
        <v>64417.240400000002</v>
      </c>
      <c r="E979" s="428"/>
      <c r="F979" s="428"/>
    </row>
    <row r="980" spans="1:6" customFormat="1">
      <c r="A980" s="429" t="str">
        <f t="shared" si="27"/>
        <v>23</v>
      </c>
      <c r="B980" s="429" t="str">
        <f>T("234406 2007")</f>
        <v>234406 2007</v>
      </c>
      <c r="C980" s="637" t="str">
        <f>T("Åtgärder för att främja ekologisk produktion")</f>
        <v>Åtgärder för att främja ekologisk produktion</v>
      </c>
      <c r="D980" s="428">
        <v>28621.56206</v>
      </c>
      <c r="E980" s="428">
        <v>29093.42383</v>
      </c>
      <c r="F980" s="428">
        <v>197.84800000000001</v>
      </c>
    </row>
    <row r="981" spans="1:6" customFormat="1">
      <c r="A981" s="429" t="str">
        <f t="shared" si="27"/>
        <v>23</v>
      </c>
      <c r="B981" s="429" t="str">
        <f>T("234502 2004")</f>
        <v>234502 2004</v>
      </c>
      <c r="C981" s="637" t="str">
        <f>T("Informationssatsning om samerna")</f>
        <v>Informationssatsning om samerna</v>
      </c>
      <c r="D981" s="428">
        <v>92.696629999999999</v>
      </c>
      <c r="E981" s="428">
        <v>562.35884999999996</v>
      </c>
      <c r="F981" s="428">
        <v>22</v>
      </c>
    </row>
    <row r="982" spans="1:6" customFormat="1">
      <c r="A982" s="429" t="str">
        <f t="shared" si="27"/>
        <v>23</v>
      </c>
      <c r="B982" s="429" t="str">
        <f>T("23B003 1997")</f>
        <v>23B003 1997</v>
      </c>
      <c r="C982" s="637" t="str">
        <f>T("Stöd till avbytarverksamhet m.m.")</f>
        <v>Stöd till avbytarverksamhet m.m.</v>
      </c>
      <c r="D982" s="428"/>
      <c r="E982" s="428"/>
      <c r="F982" s="428"/>
    </row>
    <row r="983" spans="1:6" customFormat="1">
      <c r="A983" s="429" t="str">
        <f t="shared" si="27"/>
        <v>23</v>
      </c>
      <c r="B983" s="429" t="str">
        <f>T("23B003 2000")</f>
        <v>23B003 2000</v>
      </c>
      <c r="C983" s="637" t="str">
        <f>T("Djurregister")</f>
        <v>Djurregister</v>
      </c>
      <c r="D983" s="428"/>
      <c r="E983" s="428"/>
      <c r="F983" s="428"/>
    </row>
    <row r="984" spans="1:6" customFormat="1">
      <c r="A984" s="429" t="str">
        <f t="shared" si="27"/>
        <v>23</v>
      </c>
      <c r="B984" s="429" t="str">
        <f>T("23B008 1999")</f>
        <v>23B008 1999</v>
      </c>
      <c r="C984" s="637" t="str">
        <f>T("Strukturstöd inom livsmedelssektorn")</f>
        <v>Strukturstöd inom livsmedelssektorn</v>
      </c>
      <c r="D984" s="428"/>
      <c r="E984" s="428"/>
      <c r="F984" s="428"/>
    </row>
    <row r="985" spans="1:6" customFormat="1">
      <c r="A985" s="429" t="str">
        <f t="shared" si="27"/>
        <v>23</v>
      </c>
      <c r="B985" s="429" t="str">
        <f>T("23B009 1999")</f>
        <v>23B009 1999</v>
      </c>
      <c r="C985" s="637" t="str">
        <f>T("Från EG-budgeten finansierat strukturstöd")</f>
        <v>Från EG-budgeten finansierat strukturstöd</v>
      </c>
      <c r="D985" s="428"/>
      <c r="E985" s="428"/>
      <c r="F985" s="428"/>
    </row>
    <row r="986" spans="1:6" customFormat="1">
      <c r="A986" s="429" t="str">
        <f t="shared" si="27"/>
        <v>23</v>
      </c>
      <c r="B986" s="429" t="str">
        <f>T("23B010 1999")</f>
        <v>23B010 1999</v>
      </c>
      <c r="C986" s="637" t="str">
        <f>T("Regionala stöd till jordbruket")</f>
        <v>Regionala stöd till jordbruket</v>
      </c>
      <c r="D986" s="428"/>
      <c r="E986" s="428"/>
      <c r="F986" s="428"/>
    </row>
    <row r="987" spans="1:6" customFormat="1">
      <c r="A987" s="429" t="str">
        <f t="shared" si="27"/>
        <v>23</v>
      </c>
      <c r="B987" s="429" t="str">
        <f>T("23B011 1999")</f>
        <v>23B011 1999</v>
      </c>
      <c r="C987" s="637" t="str">
        <f>T("Från EG-budgeten finansierade  regionalastöd till jordbruket")</f>
        <v>Från EG-budgeten finansierade  regionalastöd till jordbruket</v>
      </c>
      <c r="D987" s="428"/>
      <c r="E987" s="428"/>
      <c r="F987" s="428"/>
    </row>
    <row r="988" spans="1:6" customFormat="1">
      <c r="A988" s="429" t="str">
        <f t="shared" si="27"/>
        <v>23</v>
      </c>
      <c r="B988" s="429" t="str">
        <f>T("23B012 1999")</f>
        <v>23B012 1999</v>
      </c>
      <c r="C988" s="637" t="str">
        <f>T("Kompletterande åtgärder inom jordbruket")</f>
        <v>Kompletterande åtgärder inom jordbruket</v>
      </c>
      <c r="D988" s="428"/>
      <c r="E988" s="428"/>
      <c r="F988" s="428"/>
    </row>
    <row r="989" spans="1:6" customFormat="1">
      <c r="A989" s="429" t="str">
        <f t="shared" si="27"/>
        <v>23</v>
      </c>
      <c r="B989" s="429" t="str">
        <f>T("23B013 1999")</f>
        <v>23B013 1999</v>
      </c>
      <c r="C989" s="637" t="str">
        <f>T("Från EG-budgeten finansierade kompletterande åtgärder inom jordbruket")</f>
        <v>Från EG-budgeten finansierade kompletterande åtgärder inom jordbruket</v>
      </c>
      <c r="D989" s="428"/>
      <c r="E989" s="428"/>
      <c r="F989" s="428"/>
    </row>
    <row r="990" spans="1:6" customFormat="1">
      <c r="A990" s="429" t="str">
        <f t="shared" si="27"/>
        <v>23</v>
      </c>
      <c r="B990" s="429" t="str">
        <f>T("23B013 2000")</f>
        <v>23B013 2000</v>
      </c>
      <c r="C990" s="637" t="str">
        <f>T("Jordbrukets blockdatabas")</f>
        <v>Jordbrukets blockdatabas</v>
      </c>
      <c r="D990" s="428"/>
      <c r="E990" s="428"/>
      <c r="F990" s="428"/>
    </row>
    <row r="991" spans="1:6" customFormat="1">
      <c r="A991" s="429" t="str">
        <f t="shared" si="27"/>
        <v>23</v>
      </c>
      <c r="B991" s="429" t="str">
        <f>T("23B019 1997")</f>
        <v>23B019 1997</v>
      </c>
      <c r="C991" s="637" t="str">
        <f>T("Vissa saneringsåtgärder i Solna")</f>
        <v>Vissa saneringsåtgärder i Solna</v>
      </c>
      <c r="D991" s="428"/>
      <c r="E991" s="428"/>
      <c r="F991" s="428"/>
    </row>
    <row r="992" spans="1:6" customFormat="1">
      <c r="A992" s="429" t="str">
        <f t="shared" si="27"/>
        <v>23</v>
      </c>
      <c r="B992" s="429" t="str">
        <f>T("23E006 1997")</f>
        <v>23E006 1997</v>
      </c>
      <c r="C992" s="637" t="str">
        <f>T("Gränskontroll av livsmedel och levande djur")</f>
        <v>Gränskontroll av livsmedel och levande djur</v>
      </c>
      <c r="D992" s="428"/>
      <c r="E992" s="428"/>
      <c r="F992" s="428"/>
    </row>
    <row r="993" spans="1:12">
      <c r="A993" s="429" t="str">
        <f t="shared" si="27"/>
        <v>23</v>
      </c>
      <c r="B993" s="429" t="str">
        <f>T("23F002 1999")</f>
        <v>23F002 1999</v>
      </c>
      <c r="C993" s="637" t="str">
        <f>T("Livsmedelsekonomiska samarbetsnämnden: Avvecklingskostnader")</f>
        <v>Livsmedelsekonomiska samarbetsnämnden: Avvecklingskostnader</v>
      </c>
    </row>
    <row r="994" spans="1:12">
      <c r="A994" s="429" t="str">
        <f t="shared" ref="A994:A996" si="28">T("23")</f>
        <v>23</v>
      </c>
      <c r="B994" s="429" t="str">
        <f>T("23F003 2000")</f>
        <v>23F003 2000</v>
      </c>
      <c r="C994" s="637" t="str">
        <f>T("Kostnader för livsmedelsberedskap")</f>
        <v>Kostnader för livsmedelsberedskap</v>
      </c>
    </row>
    <row r="995" spans="1:12">
      <c r="A995" s="429" t="str">
        <f t="shared" si="28"/>
        <v>23</v>
      </c>
      <c r="B995" s="429" t="str">
        <f>T("23H002 1998")</f>
        <v>23H002 1998</v>
      </c>
      <c r="C995" s="637" t="str">
        <f>T("Bidrag till skogsvård m.m")</f>
        <v>Bidrag till skogsvård m.m</v>
      </c>
    </row>
    <row r="996" spans="1:12">
      <c r="A996" s="429" t="str">
        <f t="shared" si="28"/>
        <v>23</v>
      </c>
      <c r="B996" s="429" t="str">
        <f>T("23H005 1999")</f>
        <v>23H005 1999</v>
      </c>
      <c r="C996" s="637" t="str">
        <f>T("Skogsvårdsavgiftsprojekt")</f>
        <v>Skogsvårdsavgiftsprojekt</v>
      </c>
    </row>
    <row r="997" spans="1:12">
      <c r="A997" s="430" t="s">
        <v>1657</v>
      </c>
      <c r="B997" s="430"/>
      <c r="C997" s="430" t="str">
        <f>T("Areella näringar, landsbygd och livsmedel")</f>
        <v>Areella näringar, landsbygd och livsmedel</v>
      </c>
      <c r="D997" s="431">
        <v>20985160.82736</v>
      </c>
      <c r="E997" s="431">
        <v>15478380.74566</v>
      </c>
      <c r="F997" s="431">
        <v>16508069.834869999</v>
      </c>
      <c r="G997" s="431">
        <v>16368579.253459999</v>
      </c>
      <c r="H997" s="431">
        <v>17447406.608630002</v>
      </c>
      <c r="I997" s="431">
        <v>16371599.298559999</v>
      </c>
      <c r="J997" s="431">
        <v>16386708.05745</v>
      </c>
      <c r="K997" s="431">
        <v>16006301.514110001</v>
      </c>
      <c r="L997" s="431">
        <v>16202570.58027</v>
      </c>
    </row>
    <row r="998" spans="1:12">
      <c r="A998" s="429" t="str">
        <f t="shared" ref="A998:A1061" si="29">T("24")</f>
        <v>24</v>
      </c>
      <c r="B998" s="429" t="str">
        <f>T("03E002 9596")</f>
        <v>03E002 9596</v>
      </c>
      <c r="C998" s="637" t="str">
        <f>T("Exportfrämjande verksamhet")</f>
        <v>Exportfrämjande verksamhet</v>
      </c>
    </row>
    <row r="999" spans="1:12">
      <c r="A999" s="429" t="str">
        <f t="shared" si="29"/>
        <v>24</v>
      </c>
      <c r="B999" s="429" t="str">
        <f>T("12A002 9596")</f>
        <v>12A002 9596</v>
      </c>
      <c r="C999" s="637" t="str">
        <f>T("Småföretagsutveckling")</f>
        <v>Småföretagsutveckling</v>
      </c>
    </row>
    <row r="1000" spans="1:12">
      <c r="A1000" s="429" t="str">
        <f t="shared" si="29"/>
        <v>24</v>
      </c>
      <c r="B1000" s="429" t="str">
        <f>T("12A004 9596")</f>
        <v>12A004 9596</v>
      </c>
      <c r="C1000" s="637" t="str">
        <f>T("Bidrag till tekniköverföring")</f>
        <v>Bidrag till tekniköverföring</v>
      </c>
    </row>
    <row r="1001" spans="1:12">
      <c r="A1001" s="429" t="str">
        <f t="shared" si="29"/>
        <v>24</v>
      </c>
      <c r="B1001" s="429" t="str">
        <f>T("12A005 9596")</f>
        <v>12A005 9596</v>
      </c>
      <c r="C1001" s="637" t="str">
        <f>T("Investeringsfrämjande")</f>
        <v>Investeringsfrämjande</v>
      </c>
    </row>
    <row r="1002" spans="1:12">
      <c r="A1002" s="429" t="str">
        <f t="shared" si="29"/>
        <v>24</v>
      </c>
      <c r="B1002" s="429" t="str">
        <f>T("12A006 9596")</f>
        <v>12A006 9596</v>
      </c>
      <c r="C1002" s="637" t="str">
        <f>T("Turistfrämjande")</f>
        <v>Turistfrämjande</v>
      </c>
    </row>
    <row r="1003" spans="1:12">
      <c r="A1003" s="429" t="str">
        <f t="shared" si="29"/>
        <v>24</v>
      </c>
      <c r="B1003" s="429" t="str">
        <f>T("12A015 9596")</f>
        <v>12A015 9596</v>
      </c>
      <c r="C1003" s="637" t="str">
        <f>T("Vissa exportinsatser m.m.")</f>
        <v>Vissa exportinsatser m.m.</v>
      </c>
    </row>
    <row r="1004" spans="1:12">
      <c r="A1004" s="429" t="str">
        <f t="shared" si="29"/>
        <v>24</v>
      </c>
      <c r="B1004" s="429" t="str">
        <f>T("12A016 9596")</f>
        <v>12A016 9596</v>
      </c>
      <c r="C1004" s="637" t="str">
        <f>T("Program för småföretagsutveckling, förnyelse och tillväxt")</f>
        <v>Program för småföretagsutveckling, förnyelse och tillväxt</v>
      </c>
    </row>
    <row r="1005" spans="1:12">
      <c r="A1005" s="429" t="str">
        <f t="shared" si="29"/>
        <v>24</v>
      </c>
      <c r="B1005" s="429" t="str">
        <f>T("12C006 9596")</f>
        <v>12C006 9596</v>
      </c>
      <c r="C1005" s="637" t="str">
        <f>T("SWEDAC: Bidrag till riksmätplatser")</f>
        <v>SWEDAC: Bidrag till riksmätplatser</v>
      </c>
    </row>
    <row r="1006" spans="1:12">
      <c r="A1006" s="429" t="str">
        <f t="shared" si="29"/>
        <v>24</v>
      </c>
      <c r="B1006" s="429" t="str">
        <f>T("12D002 9596")</f>
        <v>12D002 9596</v>
      </c>
      <c r="C1006" s="637" t="str">
        <f>T("Konkurrensforskning")</f>
        <v>Konkurrensforskning</v>
      </c>
    </row>
    <row r="1007" spans="1:12">
      <c r="A1007" s="429" t="str">
        <f t="shared" si="29"/>
        <v>24</v>
      </c>
      <c r="B1007" s="429" t="str">
        <f>T("12F001 9596")</f>
        <v>12F001 9596</v>
      </c>
      <c r="C1007" s="637" t="str">
        <f>T("Teknisk forskning och utveckling")</f>
        <v>Teknisk forskning och utveckling</v>
      </c>
    </row>
    <row r="1008" spans="1:12">
      <c r="A1008" s="429" t="str">
        <f t="shared" si="29"/>
        <v>24</v>
      </c>
      <c r="B1008" s="429" t="str">
        <f>T("12G014 9394")</f>
        <v>12G014 9394</v>
      </c>
      <c r="C1008" s="637" t="str">
        <f>T("Förvaltning av viss statlig gruvegendom")</f>
        <v>Förvaltning av viss statlig gruvegendom</v>
      </c>
    </row>
    <row r="1009" spans="1:12">
      <c r="A1009" s="429" t="str">
        <f t="shared" si="29"/>
        <v>24</v>
      </c>
      <c r="B1009" s="429" t="str">
        <f>T("13C004 9596")</f>
        <v>13C004 9596</v>
      </c>
      <c r="C1009" s="637" t="str">
        <f>T("Stöd till konsumentorganisationer")</f>
        <v>Stöd till konsumentorganisationer</v>
      </c>
    </row>
    <row r="1010" spans="1:12">
      <c r="A1010" s="429" t="str">
        <f t="shared" si="29"/>
        <v>24</v>
      </c>
      <c r="B1010" s="429" t="str">
        <f>T("13C005 9596")</f>
        <v>13C005 9596</v>
      </c>
      <c r="C1010" s="637" t="str">
        <f>T("Konsumentforskning")</f>
        <v>Konsumentforskning</v>
      </c>
    </row>
    <row r="1011" spans="1:12">
      <c r="A1011" s="429" t="str">
        <f t="shared" si="29"/>
        <v>24</v>
      </c>
      <c r="B1011" s="429" t="str">
        <f>T("13E002 9596")</f>
        <v>13E002 9596</v>
      </c>
      <c r="C1011" s="637" t="str">
        <f>T("Stöd till kooperativ utveckling")</f>
        <v>Stöd till kooperativ utveckling</v>
      </c>
    </row>
    <row r="1012" spans="1:12">
      <c r="A1012" s="429" t="str">
        <f t="shared" si="29"/>
        <v>24</v>
      </c>
      <c r="B1012" s="429" t="str">
        <f>T("19A007 2000")</f>
        <v>19A007 2000</v>
      </c>
      <c r="C1012" s="637" t="str">
        <f>T("Statens institut för regionalforskning")</f>
        <v>Statens institut för regionalforskning</v>
      </c>
    </row>
    <row r="1013" spans="1:12">
      <c r="A1013" s="429" t="str">
        <f t="shared" si="29"/>
        <v>24</v>
      </c>
      <c r="B1013" s="429" t="str">
        <f>T("22E002 2000")</f>
        <v>22E002 2000</v>
      </c>
      <c r="C1013" s="637" t="str">
        <f>T("Kommunikationsforskningsberedningen")</f>
        <v>Kommunikationsforskningsberedningen</v>
      </c>
    </row>
    <row r="1014" spans="1:12">
      <c r="A1014" s="429" t="str">
        <f t="shared" si="29"/>
        <v>24</v>
      </c>
      <c r="B1014" s="429" t="str">
        <f>T("2401001")</f>
        <v>2401001</v>
      </c>
      <c r="C1014" s="637" t="str">
        <f>T("Verket för innovationssystem")</f>
        <v>Verket för innovationssystem</v>
      </c>
      <c r="D1014" s="428">
        <v>116236.95425</v>
      </c>
      <c r="E1014" s="428">
        <v>133231.95665000001</v>
      </c>
      <c r="F1014" s="428">
        <v>139936.05752999999</v>
      </c>
      <c r="G1014" s="428">
        <v>133819.99755</v>
      </c>
      <c r="H1014" s="428">
        <v>138470.97136</v>
      </c>
      <c r="I1014" s="428">
        <v>146705.95710999999</v>
      </c>
      <c r="J1014" s="428">
        <v>165370.08721999999</v>
      </c>
      <c r="K1014" s="428">
        <v>160580.20642</v>
      </c>
      <c r="L1014" s="428">
        <v>158253.81795999999</v>
      </c>
    </row>
    <row r="1015" spans="1:12">
      <c r="A1015" s="429" t="str">
        <f t="shared" si="29"/>
        <v>24</v>
      </c>
      <c r="B1015" s="429" t="str">
        <f>T("2401002")</f>
        <v>2401002</v>
      </c>
      <c r="C1015" s="637" t="str">
        <f>T("Verket för innovationssystem: Forskning och utveckling")</f>
        <v>Verket för innovationssystem: Forskning och utveckling</v>
      </c>
      <c r="D1015" s="428">
        <v>1388456.12677</v>
      </c>
      <c r="E1015" s="428">
        <v>1423506.43178</v>
      </c>
      <c r="F1015" s="428">
        <v>1783144.9623700001</v>
      </c>
      <c r="G1015" s="428">
        <v>1858928.2212199999</v>
      </c>
      <c r="H1015" s="428">
        <v>1877193.66484</v>
      </c>
      <c r="I1015" s="428">
        <v>1932486.96053</v>
      </c>
      <c r="J1015" s="428">
        <v>2014662.5863399999</v>
      </c>
      <c r="K1015" s="428">
        <v>2238969.9438200002</v>
      </c>
      <c r="L1015" s="428">
        <v>2412901.7662800001</v>
      </c>
    </row>
    <row r="1016" spans="1:12">
      <c r="A1016" s="429" t="str">
        <f t="shared" si="29"/>
        <v>24</v>
      </c>
      <c r="B1016" s="429" t="str">
        <f>T("2401003")</f>
        <v>2401003</v>
      </c>
      <c r="C1016" s="637" t="str">
        <f>T("Institutens strategiska kompetensmedel m.m.")</f>
        <v>Institutens strategiska kompetensmedel m.m.</v>
      </c>
      <c r="G1016" s="428">
        <v>355127</v>
      </c>
      <c r="H1016" s="428">
        <v>468231</v>
      </c>
      <c r="I1016" s="428">
        <v>468231</v>
      </c>
      <c r="J1016" s="428">
        <v>472941</v>
      </c>
      <c r="K1016" s="428">
        <v>599133</v>
      </c>
      <c r="L1016" s="428">
        <v>615969</v>
      </c>
    </row>
    <row r="1017" spans="1:12">
      <c r="A1017" s="429" t="str">
        <f t="shared" si="29"/>
        <v>24</v>
      </c>
      <c r="B1017" s="429" t="str">
        <f>T("2401004")</f>
        <v>2401004</v>
      </c>
      <c r="C1017" s="637" t="str">
        <f>T("Tillväxtverket")</f>
        <v>Tillväxtverket</v>
      </c>
      <c r="G1017" s="428">
        <v>260690.87074000001</v>
      </c>
      <c r="H1017" s="428">
        <v>366872.29730999999</v>
      </c>
      <c r="I1017" s="428">
        <v>366723.28834000003</v>
      </c>
      <c r="J1017" s="428">
        <v>355659.32406000001</v>
      </c>
      <c r="K1017" s="428">
        <v>236817.78115</v>
      </c>
      <c r="L1017" s="428">
        <v>263309.89026000001</v>
      </c>
    </row>
    <row r="1018" spans="1:12">
      <c r="A1018" s="429" t="str">
        <f t="shared" si="29"/>
        <v>24</v>
      </c>
      <c r="B1018" s="429" t="str">
        <f>T("2401004 2009")</f>
        <v>2401004 2009</v>
      </c>
      <c r="C1018" s="637" t="str">
        <f>T("Verket för Näringslivsutveckling: Förvaltningskostnader")</f>
        <v>Verket för Näringslivsutveckling: Förvaltningskostnader</v>
      </c>
      <c r="D1018" s="428">
        <v>224266.31823</v>
      </c>
      <c r="E1018" s="428">
        <v>327475.67431999999</v>
      </c>
      <c r="F1018" s="428">
        <v>339229.99406</v>
      </c>
      <c r="G1018" s="428">
        <v>85245.802609999999</v>
      </c>
    </row>
    <row r="1019" spans="1:12">
      <c r="A1019" s="429" t="str">
        <f t="shared" si="29"/>
        <v>24</v>
      </c>
      <c r="B1019" s="429" t="str">
        <f>T("2401005")</f>
        <v>2401005</v>
      </c>
      <c r="C1019" s="637" t="str">
        <f>T("Näringslivsutveckling m.m.")</f>
        <v>Näringslivsutveckling m.m.</v>
      </c>
      <c r="D1019" s="428">
        <v>256746.74246000001</v>
      </c>
      <c r="E1019" s="428">
        <v>429557.40642000001</v>
      </c>
      <c r="F1019" s="428">
        <v>3562069.7173899999</v>
      </c>
      <c r="G1019" s="428">
        <v>530160.16310999996</v>
      </c>
      <c r="H1019" s="428">
        <v>567203.61635999999</v>
      </c>
      <c r="I1019" s="428">
        <v>512948.17200999998</v>
      </c>
      <c r="J1019" s="428">
        <v>579923.57085999998</v>
      </c>
      <c r="K1019" s="428">
        <v>571251.08943000005</v>
      </c>
      <c r="L1019" s="428">
        <v>574999.96122000006</v>
      </c>
    </row>
    <row r="1020" spans="1:12">
      <c r="A1020" s="429" t="str">
        <f t="shared" si="29"/>
        <v>24</v>
      </c>
      <c r="B1020" s="429" t="str">
        <f>T("2401006")</f>
        <v>2401006</v>
      </c>
      <c r="C1020" s="637" t="str">
        <f>T("Myndigheten för tillväxtpolitiska utvärderingar och analyser")</f>
        <v>Myndigheten för tillväxtpolitiska utvärderingar och analyser</v>
      </c>
      <c r="G1020" s="428">
        <v>54330.531920000001</v>
      </c>
      <c r="H1020" s="428">
        <v>79984.739279999994</v>
      </c>
      <c r="I1020" s="428">
        <v>78085.296170000001</v>
      </c>
      <c r="J1020" s="428">
        <v>79741.910940000002</v>
      </c>
      <c r="K1020" s="428">
        <v>76890.471850000002</v>
      </c>
      <c r="L1020" s="428">
        <v>79799.651639999996</v>
      </c>
    </row>
    <row r="1021" spans="1:12">
      <c r="A1021" s="429" t="str">
        <f t="shared" si="29"/>
        <v>24</v>
      </c>
      <c r="B1021" s="429" t="str">
        <f>T("2401006 2009")</f>
        <v>2401006 2009</v>
      </c>
      <c r="C1021" s="637" t="str">
        <f>T("Institutet för tillväxtpolitiska studier: Förvaltningskostnader")</f>
        <v>Institutet för tillväxtpolitiska studier: Förvaltningskostnader</v>
      </c>
      <c r="D1021" s="428">
        <v>78007.391610000006</v>
      </c>
      <c r="E1021" s="428">
        <v>77757.463759999999</v>
      </c>
      <c r="F1021" s="428">
        <v>75869.591180000003</v>
      </c>
      <c r="G1021" s="428">
        <v>19893.222870000001</v>
      </c>
    </row>
    <row r="1022" spans="1:12">
      <c r="A1022" s="429" t="str">
        <f t="shared" si="29"/>
        <v>24</v>
      </c>
      <c r="B1022" s="429" t="str">
        <f>T("2401007")</f>
        <v>2401007</v>
      </c>
      <c r="C1022" s="637" t="str">
        <f>T("Turistfrämjande")</f>
        <v>Turistfrämjande</v>
      </c>
      <c r="D1022" s="428">
        <v>101209.28595999999</v>
      </c>
      <c r="E1022" s="428">
        <v>111111</v>
      </c>
      <c r="F1022" s="428">
        <v>99763</v>
      </c>
      <c r="G1022" s="428">
        <v>110073</v>
      </c>
      <c r="H1022" s="428">
        <v>150035</v>
      </c>
      <c r="I1022" s="428">
        <v>140035</v>
      </c>
      <c r="J1022" s="428">
        <v>140035</v>
      </c>
      <c r="K1022" s="428">
        <v>120035</v>
      </c>
      <c r="L1022" s="428">
        <v>119904</v>
      </c>
    </row>
    <row r="1023" spans="1:12">
      <c r="A1023" s="429" t="str">
        <f t="shared" si="29"/>
        <v>24</v>
      </c>
      <c r="B1023" s="429" t="str">
        <f>T("2401008")</f>
        <v>2401008</v>
      </c>
      <c r="C1023" s="637" t="str">
        <f>T("Sveriges geologiska undersökning: Geologisk undersökningsverksamhet m.m.")</f>
        <v>Sveriges geologiska undersökning: Geologisk undersökningsverksamhet m.m.</v>
      </c>
      <c r="D1023" s="428">
        <v>168166.80213</v>
      </c>
      <c r="E1023" s="428">
        <v>169135.4976</v>
      </c>
      <c r="F1023" s="428">
        <v>173910.40929000001</v>
      </c>
      <c r="G1023" s="428">
        <v>173744.69495999999</v>
      </c>
      <c r="H1023" s="428">
        <v>172639.86627999999</v>
      </c>
      <c r="I1023" s="428">
        <v>181234.19416000001</v>
      </c>
      <c r="J1023" s="428">
        <v>213440.36770999999</v>
      </c>
      <c r="K1023" s="428">
        <v>216669.22894999999</v>
      </c>
      <c r="L1023" s="428">
        <v>222069.93601999999</v>
      </c>
    </row>
    <row r="1024" spans="1:12">
      <c r="A1024" s="429" t="str">
        <f t="shared" si="29"/>
        <v>24</v>
      </c>
      <c r="B1024" s="429" t="str">
        <f>T("2401009")</f>
        <v>2401009</v>
      </c>
      <c r="C1024" s="637" t="str">
        <f>T("Sveriges geologiska undersökning: Geovetenskaplig forskning")</f>
        <v>Sveriges geologiska undersökning: Geovetenskaplig forskning</v>
      </c>
      <c r="D1024" s="428">
        <v>5284</v>
      </c>
      <c r="E1024" s="428">
        <v>5330</v>
      </c>
      <c r="F1024" s="428">
        <v>5364</v>
      </c>
      <c r="G1024" s="428">
        <v>5509</v>
      </c>
      <c r="H1024" s="428">
        <v>5594</v>
      </c>
      <c r="I1024" s="428">
        <v>5673</v>
      </c>
      <c r="J1024" s="428">
        <v>5746</v>
      </c>
      <c r="K1024" s="428">
        <v>5778.4582399999999</v>
      </c>
      <c r="L1024" s="428">
        <v>5857</v>
      </c>
    </row>
    <row r="1025" spans="1:12">
      <c r="A1025" s="429" t="str">
        <f t="shared" si="29"/>
        <v>24</v>
      </c>
      <c r="B1025" s="429" t="str">
        <f>T("2401010")</f>
        <v>2401010</v>
      </c>
      <c r="C1025" s="637" t="str">
        <f>T("Sveriges geologiska undersökning: Miljösäkring av oljelagringsanläggningar, m.m.")</f>
        <v>Sveriges geologiska undersökning: Miljösäkring av oljelagringsanläggningar, m.m.</v>
      </c>
      <c r="D1025" s="428">
        <v>35244.463450000003</v>
      </c>
      <c r="E1025" s="428">
        <v>14539.49041</v>
      </c>
      <c r="F1025" s="428">
        <v>12500.49267</v>
      </c>
      <c r="G1025" s="428">
        <v>3489.76881</v>
      </c>
      <c r="H1025" s="428">
        <v>8574.82071</v>
      </c>
      <c r="I1025" s="428">
        <v>7840.6987300000001</v>
      </c>
      <c r="J1025" s="428">
        <v>7808.2790299999997</v>
      </c>
      <c r="K1025" s="428">
        <v>12038.679389999999</v>
      </c>
      <c r="L1025" s="428">
        <v>12250.07294</v>
      </c>
    </row>
    <row r="1026" spans="1:12">
      <c r="A1026" s="429" t="str">
        <f t="shared" si="29"/>
        <v>24</v>
      </c>
      <c r="B1026" s="429" t="str">
        <f>T("2401011")</f>
        <v>2401011</v>
      </c>
      <c r="C1026" s="637" t="str">
        <f>T("Patentbesvärsrätten")</f>
        <v>Patentbesvärsrätten</v>
      </c>
      <c r="D1026" s="428">
        <v>15625.47811</v>
      </c>
      <c r="E1026" s="428">
        <v>15751.482029999999</v>
      </c>
      <c r="F1026" s="428">
        <v>15415.90964</v>
      </c>
      <c r="G1026" s="428">
        <v>17419.299149999999</v>
      </c>
      <c r="H1026" s="428">
        <v>18341.06696</v>
      </c>
      <c r="I1026" s="428">
        <v>18185.63896</v>
      </c>
      <c r="J1026" s="428">
        <v>17404.748159999999</v>
      </c>
      <c r="K1026" s="428">
        <v>20448.573850000001</v>
      </c>
      <c r="L1026" s="428">
        <v>19748.844789999999</v>
      </c>
    </row>
    <row r="1027" spans="1:12">
      <c r="A1027" s="429" t="str">
        <f t="shared" si="29"/>
        <v>24</v>
      </c>
      <c r="B1027" s="429" t="str">
        <f>T("2401012")</f>
        <v>2401012</v>
      </c>
      <c r="C1027" s="637" t="str">
        <f>T("Bolagsverket: Finansiering av likvidatorer")</f>
        <v>Bolagsverket: Finansiering av likvidatorer</v>
      </c>
      <c r="D1027" s="428">
        <v>6613.7525100000003</v>
      </c>
      <c r="E1027" s="428">
        <v>7288.8967599999996</v>
      </c>
      <c r="F1027" s="428">
        <v>7506.8128999999999</v>
      </c>
      <c r="G1027" s="428">
        <v>10874.33502</v>
      </c>
      <c r="H1027" s="428">
        <v>10056.1245</v>
      </c>
      <c r="I1027" s="428">
        <v>9777.6609100000005</v>
      </c>
      <c r="J1027" s="428">
        <v>11896.17769</v>
      </c>
      <c r="K1027" s="428">
        <v>14904.178599999999</v>
      </c>
      <c r="L1027" s="428">
        <v>18439.348269999999</v>
      </c>
    </row>
    <row r="1028" spans="1:12">
      <c r="A1028" s="429" t="str">
        <f t="shared" si="29"/>
        <v>24</v>
      </c>
      <c r="B1028" s="429" t="str">
        <f>T("2401013")</f>
        <v>2401013</v>
      </c>
      <c r="C1028" s="637" t="str">
        <f>T("Bidrag till terminologisk verksamhet")</f>
        <v>Bidrag till terminologisk verksamhet</v>
      </c>
      <c r="D1028" s="428">
        <v>42320</v>
      </c>
      <c r="E1028" s="428">
        <v>42088</v>
      </c>
      <c r="F1028" s="428">
        <v>42357</v>
      </c>
      <c r="G1028" s="428">
        <v>4069</v>
      </c>
      <c r="H1028" s="428">
        <v>4132</v>
      </c>
      <c r="I1028" s="428">
        <v>4190</v>
      </c>
      <c r="J1028" s="428">
        <v>4244</v>
      </c>
      <c r="K1028" s="428">
        <v>4297</v>
      </c>
      <c r="L1028" s="428">
        <v>4297</v>
      </c>
    </row>
    <row r="1029" spans="1:12">
      <c r="A1029" s="429" t="str">
        <f t="shared" si="29"/>
        <v>24</v>
      </c>
      <c r="B1029" s="429" t="str">
        <f>T("2401014")</f>
        <v>2401014</v>
      </c>
      <c r="C1029" s="637" t="str">
        <f>T("Bidrag till Ingenjörsvetenskapsakademien")</f>
        <v>Bidrag till Ingenjörsvetenskapsakademien</v>
      </c>
      <c r="D1029" s="428">
        <v>5327</v>
      </c>
      <c r="E1029" s="428">
        <v>5327</v>
      </c>
      <c r="F1029" s="428">
        <v>5327</v>
      </c>
      <c r="G1029" s="428">
        <v>5327</v>
      </c>
      <c r="H1029" s="428">
        <v>5327</v>
      </c>
      <c r="I1029" s="428">
        <v>8327</v>
      </c>
      <c r="J1029" s="428">
        <v>8327</v>
      </c>
      <c r="K1029" s="428">
        <v>8327</v>
      </c>
      <c r="L1029" s="428">
        <v>8327</v>
      </c>
    </row>
    <row r="1030" spans="1:12">
      <c r="A1030" s="429" t="str">
        <f t="shared" si="29"/>
        <v>24</v>
      </c>
      <c r="B1030" s="429" t="str">
        <f>T("2401015")</f>
        <v>2401015</v>
      </c>
      <c r="C1030" s="637" t="str">
        <f>T("Konkurrensverket")</f>
        <v>Konkurrensverket</v>
      </c>
      <c r="D1030" s="428">
        <v>83597.57303</v>
      </c>
      <c r="E1030" s="428">
        <v>85922.915009999997</v>
      </c>
      <c r="F1030" s="428">
        <v>100840.51005</v>
      </c>
      <c r="G1030" s="428">
        <v>120944.008</v>
      </c>
      <c r="H1030" s="428">
        <v>123764.44040000001</v>
      </c>
      <c r="I1030" s="428">
        <v>129569.48067</v>
      </c>
      <c r="J1030" s="428">
        <v>131544.91798</v>
      </c>
      <c r="K1030" s="428">
        <v>130185.11165000001</v>
      </c>
      <c r="L1030" s="428">
        <v>140210.32186</v>
      </c>
    </row>
    <row r="1031" spans="1:12">
      <c r="A1031" s="429" t="str">
        <f t="shared" si="29"/>
        <v>24</v>
      </c>
      <c r="B1031" s="429" t="str">
        <f>T("2401015 2011")</f>
        <v>2401015 2011</v>
      </c>
      <c r="C1031" s="637" t="str">
        <f>T("Rymdverksamhet")</f>
        <v>Rymdverksamhet</v>
      </c>
      <c r="D1031" s="428">
        <v>657531.82493</v>
      </c>
      <c r="E1031" s="428">
        <v>615115.67304999998</v>
      </c>
      <c r="F1031" s="428">
        <v>596261.02335000003</v>
      </c>
      <c r="G1031" s="428">
        <v>699433.22782999999</v>
      </c>
      <c r="H1031" s="428">
        <v>668209.42293</v>
      </c>
      <c r="I1031" s="428">
        <v>273762.50474</v>
      </c>
      <c r="K1031" s="428">
        <v>-457.69549999999998</v>
      </c>
    </row>
    <row r="1032" spans="1:12">
      <c r="A1032" s="429" t="str">
        <f t="shared" si="29"/>
        <v>24</v>
      </c>
      <c r="B1032" s="429" t="str">
        <f>T("2401016")</f>
        <v>2401016</v>
      </c>
      <c r="C1032" s="637" t="str">
        <f>T("Konkurrensforskning")</f>
        <v>Konkurrensforskning</v>
      </c>
      <c r="D1032" s="428">
        <v>6639.7258300000003</v>
      </c>
      <c r="E1032" s="428">
        <v>6787.4137899999996</v>
      </c>
      <c r="F1032" s="428">
        <v>6739.7188299999998</v>
      </c>
      <c r="G1032" s="428">
        <v>13107.652179999999</v>
      </c>
      <c r="H1032" s="428">
        <v>12958.614600000001</v>
      </c>
      <c r="I1032" s="428">
        <v>14193.15199</v>
      </c>
      <c r="J1032" s="428">
        <v>12976.91128</v>
      </c>
      <c r="K1032" s="428">
        <v>13834.07863</v>
      </c>
      <c r="L1032" s="428">
        <v>13839.175939999999</v>
      </c>
    </row>
    <row r="1033" spans="1:12">
      <c r="A1033" s="429" t="str">
        <f t="shared" si="29"/>
        <v>24</v>
      </c>
      <c r="B1033" s="429" t="str">
        <f>T("2401017")</f>
        <v>2401017</v>
      </c>
      <c r="C1033" s="637" t="str">
        <f>T("Upprustning och drift av Göta kanal")</f>
        <v>Upprustning och drift av Göta kanal</v>
      </c>
      <c r="D1033" s="428">
        <v>14910</v>
      </c>
      <c r="E1033" s="428">
        <v>14910</v>
      </c>
      <c r="F1033" s="428">
        <v>14910</v>
      </c>
      <c r="G1033" s="428">
        <v>19910</v>
      </c>
      <c r="H1033" s="428">
        <v>19910</v>
      </c>
      <c r="I1033" s="428">
        <v>19910</v>
      </c>
      <c r="J1033" s="428">
        <v>26510</v>
      </c>
      <c r="K1033" s="428">
        <v>25310</v>
      </c>
      <c r="L1033" s="428">
        <v>25310</v>
      </c>
    </row>
    <row r="1034" spans="1:12">
      <c r="A1034" s="429" t="str">
        <f t="shared" si="29"/>
        <v>24</v>
      </c>
      <c r="B1034" s="429" t="str">
        <f>T("2401018")</f>
        <v>2401018</v>
      </c>
      <c r="C1034" s="637" t="str">
        <f>T("Omstrukturering och genomlysning av statligt ägda företag")</f>
        <v>Omstrukturering och genomlysning av statligt ägda företag</v>
      </c>
      <c r="D1034" s="428">
        <v>6793.3567700000003</v>
      </c>
      <c r="E1034" s="428">
        <v>78610.716360000006</v>
      </c>
      <c r="F1034" s="428">
        <v>116558.76801</v>
      </c>
      <c r="G1034" s="428">
        <v>53111.197679999997</v>
      </c>
      <c r="H1034" s="428">
        <v>33607.074050000003</v>
      </c>
      <c r="I1034" s="428">
        <v>17762.97177</v>
      </c>
      <c r="J1034" s="428">
        <v>30031.597440000001</v>
      </c>
      <c r="K1034" s="428">
        <v>22166.454300000001</v>
      </c>
      <c r="L1034" s="428">
        <v>12395.75194</v>
      </c>
    </row>
    <row r="1035" spans="1:12">
      <c r="A1035" s="429" t="str">
        <f t="shared" si="29"/>
        <v>24</v>
      </c>
      <c r="B1035" s="429" t="str">
        <f>T("2401019")</f>
        <v>2401019</v>
      </c>
      <c r="C1035" s="637" t="str">
        <f>T("Kapitalinsatser i statliga bolag")</f>
        <v>Kapitalinsatser i statliga bolag</v>
      </c>
      <c r="F1035" s="428">
        <v>5000000</v>
      </c>
      <c r="G1035" s="428">
        <v>1297905</v>
      </c>
      <c r="H1035" s="428">
        <v>3062787.5</v>
      </c>
      <c r="J1035" s="428">
        <v>1000000</v>
      </c>
    </row>
    <row r="1036" spans="1:12">
      <c r="A1036" s="429" t="str">
        <f t="shared" si="29"/>
        <v>24</v>
      </c>
      <c r="B1036" s="429" t="str">
        <f>T("2401020")</f>
        <v>2401020</v>
      </c>
      <c r="C1036" s="637" t="str">
        <f>T("Avgifter till vissa internationella organisationer")</f>
        <v>Avgifter till vissa internationella organisationer</v>
      </c>
      <c r="D1036" s="428">
        <v>5589.2826800000003</v>
      </c>
      <c r="E1036" s="428">
        <v>5679.8167599999997</v>
      </c>
      <c r="F1036" s="428">
        <v>3983.9536600000001</v>
      </c>
      <c r="G1036" s="428">
        <v>8217.6830499999996</v>
      </c>
      <c r="H1036" s="428">
        <v>6257.6102799999999</v>
      </c>
      <c r="I1036" s="428">
        <v>16016.547979999999</v>
      </c>
      <c r="J1036" s="428">
        <v>16245.839610000001</v>
      </c>
      <c r="K1036" s="428">
        <v>16718.753799999999</v>
      </c>
      <c r="L1036" s="428">
        <v>14793.073630000001</v>
      </c>
    </row>
    <row r="1037" spans="1:12">
      <c r="A1037" s="429" t="str">
        <f t="shared" si="29"/>
        <v>24</v>
      </c>
      <c r="B1037" s="429" t="str">
        <f>T("2401021")</f>
        <v>2401021</v>
      </c>
      <c r="C1037" s="637" t="str">
        <f>T("Finansiering av rättegångskostnader")</f>
        <v>Finansiering av rättegångskostnader</v>
      </c>
      <c r="D1037" s="428">
        <v>252.65199999999999</v>
      </c>
      <c r="E1037" s="428">
        <v>9002.2219999999998</v>
      </c>
      <c r="F1037" s="428">
        <v>3589.8029999999999</v>
      </c>
      <c r="G1037" s="428">
        <v>8529.393</v>
      </c>
      <c r="I1037" s="428">
        <v>177</v>
      </c>
      <c r="J1037" s="428">
        <v>255.839</v>
      </c>
      <c r="K1037" s="428">
        <v>9000</v>
      </c>
      <c r="L1037" s="428">
        <v>1457.585</v>
      </c>
    </row>
    <row r="1038" spans="1:12">
      <c r="A1038" s="429" t="str">
        <f t="shared" si="29"/>
        <v>24</v>
      </c>
      <c r="B1038" s="429" t="str">
        <f>T("2401022")</f>
        <v>2401022</v>
      </c>
      <c r="C1038" s="637" t="str">
        <f>T("Bidrag till företagsutveckling och innovation")</f>
        <v>Bidrag till företagsutveckling och innovation</v>
      </c>
      <c r="H1038" s="428">
        <v>50000</v>
      </c>
      <c r="I1038" s="428">
        <v>110000</v>
      </c>
      <c r="J1038" s="428">
        <v>135000</v>
      </c>
      <c r="K1038" s="428">
        <v>260000</v>
      </c>
      <c r="L1038" s="428">
        <v>259892</v>
      </c>
    </row>
    <row r="1039" spans="1:12">
      <c r="A1039" s="429" t="str">
        <f t="shared" si="29"/>
        <v>24</v>
      </c>
      <c r="B1039" s="429" t="str">
        <f>T("2401024 2010")</f>
        <v>2401024 2010</v>
      </c>
      <c r="C1039" s="637" t="str">
        <f>T("Utvecklingsprogram för ökad konkurrenskraft")</f>
        <v>Utvecklingsprogram för ökad konkurrenskraft</v>
      </c>
      <c r="D1039" s="428">
        <v>160970</v>
      </c>
      <c r="E1039" s="428">
        <v>207395.54298999999</v>
      </c>
      <c r="F1039" s="428">
        <v>207948.13823000001</v>
      </c>
      <c r="G1039" s="428">
        <v>208909.60449999999</v>
      </c>
      <c r="H1039" s="428">
        <v>203993.20008000001</v>
      </c>
    </row>
    <row r="1040" spans="1:12">
      <c r="A1040" s="429" t="str">
        <f t="shared" si="29"/>
        <v>24</v>
      </c>
      <c r="B1040" s="429" t="str">
        <f>T("2401025 2011")</f>
        <v>2401025 2011</v>
      </c>
      <c r="C1040" s="637" t="str">
        <f>T("Avgifter till internationella organisationer")</f>
        <v>Avgifter till internationella organisationer</v>
      </c>
      <c r="I1040" s="428">
        <v>442517.99991999997</v>
      </c>
    </row>
    <row r="1041" spans="1:12">
      <c r="A1041" s="429" t="str">
        <f t="shared" si="29"/>
        <v>24</v>
      </c>
      <c r="B1041" s="429" t="str">
        <f>T("2401026 2010")</f>
        <v>2401026 2010</v>
      </c>
      <c r="C1041" s="637" t="str">
        <f>T("Avvecklingsanslag för Nutek, ITPS och Glesbygdsverket")</f>
        <v>Avvecklingsanslag för Nutek, ITPS och Glesbygdsverket</v>
      </c>
      <c r="G1041" s="428">
        <v>25813.64834</v>
      </c>
      <c r="H1041" s="428">
        <v>13913.76634</v>
      </c>
      <c r="I1041" s="428">
        <v>3250.5357199999999</v>
      </c>
      <c r="J1041" s="428">
        <v>15.836499999999999</v>
      </c>
    </row>
    <row r="1042" spans="1:12">
      <c r="A1042" s="429" t="str">
        <f t="shared" si="29"/>
        <v>24</v>
      </c>
      <c r="B1042" s="429" t="str">
        <f>T("2401026 2011")</f>
        <v>2401026 2011</v>
      </c>
      <c r="C1042" s="637" t="str">
        <f>T("Bolagsverket")</f>
        <v>Bolagsverket</v>
      </c>
      <c r="I1042" s="428">
        <v>1100</v>
      </c>
    </row>
    <row r="1043" spans="1:12">
      <c r="A1043" s="429" t="str">
        <f t="shared" si="29"/>
        <v>24</v>
      </c>
      <c r="B1043" s="429" t="str">
        <f>T("2402001")</f>
        <v>2402001</v>
      </c>
      <c r="C1043" s="637" t="str">
        <f>T("Styrelsen för ackreditering och teknisk kontroll: Myndighetsverksamhet")</f>
        <v>Styrelsen för ackreditering och teknisk kontroll: Myndighetsverksamhet</v>
      </c>
      <c r="D1043" s="428">
        <v>22295.238000000001</v>
      </c>
      <c r="E1043" s="428">
        <v>20060.457999999999</v>
      </c>
      <c r="F1043" s="428">
        <v>20339.503000000001</v>
      </c>
      <c r="G1043" s="428">
        <v>21239.399000000001</v>
      </c>
      <c r="H1043" s="428">
        <v>21554.390100000001</v>
      </c>
      <c r="I1043" s="428">
        <v>22119.879499999999</v>
      </c>
      <c r="J1043" s="428">
        <v>23266.924889999998</v>
      </c>
      <c r="K1043" s="428">
        <v>22967.6109</v>
      </c>
      <c r="L1043" s="428">
        <v>24112.265920000002</v>
      </c>
    </row>
    <row r="1044" spans="1:12">
      <c r="A1044" s="429" t="str">
        <f t="shared" si="29"/>
        <v>24</v>
      </c>
      <c r="B1044" s="429" t="str">
        <f>T("2402002")</f>
        <v>2402002</v>
      </c>
      <c r="C1044" s="637" t="str">
        <f>T("Kommerskollegium")</f>
        <v>Kommerskollegium</v>
      </c>
      <c r="D1044" s="428">
        <v>62413.502950000002</v>
      </c>
      <c r="E1044" s="428">
        <v>70253.575760000007</v>
      </c>
      <c r="F1044" s="428">
        <v>65650.800380000001</v>
      </c>
      <c r="G1044" s="428">
        <v>77851.176890000002</v>
      </c>
      <c r="H1044" s="428">
        <v>76756.253509999995</v>
      </c>
      <c r="I1044" s="428">
        <v>79179.193840000007</v>
      </c>
      <c r="J1044" s="428">
        <v>78065.792740000004</v>
      </c>
      <c r="K1044" s="428">
        <v>80281.176779999994</v>
      </c>
      <c r="L1044" s="428">
        <v>82025.706439999994</v>
      </c>
    </row>
    <row r="1045" spans="1:12">
      <c r="A1045" s="429" t="str">
        <f t="shared" si="29"/>
        <v>24</v>
      </c>
      <c r="B1045" s="429" t="str">
        <f>T("2402003")</f>
        <v>2402003</v>
      </c>
      <c r="C1045" s="637" t="str">
        <f>T("Exportfrämjande verksamhet")</f>
        <v>Exportfrämjande verksamhet</v>
      </c>
      <c r="D1045" s="428">
        <v>303259.48206000001</v>
      </c>
      <c r="E1045" s="428">
        <v>226845.21056000001</v>
      </c>
      <c r="F1045" s="428">
        <v>235662.01022</v>
      </c>
      <c r="G1045" s="428">
        <v>249096.64994</v>
      </c>
      <c r="H1045" s="428">
        <v>203596.72047</v>
      </c>
      <c r="I1045" s="428">
        <v>224168.02079000001</v>
      </c>
      <c r="J1045" s="428">
        <v>243136.62862999999</v>
      </c>
      <c r="K1045" s="428">
        <v>241968.61841</v>
      </c>
      <c r="L1045" s="428">
        <v>242594.80454000001</v>
      </c>
    </row>
    <row r="1046" spans="1:12">
      <c r="A1046" s="429" t="str">
        <f t="shared" si="29"/>
        <v>24</v>
      </c>
      <c r="B1046" s="429" t="str">
        <f>T("2402004")</f>
        <v>2402004</v>
      </c>
      <c r="C1046" s="637" t="str">
        <f>T("Investeringsfrämjande")</f>
        <v>Investeringsfrämjande</v>
      </c>
      <c r="D1046" s="428">
        <v>67434.464489999998</v>
      </c>
      <c r="E1046" s="428">
        <v>54172.275909999997</v>
      </c>
      <c r="F1046" s="428">
        <v>58319.397969999998</v>
      </c>
      <c r="G1046" s="428">
        <v>56916.940340000001</v>
      </c>
      <c r="H1046" s="428">
        <v>58370.687160000001</v>
      </c>
      <c r="I1046" s="428">
        <v>58832.722730000001</v>
      </c>
      <c r="J1046" s="428">
        <v>57699.040699999998</v>
      </c>
      <c r="K1046" s="428">
        <v>90400.722380000007</v>
      </c>
      <c r="L1046" s="428">
        <v>56439.03428</v>
      </c>
    </row>
    <row r="1047" spans="1:12">
      <c r="A1047" s="429" t="str">
        <f t="shared" si="29"/>
        <v>24</v>
      </c>
      <c r="B1047" s="429" t="str">
        <f>T("2402005")</f>
        <v>2402005</v>
      </c>
      <c r="C1047" s="637" t="str">
        <f>T("Avgifter till internationella handelsorganisationer")</f>
        <v>Avgifter till internationella handelsorganisationer</v>
      </c>
      <c r="D1047" s="428">
        <v>15506.33078</v>
      </c>
      <c r="E1047" s="428">
        <v>15171.775750000001</v>
      </c>
      <c r="F1047" s="428">
        <v>15705.991480000001</v>
      </c>
      <c r="G1047" s="428">
        <v>19527.937750000001</v>
      </c>
      <c r="H1047" s="428">
        <v>18969.9143</v>
      </c>
      <c r="I1047" s="428">
        <v>19775.558990000001</v>
      </c>
      <c r="J1047" s="428">
        <v>19811.811409999998</v>
      </c>
      <c r="K1047" s="428">
        <v>18314.425459999999</v>
      </c>
      <c r="L1047" s="428">
        <v>18705.91115</v>
      </c>
    </row>
    <row r="1048" spans="1:12">
      <c r="A1048" s="429" t="str">
        <f t="shared" si="29"/>
        <v>24</v>
      </c>
      <c r="B1048" s="429" t="str">
        <f>T("2402006")</f>
        <v>2402006</v>
      </c>
      <c r="C1048" s="637" t="str">
        <f>T("Bidrag till standardiseringen")</f>
        <v>Bidrag till standardiseringen</v>
      </c>
      <c r="D1048" s="428">
        <v>29349</v>
      </c>
      <c r="E1048" s="428">
        <v>29604</v>
      </c>
      <c r="F1048" s="428">
        <v>29793</v>
      </c>
      <c r="G1048" s="428">
        <v>30600</v>
      </c>
      <c r="H1048" s="428">
        <v>31074</v>
      </c>
      <c r="I1048" s="428">
        <v>31512</v>
      </c>
      <c r="J1048" s="428">
        <v>30719</v>
      </c>
      <c r="K1048" s="428">
        <v>31121</v>
      </c>
      <c r="L1048" s="428">
        <v>31119</v>
      </c>
    </row>
    <row r="1049" spans="1:12">
      <c r="A1049" s="429" t="str">
        <f t="shared" si="29"/>
        <v>24</v>
      </c>
      <c r="B1049" s="429" t="str">
        <f>T("243810 2007")</f>
        <v>243810 2007</v>
      </c>
      <c r="C1049" s="637" t="str">
        <f>T("Upprätthållande av nationell metrologi m.m.")</f>
        <v>Upprätthållande av nationell metrologi m.m.</v>
      </c>
      <c r="D1049" s="428">
        <v>28154.600999999999</v>
      </c>
      <c r="E1049" s="428">
        <v>28121.475569999999</v>
      </c>
    </row>
    <row r="1050" spans="1:12">
      <c r="A1050" s="429" t="str">
        <f t="shared" si="29"/>
        <v>24</v>
      </c>
      <c r="B1050" s="429" t="str">
        <f>T("243818 2004")</f>
        <v>243818 2004</v>
      </c>
      <c r="C1050" s="637" t="str">
        <f>T("Täckande av förluster vid viss garantigivning m.m.")</f>
        <v>Täckande av förluster vid viss garantigivning m.m.</v>
      </c>
    </row>
    <row r="1051" spans="1:12">
      <c r="A1051" s="429" t="str">
        <f t="shared" si="29"/>
        <v>24</v>
      </c>
      <c r="B1051" s="429" t="str">
        <f>T("243904 2004")</f>
        <v>243904 2004</v>
      </c>
      <c r="C1051" s="637" t="str">
        <f>T("AB Svensk Exportkredits statsstödda exportkreditgivning")</f>
        <v>AB Svensk Exportkredits statsstödda exportkreditgivning</v>
      </c>
    </row>
    <row r="1052" spans="1:12">
      <c r="A1052" s="429" t="str">
        <f t="shared" si="29"/>
        <v>24</v>
      </c>
      <c r="B1052" s="429" t="str">
        <f>T("243906 2003")</f>
        <v>243906 2003</v>
      </c>
      <c r="C1052" s="637" t="str">
        <f>T("Näringslivsutveckling i Östersjöregionen")</f>
        <v>Näringslivsutveckling i Östersjöregionen</v>
      </c>
      <c r="D1052" s="428">
        <v>-16350.139709999999</v>
      </c>
    </row>
    <row r="1053" spans="1:12">
      <c r="A1053" s="429" t="str">
        <f t="shared" si="29"/>
        <v>24</v>
      </c>
      <c r="B1053" s="429" t="str">
        <f>T("24A001 2000")</f>
        <v>24A001 2000</v>
      </c>
      <c r="C1053" s="637" t="str">
        <f>T("Närings- och teknikutvecklingsverket: Förvaltningskostnader")</f>
        <v>Närings- och teknikutvecklingsverket: Förvaltningskostnader</v>
      </c>
    </row>
    <row r="1054" spans="1:12">
      <c r="A1054" s="429" t="str">
        <f t="shared" si="29"/>
        <v>24</v>
      </c>
      <c r="B1054" s="429" t="str">
        <f>T("24A002 2000")</f>
        <v>24A002 2000</v>
      </c>
      <c r="C1054" s="637" t="str">
        <f>T("Småföretagsutveckling")</f>
        <v>Småföretagsutveckling</v>
      </c>
    </row>
    <row r="1055" spans="1:12">
      <c r="A1055" s="429" t="str">
        <f t="shared" si="29"/>
        <v>24</v>
      </c>
      <c r="B1055" s="429" t="str">
        <f>T("24A003 2000")</f>
        <v>24A003 2000</v>
      </c>
      <c r="C1055" s="637" t="str">
        <f>T("Stöd till kooperativ utveckling")</f>
        <v>Stöd till kooperativ utveckling</v>
      </c>
    </row>
    <row r="1056" spans="1:12">
      <c r="A1056" s="429" t="str">
        <f t="shared" si="29"/>
        <v>24</v>
      </c>
      <c r="B1056" s="429" t="str">
        <f>T("24A008 2000")</f>
        <v>24A008 2000</v>
      </c>
      <c r="C1056" s="637" t="str">
        <f>T("Fortsatt program för småföretagsutveckling förnyelse och tillväxt")</f>
        <v>Fortsatt program för småföretagsutveckling förnyelse och tillväxt</v>
      </c>
    </row>
    <row r="1057" spans="1:12">
      <c r="A1057" s="429" t="str">
        <f t="shared" si="29"/>
        <v>24</v>
      </c>
      <c r="B1057" s="429" t="str">
        <f>T("24A009 1997")</f>
        <v>24A009 1997</v>
      </c>
      <c r="C1057" s="637" t="str">
        <f>T("Sveriges geologiska undersökning: Geologisk undersökningsverksamhet m.m")</f>
        <v>Sveriges geologiska undersökning: Geologisk undersökningsverksamhet m.m</v>
      </c>
    </row>
    <row r="1058" spans="1:12">
      <c r="A1058" s="429" t="str">
        <f t="shared" si="29"/>
        <v>24</v>
      </c>
      <c r="B1058" s="429" t="str">
        <f>T("24A009 2000")</f>
        <v>24A009 2000</v>
      </c>
      <c r="C1058" s="637" t="str">
        <f>T("Miljöteknikdelegationen")</f>
        <v>Miljöteknikdelegationen</v>
      </c>
    </row>
    <row r="1059" spans="1:12">
      <c r="A1059" s="429" t="str">
        <f t="shared" si="29"/>
        <v>24</v>
      </c>
      <c r="B1059" s="429" t="str">
        <f>T("24B007 1999")</f>
        <v>24B007 1999</v>
      </c>
      <c r="C1059" s="637" t="str">
        <f>T("Patent och registreringsverket: Finansiering av viss verksamhet (likvidatorer)")</f>
        <v>Patent och registreringsverket: Finansiering av viss verksamhet (likvidatorer)</v>
      </c>
    </row>
    <row r="1060" spans="1:12">
      <c r="A1060" s="429" t="str">
        <f t="shared" si="29"/>
        <v>24</v>
      </c>
      <c r="B1060" s="429" t="str">
        <f>T("24D001 2000")</f>
        <v>24D001 2000</v>
      </c>
      <c r="C1060" s="637" t="str">
        <f>T("Teknisk forskning och utveckling")</f>
        <v>Teknisk forskning och utveckling</v>
      </c>
    </row>
    <row r="1061" spans="1:12">
      <c r="A1061" s="429" t="str">
        <f t="shared" si="29"/>
        <v>24</v>
      </c>
      <c r="B1061" s="429" t="str">
        <f>T("24D004 2000")</f>
        <v>24D004 2000</v>
      </c>
      <c r="C1061" s="637" t="str">
        <f>T("Bidrag till Stiftelsen Sveriges teknisk-vetenskapliga attachéverksamhet")</f>
        <v>Bidrag till Stiftelsen Sveriges teknisk-vetenskapliga attachéverksamhet</v>
      </c>
    </row>
    <row r="1062" spans="1:12">
      <c r="A1062" s="429" t="str">
        <f t="shared" ref="A1062:A1065" si="30">T("24")</f>
        <v>24</v>
      </c>
      <c r="B1062" s="429" t="str">
        <f>T("24E003 1998")</f>
        <v>24E003 1998</v>
      </c>
      <c r="C1062" s="637" t="str">
        <f>T("Exportkreditnämnden")</f>
        <v>Exportkreditnämnden</v>
      </c>
    </row>
    <row r="1063" spans="1:12">
      <c r="A1063" s="429" t="str">
        <f t="shared" si="30"/>
        <v>24</v>
      </c>
      <c r="B1063" s="429" t="str">
        <f>T("24E006 1998")</f>
        <v>24E006 1998</v>
      </c>
      <c r="C1063" s="637" t="str">
        <f>T("Världsutställningen i Hannover år 2000")</f>
        <v>Världsutställningen i Hannover år 2000</v>
      </c>
    </row>
    <row r="1064" spans="1:12">
      <c r="A1064" s="429" t="str">
        <f t="shared" si="30"/>
        <v>24</v>
      </c>
      <c r="B1064" s="429" t="str">
        <f>T("24F005 2000")</f>
        <v>24F005 2000</v>
      </c>
      <c r="C1064" s="637" t="str">
        <f>T("Stöd till konsumentorganisationer")</f>
        <v>Stöd till konsumentorganisationer</v>
      </c>
    </row>
    <row r="1065" spans="1:12">
      <c r="A1065" s="429" t="str">
        <f t="shared" si="30"/>
        <v>24</v>
      </c>
      <c r="B1065" s="429" t="str">
        <f>T("24F006 2000")</f>
        <v>24F006 2000</v>
      </c>
      <c r="C1065" s="637" t="str">
        <f>T("Stöd till konsumentforskning")</f>
        <v>Stöd till konsumentforskning</v>
      </c>
    </row>
    <row r="1066" spans="1:12">
      <c r="A1066" s="430" t="s">
        <v>1658</v>
      </c>
      <c r="B1066" s="430"/>
      <c r="C1066" s="430" t="str">
        <f>T("Näringsliv")</f>
        <v>Näringsliv</v>
      </c>
      <c r="D1066" s="431">
        <v>3891851.2102899998</v>
      </c>
      <c r="E1066" s="431">
        <v>4229753.3712400002</v>
      </c>
      <c r="F1066" s="431">
        <v>12738697.56521</v>
      </c>
      <c r="G1066" s="431">
        <v>6539815.4264599998</v>
      </c>
      <c r="H1066" s="431">
        <v>8478379.7618199997</v>
      </c>
      <c r="I1066" s="431">
        <v>5344291.4355600001</v>
      </c>
      <c r="J1066" s="431">
        <v>5882480.1921899999</v>
      </c>
      <c r="K1066" s="431">
        <v>5247950.8685100004</v>
      </c>
      <c r="L1066" s="431">
        <v>5439021.9200799996</v>
      </c>
    </row>
    <row r="1067" spans="1:12">
      <c r="A1067" s="429" t="str">
        <f t="shared" ref="A1067:A1075" si="31">T("25")</f>
        <v>25</v>
      </c>
      <c r="B1067" s="429" t="str">
        <f>T("2501001")</f>
        <v>2501001</v>
      </c>
      <c r="C1067" s="637" t="str">
        <f>T("Kommunalekonomisk utjämning")</f>
        <v>Kommunalekonomisk utjämning</v>
      </c>
      <c r="D1067" s="428">
        <v>58129000</v>
      </c>
      <c r="E1067" s="428">
        <v>70813211.144999996</v>
      </c>
      <c r="F1067" s="428">
        <v>62497991</v>
      </c>
      <c r="G1067" s="428">
        <v>64771940.995999999</v>
      </c>
      <c r="H1067" s="428">
        <v>72749247.841000006</v>
      </c>
      <c r="I1067" s="428">
        <v>85003373.002000004</v>
      </c>
      <c r="J1067" s="428">
        <v>81975062.991999999</v>
      </c>
      <c r="K1067" s="428">
        <v>85603206.015000001</v>
      </c>
      <c r="L1067" s="428">
        <v>90128417.997999996</v>
      </c>
    </row>
    <row r="1068" spans="1:12">
      <c r="A1068" s="429" t="str">
        <f t="shared" si="31"/>
        <v>25</v>
      </c>
      <c r="B1068" s="429" t="str">
        <f>T("2501002")</f>
        <v>2501002</v>
      </c>
      <c r="C1068" s="637" t="str">
        <f>T("Utjämningsbidrag för LSS-kostnader")</f>
        <v>Utjämningsbidrag för LSS-kostnader</v>
      </c>
      <c r="D1068" s="428">
        <v>1898145.1429999999</v>
      </c>
      <c r="E1068" s="428">
        <v>2137548.5419999999</v>
      </c>
      <c r="F1068" s="428">
        <v>2259063.4070000001</v>
      </c>
      <c r="G1068" s="428">
        <v>2807887.4950000001</v>
      </c>
      <c r="H1068" s="428">
        <v>2933385.0279999999</v>
      </c>
      <c r="I1068" s="428">
        <v>3014600.0329999998</v>
      </c>
      <c r="J1068" s="428">
        <v>3156684.8960000002</v>
      </c>
      <c r="K1068" s="428">
        <v>3306108.9419999998</v>
      </c>
      <c r="L1068" s="428">
        <v>3465328.818</v>
      </c>
    </row>
    <row r="1069" spans="1:12">
      <c r="A1069" s="429" t="str">
        <f t="shared" si="31"/>
        <v>25</v>
      </c>
      <c r="B1069" s="429" t="str">
        <f>T("2501003")</f>
        <v>2501003</v>
      </c>
      <c r="C1069" s="637" t="str">
        <f>T("Bidrag till kommunalekonomiska organisationer")</f>
        <v>Bidrag till kommunalekonomiska organisationer</v>
      </c>
      <c r="D1069" s="428">
        <v>3750</v>
      </c>
      <c r="E1069" s="428">
        <v>8050</v>
      </c>
      <c r="F1069" s="428">
        <v>8050</v>
      </c>
      <c r="G1069" s="428">
        <v>8050</v>
      </c>
      <c r="H1069" s="428">
        <v>6350</v>
      </c>
      <c r="I1069" s="428">
        <v>4050</v>
      </c>
      <c r="J1069" s="428">
        <v>6550</v>
      </c>
      <c r="K1069" s="428">
        <v>5350</v>
      </c>
      <c r="L1069" s="428">
        <v>5350</v>
      </c>
    </row>
    <row r="1070" spans="1:12">
      <c r="A1070" s="429" t="str">
        <f t="shared" si="31"/>
        <v>25</v>
      </c>
      <c r="B1070" s="429" t="str">
        <f>T("2501004 2009")</f>
        <v>2501004 2009</v>
      </c>
      <c r="C1070" s="637" t="str">
        <f>T("Tillfälligt konjunkturstöd till kommuner och landsting")</f>
        <v>Tillfälligt konjunkturstöd till kommuner och landsting</v>
      </c>
      <c r="G1070" s="428">
        <v>14000000</v>
      </c>
    </row>
    <row r="1071" spans="1:12">
      <c r="A1071" s="429" t="str">
        <f t="shared" si="31"/>
        <v>25</v>
      </c>
      <c r="B1071" s="429" t="str">
        <f>T("254801 2004")</f>
        <v>254801 2004</v>
      </c>
      <c r="C1071" s="637" t="str">
        <f>T("Generellt statsbidrag till kommuner och landsting")</f>
        <v>Generellt statsbidrag till kommuner och landsting</v>
      </c>
    </row>
    <row r="1072" spans="1:12">
      <c r="A1072" s="429" t="str">
        <f t="shared" si="31"/>
        <v>25</v>
      </c>
      <c r="B1072" s="429" t="str">
        <f>T("254802 2006")</f>
        <v>254802 2006</v>
      </c>
      <c r="C1072" s="637" t="str">
        <f>T("Bidrag till särskilda insatser i vissa kommuner och landsting")</f>
        <v>Bidrag till särskilda insatser i vissa kommuner och landsting</v>
      </c>
      <c r="D1072" s="428">
        <v>215542.31877000001</v>
      </c>
      <c r="E1072" s="428">
        <v>15718.528120000001</v>
      </c>
      <c r="F1072" s="428">
        <v>4800.6627699999999</v>
      </c>
      <c r="G1072" s="428">
        <v>1284.47882</v>
      </c>
      <c r="H1072" s="428">
        <v>2266.6660000000002</v>
      </c>
      <c r="I1072" s="428">
        <v>1333.3340000000001</v>
      </c>
    </row>
    <row r="1073" spans="1:12">
      <c r="A1073" s="429" t="str">
        <f t="shared" si="31"/>
        <v>25</v>
      </c>
      <c r="B1073" s="429" t="str">
        <f>T("254803 2004")</f>
        <v>254803 2004</v>
      </c>
      <c r="C1073" s="637" t="str">
        <f>T("Statligt utjämningsbidrag till kommuner och landsting")</f>
        <v>Statligt utjämningsbidrag till kommuner och landsting</v>
      </c>
    </row>
    <row r="1074" spans="1:12">
      <c r="A1074" s="429" t="str">
        <f t="shared" si="31"/>
        <v>25</v>
      </c>
      <c r="B1074" s="429" t="str">
        <f>T("254805 2004")</f>
        <v>254805 2004</v>
      </c>
      <c r="C1074" s="637" t="str">
        <f>T("Bidrag för ökad tillgänglighet i hälso- och sjukvården")</f>
        <v>Bidrag för ökad tillgänglighet i hälso- och sjukvården</v>
      </c>
    </row>
    <row r="1075" spans="1:12">
      <c r="A1075" s="429" t="str">
        <f t="shared" si="31"/>
        <v>25</v>
      </c>
      <c r="B1075" s="429" t="str">
        <f>T("25A005 1999")</f>
        <v>25A005 1999</v>
      </c>
      <c r="C1075" s="637" t="str">
        <f>T("Bidrag till kommuners och landstings skatteinkomster år 1997 ")</f>
        <v xml:space="preserve">Bidrag till kommuners och landstings skatteinkomster år 1997 </v>
      </c>
    </row>
    <row r="1076" spans="1:12">
      <c r="A1076" s="430" t="s">
        <v>1659</v>
      </c>
      <c r="B1076" s="430"/>
      <c r="C1076" s="430" t="str">
        <f>T("Allmänna bidrag till kommuner")</f>
        <v>Allmänna bidrag till kommuner</v>
      </c>
      <c r="D1076" s="431">
        <v>60246437.461769998</v>
      </c>
      <c r="E1076" s="431">
        <v>72974528.215120003</v>
      </c>
      <c r="F1076" s="431">
        <v>64769905.069770001</v>
      </c>
      <c r="G1076" s="431">
        <v>81589162.969819993</v>
      </c>
      <c r="H1076" s="431">
        <v>75691249.534999996</v>
      </c>
      <c r="I1076" s="431">
        <v>88023356.369000003</v>
      </c>
      <c r="J1076" s="431">
        <v>85138297.887999997</v>
      </c>
      <c r="K1076" s="431">
        <v>88914664.957000002</v>
      </c>
      <c r="L1076" s="431">
        <v>93599096.816</v>
      </c>
    </row>
    <row r="1077" spans="1:12">
      <c r="A1077" s="429" t="str">
        <f>T("26")</f>
        <v>26</v>
      </c>
      <c r="B1077" s="429" t="str">
        <f>T("2601001")</f>
        <v>2601001</v>
      </c>
      <c r="C1077" s="637" t="str">
        <f>T("Räntor på statsskulden")</f>
        <v>Räntor på statsskulden</v>
      </c>
      <c r="D1077" s="428">
        <v>49374070.46452</v>
      </c>
      <c r="E1077" s="428">
        <v>47160637.348810002</v>
      </c>
      <c r="F1077" s="428">
        <v>33126316.26991</v>
      </c>
      <c r="G1077" s="428">
        <v>31142870.335790001</v>
      </c>
      <c r="H1077" s="428">
        <v>23251611.369180001</v>
      </c>
      <c r="I1077" s="428">
        <v>34373704.205949999</v>
      </c>
      <c r="J1077" s="428">
        <v>27298522.786260001</v>
      </c>
      <c r="K1077" s="428">
        <v>16694364.831970001</v>
      </c>
      <c r="L1077" s="428">
        <v>3199931.5453400002</v>
      </c>
    </row>
    <row r="1078" spans="1:12">
      <c r="A1078" s="429" t="str">
        <f>T("26")</f>
        <v>26</v>
      </c>
      <c r="B1078" s="429" t="str">
        <f>T("2601002")</f>
        <v>2601002</v>
      </c>
      <c r="C1078" s="637" t="str">
        <f>T("Oförutsedda utgifter")</f>
        <v>Oförutsedda utgifter</v>
      </c>
      <c r="D1078" s="428">
        <v>9804.3580000000002</v>
      </c>
      <c r="E1078" s="428">
        <v>8266.4424999999992</v>
      </c>
      <c r="F1078" s="428">
        <v>10810.373600000001</v>
      </c>
      <c r="G1078" s="428">
        <v>417.10059999999999</v>
      </c>
      <c r="H1078" s="428">
        <v>935.56500000000005</v>
      </c>
      <c r="I1078" s="428">
        <v>27.126899999999999</v>
      </c>
      <c r="J1078" s="428">
        <v>638.9538</v>
      </c>
      <c r="K1078" s="428">
        <v>2937.5729999999999</v>
      </c>
      <c r="L1078" s="428">
        <v>10432.15677</v>
      </c>
    </row>
    <row r="1079" spans="1:12">
      <c r="A1079" s="429" t="str">
        <f>T("26")</f>
        <v>26</v>
      </c>
      <c r="B1079" s="429" t="str">
        <f>T("2601003")</f>
        <v>2601003</v>
      </c>
      <c r="C1079" s="637" t="str">
        <f>T("Riksgäldskontorets provisionsutgifter")</f>
        <v>Riksgäldskontorets provisionsutgifter</v>
      </c>
      <c r="D1079" s="428">
        <v>88403.92856</v>
      </c>
      <c r="E1079" s="428">
        <v>85852.406359999994</v>
      </c>
      <c r="F1079" s="428">
        <v>68675.283949999997</v>
      </c>
      <c r="G1079" s="428">
        <v>212288.67180000001</v>
      </c>
      <c r="H1079" s="428">
        <v>108762.0848</v>
      </c>
      <c r="I1079" s="428">
        <v>117527.73836</v>
      </c>
      <c r="J1079" s="428">
        <v>81917.618059999993</v>
      </c>
      <c r="K1079" s="428">
        <v>76927.659119999997</v>
      </c>
      <c r="L1079" s="428">
        <v>115132.11479000001</v>
      </c>
    </row>
    <row r="1080" spans="1:12">
      <c r="A1080" s="429" t="str">
        <f>T("26")</f>
        <v>26</v>
      </c>
      <c r="B1080" s="429" t="str">
        <f>T("2601004 2009")</f>
        <v>2601004 2009</v>
      </c>
      <c r="C1080" s="637" t="str">
        <f>T("Övergångseffekter av kostnadsmässig avräkning")</f>
        <v>Övergångseffekter av kostnadsmässig avräkning</v>
      </c>
      <c r="G1080" s="428">
        <v>5106958.9484200003</v>
      </c>
      <c r="H1080" s="428">
        <v>-114.4049</v>
      </c>
    </row>
    <row r="1081" spans="1:12">
      <c r="A1081" s="429" t="str">
        <f>T("26")</f>
        <v>26</v>
      </c>
      <c r="B1081" s="429" t="str">
        <f>T("269205 2008")</f>
        <v>269205 2008</v>
      </c>
      <c r="C1081" s="637" t="str">
        <f>T("Tillskott till stabilitetsfonden")</f>
        <v>Tillskott till stabilitetsfonden</v>
      </c>
      <c r="F1081" s="428">
        <v>15000000</v>
      </c>
    </row>
    <row r="1082" spans="1:12">
      <c r="A1082" s="430" t="s">
        <v>1660</v>
      </c>
      <c r="B1082" s="430"/>
      <c r="C1082" s="430" t="str">
        <f>T("Statsskuldsräntor m.m.")</f>
        <v>Statsskuldsräntor m.m.</v>
      </c>
      <c r="D1082" s="431">
        <v>49472278.751079999</v>
      </c>
      <c r="E1082" s="431">
        <v>47254756.197669998</v>
      </c>
      <c r="F1082" s="431">
        <v>48205801.92746</v>
      </c>
      <c r="G1082" s="431">
        <v>36462535.056610003</v>
      </c>
      <c r="H1082" s="431">
        <v>23361194.614080001</v>
      </c>
      <c r="I1082" s="431">
        <v>34491259.071209997</v>
      </c>
      <c r="J1082" s="431">
        <v>27381079.358120002</v>
      </c>
      <c r="K1082" s="431">
        <v>16774230.06409</v>
      </c>
      <c r="L1082" s="431">
        <v>3325495.8169</v>
      </c>
    </row>
    <row r="1083" spans="1:12">
      <c r="A1083" s="429" t="str">
        <f>T("27")</f>
        <v>27</v>
      </c>
      <c r="B1083" s="429" t="str">
        <f>T("2701001")</f>
        <v>2701001</v>
      </c>
      <c r="C1083" s="637" t="str">
        <f>T("Avgiften till Europeiska unionen")</f>
        <v>Avgiften till Europeiska unionen</v>
      </c>
      <c r="D1083" s="428">
        <v>25920171.424389999</v>
      </c>
      <c r="E1083" s="428">
        <v>26634542.29073</v>
      </c>
      <c r="F1083" s="428">
        <v>31525830.10619</v>
      </c>
      <c r="G1083" s="428">
        <v>19192169.671700001</v>
      </c>
      <c r="H1083" s="428">
        <v>30406698.946899999</v>
      </c>
      <c r="I1083" s="428">
        <v>30595641.747129999</v>
      </c>
      <c r="J1083" s="428">
        <v>31451946.75891</v>
      </c>
      <c r="K1083" s="428">
        <v>37412066.812509999</v>
      </c>
      <c r="L1083" s="428">
        <v>41552980.038840003</v>
      </c>
    </row>
    <row r="1084" spans="1:12">
      <c r="A1084" s="429" t="str">
        <f>T("27")</f>
        <v>27</v>
      </c>
      <c r="B1084" s="429" t="str">
        <f>T("27A001 1998")</f>
        <v>27A001 1998</v>
      </c>
      <c r="C1084" s="637" t="str">
        <f>T("Tullavgift")</f>
        <v>Tullavgift</v>
      </c>
    </row>
    <row r="1085" spans="1:12">
      <c r="A1085" s="429" t="str">
        <f>T("27")</f>
        <v>27</v>
      </c>
      <c r="B1085" s="429" t="str">
        <f>T("27A002 1998")</f>
        <v>27A002 1998</v>
      </c>
      <c r="C1085" s="637" t="str">
        <f>T("Särskilda jordbrukstullar och sockeravgifter")</f>
        <v>Särskilda jordbrukstullar och sockeravgifter</v>
      </c>
    </row>
    <row r="1086" spans="1:12">
      <c r="A1086" s="429" t="str">
        <f>T("27")</f>
        <v>27</v>
      </c>
      <c r="B1086" s="429" t="str">
        <f>T("27A003 1998")</f>
        <v>27A003 1998</v>
      </c>
      <c r="C1086" s="637" t="str">
        <f>T("Mervärdesskattebaserad avgift")</f>
        <v>Mervärdesskattebaserad avgift</v>
      </c>
    </row>
    <row r="1087" spans="1:12">
      <c r="A1087" s="429" t="str">
        <f>T("27")</f>
        <v>27</v>
      </c>
      <c r="B1087" s="429" t="str">
        <f>T("27A004 1998")</f>
        <v>27A004 1998</v>
      </c>
      <c r="C1087" s="637" t="str">
        <f>T("Avgift baserad på bruttonationalinkomsten")</f>
        <v>Avgift baserad på bruttonationalinkomsten</v>
      </c>
    </row>
    <row r="1088" spans="1:12">
      <c r="A1088" s="430" t="s">
        <v>1661</v>
      </c>
      <c r="B1088" s="430"/>
      <c r="C1088" s="430" t="str">
        <f>T("Avgiften till Europeiska unionen")</f>
        <v>Avgiften till Europeiska unionen</v>
      </c>
      <c r="D1088" s="431">
        <v>25920171.424389999</v>
      </c>
      <c r="E1088" s="431">
        <v>26634542.29073</v>
      </c>
      <c r="F1088" s="431">
        <v>31525830.10619</v>
      </c>
      <c r="G1088" s="431">
        <v>19192169.671700001</v>
      </c>
      <c r="H1088" s="431">
        <v>30406698.946899999</v>
      </c>
      <c r="I1088" s="431">
        <v>30595641.747129999</v>
      </c>
      <c r="J1088" s="431">
        <v>31451946.75891</v>
      </c>
      <c r="K1088" s="431">
        <v>37412066.812509999</v>
      </c>
      <c r="L1088" s="431">
        <v>41552980.038840003</v>
      </c>
    </row>
    <row r="1089" spans="1:12">
      <c r="A1089" s="430"/>
      <c r="B1089" s="430"/>
      <c r="C1089" s="430"/>
      <c r="D1089" s="431"/>
      <c r="E1089" s="431"/>
      <c r="F1089" s="431"/>
      <c r="G1089" s="431"/>
      <c r="H1089" s="431"/>
      <c r="I1089" s="431"/>
      <c r="J1089" s="431"/>
      <c r="K1089" s="431"/>
      <c r="L1089" s="431"/>
    </row>
    <row r="1090" spans="1:12">
      <c r="A1090" s="728"/>
      <c r="B1090" s="717" t="s">
        <v>1662</v>
      </c>
      <c r="C1090" s="718" t="s">
        <v>1663</v>
      </c>
      <c r="D1090" s="719">
        <v>765537814.86553013</v>
      </c>
      <c r="E1090" s="719">
        <v>769171684.94422996</v>
      </c>
      <c r="F1090" s="719">
        <v>790263216.63899982</v>
      </c>
      <c r="G1090" s="719">
        <v>781269706.37239027</v>
      </c>
      <c r="H1090" s="719">
        <v>786388761.63421977</v>
      </c>
      <c r="I1090" s="719">
        <v>801478156.13788998</v>
      </c>
      <c r="J1090" s="719">
        <v>811087564.63528991</v>
      </c>
      <c r="K1090" s="719">
        <v>827388151.92382014</v>
      </c>
      <c r="L1090" s="719">
        <v>840871736.52930009</v>
      </c>
    </row>
    <row r="1091" spans="1:12">
      <c r="A1091" s="727"/>
      <c r="B1091" s="721" t="s">
        <v>1664</v>
      </c>
      <c r="C1091" s="726" t="s">
        <v>1665</v>
      </c>
      <c r="D1091" s="723">
        <v>716065536.1144501</v>
      </c>
      <c r="E1091" s="723">
        <v>721916928.74655998</v>
      </c>
      <c r="F1091" s="723">
        <v>742057414.71153986</v>
      </c>
      <c r="G1091" s="723">
        <v>744807171.31578028</v>
      </c>
      <c r="H1091" s="723">
        <v>763027567.02013981</v>
      </c>
      <c r="I1091" s="723">
        <v>766986897.06667995</v>
      </c>
      <c r="J1091" s="723">
        <v>783706485.27716994</v>
      </c>
      <c r="K1091" s="723">
        <v>810613921.85973012</v>
      </c>
      <c r="L1091" s="723">
        <v>837546240.71240008</v>
      </c>
    </row>
    <row r="1092" spans="1:12">
      <c r="A1092" s="429" t="str">
        <f>T("91")</f>
        <v>91</v>
      </c>
      <c r="B1092" s="429" t="str">
        <f>T("919601")</f>
        <v>919601</v>
      </c>
      <c r="C1092" s="637" t="str">
        <f>T("Kassamässig korrigering")</f>
        <v>Kassamässig korrigering</v>
      </c>
      <c r="D1092" s="428">
        <v>-1097590.78639</v>
      </c>
      <c r="E1092" s="428">
        <v>-4325431.3354099998</v>
      </c>
      <c r="F1092" s="428">
        <v>3713257.2239700002</v>
      </c>
      <c r="G1092" s="428">
        <v>-270039.11391999997</v>
      </c>
      <c r="H1092" s="428">
        <v>3408648.4788500001</v>
      </c>
      <c r="I1092" s="428">
        <v>1537199.9319</v>
      </c>
      <c r="J1092" s="428">
        <v>383703.46454999998</v>
      </c>
      <c r="K1092" s="428">
        <v>-2205297.9343099999</v>
      </c>
      <c r="L1092" s="428">
        <v>-491425.60503999999</v>
      </c>
    </row>
    <row r="1093" spans="1:12">
      <c r="A1093" s="429" t="str">
        <f>T("92")</f>
        <v>92</v>
      </c>
      <c r="B1093" s="429" t="str">
        <f>T("929701")</f>
        <v>929701</v>
      </c>
      <c r="C1093" s="637" t="str">
        <f>T("Riksgäldskontorets nettoutlåning")</f>
        <v>Riksgäldskontorets nettoutlåning</v>
      </c>
      <c r="D1093" s="428">
        <v>27501569.999790002</v>
      </c>
      <c r="E1093" s="428">
        <v>-4339685.6869999999</v>
      </c>
      <c r="F1093" s="428">
        <v>-27900737.188999999</v>
      </c>
      <c r="G1093" s="428">
        <v>104673530.656</v>
      </c>
      <c r="H1093" s="428">
        <v>-9224673.943</v>
      </c>
      <c r="I1093" s="428">
        <v>1600421.777</v>
      </c>
      <c r="J1093" s="428">
        <v>1009173.48388</v>
      </c>
      <c r="K1093" s="428">
        <v>96225081.940160006</v>
      </c>
      <c r="L1093" s="428">
        <v>22023357.465300001</v>
      </c>
    </row>
    <row r="1094" spans="1:12">
      <c r="A1094" s="716"/>
      <c r="B1094" s="717" t="s">
        <v>1666</v>
      </c>
      <c r="C1094" s="718" t="s">
        <v>1988</v>
      </c>
      <c r="D1094" s="719">
        <f>D1090+D1092+D1093</f>
        <v>791941794.07893014</v>
      </c>
      <c r="E1094" s="719">
        <f t="shared" ref="E1094:L1094" si="32">E1090+E1092+E1093</f>
        <v>760506567.92181993</v>
      </c>
      <c r="F1094" s="719">
        <f t="shared" si="32"/>
        <v>766075736.67396986</v>
      </c>
      <c r="G1094" s="719">
        <f t="shared" si="32"/>
        <v>885673197.91447031</v>
      </c>
      <c r="H1094" s="719">
        <f t="shared" si="32"/>
        <v>780572736.17006981</v>
      </c>
      <c r="I1094" s="719">
        <f t="shared" si="32"/>
        <v>804615777.84678996</v>
      </c>
      <c r="J1094" s="719">
        <f t="shared" si="32"/>
        <v>812480441.58371997</v>
      </c>
      <c r="K1094" s="719">
        <f t="shared" si="32"/>
        <v>921407935.92967021</v>
      </c>
      <c r="L1094" s="719">
        <f t="shared" si="32"/>
        <v>862403668.3895601</v>
      </c>
    </row>
    <row r="1095" spans="1:12">
      <c r="A1095" s="429" t="str">
        <f>T("93")</f>
        <v>93</v>
      </c>
      <c r="B1095" s="429" t="str">
        <f>T("9301001")</f>
        <v>9301001</v>
      </c>
      <c r="C1095" s="637" t="str">
        <f>T("Ålderspensionssystemet vid sidan av statens budget")</f>
        <v>Ålderspensionssystemet vid sidan av statens budget</v>
      </c>
      <c r="D1095" s="428">
        <v>179137849.991</v>
      </c>
      <c r="E1095" s="428">
        <v>188226999.78799999</v>
      </c>
      <c r="F1095" s="428">
        <v>201385884.54699999</v>
      </c>
      <c r="G1095" s="428">
        <v>219801703.759</v>
      </c>
      <c r="H1095" s="428">
        <v>222897099.493</v>
      </c>
      <c r="I1095" s="428">
        <v>222003445.80599999</v>
      </c>
      <c r="J1095" s="428">
        <v>238478175.21799999</v>
      </c>
      <c r="K1095" s="428">
        <v>256702639.02911001</v>
      </c>
      <c r="L1095" s="428">
        <v>257987760.07332</v>
      </c>
    </row>
    <row r="1096" spans="1:12">
      <c r="A1096" s="716"/>
      <c r="B1096" s="717" t="s">
        <v>1668</v>
      </c>
      <c r="C1096" s="718" t="s">
        <v>1669</v>
      </c>
      <c r="D1096" s="719">
        <f>D1091+D1095</f>
        <v>895203386.10545015</v>
      </c>
      <c r="E1096" s="719">
        <f t="shared" ref="E1096:L1096" si="33">E1091+E1095</f>
        <v>910143928.53455997</v>
      </c>
      <c r="F1096" s="719">
        <f t="shared" si="33"/>
        <v>943443299.25853992</v>
      </c>
      <c r="G1096" s="719">
        <f t="shared" si="33"/>
        <v>964608875.07478023</v>
      </c>
      <c r="H1096" s="719">
        <f t="shared" si="33"/>
        <v>985924666.51313984</v>
      </c>
      <c r="I1096" s="719">
        <f t="shared" si="33"/>
        <v>988990342.87267995</v>
      </c>
      <c r="J1096" s="719">
        <f t="shared" si="33"/>
        <v>1022184660.4951699</v>
      </c>
      <c r="K1096" s="719">
        <f t="shared" si="33"/>
        <v>1067316560.8888402</v>
      </c>
      <c r="L1096" s="719">
        <f t="shared" si="33"/>
        <v>1095534000.7857201</v>
      </c>
    </row>
    <row r="1097" spans="1:12">
      <c r="A1097" s="716"/>
      <c r="B1097" s="717" t="s">
        <v>1670</v>
      </c>
      <c r="C1097" s="729" t="s">
        <v>201</v>
      </c>
      <c r="D1097" s="730">
        <v>907000000</v>
      </c>
      <c r="E1097" s="730">
        <v>938000000</v>
      </c>
      <c r="F1097" s="730">
        <v>957000000</v>
      </c>
      <c r="G1097" s="730">
        <v>989000000</v>
      </c>
      <c r="H1097" s="731">
        <v>1024000000</v>
      </c>
      <c r="I1097" s="732">
        <v>1063000000</v>
      </c>
      <c r="J1097" s="732">
        <v>1084000000</v>
      </c>
      <c r="K1097" s="719">
        <v>1095000000</v>
      </c>
      <c r="L1097" s="719">
        <v>1107000000</v>
      </c>
    </row>
    <row r="1098" spans="1:12">
      <c r="B1098" s="80"/>
      <c r="C1098" s="468" t="s">
        <v>1671</v>
      </c>
      <c r="D1098" s="431">
        <f>D1097-D1096</f>
        <v>11796613.894549847</v>
      </c>
      <c r="E1098" s="431">
        <f t="shared" ref="E1098:L1098" si="34">E1097-E1096</f>
        <v>27856071.465440035</v>
      </c>
      <c r="F1098" s="431">
        <f t="shared" si="34"/>
        <v>13556700.741460085</v>
      </c>
      <c r="G1098" s="431">
        <f t="shared" si="34"/>
        <v>24391124.925219774</v>
      </c>
      <c r="H1098" s="431">
        <f t="shared" si="34"/>
        <v>38075333.486860156</v>
      </c>
      <c r="I1098" s="431">
        <f t="shared" si="34"/>
        <v>74009657.127320051</v>
      </c>
      <c r="J1098" s="431">
        <f t="shared" si="34"/>
        <v>61815339.504830122</v>
      </c>
      <c r="K1098" s="431">
        <f t="shared" si="34"/>
        <v>27683439.111159801</v>
      </c>
      <c r="L1098" s="431">
        <f t="shared" si="34"/>
        <v>11465999.21427989</v>
      </c>
    </row>
    <row r="1105" spans="1:11">
      <c r="A1105"/>
      <c r="B1105"/>
      <c r="C1105"/>
      <c r="D1105"/>
      <c r="E1105"/>
      <c r="F1105"/>
      <c r="G1105"/>
      <c r="H1105"/>
      <c r="I1105"/>
      <c r="J1105"/>
      <c r="K1105"/>
    </row>
    <row r="1106" spans="1:11">
      <c r="A1106"/>
      <c r="B1106"/>
      <c r="C1106"/>
      <c r="D1106"/>
      <c r="E1106"/>
      <c r="F1106"/>
      <c r="G1106"/>
      <c r="H1106"/>
      <c r="I1106"/>
      <c r="J1106"/>
      <c r="K1106"/>
    </row>
    <row r="1107" spans="1:11" ht="5.25" customHeight="1">
      <c r="A1107"/>
      <c r="B1107"/>
      <c r="C1107"/>
      <c r="D1107"/>
      <c r="E1107"/>
      <c r="F1107"/>
      <c r="G1107"/>
      <c r="H1107"/>
      <c r="I1107"/>
      <c r="J1107"/>
      <c r="K1107"/>
    </row>
    <row r="1108" spans="1:11">
      <c r="A1108"/>
      <c r="B1108"/>
      <c r="C1108"/>
      <c r="D1108"/>
      <c r="E1108"/>
      <c r="F1108"/>
      <c r="G1108"/>
      <c r="H1108"/>
      <c r="I1108"/>
      <c r="J1108"/>
      <c r="K1108"/>
    </row>
    <row r="1109" spans="1:11">
      <c r="A1109"/>
      <c r="B1109"/>
      <c r="C1109"/>
      <c r="D1109"/>
      <c r="E1109"/>
      <c r="F1109"/>
      <c r="G1109"/>
      <c r="H1109"/>
      <c r="I1109"/>
      <c r="J1109"/>
      <c r="K1109"/>
    </row>
    <row r="1110" spans="1:11" ht="4.5" customHeight="1">
      <c r="A1110"/>
      <c r="B1110"/>
      <c r="C1110"/>
      <c r="D1110"/>
      <c r="E1110"/>
      <c r="F1110"/>
      <c r="G1110"/>
      <c r="H1110"/>
      <c r="I1110"/>
      <c r="J1110"/>
      <c r="K1110"/>
    </row>
    <row r="1111" spans="1:11">
      <c r="A1111"/>
      <c r="B1111"/>
      <c r="C1111"/>
      <c r="D1111"/>
      <c r="E1111"/>
      <c r="F1111"/>
      <c r="G1111"/>
      <c r="H1111"/>
      <c r="I1111"/>
      <c r="J1111"/>
      <c r="K1111"/>
    </row>
    <row r="1112" spans="1:11" ht="5.25" customHeight="1">
      <c r="A1112"/>
      <c r="B1112"/>
      <c r="C1112"/>
      <c r="D1112"/>
      <c r="E1112"/>
      <c r="F1112"/>
      <c r="G1112"/>
      <c r="H1112"/>
      <c r="I1112"/>
      <c r="J1112"/>
      <c r="K1112"/>
    </row>
    <row r="1113" spans="1:11">
      <c r="A1113"/>
      <c r="B1113"/>
      <c r="C1113"/>
      <c r="D1113"/>
      <c r="E1113"/>
      <c r="F1113"/>
      <c r="G1113"/>
      <c r="H1113"/>
      <c r="I1113"/>
      <c r="J1113"/>
      <c r="K1113"/>
    </row>
    <row r="1114" spans="1:11" ht="3.75" customHeight="1">
      <c r="A1114"/>
      <c r="B1114"/>
      <c r="C1114"/>
      <c r="D1114"/>
      <c r="E1114"/>
      <c r="F1114"/>
      <c r="G1114"/>
      <c r="H1114"/>
      <c r="I1114"/>
      <c r="J1114"/>
      <c r="K1114"/>
    </row>
    <row r="1115" spans="1:11">
      <c r="A1115"/>
      <c r="B1115"/>
      <c r="C1115"/>
      <c r="D1115"/>
      <c r="E1115"/>
      <c r="F1115"/>
      <c r="G1115"/>
      <c r="H1115"/>
      <c r="I1115"/>
      <c r="J1115"/>
      <c r="K1115"/>
    </row>
    <row r="1116" spans="1:11" ht="5.25" customHeight="1">
      <c r="A1116"/>
      <c r="B1116"/>
      <c r="C1116"/>
      <c r="D1116"/>
      <c r="E1116"/>
      <c r="F1116"/>
      <c r="G1116"/>
      <c r="H1116"/>
      <c r="I1116"/>
      <c r="J1116"/>
      <c r="K1116"/>
    </row>
    <row r="1117" spans="1:11">
      <c r="A1117"/>
      <c r="B1117"/>
      <c r="C1117"/>
      <c r="D1117"/>
      <c r="E1117"/>
      <c r="F1117"/>
      <c r="G1117"/>
      <c r="H1117"/>
      <c r="I1117"/>
      <c r="J1117"/>
      <c r="K1117"/>
    </row>
    <row r="1118" spans="1:11" ht="5.25" customHeight="1">
      <c r="A1118"/>
      <c r="B1118"/>
      <c r="C1118"/>
      <c r="D1118"/>
      <c r="E1118"/>
      <c r="F1118"/>
      <c r="G1118"/>
      <c r="H1118"/>
      <c r="I1118"/>
      <c r="J1118"/>
      <c r="K1118"/>
    </row>
    <row r="1119" spans="1:11">
      <c r="A1119"/>
      <c r="B1119"/>
      <c r="C1119"/>
      <c r="D1119"/>
      <c r="E1119"/>
      <c r="F1119"/>
      <c r="G1119"/>
      <c r="H1119"/>
      <c r="I1119"/>
      <c r="J1119"/>
      <c r="K1119"/>
    </row>
    <row r="1120" spans="1:11">
      <c r="A1120"/>
      <c r="B1120"/>
      <c r="C1120"/>
      <c r="D1120"/>
      <c r="E1120"/>
      <c r="F1120"/>
      <c r="G1120"/>
      <c r="H1120"/>
      <c r="I1120"/>
      <c r="J1120"/>
      <c r="K1120"/>
    </row>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sheetData>
  <pageMargins left="0.70866141732283472" right="0.31496062992125984" top="0.55118110236220474" bottom="0.55118110236220474" header="0.31496062992125984" footer="0.31496062992125984"/>
  <pageSetup paperSize="9" scale="53" fitToHeight="1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
  <sheetViews>
    <sheetView workbookViewId="0">
      <selection activeCell="F49" sqref="F49"/>
    </sheetView>
  </sheetViews>
  <sheetFormatPr defaultColWidth="10.6640625" defaultRowHeight="11.25"/>
  <cols>
    <col min="1" max="1" width="2" style="411" customWidth="1"/>
    <col min="2" max="2" width="33.33203125" style="411" customWidth="1"/>
    <col min="3" max="6" width="7.6640625" style="411" bestFit="1" customWidth="1"/>
    <col min="7" max="10" width="6.6640625" style="411" bestFit="1" customWidth="1"/>
    <col min="11" max="13" width="7.33203125" style="411" bestFit="1" customWidth="1"/>
    <col min="14" max="14" width="8.33203125" style="411" bestFit="1" customWidth="1"/>
    <col min="15" max="16" width="6.6640625" style="411" bestFit="1" customWidth="1"/>
    <col min="17" max="18" width="7.33203125" style="411" bestFit="1" customWidth="1"/>
    <col min="19" max="20" width="6.6640625" style="411" bestFit="1" customWidth="1"/>
    <col min="21" max="21" width="7.33203125" style="411" bestFit="1" customWidth="1"/>
    <col min="22" max="16384" width="10.6640625" style="411"/>
  </cols>
  <sheetData>
    <row r="1" spans="1:21" ht="12">
      <c r="A1" s="410" t="s">
        <v>2011</v>
      </c>
    </row>
    <row r="2" spans="1:21" ht="12">
      <c r="A2" s="410" t="s">
        <v>2012</v>
      </c>
    </row>
    <row r="3" spans="1:21">
      <c r="A3" s="411" t="s">
        <v>2013</v>
      </c>
    </row>
    <row r="4" spans="1:21" ht="12" thickBot="1">
      <c r="S4" s="412"/>
    </row>
    <row r="5" spans="1:21" ht="12" thickBot="1">
      <c r="A5" s="413" t="s">
        <v>1146</v>
      </c>
      <c r="B5" s="413"/>
      <c r="C5" s="413">
        <v>1995</v>
      </c>
      <c r="D5" s="413">
        <v>1996</v>
      </c>
      <c r="E5" s="413">
        <v>1997</v>
      </c>
      <c r="F5" s="413">
        <v>1998</v>
      </c>
      <c r="G5" s="413">
        <v>1999</v>
      </c>
      <c r="H5" s="413">
        <v>2000</v>
      </c>
      <c r="I5" s="413">
        <v>2001</v>
      </c>
      <c r="J5" s="413">
        <v>2002</v>
      </c>
      <c r="K5" s="413">
        <v>2003</v>
      </c>
      <c r="L5" s="413">
        <v>2004</v>
      </c>
      <c r="M5" s="413">
        <v>2005</v>
      </c>
      <c r="N5" s="413">
        <v>2006</v>
      </c>
      <c r="O5" s="413">
        <v>2007</v>
      </c>
      <c r="P5" s="413">
        <v>2008</v>
      </c>
      <c r="Q5" s="413">
        <v>2009</v>
      </c>
      <c r="R5" s="413">
        <v>2010</v>
      </c>
      <c r="S5" s="413">
        <v>2011</v>
      </c>
      <c r="T5" s="413">
        <v>2012</v>
      </c>
      <c r="U5" s="413">
        <v>2013</v>
      </c>
    </row>
    <row r="6" spans="1:21" ht="18" customHeight="1">
      <c r="A6" s="414"/>
    </row>
    <row r="7" spans="1:21">
      <c r="B7" s="411" t="s">
        <v>1147</v>
      </c>
      <c r="C7" s="415">
        <v>81797</v>
      </c>
      <c r="D7" s="415">
        <v>92400</v>
      </c>
      <c r="E7" s="415">
        <v>82458</v>
      </c>
      <c r="F7" s="415">
        <v>73143</v>
      </c>
      <c r="G7" s="415">
        <v>68488</v>
      </c>
      <c r="H7" s="416">
        <v>61158</v>
      </c>
      <c r="I7" s="417">
        <v>45404</v>
      </c>
      <c r="J7" s="415">
        <v>45399</v>
      </c>
      <c r="K7" s="415">
        <v>37985</v>
      </c>
      <c r="L7" s="415">
        <v>40688.457999999999</v>
      </c>
      <c r="M7" s="415">
        <v>39428</v>
      </c>
      <c r="N7" s="415">
        <v>37913</v>
      </c>
      <c r="O7" s="415">
        <v>38587</v>
      </c>
      <c r="P7" s="415">
        <v>39063</v>
      </c>
      <c r="Q7" s="415">
        <v>25008</v>
      </c>
      <c r="R7" s="415">
        <v>22811.706381349999</v>
      </c>
      <c r="S7" s="415">
        <v>29343</v>
      </c>
      <c r="T7" s="415">
        <v>28918</v>
      </c>
      <c r="U7" s="415">
        <v>22739.868831980002</v>
      </c>
    </row>
    <row r="8" spans="1:21">
      <c r="B8" s="411" t="s">
        <v>1148</v>
      </c>
      <c r="C8" s="415">
        <v>21237</v>
      </c>
      <c r="D8" s="415">
        <v>23288</v>
      </c>
      <c r="E8" s="415">
        <v>23909</v>
      </c>
      <c r="F8" s="415">
        <v>23636</v>
      </c>
      <c r="G8" s="415">
        <v>22044</v>
      </c>
      <c r="H8" s="416">
        <v>21803</v>
      </c>
      <c r="I8" s="417">
        <v>24071</v>
      </c>
      <c r="J8" s="415">
        <v>17469</v>
      </c>
      <c r="K8" s="415">
        <v>16397</v>
      </c>
      <c r="L8" s="415">
        <v>11515.486999999999</v>
      </c>
      <c r="M8" s="415">
        <v>11415</v>
      </c>
      <c r="N8" s="415">
        <v>10512</v>
      </c>
      <c r="O8" s="415">
        <v>10921</v>
      </c>
      <c r="P8" s="415">
        <v>9645</v>
      </c>
      <c r="Q8" s="415">
        <v>7696</v>
      </c>
      <c r="R8" s="415">
        <v>3429.2429710000001</v>
      </c>
      <c r="S8" s="415">
        <v>3230</v>
      </c>
      <c r="T8" s="415">
        <v>2922</v>
      </c>
      <c r="U8" s="415">
        <v>1547.54768919</v>
      </c>
    </row>
    <row r="9" spans="1:21">
      <c r="B9" s="418" t="s">
        <v>922</v>
      </c>
      <c r="C9" s="419">
        <v>8819</v>
      </c>
      <c r="D9" s="419">
        <v>-1658</v>
      </c>
      <c r="E9" s="419">
        <v>-1677</v>
      </c>
      <c r="F9" s="419">
        <v>-5692</v>
      </c>
      <c r="G9" s="419">
        <v>-2398</v>
      </c>
      <c r="H9" s="419">
        <v>781</v>
      </c>
      <c r="I9" s="419">
        <v>-4644</v>
      </c>
      <c r="J9" s="419">
        <v>-7728</v>
      </c>
      <c r="K9" s="419">
        <v>-14453</v>
      </c>
      <c r="L9" s="419">
        <v>-10144.182000000001</v>
      </c>
      <c r="M9" s="419">
        <v>-9049</v>
      </c>
      <c r="N9" s="419">
        <v>-3967</v>
      </c>
      <c r="O9" s="419">
        <v>-3533</v>
      </c>
      <c r="P9" s="419">
        <v>-7986</v>
      </c>
      <c r="Q9" s="419">
        <v>-10755</v>
      </c>
      <c r="R9" s="419">
        <v>-11157.407638000001</v>
      </c>
      <c r="S9" s="419">
        <v>-5964</v>
      </c>
      <c r="T9" s="419">
        <v>-9522</v>
      </c>
      <c r="U9" s="419">
        <v>806.44457092999994</v>
      </c>
    </row>
    <row r="10" spans="1:21" ht="16.5" customHeight="1">
      <c r="B10" s="420" t="s">
        <v>923</v>
      </c>
      <c r="C10" s="421">
        <f t="shared" ref="C10:P10" si="0">SUM(C7:C9)</f>
        <v>111853</v>
      </c>
      <c r="D10" s="421">
        <f t="shared" si="0"/>
        <v>114030</v>
      </c>
      <c r="E10" s="421">
        <f t="shared" si="0"/>
        <v>104690</v>
      </c>
      <c r="F10" s="421">
        <f t="shared" si="0"/>
        <v>91087</v>
      </c>
      <c r="G10" s="421">
        <f t="shared" si="0"/>
        <v>88134</v>
      </c>
      <c r="H10" s="421">
        <f t="shared" si="0"/>
        <v>83742</v>
      </c>
      <c r="I10" s="421">
        <f t="shared" si="0"/>
        <v>64831</v>
      </c>
      <c r="J10" s="421">
        <f t="shared" si="0"/>
        <v>55140</v>
      </c>
      <c r="K10" s="421">
        <f t="shared" si="0"/>
        <v>39929</v>
      </c>
      <c r="L10" s="421">
        <f t="shared" si="0"/>
        <v>42059.762999999999</v>
      </c>
      <c r="M10" s="421">
        <f t="shared" si="0"/>
        <v>41794</v>
      </c>
      <c r="N10" s="421">
        <f t="shared" si="0"/>
        <v>44458</v>
      </c>
      <c r="O10" s="421">
        <f t="shared" si="0"/>
        <v>45975</v>
      </c>
      <c r="P10" s="421">
        <f t="shared" si="0"/>
        <v>40722</v>
      </c>
      <c r="Q10" s="421">
        <f>SUM(Q7:Q9)</f>
        <v>21949</v>
      </c>
      <c r="R10" s="421">
        <f>SUM(R7:R9)</f>
        <v>15083.541714349998</v>
      </c>
      <c r="S10" s="421">
        <v>26609</v>
      </c>
      <c r="T10" s="421">
        <f>SUM(T7:T9)</f>
        <v>22318</v>
      </c>
      <c r="U10" s="421">
        <v>25093.861092100004</v>
      </c>
    </row>
    <row r="11" spans="1:21" ht="11.25" customHeight="1">
      <c r="B11" s="420"/>
      <c r="C11" s="421"/>
      <c r="D11" s="421"/>
      <c r="E11" s="421"/>
      <c r="F11" s="421"/>
      <c r="G11" s="421"/>
      <c r="H11" s="421"/>
      <c r="I11" s="421"/>
      <c r="J11" s="421"/>
      <c r="K11" s="421"/>
      <c r="L11" s="421"/>
      <c r="N11" s="415"/>
      <c r="O11" s="415"/>
      <c r="P11" s="415"/>
      <c r="Q11" s="415"/>
      <c r="U11" s="411">
        <v>0</v>
      </c>
    </row>
    <row r="12" spans="1:21">
      <c r="B12" s="411" t="s">
        <v>1149</v>
      </c>
      <c r="C12" s="415">
        <v>-14448</v>
      </c>
      <c r="D12" s="415">
        <v>-14120</v>
      </c>
      <c r="E12" s="415">
        <v>-5617</v>
      </c>
      <c r="F12" s="415">
        <v>-3871</v>
      </c>
      <c r="G12" s="415">
        <v>-2400</v>
      </c>
      <c r="H12" s="416">
        <v>-1543</v>
      </c>
      <c r="I12" s="417">
        <v>-3271</v>
      </c>
      <c r="J12" s="415">
        <v>373</v>
      </c>
      <c r="K12" s="415">
        <v>-6832</v>
      </c>
      <c r="L12" s="415">
        <v>-6993.1540000000005</v>
      </c>
      <c r="M12" s="415">
        <v>-6943</v>
      </c>
      <c r="N12" s="415">
        <v>-6110</v>
      </c>
      <c r="O12" s="415">
        <v>-5400</v>
      </c>
      <c r="P12" s="415">
        <v>-4813</v>
      </c>
      <c r="Q12" s="415">
        <v>-6459</v>
      </c>
      <c r="R12" s="415">
        <v>-7818.6346469999999</v>
      </c>
      <c r="S12" s="415">
        <v>-5683</v>
      </c>
      <c r="T12" s="415">
        <v>-4661</v>
      </c>
      <c r="U12" s="415">
        <v>-4245.7581804000001</v>
      </c>
    </row>
    <row r="13" spans="1:21">
      <c r="B13" s="411" t="s">
        <v>924</v>
      </c>
      <c r="C13" s="415">
        <v>6040</v>
      </c>
      <c r="D13" s="415">
        <v>-6051</v>
      </c>
      <c r="E13" s="415">
        <v>-3586</v>
      </c>
      <c r="F13" s="415">
        <v>9821</v>
      </c>
      <c r="G13" s="415">
        <v>-6251</v>
      </c>
      <c r="H13" s="415">
        <v>-6202</v>
      </c>
      <c r="I13" s="415">
        <v>12318</v>
      </c>
      <c r="J13" s="415">
        <v>6650</v>
      </c>
      <c r="K13" s="415">
        <v>4366</v>
      </c>
      <c r="L13" s="415">
        <v>5106.4319999999998</v>
      </c>
      <c r="M13" s="415">
        <v>-10228</v>
      </c>
      <c r="N13" s="415">
        <v>6336</v>
      </c>
      <c r="O13" s="415">
        <v>2454</v>
      </c>
      <c r="P13" s="415">
        <v>-6497</v>
      </c>
      <c r="Q13" s="415">
        <v>13904</v>
      </c>
      <c r="R13" s="415">
        <v>7817.3120177000001</v>
      </c>
      <c r="S13" s="415">
        <v>3789</v>
      </c>
      <c r="T13" s="415">
        <v>-2861</v>
      </c>
      <c r="U13" s="415">
        <v>-10313.184114669999</v>
      </c>
    </row>
    <row r="14" spans="1:21">
      <c r="B14" s="411" t="s">
        <v>1477</v>
      </c>
      <c r="C14" s="415">
        <v>1349</v>
      </c>
      <c r="D14" s="415">
        <v>5686</v>
      </c>
      <c r="E14" s="415">
        <v>2765</v>
      </c>
      <c r="F14" s="415">
        <v>15639</v>
      </c>
      <c r="G14" s="415">
        <v>10163</v>
      </c>
      <c r="H14" s="415">
        <v>15026</v>
      </c>
      <c r="I14" s="415">
        <v>5172</v>
      </c>
      <c r="J14" s="415">
        <v>4594</v>
      </c>
      <c r="K14" s="415">
        <v>3811</v>
      </c>
      <c r="L14" s="415">
        <v>13480.016</v>
      </c>
      <c r="M14" s="415">
        <v>7615</v>
      </c>
      <c r="N14" s="415">
        <v>5929</v>
      </c>
      <c r="O14" s="415">
        <v>4228</v>
      </c>
      <c r="P14" s="415">
        <v>3922</v>
      </c>
      <c r="Q14" s="415">
        <v>1567</v>
      </c>
      <c r="R14" s="415">
        <v>8136.2593489700002</v>
      </c>
      <c r="S14" s="415">
        <v>9797</v>
      </c>
      <c r="T14" s="415">
        <v>12526</v>
      </c>
      <c r="U14" s="415">
        <v>6078.79799379</v>
      </c>
    </row>
    <row r="15" spans="1:21">
      <c r="B15" s="411" t="s">
        <v>1478</v>
      </c>
      <c r="C15" s="415">
        <v>-45</v>
      </c>
      <c r="D15" s="415">
        <v>-12</v>
      </c>
      <c r="E15" s="415">
        <v>109</v>
      </c>
      <c r="F15" s="415">
        <v>635</v>
      </c>
      <c r="G15" s="415">
        <v>179</v>
      </c>
      <c r="H15" s="415">
        <v>-832</v>
      </c>
      <c r="I15" s="415">
        <v>2021</v>
      </c>
      <c r="J15" s="415">
        <v>426</v>
      </c>
      <c r="K15" s="415">
        <v>741</v>
      </c>
      <c r="L15" s="415">
        <v>-1056.634</v>
      </c>
      <c r="M15" s="415">
        <v>323</v>
      </c>
      <c r="N15" s="415">
        <v>-1240</v>
      </c>
      <c r="O15" s="415">
        <v>-97</v>
      </c>
      <c r="P15" s="415">
        <v>-209</v>
      </c>
      <c r="Q15" s="415">
        <v>181</v>
      </c>
      <c r="R15" s="415">
        <v>33.132935199999999</v>
      </c>
      <c r="S15" s="415">
        <v>-139</v>
      </c>
      <c r="T15" s="415">
        <v>-24</v>
      </c>
      <c r="U15" s="415">
        <v>80.648041149999898</v>
      </c>
    </row>
    <row r="16" spans="1:21" ht="6.75" customHeight="1" thickBot="1">
      <c r="A16" s="412"/>
      <c r="B16" s="412"/>
      <c r="C16" s="422"/>
      <c r="D16" s="422"/>
      <c r="E16" s="422"/>
      <c r="F16" s="422"/>
      <c r="G16" s="422"/>
      <c r="H16" s="422"/>
      <c r="I16" s="422"/>
      <c r="J16" s="415"/>
      <c r="L16" s="415"/>
      <c r="N16" s="415"/>
      <c r="O16" s="415"/>
      <c r="P16" s="415"/>
      <c r="Q16" s="415"/>
      <c r="S16" s="412"/>
      <c r="T16" s="412"/>
      <c r="U16" s="412"/>
    </row>
    <row r="17" spans="1:21" ht="15" customHeight="1" thickBot="1">
      <c r="A17" s="423" t="s">
        <v>1479</v>
      </c>
      <c r="B17" s="424"/>
      <c r="C17" s="424">
        <v>104749</v>
      </c>
      <c r="D17" s="424">
        <v>99533</v>
      </c>
      <c r="E17" s="424">
        <v>98360</v>
      </c>
      <c r="F17" s="424">
        <v>113311</v>
      </c>
      <c r="G17" s="424">
        <v>89825</v>
      </c>
      <c r="H17" s="424">
        <v>90191</v>
      </c>
      <c r="I17" s="424">
        <v>81071</v>
      </c>
      <c r="J17" s="425">
        <f>SUM(J10:J15)</f>
        <v>67183</v>
      </c>
      <c r="K17" s="425">
        <f>SUM(K10:K15)</f>
        <v>42015</v>
      </c>
      <c r="L17" s="425">
        <f>SUM(L10:L15)</f>
        <v>52596.423000000003</v>
      </c>
      <c r="M17" s="425">
        <f>SUM(M10:M15)</f>
        <v>32561</v>
      </c>
      <c r="N17" s="425">
        <v>49374</v>
      </c>
      <c r="O17" s="425">
        <v>47161</v>
      </c>
      <c r="P17" s="425">
        <v>33126</v>
      </c>
      <c r="Q17" s="425">
        <v>31142</v>
      </c>
      <c r="R17" s="425">
        <v>23251.611369999999</v>
      </c>
      <c r="S17" s="425">
        <v>34374</v>
      </c>
      <c r="T17" s="425">
        <f>SUM(T10,T12,T13,T14,T15)</f>
        <v>27298</v>
      </c>
      <c r="U17" s="425">
        <v>16694.364831970004</v>
      </c>
    </row>
    <row r="18" spans="1:21" ht="13.5" customHeight="1">
      <c r="A18" s="397" t="s">
        <v>179</v>
      </c>
    </row>
    <row r="21" spans="1:21">
      <c r="C21" s="426"/>
      <c r="D21" s="426"/>
      <c r="E21" s="426"/>
      <c r="F21" s="426"/>
      <c r="G21" s="426"/>
      <c r="H21" s="426"/>
      <c r="I21" s="426"/>
    </row>
    <row r="22" spans="1:21">
      <c r="C22" s="427"/>
      <c r="D22" s="427"/>
      <c r="E22" s="427"/>
      <c r="F22" s="427"/>
      <c r="G22" s="427"/>
      <c r="H22" s="427"/>
      <c r="I22" s="640"/>
      <c r="J22" s="640"/>
      <c r="K22" s="680"/>
      <c r="L22" s="680"/>
      <c r="M22" s="680"/>
      <c r="N22" s="680"/>
      <c r="O22" s="680"/>
      <c r="P22" s="680"/>
    </row>
    <row r="26" spans="1:21">
      <c r="N26" s="681"/>
    </row>
    <row r="31" spans="1:21">
      <c r="C31" s="92"/>
    </row>
  </sheetData>
  <pageMargins left="0.78740157480314965" right="0.78740157480314965" top="0.98425196850393704" bottom="0.98425196850393704" header="0.51181102362204722" footer="0.51181102362204722"/>
  <pageSetup paperSize="9" scale="8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workbookViewId="0">
      <selection activeCell="F49" sqref="F49"/>
    </sheetView>
  </sheetViews>
  <sheetFormatPr defaultColWidth="10.6640625" defaultRowHeight="11.25"/>
  <cols>
    <col min="1" max="1" width="2" style="411" customWidth="1"/>
    <col min="2" max="2" width="33.33203125" style="411" customWidth="1"/>
    <col min="3" max="3" width="8.6640625" style="411" customWidth="1"/>
    <col min="4" max="4" width="8.33203125" style="411" customWidth="1"/>
    <col min="5" max="5" width="8" style="411" customWidth="1"/>
    <col min="6" max="7" width="9.33203125" style="411" customWidth="1"/>
    <col min="8" max="16384" width="10.6640625" style="411"/>
  </cols>
  <sheetData>
    <row r="1" spans="1:11" ht="12">
      <c r="A1" s="410" t="s">
        <v>2014</v>
      </c>
    </row>
    <row r="2" spans="1:11" ht="12">
      <c r="A2" s="410" t="s">
        <v>2015</v>
      </c>
    </row>
    <row r="3" spans="1:11">
      <c r="A3" s="411" t="s">
        <v>2016</v>
      </c>
    </row>
    <row r="4" spans="1:11" ht="12" thickBot="1">
      <c r="D4" s="412"/>
    </row>
    <row r="5" spans="1:11" ht="12" thickBot="1">
      <c r="A5" s="413" t="s">
        <v>1146</v>
      </c>
      <c r="B5" s="413"/>
      <c r="C5" s="413">
        <v>2010</v>
      </c>
      <c r="D5" s="413">
        <v>2011</v>
      </c>
      <c r="E5" s="413">
        <v>2012</v>
      </c>
      <c r="F5" s="413">
        <v>2013</v>
      </c>
      <c r="G5" s="413">
        <v>2014</v>
      </c>
      <c r="I5" s="739"/>
      <c r="J5" s="427"/>
      <c r="K5" s="427"/>
    </row>
    <row r="6" spans="1:11">
      <c r="A6" s="414"/>
      <c r="I6" s="427"/>
      <c r="J6" s="739"/>
      <c r="K6" s="427"/>
    </row>
    <row r="7" spans="1:11">
      <c r="B7" s="411" t="s">
        <v>1147</v>
      </c>
      <c r="C7" s="415">
        <v>22811.706381349999</v>
      </c>
      <c r="D7" s="415">
        <v>29343</v>
      </c>
      <c r="E7" s="415">
        <v>28918</v>
      </c>
      <c r="F7" s="415">
        <v>22739.868831980002</v>
      </c>
      <c r="G7" s="415">
        <f>24.61783644193*1000</f>
        <v>24617.836441929998</v>
      </c>
      <c r="I7" s="416"/>
      <c r="J7" s="427"/>
      <c r="K7" s="427"/>
    </row>
    <row r="8" spans="1:11">
      <c r="B8" s="411" t="s">
        <v>1148</v>
      </c>
      <c r="C8" s="415">
        <v>3400</v>
      </c>
      <c r="D8" s="415">
        <v>3230</v>
      </c>
      <c r="E8" s="415">
        <v>2922</v>
      </c>
      <c r="F8" s="415">
        <v>1547.54768919</v>
      </c>
      <c r="G8" s="415">
        <f>1000*1.93233126907</f>
        <v>1932.3312690700002</v>
      </c>
      <c r="I8" s="416"/>
      <c r="J8" s="416"/>
      <c r="K8" s="427"/>
    </row>
    <row r="9" spans="1:11">
      <c r="B9" s="418" t="s">
        <v>922</v>
      </c>
      <c r="C9" s="419">
        <v>-11157.407638000001</v>
      </c>
      <c r="D9" s="419">
        <v>-5964</v>
      </c>
      <c r="E9" s="419">
        <v>-9522</v>
      </c>
      <c r="F9" s="419">
        <v>806.44457092999994</v>
      </c>
      <c r="G9" s="419">
        <f>1000*-16.66857650595</f>
        <v>-16668.576505950001</v>
      </c>
      <c r="I9" s="416"/>
      <c r="J9" s="416"/>
      <c r="K9" s="427"/>
    </row>
    <row r="10" spans="1:11">
      <c r="B10" s="420" t="s">
        <v>923</v>
      </c>
      <c r="C10" s="421">
        <v>15055</v>
      </c>
      <c r="D10" s="421">
        <v>26609</v>
      </c>
      <c r="E10" s="421">
        <v>22318</v>
      </c>
      <c r="F10" s="421">
        <v>25093.861092100004</v>
      </c>
      <c r="G10" s="421">
        <f>1000*9.88159120505</f>
        <v>9881.591205050001</v>
      </c>
      <c r="I10" s="740"/>
      <c r="J10" s="416"/>
      <c r="K10" s="427"/>
    </row>
    <row r="11" spans="1:11" ht="11.25" customHeight="1">
      <c r="B11" s="420"/>
      <c r="I11" s="427"/>
      <c r="J11" s="740"/>
      <c r="K11" s="427"/>
    </row>
    <row r="12" spans="1:11">
      <c r="B12" s="411" t="s">
        <v>1149</v>
      </c>
      <c r="C12" s="415">
        <v>-7800</v>
      </c>
      <c r="D12" s="415">
        <v>-5683</v>
      </c>
      <c r="E12" s="415">
        <v>-4661</v>
      </c>
      <c r="F12" s="415">
        <v>-4245.7581804000001</v>
      </c>
      <c r="G12" s="415">
        <f>1000*-5.23363883433</f>
        <v>-5233.6388343299996</v>
      </c>
      <c r="I12" s="416"/>
      <c r="J12" s="427"/>
      <c r="K12" s="427"/>
    </row>
    <row r="13" spans="1:11">
      <c r="B13" s="411" t="s">
        <v>2017</v>
      </c>
      <c r="C13" s="415">
        <v>8000</v>
      </c>
      <c r="D13" s="415">
        <v>3651</v>
      </c>
      <c r="E13" s="415">
        <v>-2885</v>
      </c>
      <c r="F13" s="415">
        <v>-10233</v>
      </c>
      <c r="G13" s="415">
        <f>1000*-5.02800608443</f>
        <v>-5028.0060844300006</v>
      </c>
      <c r="I13" s="416"/>
      <c r="J13" s="416"/>
      <c r="K13" s="427"/>
    </row>
    <row r="14" spans="1:11">
      <c r="B14" s="411" t="s">
        <v>2063</v>
      </c>
      <c r="C14" s="415">
        <v>8136.2593489700002</v>
      </c>
      <c r="D14" s="415">
        <v>9797</v>
      </c>
      <c r="E14" s="415">
        <v>12526</v>
      </c>
      <c r="F14" s="415">
        <v>6078.79799379</v>
      </c>
      <c r="G14" s="415">
        <f>1000*3.57998525905</f>
        <v>3579.98525905</v>
      </c>
      <c r="I14" s="416"/>
      <c r="J14" s="416"/>
      <c r="K14" s="427"/>
    </row>
    <row r="15" spans="1:11" ht="12" thickBot="1">
      <c r="A15" s="412"/>
      <c r="B15" s="412"/>
      <c r="D15" s="412"/>
      <c r="E15" s="412"/>
      <c r="F15" s="412"/>
      <c r="G15" s="412"/>
      <c r="I15" s="416"/>
      <c r="J15" s="416"/>
      <c r="K15" s="427"/>
    </row>
    <row r="16" spans="1:11" ht="12" thickBot="1">
      <c r="A16" s="423" t="s">
        <v>1479</v>
      </c>
      <c r="B16" s="424"/>
      <c r="C16" s="425">
        <f>SUM(C10,C12,C13,C14)</f>
        <v>23391.259348970001</v>
      </c>
      <c r="D16" s="425">
        <f>SUM(D10,D12,D13,D14)</f>
        <v>34374</v>
      </c>
      <c r="E16" s="425">
        <f>SUM(E10,E12,E13,E14)</f>
        <v>27298</v>
      </c>
      <c r="F16" s="425">
        <f>SUM(F10,F12,F13,F14)</f>
        <v>16693.900905490002</v>
      </c>
      <c r="G16" s="425">
        <f t="shared" ref="G16" si="0">SUM(G10,G12,G13,G14)</f>
        <v>3199.9315453400009</v>
      </c>
      <c r="I16" s="427"/>
      <c r="J16" s="416"/>
      <c r="K16" s="427"/>
    </row>
    <row r="17" spans="1:11">
      <c r="A17" s="397" t="s">
        <v>179</v>
      </c>
      <c r="I17" s="426"/>
      <c r="J17" s="427"/>
      <c r="K17" s="427"/>
    </row>
    <row r="18" spans="1:11">
      <c r="A18" s="640"/>
      <c r="I18" s="427"/>
      <c r="J18" s="426"/>
      <c r="K18" s="427"/>
    </row>
    <row r="19" spans="1:11">
      <c r="I19" s="427"/>
      <c r="J19" s="427"/>
      <c r="K19" s="427"/>
    </row>
    <row r="20" spans="1:11">
      <c r="A20" s="662"/>
      <c r="I20" s="427"/>
      <c r="J20" s="427"/>
      <c r="K20" s="427"/>
    </row>
    <row r="21" spans="1:11">
      <c r="B21" s="694"/>
      <c r="C21" s="695"/>
      <c r="D21" s="694"/>
      <c r="E21" s="694"/>
      <c r="F21" s="694"/>
      <c r="G21" s="694"/>
      <c r="H21" s="694"/>
      <c r="I21" s="695"/>
      <c r="J21" s="695"/>
      <c r="K21" s="695"/>
    </row>
    <row r="22" spans="1:11">
      <c r="B22" s="694"/>
      <c r="C22" s="694"/>
      <c r="D22" s="694"/>
      <c r="E22" s="694"/>
      <c r="F22" s="694"/>
      <c r="G22" s="694"/>
      <c r="H22" s="694"/>
      <c r="I22" s="695"/>
      <c r="J22" s="695"/>
      <c r="K22" s="695"/>
    </row>
    <row r="23" spans="1:11">
      <c r="B23" s="694"/>
      <c r="C23" s="694"/>
      <c r="D23" s="694"/>
      <c r="E23" s="694"/>
      <c r="F23" s="694"/>
      <c r="G23" s="694"/>
      <c r="H23" s="694"/>
      <c r="I23" s="695"/>
      <c r="J23" s="695"/>
      <c r="K23" s="695"/>
    </row>
    <row r="24" spans="1:11">
      <c r="B24" s="694"/>
      <c r="C24" s="694"/>
      <c r="D24" s="694"/>
      <c r="E24" s="694"/>
      <c r="F24" s="694"/>
      <c r="G24" s="694"/>
      <c r="H24" s="694"/>
      <c r="I24" s="694"/>
      <c r="J24" s="694"/>
      <c r="K24" s="694"/>
    </row>
    <row r="25" spans="1:11">
      <c r="B25" s="694"/>
      <c r="C25" s="694"/>
      <c r="D25" s="694"/>
      <c r="E25" s="694"/>
      <c r="F25" s="694"/>
      <c r="G25" s="694"/>
      <c r="H25" s="694"/>
      <c r="I25" s="694"/>
      <c r="J25" s="694"/>
      <c r="K25" s="694"/>
    </row>
    <row r="26" spans="1:11">
      <c r="B26" s="696"/>
      <c r="C26" s="696"/>
      <c r="D26" s="696"/>
      <c r="E26" s="696"/>
      <c r="F26" s="696"/>
      <c r="G26" s="696"/>
      <c r="H26" s="696"/>
      <c r="I26" s="694"/>
      <c r="J26" s="694"/>
      <c r="K26" s="694"/>
    </row>
    <row r="27" spans="1:11">
      <c r="B27" s="695"/>
      <c r="C27" s="695"/>
      <c r="D27" s="695"/>
      <c r="E27" s="695"/>
      <c r="F27" s="695"/>
      <c r="G27" s="695"/>
      <c r="H27" s="695"/>
      <c r="I27" s="694"/>
      <c r="J27" s="694"/>
      <c r="K27" s="694"/>
    </row>
    <row r="28" spans="1:11">
      <c r="B28" s="695"/>
      <c r="C28" s="695"/>
      <c r="D28" s="695"/>
      <c r="E28" s="695"/>
      <c r="F28" s="695"/>
      <c r="G28" s="695"/>
      <c r="H28" s="695"/>
      <c r="I28" s="694"/>
      <c r="J28" s="694"/>
      <c r="K28" s="694"/>
    </row>
    <row r="29" spans="1:11">
      <c r="B29" s="695"/>
      <c r="C29" s="695"/>
      <c r="D29" s="695"/>
      <c r="E29" s="695"/>
      <c r="F29" s="695"/>
      <c r="G29" s="695"/>
      <c r="H29" s="695"/>
      <c r="I29" s="694"/>
      <c r="J29" s="694"/>
      <c r="K29" s="694"/>
    </row>
    <row r="30" spans="1:11">
      <c r="B30" s="427"/>
      <c r="C30" s="427"/>
      <c r="D30" s="427"/>
      <c r="E30" s="427"/>
      <c r="F30" s="427"/>
      <c r="G30" s="427"/>
      <c r="H30" s="427"/>
    </row>
    <row r="31" spans="1:11">
      <c r="B31" s="427"/>
      <c r="C31" s="427"/>
      <c r="D31" s="427"/>
      <c r="E31" s="427"/>
      <c r="F31" s="427"/>
      <c r="G31" s="427"/>
      <c r="H31" s="427"/>
    </row>
    <row r="32" spans="1:11">
      <c r="B32" s="427"/>
      <c r="C32" s="427"/>
      <c r="D32" s="741"/>
      <c r="E32" s="741"/>
      <c r="F32" s="741"/>
      <c r="G32" s="741"/>
      <c r="H32" s="427"/>
    </row>
    <row r="33" spans="2:8">
      <c r="B33" s="427"/>
      <c r="C33" s="427"/>
      <c r="D33" s="742"/>
      <c r="E33" s="742"/>
      <c r="F33" s="742"/>
      <c r="G33" s="742"/>
      <c r="H33" s="427"/>
    </row>
    <row r="34" spans="2:8">
      <c r="B34" s="427"/>
      <c r="C34" s="427"/>
      <c r="D34" s="742"/>
      <c r="E34" s="742"/>
      <c r="F34" s="742"/>
      <c r="G34" s="742"/>
      <c r="H34" s="427"/>
    </row>
    <row r="35" spans="2:8">
      <c r="B35" s="427"/>
      <c r="C35" s="427"/>
      <c r="D35" s="742"/>
      <c r="E35" s="742"/>
      <c r="F35" s="742"/>
      <c r="G35" s="742"/>
      <c r="H35" s="427"/>
    </row>
    <row r="36" spans="2:8">
      <c r="B36" s="427"/>
      <c r="C36" s="427"/>
      <c r="D36" s="743"/>
      <c r="E36" s="743"/>
      <c r="F36" s="743"/>
      <c r="G36" s="743"/>
      <c r="H36" s="427"/>
    </row>
    <row r="37" spans="2:8">
      <c r="B37" s="427"/>
      <c r="C37" s="427"/>
      <c r="D37" s="742"/>
      <c r="E37" s="742"/>
      <c r="F37" s="742"/>
      <c r="G37" s="742"/>
      <c r="H37" s="427"/>
    </row>
    <row r="38" spans="2:8">
      <c r="B38" s="427"/>
      <c r="C38" s="427"/>
      <c r="D38" s="742"/>
      <c r="E38" s="742"/>
      <c r="F38" s="742"/>
      <c r="G38" s="742"/>
      <c r="H38" s="427"/>
    </row>
    <row r="39" spans="2:8">
      <c r="B39" s="427"/>
      <c r="C39" s="427"/>
      <c r="D39" s="742"/>
      <c r="E39" s="742"/>
      <c r="F39" s="742"/>
      <c r="G39" s="742"/>
      <c r="H39" s="427"/>
    </row>
    <row r="40" spans="2:8">
      <c r="B40" s="427"/>
      <c r="C40" s="427"/>
      <c r="D40" s="742"/>
      <c r="E40" s="742"/>
      <c r="F40" s="742"/>
      <c r="G40" s="742"/>
      <c r="H40" s="427"/>
    </row>
    <row r="41" spans="2:8">
      <c r="B41" s="427"/>
      <c r="C41" s="427"/>
      <c r="D41" s="744"/>
      <c r="E41" s="744"/>
      <c r="F41" s="744"/>
      <c r="G41" s="744"/>
      <c r="H41" s="427"/>
    </row>
    <row r="42" spans="2:8">
      <c r="B42" s="427"/>
      <c r="C42" s="427"/>
      <c r="D42" s="427"/>
      <c r="E42" s="427"/>
      <c r="F42" s="427"/>
      <c r="G42" s="427"/>
      <c r="H42" s="427"/>
    </row>
  </sheetData>
  <pageMargins left="0.70866141732283472" right="0.11811023622047245" top="0.74803149606299213" bottom="0.74803149606299213" header="0.31496062992125984" footer="0.31496062992125984"/>
  <pageSetup paperSize="9" scale="7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workbookViewId="0">
      <selection activeCell="F49" sqref="F49"/>
    </sheetView>
  </sheetViews>
  <sheetFormatPr defaultRowHeight="11.25"/>
  <cols>
    <col min="1" max="1" width="3.83203125" style="9" customWidth="1"/>
    <col min="2" max="2" width="43.83203125" style="7" customWidth="1"/>
    <col min="3" max="3" width="8.33203125" style="7" customWidth="1"/>
    <col min="4" max="16384" width="9.33203125" style="7"/>
  </cols>
  <sheetData>
    <row r="1" spans="1:13" ht="12">
      <c r="A1" s="21" t="s">
        <v>1289</v>
      </c>
    </row>
    <row r="2" spans="1:13" ht="12">
      <c r="A2" s="22" t="s">
        <v>1676</v>
      </c>
    </row>
    <row r="3" spans="1:13">
      <c r="A3" s="7" t="s">
        <v>213</v>
      </c>
      <c r="D3" s="74"/>
    </row>
    <row r="4" spans="1:13" ht="12" thickBot="1"/>
    <row r="5" spans="1:13" s="8" customFormat="1" ht="12" thickBot="1">
      <c r="A5" s="11" t="s">
        <v>400</v>
      </c>
      <c r="B5" s="12"/>
      <c r="C5" s="13">
        <v>1995</v>
      </c>
      <c r="D5" s="13">
        <v>1996</v>
      </c>
      <c r="E5" s="13">
        <v>1997</v>
      </c>
      <c r="F5" s="13">
        <v>1998</v>
      </c>
      <c r="G5" s="13">
        <v>1999</v>
      </c>
      <c r="H5" s="13">
        <v>2000</v>
      </c>
      <c r="I5" s="13">
        <v>2001</v>
      </c>
    </row>
    <row r="6" spans="1:13">
      <c r="A6" s="10"/>
      <c r="B6" s="8"/>
      <c r="C6" s="14"/>
      <c r="D6" s="14"/>
      <c r="K6" s="8"/>
      <c r="L6" s="8"/>
    </row>
    <row r="7" spans="1:13">
      <c r="A7" s="15">
        <v>1</v>
      </c>
      <c r="B7" s="7" t="s">
        <v>1544</v>
      </c>
      <c r="C7" s="16">
        <v>47380</v>
      </c>
      <c r="D7" s="16">
        <v>48891.557685902299</v>
      </c>
      <c r="E7" s="16">
        <v>52171.260239000003</v>
      </c>
      <c r="F7" s="16">
        <v>48711.515845999995</v>
      </c>
      <c r="G7" s="16">
        <v>51588.976491691501</v>
      </c>
      <c r="H7" s="16">
        <v>57020.923479842982</v>
      </c>
      <c r="I7" s="16">
        <v>59639.028471707337</v>
      </c>
      <c r="K7" s="8"/>
      <c r="L7" s="8"/>
      <c r="M7" s="8"/>
    </row>
    <row r="8" spans="1:13">
      <c r="A8" s="15">
        <v>2</v>
      </c>
      <c r="B8" s="7" t="s">
        <v>180</v>
      </c>
      <c r="C8" s="16">
        <v>42089</v>
      </c>
      <c r="D8" s="16">
        <v>28275.242272076794</v>
      </c>
      <c r="E8" s="16">
        <v>41385.922296149991</v>
      </c>
      <c r="F8" s="16">
        <v>42642.732475689998</v>
      </c>
      <c r="G8" s="16">
        <v>44566.601795751718</v>
      </c>
      <c r="H8" s="16">
        <v>46423.004687553825</v>
      </c>
      <c r="I8" s="16">
        <v>45021.573221724393</v>
      </c>
      <c r="K8" s="8"/>
      <c r="L8" s="8"/>
    </row>
    <row r="9" spans="1:13">
      <c r="A9" s="15">
        <v>3</v>
      </c>
      <c r="B9" s="7" t="s">
        <v>183</v>
      </c>
      <c r="C9" s="16">
        <v>20201.6539244659</v>
      </c>
      <c r="D9" s="16">
        <v>21119.148247643596</v>
      </c>
      <c r="E9" s="16">
        <v>21341.933925359997</v>
      </c>
      <c r="F9" s="16">
        <v>21601.65463796</v>
      </c>
      <c r="G9" s="16">
        <v>22440.899274649797</v>
      </c>
      <c r="H9" s="16">
        <v>23523.006389883802</v>
      </c>
      <c r="I9" s="16">
        <v>24428.317027662699</v>
      </c>
      <c r="K9" s="8"/>
      <c r="L9" s="8"/>
      <c r="M9" s="8"/>
    </row>
    <row r="10" spans="1:13">
      <c r="A10" s="15">
        <v>4</v>
      </c>
      <c r="B10" s="7" t="s">
        <v>1545</v>
      </c>
      <c r="C10" s="16">
        <v>38849.027832230298</v>
      </c>
      <c r="D10" s="16">
        <v>38600.069273572903</v>
      </c>
      <c r="E10" s="16">
        <v>43920.340464809997</v>
      </c>
      <c r="F10" s="16">
        <v>52885.611411769998</v>
      </c>
      <c r="G10" s="16">
        <v>52148.262695017198</v>
      </c>
      <c r="H10" s="16">
        <v>54519.571282734214</v>
      </c>
      <c r="I10" s="16">
        <v>55828.748817960302</v>
      </c>
      <c r="K10" s="8"/>
      <c r="L10" s="8"/>
    </row>
    <row r="11" spans="1:13">
      <c r="A11" s="15">
        <v>5</v>
      </c>
      <c r="B11" s="7" t="s">
        <v>1546</v>
      </c>
      <c r="C11" s="16">
        <v>2198.6986128600001</v>
      </c>
      <c r="D11" s="16">
        <v>2316.775765004199</v>
      </c>
      <c r="E11" s="16">
        <v>2249.0594558100001</v>
      </c>
      <c r="F11" s="16">
        <v>15594.582046860001</v>
      </c>
      <c r="G11" s="16">
        <v>16077.497914809186</v>
      </c>
      <c r="H11" s="16">
        <v>18755.902679859704</v>
      </c>
      <c r="I11" s="16">
        <v>18345.766050632981</v>
      </c>
      <c r="K11" s="8"/>
      <c r="L11" s="8"/>
      <c r="M11" s="8"/>
    </row>
    <row r="12" spans="1:13">
      <c r="A12" s="15">
        <v>6</v>
      </c>
      <c r="B12" s="7" t="s">
        <v>1386</v>
      </c>
      <c r="C12" s="16">
        <v>189852.26057853008</v>
      </c>
      <c r="D12" s="16">
        <v>222580</v>
      </c>
      <c r="E12" s="16">
        <v>209359.50895447002</v>
      </c>
      <c r="F12" s="16">
        <v>200640.44686051001</v>
      </c>
      <c r="G12" s="16">
        <v>229048.98957600669</v>
      </c>
      <c r="H12" s="16">
        <v>239077.37385980855</v>
      </c>
      <c r="I12" s="16">
        <v>257819.25510735091</v>
      </c>
      <c r="K12" s="8"/>
      <c r="L12" s="8"/>
    </row>
    <row r="13" spans="1:13">
      <c r="A13" s="15">
        <v>7</v>
      </c>
      <c r="B13" s="7" t="s">
        <v>399</v>
      </c>
      <c r="C13" s="16">
        <v>36799.985524838703</v>
      </c>
      <c r="D13" s="16">
        <v>32339.024433160801</v>
      </c>
      <c r="E13" s="16">
        <v>25794.011139620001</v>
      </c>
      <c r="F13" s="16">
        <v>17857.954640869997</v>
      </c>
      <c r="G13" s="16">
        <v>13503.297751659296</v>
      </c>
      <c r="H13" s="16">
        <v>8611.9951996776999</v>
      </c>
      <c r="I13" s="16">
        <v>7665.8799969263018</v>
      </c>
      <c r="K13" s="8"/>
      <c r="L13" s="8"/>
      <c r="M13" s="8"/>
    </row>
    <row r="14" spans="1:13">
      <c r="A14" s="15">
        <v>8</v>
      </c>
      <c r="B14" s="7" t="s">
        <v>1453</v>
      </c>
      <c r="C14" s="16">
        <v>4948.2882629999995</v>
      </c>
      <c r="D14" s="16">
        <v>5304</v>
      </c>
      <c r="E14" s="16">
        <v>5447.7083228000001</v>
      </c>
      <c r="F14" s="16">
        <v>5605.8485260799998</v>
      </c>
      <c r="G14" s="16">
        <v>5765.2777068029018</v>
      </c>
      <c r="H14" s="16">
        <v>5609.8023204543997</v>
      </c>
      <c r="I14" s="16">
        <v>5802.8700559212011</v>
      </c>
      <c r="K14" s="8"/>
      <c r="L14" s="8"/>
    </row>
    <row r="15" spans="1:13">
      <c r="A15" s="15">
        <v>9</v>
      </c>
      <c r="B15" s="7" t="s">
        <v>1387</v>
      </c>
      <c r="C15" s="16">
        <v>1157.6462980749</v>
      </c>
      <c r="D15" s="16">
        <v>970.32666659040001</v>
      </c>
      <c r="E15" s="16">
        <v>662.45333142999993</v>
      </c>
      <c r="F15" s="16">
        <v>1042.07603096</v>
      </c>
      <c r="G15" s="16">
        <v>1285.0170502566002</v>
      </c>
      <c r="H15" s="16">
        <v>1916.6987374252999</v>
      </c>
      <c r="I15" s="16">
        <v>2141.8040698415994</v>
      </c>
      <c r="K15" s="8"/>
      <c r="L15" s="8"/>
      <c r="M15" s="8"/>
    </row>
    <row r="16" spans="1:13">
      <c r="A16" s="15">
        <v>10</v>
      </c>
      <c r="B16" s="7" t="s">
        <v>1388</v>
      </c>
      <c r="C16" s="16">
        <v>7835</v>
      </c>
      <c r="D16" s="16">
        <v>8412</v>
      </c>
      <c r="E16" s="16">
        <v>9693.6512447999994</v>
      </c>
      <c r="F16" s="16">
        <v>11237.896091799999</v>
      </c>
      <c r="G16" s="16">
        <v>11569.616466604322</v>
      </c>
      <c r="H16" s="16">
        <v>9018.5749843433023</v>
      </c>
      <c r="I16" s="16">
        <v>16409.615839372385</v>
      </c>
      <c r="K16" s="8"/>
      <c r="L16" s="8"/>
    </row>
    <row r="17" spans="1:13">
      <c r="A17" s="15">
        <v>11</v>
      </c>
      <c r="B17" s="7" t="s">
        <v>1389</v>
      </c>
      <c r="C17" s="16">
        <v>1401</v>
      </c>
      <c r="D17" s="16">
        <v>1459</v>
      </c>
      <c r="E17" s="16">
        <v>1667.5789399</v>
      </c>
      <c r="F17" s="16">
        <v>1639.0192955</v>
      </c>
      <c r="G17" s="16">
        <v>1908.1933729947007</v>
      </c>
      <c r="H17" s="16">
        <v>2315.5597762842995</v>
      </c>
      <c r="I17" s="16">
        <v>167.16891309049998</v>
      </c>
      <c r="K17" s="8"/>
      <c r="L17" s="8"/>
      <c r="M17" s="8"/>
    </row>
    <row r="18" spans="1:13">
      <c r="A18" s="15">
        <v>12</v>
      </c>
      <c r="B18" s="7" t="s">
        <v>1447</v>
      </c>
      <c r="C18" s="16">
        <v>28510</v>
      </c>
      <c r="D18" s="16">
        <v>27070.076564660001</v>
      </c>
      <c r="E18" s="16">
        <v>24487.504342819997</v>
      </c>
      <c r="F18" s="16">
        <v>27556.66589529</v>
      </c>
      <c r="G18" s="16">
        <v>24112.072688736098</v>
      </c>
      <c r="H18" s="16">
        <v>23849.024215094098</v>
      </c>
      <c r="I18" s="16">
        <v>24790.743531772598</v>
      </c>
      <c r="K18" s="8"/>
      <c r="L18" s="8"/>
    </row>
    <row r="19" spans="1:13">
      <c r="A19" s="15">
        <v>13</v>
      </c>
      <c r="B19" s="7" t="s">
        <v>1390</v>
      </c>
      <c r="C19" s="16">
        <v>43697</v>
      </c>
      <c r="D19" s="16">
        <v>43715.08356304191</v>
      </c>
      <c r="E19" s="16">
        <v>43673.604959100005</v>
      </c>
      <c r="F19" s="16">
        <v>41981.675534200003</v>
      </c>
      <c r="G19" s="16">
        <v>38839.6497367396</v>
      </c>
      <c r="H19" s="16">
        <v>31193.820078281606</v>
      </c>
      <c r="I19" s="16">
        <v>22262.938924538008</v>
      </c>
    </row>
    <row r="20" spans="1:13">
      <c r="A20" s="17">
        <v>14</v>
      </c>
      <c r="B20" s="7" t="s">
        <v>1391</v>
      </c>
      <c r="C20" s="16">
        <v>153269</v>
      </c>
      <c r="D20" s="16">
        <v>177776.95178100001</v>
      </c>
      <c r="E20" s="16">
        <v>185697.35685500002</v>
      </c>
      <c r="F20" s="16">
        <v>210096.280711</v>
      </c>
      <c r="G20" s="16">
        <v>192367.63551071679</v>
      </c>
      <c r="H20" s="16">
        <v>187730.60105775899</v>
      </c>
      <c r="I20" s="16">
        <v>181712.73009694542</v>
      </c>
    </row>
    <row r="21" spans="1:13">
      <c r="A21" s="15"/>
      <c r="C21" s="16"/>
      <c r="D21" s="16"/>
      <c r="E21" s="16"/>
      <c r="F21" s="16"/>
      <c r="G21" s="16"/>
      <c r="H21" s="16"/>
    </row>
    <row r="22" spans="1:13" ht="12" thickBot="1">
      <c r="A22" s="18"/>
      <c r="B22" s="19" t="s">
        <v>1230</v>
      </c>
      <c r="C22" s="20">
        <v>618188.5610339999</v>
      </c>
      <c r="D22" s="75">
        <f>658829.256252653+2</f>
        <v>658831.25625265297</v>
      </c>
      <c r="E22" s="20">
        <v>667552</v>
      </c>
      <c r="F22" s="20">
        <v>699093.96000448999</v>
      </c>
      <c r="G22" s="20">
        <v>705221.98803243635</v>
      </c>
      <c r="H22" s="20">
        <v>709565.8587490028</v>
      </c>
      <c r="I22" s="20">
        <f>SUM(I7:I21)</f>
        <v>722036.44012544653</v>
      </c>
    </row>
    <row r="23" spans="1:13">
      <c r="A23" s="23" t="s">
        <v>179</v>
      </c>
    </row>
    <row r="45" spans="5:6" ht="12.75">
      <c r="E45" s="58"/>
      <c r="F45" s="59"/>
    </row>
    <row r="46" spans="5:6" ht="12.75">
      <c r="E46" s="58"/>
      <c r="F46" s="59"/>
    </row>
    <row r="47" spans="5:6" ht="12.75">
      <c r="E47" s="58"/>
      <c r="F47" s="59"/>
    </row>
    <row r="48" spans="5:6" ht="12.75">
      <c r="E48" s="58"/>
      <c r="F48" s="59"/>
    </row>
    <row r="49" spans="5:6" ht="12.75">
      <c r="E49" s="58"/>
      <c r="F49" s="59"/>
    </row>
    <row r="50" spans="5:6" ht="12.75">
      <c r="E50" s="58"/>
      <c r="F50" s="59"/>
    </row>
    <row r="51" spans="5:6" ht="12.75">
      <c r="E51" s="58"/>
      <c r="F51" s="59"/>
    </row>
    <row r="52" spans="5:6" ht="12.75">
      <c r="E52" s="58"/>
      <c r="F52" s="59"/>
    </row>
    <row r="53" spans="5:6" ht="12.75">
      <c r="E53" s="58"/>
      <c r="F53" s="59"/>
    </row>
    <row r="54" spans="5:6" ht="12.75">
      <c r="E54" s="58"/>
      <c r="F54" s="59"/>
    </row>
    <row r="55" spans="5:6" ht="12.75">
      <c r="E55" s="58"/>
      <c r="F55" s="59"/>
    </row>
    <row r="56" spans="5:6" ht="12.75">
      <c r="E56" s="58"/>
      <c r="F56" s="59"/>
    </row>
    <row r="57" spans="5:6" ht="12.75">
      <c r="E57" s="58"/>
      <c r="F57" s="59"/>
    </row>
    <row r="58" spans="5:6" ht="12.75">
      <c r="E58" s="58"/>
      <c r="F58" s="59"/>
    </row>
  </sheetData>
  <phoneticPr fontId="0" type="noConversion"/>
  <pageMargins left="0.75" right="0.75" top="1" bottom="1" header="0.5" footer="0.5"/>
  <pageSetup paperSize="9" scale="8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election activeCell="F49" sqref="F49"/>
    </sheetView>
  </sheetViews>
  <sheetFormatPr defaultRowHeight="12.75"/>
  <cols>
    <col min="1" max="1" width="5.83203125" style="675" customWidth="1"/>
    <col min="2" max="2" width="36.6640625" style="675" customWidth="1"/>
    <col min="3" max="16" width="7.6640625" style="675" bestFit="1" customWidth="1"/>
    <col min="17" max="17" width="8.5" style="675" customWidth="1"/>
    <col min="18" max="16384" width="9.33203125" style="675"/>
  </cols>
  <sheetData>
    <row r="1" spans="1:17">
      <c r="A1" s="21" t="s">
        <v>1759</v>
      </c>
      <c r="B1" s="7"/>
      <c r="C1" s="7"/>
      <c r="D1" s="7"/>
      <c r="E1" s="7"/>
      <c r="F1" s="7"/>
      <c r="G1" s="7"/>
      <c r="H1" s="7"/>
      <c r="I1" s="7"/>
      <c r="J1" s="7"/>
    </row>
    <row r="2" spans="1:17">
      <c r="A2" s="21" t="s">
        <v>2005</v>
      </c>
      <c r="B2" s="7"/>
      <c r="C2" s="7"/>
      <c r="D2" s="7"/>
      <c r="E2" s="7"/>
      <c r="F2" s="7"/>
      <c r="G2" s="7"/>
      <c r="H2" s="7"/>
      <c r="I2" s="7"/>
      <c r="J2" s="7"/>
    </row>
    <row r="3" spans="1:17">
      <c r="A3" s="675" t="s">
        <v>2006</v>
      </c>
      <c r="B3" s="7"/>
      <c r="C3" s="7"/>
      <c r="D3" s="74"/>
      <c r="E3" s="7"/>
      <c r="F3" s="7"/>
      <c r="G3" s="7"/>
      <c r="H3" s="7"/>
      <c r="I3" s="7"/>
      <c r="J3" s="7"/>
    </row>
    <row r="4" spans="1:17" ht="13.5" thickBot="1">
      <c r="A4" s="9"/>
      <c r="B4" s="7"/>
      <c r="C4" s="7"/>
      <c r="D4" s="7"/>
      <c r="E4" s="7"/>
      <c r="F4" s="7"/>
      <c r="G4" s="7"/>
      <c r="H4" s="7"/>
      <c r="I4" s="7"/>
      <c r="J4" s="7"/>
      <c r="L4" s="65"/>
      <c r="M4" s="65"/>
      <c r="N4" s="65"/>
      <c r="O4" s="65"/>
      <c r="P4" s="65"/>
      <c r="Q4" s="65"/>
    </row>
    <row r="5" spans="1:17" ht="13.5" thickBot="1">
      <c r="A5" s="11" t="s">
        <v>400</v>
      </c>
      <c r="B5" s="11"/>
      <c r="C5" s="127">
        <v>2000</v>
      </c>
      <c r="D5" s="127">
        <v>2001</v>
      </c>
      <c r="E5" s="127">
        <v>2002</v>
      </c>
      <c r="F5" s="127">
        <v>2003</v>
      </c>
      <c r="G5" s="127">
        <v>2004</v>
      </c>
      <c r="H5" s="127">
        <v>2005</v>
      </c>
      <c r="I5" s="127">
        <v>2006</v>
      </c>
      <c r="J5" s="127">
        <v>2007</v>
      </c>
      <c r="K5" s="127">
        <v>2008</v>
      </c>
      <c r="L5" s="44">
        <v>2009</v>
      </c>
      <c r="M5" s="44">
        <v>2010</v>
      </c>
      <c r="N5" s="44">
        <v>2011</v>
      </c>
      <c r="O5" s="44">
        <v>2012</v>
      </c>
      <c r="P5" s="44">
        <v>2013</v>
      </c>
      <c r="Q5" s="44">
        <v>2014</v>
      </c>
    </row>
    <row r="6" spans="1:17">
      <c r="A6" s="10"/>
      <c r="B6" s="8"/>
      <c r="C6" s="14"/>
      <c r="D6" s="14"/>
      <c r="E6" s="7"/>
      <c r="F6" s="7"/>
      <c r="G6" s="7"/>
      <c r="H6" s="7"/>
      <c r="I6" s="7"/>
      <c r="J6" s="7"/>
    </row>
    <row r="7" spans="1:17">
      <c r="A7" s="15">
        <v>1</v>
      </c>
      <c r="B7" s="4" t="s">
        <v>462</v>
      </c>
      <c r="C7" s="3">
        <v>252398</v>
      </c>
      <c r="D7" s="3">
        <v>249706</v>
      </c>
      <c r="E7" s="3">
        <v>233611</v>
      </c>
      <c r="F7" s="3">
        <v>179440</v>
      </c>
      <c r="G7" s="3">
        <v>198739</v>
      </c>
      <c r="H7" s="3">
        <v>168852</v>
      </c>
      <c r="I7" s="3">
        <v>194428</v>
      </c>
      <c r="J7" s="3">
        <v>209232</v>
      </c>
      <c r="K7" s="3">
        <v>195306</v>
      </c>
      <c r="L7" s="3">
        <v>207316</v>
      </c>
      <c r="M7" s="201">
        <v>198562</v>
      </c>
      <c r="N7" s="3">
        <v>226018</v>
      </c>
      <c r="O7" s="3">
        <v>219667</v>
      </c>
      <c r="P7" s="3">
        <v>223641</v>
      </c>
      <c r="Q7" s="3">
        <v>219129</v>
      </c>
    </row>
    <row r="8" spans="1:17">
      <c r="A8" s="15">
        <v>2</v>
      </c>
      <c r="B8" s="4" t="s">
        <v>180</v>
      </c>
      <c r="C8" s="3">
        <v>46465</v>
      </c>
      <c r="D8" s="3">
        <v>45066</v>
      </c>
      <c r="E8" s="3">
        <v>44811</v>
      </c>
      <c r="F8" s="3">
        <v>45360</v>
      </c>
      <c r="G8" s="3">
        <v>43003</v>
      </c>
      <c r="H8" s="3">
        <v>43713</v>
      </c>
      <c r="I8" s="3">
        <v>43835</v>
      </c>
      <c r="J8" s="3">
        <v>46061</v>
      </c>
      <c r="K8" s="3">
        <v>42494</v>
      </c>
      <c r="L8" s="3">
        <v>41476</v>
      </c>
      <c r="M8" s="201">
        <v>45028</v>
      </c>
      <c r="N8" s="3">
        <v>43538</v>
      </c>
      <c r="O8" s="3">
        <v>44693</v>
      </c>
      <c r="P8" s="3">
        <v>44737</v>
      </c>
      <c r="Q8" s="3">
        <v>47202</v>
      </c>
    </row>
    <row r="9" spans="1:17">
      <c r="A9" s="15">
        <v>3</v>
      </c>
      <c r="B9" s="4" t="s">
        <v>183</v>
      </c>
      <c r="C9" s="3">
        <v>23657</v>
      </c>
      <c r="D9" s="3">
        <v>24560</v>
      </c>
      <c r="E9" s="3">
        <v>25880</v>
      </c>
      <c r="F9" s="3">
        <v>27498</v>
      </c>
      <c r="G9" s="3">
        <v>28409</v>
      </c>
      <c r="H9" s="3">
        <v>29049</v>
      </c>
      <c r="I9" s="3">
        <v>30751</v>
      </c>
      <c r="J9" s="3">
        <v>33348</v>
      </c>
      <c r="K9" s="3">
        <v>35523</v>
      </c>
      <c r="L9" s="3">
        <v>36595</v>
      </c>
      <c r="M9" s="201">
        <v>38354</v>
      </c>
      <c r="N9" s="3">
        <v>40172</v>
      </c>
      <c r="O9" s="3">
        <v>41536</v>
      </c>
      <c r="P9" s="3">
        <v>42801</v>
      </c>
      <c r="Q9" s="3">
        <v>43788</v>
      </c>
    </row>
    <row r="10" spans="1:17">
      <c r="A10" s="15">
        <v>4</v>
      </c>
      <c r="B10" s="4" t="s">
        <v>463</v>
      </c>
      <c r="C10" s="3">
        <v>68508</v>
      </c>
      <c r="D10" s="3">
        <v>63175</v>
      </c>
      <c r="E10" s="3">
        <v>62164</v>
      </c>
      <c r="F10" s="3">
        <v>57718</v>
      </c>
      <c r="G10" s="3">
        <v>63819</v>
      </c>
      <c r="H10" s="3">
        <v>72359</v>
      </c>
      <c r="I10" s="3">
        <v>77879</v>
      </c>
      <c r="J10" s="3">
        <v>85017</v>
      </c>
      <c r="K10" s="3">
        <v>127373</v>
      </c>
      <c r="L10" s="3">
        <v>87049</v>
      </c>
      <c r="M10" s="201">
        <v>92803</v>
      </c>
      <c r="N10" s="3">
        <v>87727</v>
      </c>
      <c r="O10" s="3">
        <v>93424</v>
      </c>
      <c r="P10" s="3">
        <v>95203</v>
      </c>
      <c r="Q10" s="3">
        <v>98133</v>
      </c>
    </row>
    <row r="11" spans="1:17">
      <c r="A11" s="15">
        <v>5</v>
      </c>
      <c r="B11" s="4" t="s">
        <v>464</v>
      </c>
      <c r="C11" s="3">
        <v>2171</v>
      </c>
      <c r="D11" s="3">
        <v>3121</v>
      </c>
      <c r="E11" s="3">
        <v>3158</v>
      </c>
      <c r="F11" s="3">
        <v>2825</v>
      </c>
      <c r="G11" s="3">
        <v>3257</v>
      </c>
      <c r="H11" s="3">
        <v>5186</v>
      </c>
      <c r="I11" s="3">
        <v>5780</v>
      </c>
      <c r="J11" s="3">
        <v>4397</v>
      </c>
      <c r="K11" s="3">
        <v>4455</v>
      </c>
      <c r="L11" s="3">
        <v>4543</v>
      </c>
      <c r="M11" s="201">
        <v>4318</v>
      </c>
      <c r="N11" s="3">
        <v>4394</v>
      </c>
      <c r="O11" s="3">
        <v>4307</v>
      </c>
      <c r="P11" s="3">
        <v>4284</v>
      </c>
      <c r="Q11" s="3">
        <v>4588</v>
      </c>
    </row>
    <row r="12" spans="1:17">
      <c r="A12" s="15">
        <v>6</v>
      </c>
      <c r="B12" s="4" t="s">
        <v>399</v>
      </c>
      <c r="C12" s="3">
        <v>7536</v>
      </c>
      <c r="D12" s="3">
        <v>6184</v>
      </c>
      <c r="E12" s="3">
        <v>5218</v>
      </c>
      <c r="F12" s="3">
        <v>5482</v>
      </c>
      <c r="G12" s="3">
        <v>5461</v>
      </c>
      <c r="H12" s="3">
        <v>5596</v>
      </c>
      <c r="I12" s="3">
        <v>5298</v>
      </c>
      <c r="J12" s="3">
        <v>4456</v>
      </c>
      <c r="K12" s="3">
        <v>3711</v>
      </c>
      <c r="L12" s="3">
        <v>4421</v>
      </c>
      <c r="M12" s="201">
        <v>4217</v>
      </c>
      <c r="N12" s="3">
        <v>3591</v>
      </c>
      <c r="O12" s="3">
        <v>3496</v>
      </c>
      <c r="P12" s="3">
        <v>3414</v>
      </c>
      <c r="Q12" s="3">
        <v>3085</v>
      </c>
    </row>
    <row r="13" spans="1:17">
      <c r="A13" s="15">
        <v>7</v>
      </c>
      <c r="B13" s="4" t="s">
        <v>546</v>
      </c>
      <c r="C13" s="3">
        <v>18788</v>
      </c>
      <c r="D13" s="3">
        <v>18460</v>
      </c>
      <c r="E13" s="3">
        <v>19293</v>
      </c>
      <c r="F13" s="3">
        <v>20226</v>
      </c>
      <c r="G13" s="3">
        <v>24540</v>
      </c>
      <c r="H13" s="3">
        <v>24536</v>
      </c>
      <c r="I13" s="3">
        <v>25871</v>
      </c>
      <c r="J13" s="3">
        <v>28333</v>
      </c>
      <c r="K13" s="3">
        <v>29451</v>
      </c>
      <c r="L13" s="3">
        <v>32372</v>
      </c>
      <c r="M13" s="201">
        <v>33848</v>
      </c>
      <c r="N13" s="3">
        <v>33531</v>
      </c>
      <c r="O13" s="3">
        <v>35597</v>
      </c>
      <c r="P13" s="3">
        <v>35567</v>
      </c>
      <c r="Q13" s="3">
        <v>36108</v>
      </c>
    </row>
    <row r="14" spans="1:17">
      <c r="A14" s="15">
        <v>8</v>
      </c>
      <c r="B14" s="4" t="s">
        <v>1453</v>
      </c>
      <c r="C14" s="3">
        <v>5406</v>
      </c>
      <c r="D14" s="3">
        <v>5568</v>
      </c>
      <c r="E14" s="3">
        <v>5819</v>
      </c>
      <c r="F14" s="3">
        <v>6087</v>
      </c>
      <c r="G14" s="3">
        <v>6378</v>
      </c>
      <c r="H14" s="3">
        <v>6563</v>
      </c>
      <c r="I14" s="3">
        <v>6837</v>
      </c>
      <c r="J14" s="3">
        <v>6954</v>
      </c>
      <c r="K14" s="3">
        <v>7071</v>
      </c>
      <c r="L14" s="3">
        <v>7371</v>
      </c>
      <c r="M14" s="201">
        <v>8388</v>
      </c>
      <c r="N14" s="3">
        <v>8897</v>
      </c>
      <c r="O14" s="3">
        <v>9225</v>
      </c>
      <c r="P14" s="3">
        <v>9370</v>
      </c>
      <c r="Q14" s="3">
        <v>9420</v>
      </c>
    </row>
    <row r="15" spans="1:17">
      <c r="A15" s="15">
        <v>9</v>
      </c>
      <c r="B15" s="4" t="s">
        <v>465</v>
      </c>
      <c r="C15" s="3">
        <v>44834</v>
      </c>
      <c r="D15" s="3">
        <v>47341</v>
      </c>
      <c r="E15" s="3">
        <v>52108</v>
      </c>
      <c r="F15" s="3">
        <v>48969</v>
      </c>
      <c r="G15" s="3">
        <v>51783</v>
      </c>
      <c r="H15" s="3">
        <v>50379</v>
      </c>
      <c r="I15" s="3">
        <v>53129</v>
      </c>
      <c r="J15" s="3">
        <v>47027</v>
      </c>
      <c r="K15" s="3">
        <v>48243</v>
      </c>
      <c r="L15" s="3">
        <v>53872</v>
      </c>
      <c r="M15" s="201">
        <v>57203</v>
      </c>
      <c r="N15" s="3">
        <v>56412</v>
      </c>
      <c r="O15" s="3">
        <v>54221</v>
      </c>
      <c r="P15" s="3">
        <v>56014</v>
      </c>
      <c r="Q15" s="3">
        <v>56912</v>
      </c>
    </row>
    <row r="16" spans="1:17">
      <c r="A16" s="15">
        <v>10</v>
      </c>
      <c r="B16" s="4" t="s">
        <v>466</v>
      </c>
      <c r="C16" s="3">
        <v>239804</v>
      </c>
      <c r="D16" s="3">
        <v>258855</v>
      </c>
      <c r="E16" s="3">
        <v>273270</v>
      </c>
      <c r="F16" s="3">
        <v>309865</v>
      </c>
      <c r="G16" s="3">
        <v>315340</v>
      </c>
      <c r="H16" s="3">
        <v>318722</v>
      </c>
      <c r="I16" s="3">
        <v>321730</v>
      </c>
      <c r="J16" s="3">
        <v>304347</v>
      </c>
      <c r="K16" s="3">
        <v>296636</v>
      </c>
      <c r="L16" s="3">
        <v>306255</v>
      </c>
      <c r="M16" s="201">
        <v>303668</v>
      </c>
      <c r="N16" s="3">
        <v>297198</v>
      </c>
      <c r="O16" s="3">
        <v>304921</v>
      </c>
      <c r="P16" s="3">
        <v>312357</v>
      </c>
      <c r="Q16" s="3">
        <v>322505</v>
      </c>
    </row>
    <row r="17" spans="1:22">
      <c r="A17" s="15"/>
      <c r="B17" s="7"/>
      <c r="L17" s="61"/>
      <c r="N17" s="61"/>
      <c r="O17" s="61"/>
      <c r="P17" s="61"/>
      <c r="Q17" s="61"/>
    </row>
    <row r="18" spans="1:22" ht="13.5" thickBot="1">
      <c r="A18" s="18"/>
      <c r="B18" s="19" t="s">
        <v>1230</v>
      </c>
      <c r="C18" s="75">
        <v>709566</v>
      </c>
      <c r="D18" s="75">
        <v>722036</v>
      </c>
      <c r="E18" s="75">
        <v>725332</v>
      </c>
      <c r="F18" s="75">
        <v>703470</v>
      </c>
      <c r="G18" s="75">
        <v>740728</v>
      </c>
      <c r="H18" s="75">
        <v>724956</v>
      </c>
      <c r="I18" s="75">
        <v>765538</v>
      </c>
      <c r="J18" s="75">
        <v>769172</v>
      </c>
      <c r="K18" s="75">
        <v>790263</v>
      </c>
      <c r="L18" s="75">
        <v>781270</v>
      </c>
      <c r="M18" s="75">
        <v>786389</v>
      </c>
      <c r="N18" s="75">
        <v>801478</v>
      </c>
      <c r="O18" s="75">
        <f>SUM(O7:O16)</f>
        <v>811087</v>
      </c>
      <c r="P18" s="75">
        <v>827388</v>
      </c>
      <c r="Q18" s="75">
        <v>840872</v>
      </c>
    </row>
    <row r="19" spans="1:22">
      <c r="A19" s="23" t="s">
        <v>179</v>
      </c>
      <c r="B19" s="7"/>
      <c r="J19" s="7"/>
    </row>
    <row r="20" spans="1:22">
      <c r="A20" s="9"/>
      <c r="B20" s="7"/>
      <c r="C20" s="7"/>
      <c r="D20" s="7"/>
      <c r="E20" s="7"/>
      <c r="F20" s="7"/>
      <c r="G20" s="7"/>
      <c r="H20" s="7"/>
      <c r="I20" s="7"/>
      <c r="J20" s="7"/>
    </row>
    <row r="21" spans="1:22">
      <c r="A21" s="9"/>
      <c r="B21" s="7"/>
      <c r="C21" s="7"/>
      <c r="D21" s="7"/>
      <c r="E21" s="7"/>
      <c r="F21" s="7"/>
      <c r="G21" s="7"/>
      <c r="H21" s="7"/>
      <c r="I21" s="7"/>
      <c r="J21" s="7"/>
    </row>
    <row r="22" spans="1:22">
      <c r="A22" s="9"/>
      <c r="B22" s="7"/>
      <c r="C22" s="7"/>
      <c r="D22" s="7"/>
      <c r="E22" s="7"/>
      <c r="F22" s="7"/>
      <c r="G22" s="7"/>
      <c r="H22" s="7"/>
      <c r="I22" s="7"/>
      <c r="J22" s="7"/>
    </row>
    <row r="23" spans="1:22">
      <c r="A23" s="9"/>
      <c r="B23" s="7"/>
      <c r="C23" s="7"/>
      <c r="D23" s="7"/>
      <c r="E23" s="7"/>
      <c r="F23" s="7"/>
      <c r="G23" s="7"/>
      <c r="H23" s="7"/>
      <c r="I23" s="7"/>
      <c r="J23" s="7"/>
    </row>
    <row r="24" spans="1:22">
      <c r="A24" s="9"/>
      <c r="B24" s="7"/>
      <c r="C24" s="7"/>
      <c r="D24" s="7"/>
      <c r="E24" s="7"/>
      <c r="F24" s="7"/>
      <c r="G24" s="7"/>
      <c r="H24" s="7"/>
      <c r="I24" s="7"/>
      <c r="J24" s="7"/>
      <c r="T24" s="679"/>
      <c r="V24" s="679"/>
    </row>
    <row r="25" spans="1:22">
      <c r="T25" s="679"/>
      <c r="V25" s="679"/>
    </row>
    <row r="26" spans="1:22">
      <c r="T26" s="679"/>
      <c r="V26" s="679"/>
    </row>
    <row r="27" spans="1:22">
      <c r="T27" s="679"/>
      <c r="V27" s="679"/>
    </row>
    <row r="28" spans="1:22">
      <c r="T28" s="679"/>
      <c r="V28" s="679"/>
    </row>
    <row r="29" spans="1:22">
      <c r="T29" s="679"/>
      <c r="V29" s="679"/>
    </row>
    <row r="30" spans="1:22">
      <c r="T30" s="679"/>
      <c r="V30" s="679"/>
    </row>
    <row r="31" spans="1:22">
      <c r="T31" s="679"/>
      <c r="V31" s="679"/>
    </row>
    <row r="32" spans="1:22">
      <c r="T32" s="679"/>
      <c r="V32" s="679"/>
    </row>
    <row r="33" spans="20:22">
      <c r="T33" s="679"/>
      <c r="V33" s="679"/>
    </row>
    <row r="34" spans="20:22">
      <c r="T34" s="679"/>
      <c r="V34" s="679"/>
    </row>
    <row r="35" spans="20:22">
      <c r="T35" s="679"/>
      <c r="V35" s="679"/>
    </row>
  </sheetData>
  <pageMargins left="0.78740157480314965" right="0.78740157480314965" top="0.98425196850393704" bottom="0.98425196850393704" header="0.51181102362204722" footer="0.51181102362204722"/>
  <pageSetup paperSize="9" scale="91"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workbookViewId="0">
      <selection activeCell="F49" sqref="F49"/>
    </sheetView>
  </sheetViews>
  <sheetFormatPr defaultRowHeight="11.25"/>
  <cols>
    <col min="1" max="1" width="3.83203125" style="4" customWidth="1"/>
    <col min="2" max="2" width="45.83203125" style="4" bestFit="1" customWidth="1"/>
    <col min="3" max="3" width="8.33203125" style="4" customWidth="1"/>
    <col min="4" max="9" width="9.33203125" style="4"/>
    <col min="10" max="10" width="10.33203125" style="4" customWidth="1"/>
    <col min="11" max="16384" width="9.33203125" style="4"/>
  </cols>
  <sheetData>
    <row r="1" spans="1:9" ht="12">
      <c r="A1" s="1" t="s">
        <v>933</v>
      </c>
    </row>
    <row r="2" spans="1:9" ht="12">
      <c r="A2" s="1" t="s">
        <v>1677</v>
      </c>
    </row>
    <row r="3" spans="1:9">
      <c r="A3" s="7" t="s">
        <v>1283</v>
      </c>
      <c r="B3" s="8"/>
    </row>
    <row r="4" spans="1:9" ht="12" thickBot="1"/>
    <row r="5" spans="1:9" ht="12" thickBot="1">
      <c r="A5" s="29" t="s">
        <v>1543</v>
      </c>
      <c r="B5" s="30"/>
      <c r="C5" s="29">
        <v>1995</v>
      </c>
      <c r="D5" s="29">
        <v>1996</v>
      </c>
      <c r="E5" s="29">
        <v>1997</v>
      </c>
      <c r="F5" s="29">
        <v>1998</v>
      </c>
      <c r="G5" s="29">
        <v>1999</v>
      </c>
      <c r="H5" s="29">
        <v>2000</v>
      </c>
      <c r="I5" s="29">
        <v>2001</v>
      </c>
    </row>
    <row r="7" spans="1:9">
      <c r="A7" s="17">
        <v>1</v>
      </c>
      <c r="B7" s="4" t="s">
        <v>1544</v>
      </c>
      <c r="C7" s="31">
        <v>7.6643227233095388</v>
      </c>
      <c r="D7" s="31">
        <v>7.420978385271793</v>
      </c>
      <c r="E7" s="31">
        <v>7.8153103037665979</v>
      </c>
      <c r="F7" s="31">
        <v>6.967806310167159</v>
      </c>
      <c r="G7" s="31">
        <v>7.3152817824304259</v>
      </c>
      <c r="H7" s="31">
        <v>8.0360281467605521</v>
      </c>
      <c r="I7" s="31">
        <v>8.2598414028812037</v>
      </c>
    </row>
    <row r="8" spans="1:9">
      <c r="A8" s="17">
        <v>2</v>
      </c>
      <c r="B8" s="4" t="s">
        <v>180</v>
      </c>
      <c r="C8" s="31">
        <v>6.8084356078804378</v>
      </c>
      <c r="D8" s="31">
        <v>4.2917422080808212</v>
      </c>
      <c r="E8" s="31">
        <v>6.1996552023138261</v>
      </c>
      <c r="F8" s="31">
        <v>6.0997136973983466</v>
      </c>
      <c r="G8" s="31">
        <v>6.3195138262492829</v>
      </c>
      <c r="H8" s="31">
        <v>6.5424505525284227</v>
      </c>
      <c r="I8" s="31">
        <v>6.2353640568786588</v>
      </c>
    </row>
    <row r="9" spans="1:9">
      <c r="A9" s="17">
        <v>3</v>
      </c>
      <c r="B9" s="4" t="s">
        <v>183</v>
      </c>
      <c r="C9" s="31">
        <v>3.2678766403908677</v>
      </c>
      <c r="D9" s="31">
        <v>3.2055583842914617</v>
      </c>
      <c r="E9" s="31">
        <v>3.1970444138224434</v>
      </c>
      <c r="F9" s="31">
        <v>3.0899499406317319</v>
      </c>
      <c r="G9" s="31">
        <v>3.1821042557733303</v>
      </c>
      <c r="H9" s="31">
        <v>3.3151259206167993</v>
      </c>
      <c r="I9" s="31">
        <v>3.3832547168926066</v>
      </c>
    </row>
    <row r="10" spans="1:9">
      <c r="A10" s="17">
        <v>4</v>
      </c>
      <c r="B10" s="4" t="s">
        <v>1545</v>
      </c>
      <c r="C10" s="31">
        <v>6.2843285519849594</v>
      </c>
      <c r="D10" s="31">
        <v>5.858890436452084</v>
      </c>
      <c r="E10" s="31">
        <v>6.5793137410733546</v>
      </c>
      <c r="F10" s="31">
        <v>7.5648784586579199</v>
      </c>
      <c r="G10" s="31">
        <v>7.3945881857085007</v>
      </c>
      <c r="H10" s="31">
        <v>7.6835095372007984</v>
      </c>
      <c r="I10" s="31">
        <v>7.7321281512224189</v>
      </c>
    </row>
    <row r="11" spans="1:9">
      <c r="A11" s="17">
        <v>5</v>
      </c>
      <c r="B11" s="4" t="s">
        <v>1546</v>
      </c>
      <c r="C11" s="31">
        <v>0.3556677024113985</v>
      </c>
      <c r="D11" s="31">
        <v>0.35165054437558141</v>
      </c>
      <c r="E11" s="31">
        <v>0.33691149989963332</v>
      </c>
      <c r="F11" s="31">
        <v>2.230684578448678</v>
      </c>
      <c r="G11" s="31">
        <v>2.2797782705033574</v>
      </c>
      <c r="H11" s="31">
        <v>2.6432921926726625</v>
      </c>
      <c r="I11" s="31">
        <v>2.5408381369672677</v>
      </c>
    </row>
    <row r="12" spans="1:9">
      <c r="A12" s="17">
        <v>6</v>
      </c>
      <c r="B12" s="4" t="s">
        <v>1386</v>
      </c>
      <c r="C12" s="31">
        <v>30.71103830358193</v>
      </c>
      <c r="D12" s="31">
        <v>33.784183756331309</v>
      </c>
      <c r="E12" s="31">
        <v>31.362277238997116</v>
      </c>
      <c r="F12" s="31">
        <v>28.70006706687656</v>
      </c>
      <c r="G12" s="31">
        <v>32.47899095263714</v>
      </c>
      <c r="H12" s="31">
        <v>33.693465281567683</v>
      </c>
      <c r="I12" s="31">
        <v>35.707257686230456</v>
      </c>
    </row>
    <row r="13" spans="1:9">
      <c r="A13" s="17">
        <v>7</v>
      </c>
      <c r="B13" s="4" t="s">
        <v>399</v>
      </c>
      <c r="C13" s="31">
        <v>5.9528696765614892</v>
      </c>
      <c r="D13" s="31">
        <v>4.9085611643022391</v>
      </c>
      <c r="E13" s="31">
        <v>3.8639703183602179</v>
      </c>
      <c r="F13" s="31">
        <v>2.5544425557750454</v>
      </c>
      <c r="G13" s="31">
        <v>1.9147584380038194</v>
      </c>
      <c r="H13" s="31">
        <v>1.2136989652375818</v>
      </c>
      <c r="I13" s="31">
        <v>1.0617032941468711</v>
      </c>
    </row>
    <row r="14" spans="1:9">
      <c r="A14" s="17">
        <v>8</v>
      </c>
      <c r="B14" s="4" t="s">
        <v>1453</v>
      </c>
      <c r="C14" s="31">
        <v>0.80044909615020632</v>
      </c>
      <c r="D14" s="31">
        <v>0.80506474365882497</v>
      </c>
      <c r="E14" s="31">
        <v>0.81607250413450949</v>
      </c>
      <c r="F14" s="31">
        <v>0.80187335695628914</v>
      </c>
      <c r="G14" s="31">
        <v>0.8175124580349028</v>
      </c>
      <c r="H14" s="31">
        <v>0.79059626876913491</v>
      </c>
      <c r="I14" s="31">
        <v>0.80368154162966965</v>
      </c>
    </row>
    <row r="15" spans="1:9">
      <c r="A15" s="17">
        <v>9</v>
      </c>
      <c r="B15" s="4" t="s">
        <v>1387</v>
      </c>
      <c r="C15" s="31">
        <v>0.18726413735522632</v>
      </c>
      <c r="D15" s="31">
        <v>0.14728050322472144</v>
      </c>
      <c r="E15" s="31">
        <v>9.9236214022278404E-2</v>
      </c>
      <c r="F15" s="31">
        <v>0.14906093185751845</v>
      </c>
      <c r="G15" s="31">
        <v>0.18221454382543373</v>
      </c>
      <c r="H15" s="31">
        <v>0.27012268589888744</v>
      </c>
      <c r="I15" s="31">
        <v>0.29663397252236723</v>
      </c>
    </row>
    <row r="16" spans="1:9">
      <c r="A16" s="17">
        <v>10</v>
      </c>
      <c r="B16" s="4" t="s">
        <v>1388</v>
      </c>
      <c r="C16" s="31">
        <v>1.2674117462458894</v>
      </c>
      <c r="D16" s="31">
        <v>1.2768108264815301</v>
      </c>
      <c r="E16" s="31">
        <v>1.4521192723263505</v>
      </c>
      <c r="F16" s="31">
        <v>1.6074942842879496</v>
      </c>
      <c r="G16" s="31">
        <v>1.6405637468207632</v>
      </c>
      <c r="H16" s="31">
        <v>1.2709987491428991</v>
      </c>
      <c r="I16" s="31">
        <v>2.2726866581960437</v>
      </c>
    </row>
    <row r="17" spans="1:10">
      <c r="A17" s="17">
        <v>11</v>
      </c>
      <c r="B17" s="4" t="s">
        <v>1389</v>
      </c>
      <c r="C17" s="31">
        <v>0.22662972003707604</v>
      </c>
      <c r="D17" s="31">
        <v>0.22145351828774992</v>
      </c>
      <c r="E17" s="31">
        <v>0.24980509981244906</v>
      </c>
      <c r="F17" s="31">
        <v>0.23444905770897759</v>
      </c>
      <c r="G17" s="31">
        <v>0.27058052258646226</v>
      </c>
      <c r="H17" s="31">
        <v>0.32633465756311597</v>
      </c>
      <c r="I17" s="31">
        <v>2.3152434655681984E-2</v>
      </c>
    </row>
    <row r="18" spans="1:10">
      <c r="A18" s="17">
        <v>12</v>
      </c>
      <c r="B18" s="4" t="s">
        <v>1447</v>
      </c>
      <c r="C18" s="31">
        <v>4.611858185765195</v>
      </c>
      <c r="D18" s="31">
        <v>4.1088167892821961</v>
      </c>
      <c r="E18" s="31">
        <v>3.6682542098323423</v>
      </c>
      <c r="F18" s="31">
        <v>3.9417683309097202</v>
      </c>
      <c r="G18" s="31">
        <v>3.4190755093766358</v>
      </c>
      <c r="H18" s="31">
        <v>3.3610720095233</v>
      </c>
      <c r="I18" s="31">
        <v>3.4334497908376589</v>
      </c>
    </row>
    <row r="19" spans="1:10">
      <c r="A19" s="17">
        <v>13</v>
      </c>
      <c r="B19" s="4" t="s">
        <v>1390</v>
      </c>
      <c r="C19" s="31">
        <v>7.0685502330193524</v>
      </c>
      <c r="D19" s="31">
        <v>6.6352700872368873</v>
      </c>
      <c r="E19" s="31">
        <v>6.5423524997453395</v>
      </c>
      <c r="F19" s="31">
        <v>6.0051546049887428</v>
      </c>
      <c r="G19" s="31">
        <v>5.5074359190070084</v>
      </c>
      <c r="H19" s="31">
        <v>4.3961830299481104</v>
      </c>
      <c r="I19" s="31">
        <v>3.0833558056022148</v>
      </c>
    </row>
    <row r="20" spans="1:10">
      <c r="A20" s="17">
        <v>14</v>
      </c>
      <c r="B20" s="4" t="s">
        <v>1391</v>
      </c>
      <c r="C20" s="31">
        <v>24.793226666925484</v>
      </c>
      <c r="D20" s="31">
        <v>26.983777547891791</v>
      </c>
      <c r="E20" s="31">
        <v>27.817661673547533</v>
      </c>
      <c r="F20" s="31">
        <v>30.052651104286404</v>
      </c>
      <c r="G20" s="31">
        <v>27.277599892050556</v>
      </c>
      <c r="H20" s="31">
        <v>26.457102095895095</v>
      </c>
      <c r="I20" s="31">
        <v>25.166713307500654</v>
      </c>
    </row>
    <row r="21" spans="1:10">
      <c r="C21" s="31"/>
      <c r="D21" s="31"/>
      <c r="E21" s="31"/>
      <c r="F21" s="31"/>
      <c r="G21" s="31"/>
      <c r="H21" s="31"/>
      <c r="I21" s="31"/>
    </row>
    <row r="22" spans="1:10" ht="12" thickBot="1">
      <c r="A22" s="32"/>
      <c r="B22" s="33" t="s">
        <v>1227</v>
      </c>
      <c r="C22" s="34">
        <v>99.999928991619043</v>
      </c>
      <c r="D22" s="34">
        <v>100.000038895169</v>
      </c>
      <c r="E22" s="34">
        <v>100</v>
      </c>
      <c r="F22" s="34">
        <v>99.99999427895105</v>
      </c>
      <c r="G22" s="34">
        <v>99.999998303007615</v>
      </c>
      <c r="H22" s="34">
        <v>99.99998009332505</v>
      </c>
      <c r="I22" s="34">
        <v>100.00006095616376</v>
      </c>
    </row>
    <row r="23" spans="1:10">
      <c r="A23" s="23" t="s">
        <v>179</v>
      </c>
    </row>
    <row r="28" spans="1:10">
      <c r="J28" s="16"/>
    </row>
    <row r="29" spans="1:10">
      <c r="J29" s="16"/>
    </row>
    <row r="30" spans="1:10">
      <c r="J30" s="16"/>
    </row>
    <row r="31" spans="1:10">
      <c r="J31" s="16"/>
    </row>
    <row r="32" spans="1:10">
      <c r="J32" s="16"/>
    </row>
    <row r="33" spans="10:10">
      <c r="J33" s="16"/>
    </row>
    <row r="34" spans="10:10">
      <c r="J34" s="16"/>
    </row>
    <row r="35" spans="10:10">
      <c r="J35" s="16"/>
    </row>
    <row r="36" spans="10:10">
      <c r="J36" s="16"/>
    </row>
    <row r="37" spans="10:10">
      <c r="J37" s="16"/>
    </row>
    <row r="38" spans="10:10">
      <c r="J38" s="16"/>
    </row>
    <row r="39" spans="10:10">
      <c r="J39" s="16"/>
    </row>
    <row r="40" spans="10:10">
      <c r="J40" s="16"/>
    </row>
    <row r="41" spans="10:10">
      <c r="J41" s="16"/>
    </row>
    <row r="42" spans="10:10">
      <c r="J42" s="7"/>
    </row>
    <row r="43" spans="10:10">
      <c r="J43" s="60"/>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F49" sqref="F49"/>
    </sheetView>
  </sheetViews>
  <sheetFormatPr defaultRowHeight="12.75"/>
  <cols>
    <col min="1" max="3" width="7.6640625" style="675" bestFit="1" customWidth="1"/>
    <col min="4" max="4" width="7.83203125" style="675" customWidth="1"/>
    <col min="5" max="12" width="7.6640625" style="675" bestFit="1" customWidth="1"/>
    <col min="13" max="13" width="9.1640625" style="675" customWidth="1"/>
    <col min="14" max="16" width="9.1640625" style="675" bestFit="1" customWidth="1"/>
    <col min="17" max="16384" width="9.33203125" style="675"/>
  </cols>
  <sheetData>
    <row r="1" spans="1:17">
      <c r="A1" s="676" t="s">
        <v>1789</v>
      </c>
      <c r="B1" s="678"/>
      <c r="C1" s="678"/>
      <c r="E1" s="678"/>
      <c r="F1" s="678"/>
      <c r="G1" s="678"/>
      <c r="H1" s="678"/>
      <c r="I1" s="678"/>
      <c r="J1" s="678"/>
      <c r="K1" s="678"/>
      <c r="L1" s="678"/>
      <c r="M1" s="678"/>
      <c r="N1" s="678"/>
      <c r="O1" s="678"/>
      <c r="P1" s="678"/>
      <c r="Q1" s="678"/>
    </row>
    <row r="2" spans="1:17">
      <c r="A2" s="676" t="s">
        <v>2003</v>
      </c>
      <c r="B2" s="678"/>
      <c r="C2" s="678"/>
      <c r="E2" s="678"/>
      <c r="F2" s="678"/>
      <c r="G2" s="678"/>
      <c r="H2" s="678"/>
      <c r="I2" s="678"/>
      <c r="J2" s="678"/>
      <c r="K2" s="678"/>
      <c r="L2" s="678"/>
      <c r="M2" s="678"/>
      <c r="N2" s="678"/>
      <c r="O2" s="678"/>
      <c r="P2" s="678"/>
      <c r="Q2" s="678"/>
    </row>
    <row r="3" spans="1:17">
      <c r="A3" s="677" t="s">
        <v>2004</v>
      </c>
      <c r="B3" s="678"/>
      <c r="C3" s="678"/>
      <c r="E3" s="678"/>
      <c r="F3" s="678"/>
      <c r="G3" s="678"/>
      <c r="H3" s="678"/>
      <c r="I3" s="678"/>
      <c r="J3" s="678"/>
      <c r="K3" s="678"/>
      <c r="L3" s="678"/>
      <c r="M3" s="678"/>
      <c r="N3" s="678"/>
      <c r="O3" s="678"/>
      <c r="P3" s="678"/>
      <c r="Q3" s="678"/>
    </row>
    <row r="4" spans="1:17">
      <c r="A4" s="678"/>
      <c r="B4" s="678"/>
      <c r="C4" s="678"/>
      <c r="D4" s="678"/>
      <c r="E4" s="678"/>
      <c r="F4" s="678"/>
      <c r="G4" s="678"/>
      <c r="H4" s="678"/>
      <c r="I4" s="678"/>
      <c r="J4" s="678"/>
      <c r="K4" s="678"/>
      <c r="L4" s="678"/>
      <c r="M4" s="678"/>
      <c r="N4" s="678"/>
      <c r="O4" s="678"/>
      <c r="P4" s="678"/>
      <c r="Q4" s="678"/>
    </row>
    <row r="5" spans="1:17">
      <c r="A5" s="678"/>
      <c r="B5" s="678"/>
      <c r="C5" s="678"/>
      <c r="D5" s="678"/>
      <c r="E5" s="678"/>
      <c r="F5" s="678"/>
      <c r="G5" s="678"/>
      <c r="H5" s="678"/>
      <c r="I5" s="678"/>
      <c r="J5" s="678"/>
      <c r="K5" s="678"/>
      <c r="L5" s="678"/>
      <c r="M5" s="678"/>
      <c r="N5" s="678"/>
      <c r="O5" s="678"/>
      <c r="P5" s="678"/>
      <c r="Q5" s="678"/>
    </row>
    <row r="6" spans="1:17">
      <c r="A6" s="678"/>
      <c r="B6" s="678"/>
      <c r="C6" s="678"/>
      <c r="D6" s="678"/>
      <c r="E6" s="678"/>
      <c r="F6" s="678"/>
      <c r="G6" s="678"/>
      <c r="H6" s="678"/>
      <c r="I6" s="678"/>
      <c r="J6" s="678"/>
      <c r="K6" s="678"/>
      <c r="L6" s="678"/>
      <c r="M6" s="678"/>
      <c r="N6" s="678"/>
      <c r="O6" s="678"/>
      <c r="P6" s="678"/>
      <c r="Q6" s="678"/>
    </row>
    <row r="7" spans="1:17">
      <c r="A7" s="678"/>
      <c r="B7" s="678"/>
      <c r="C7" s="678"/>
      <c r="D7" s="678"/>
      <c r="E7" s="678"/>
      <c r="F7" s="678"/>
      <c r="G7" s="678"/>
      <c r="H7" s="678"/>
      <c r="I7" s="678"/>
      <c r="J7" s="678"/>
      <c r="K7" s="678"/>
      <c r="L7" s="678"/>
      <c r="M7" s="678"/>
      <c r="N7" s="678"/>
      <c r="O7" s="678"/>
      <c r="P7" s="678"/>
      <c r="Q7" s="678"/>
    </row>
    <row r="8" spans="1:17">
      <c r="A8" s="678"/>
      <c r="B8" s="678"/>
      <c r="C8" s="678"/>
      <c r="D8" s="678"/>
      <c r="E8" s="678"/>
      <c r="F8" s="678"/>
      <c r="G8" s="678"/>
      <c r="H8" s="678"/>
      <c r="I8" s="678"/>
      <c r="J8" s="678"/>
      <c r="K8" s="678"/>
      <c r="L8" s="678"/>
      <c r="M8" s="678"/>
      <c r="N8" s="678"/>
      <c r="O8" s="678"/>
      <c r="P8" s="678"/>
      <c r="Q8" s="678"/>
    </row>
    <row r="9" spans="1:17">
      <c r="A9" s="678"/>
      <c r="B9" s="678"/>
      <c r="C9" s="678"/>
      <c r="D9" s="678"/>
      <c r="E9" s="678"/>
      <c r="F9" s="678"/>
      <c r="G9" s="678"/>
      <c r="H9" s="678"/>
      <c r="I9" s="678"/>
      <c r="J9" s="678"/>
      <c r="K9" s="678"/>
      <c r="L9" s="678"/>
      <c r="M9" s="678"/>
      <c r="N9" s="678"/>
      <c r="O9" s="678"/>
      <c r="P9" s="678"/>
      <c r="Q9" s="678"/>
    </row>
    <row r="10" spans="1:17">
      <c r="A10" s="678"/>
      <c r="B10" s="678"/>
      <c r="C10" s="678"/>
      <c r="D10" s="678"/>
      <c r="E10" s="678"/>
      <c r="F10" s="678"/>
      <c r="G10" s="678"/>
      <c r="H10" s="678"/>
      <c r="I10" s="678"/>
      <c r="J10" s="678"/>
      <c r="K10" s="678"/>
      <c r="L10" s="678"/>
      <c r="M10" s="678"/>
      <c r="N10" s="678"/>
      <c r="O10" s="678"/>
      <c r="P10" s="678"/>
      <c r="Q10" s="678"/>
    </row>
    <row r="11" spans="1:17">
      <c r="A11" s="678"/>
      <c r="B11" s="678"/>
      <c r="C11" s="678"/>
      <c r="D11" s="678"/>
      <c r="E11" s="678"/>
      <c r="F11" s="678"/>
      <c r="G11" s="678"/>
      <c r="H11" s="678"/>
      <c r="I11" s="678"/>
      <c r="J11" s="678"/>
      <c r="K11" s="678"/>
      <c r="L11" s="678"/>
      <c r="M11" s="678"/>
      <c r="N11" s="678"/>
      <c r="O11" s="678"/>
      <c r="P11" s="678"/>
      <c r="Q11" s="678"/>
    </row>
    <row r="12" spans="1:17">
      <c r="A12" s="678"/>
      <c r="B12" s="678"/>
      <c r="C12" s="678"/>
      <c r="D12" s="678"/>
      <c r="E12" s="678"/>
      <c r="F12" s="678"/>
      <c r="G12" s="678"/>
      <c r="H12" s="678"/>
      <c r="I12" s="678"/>
      <c r="J12" s="678"/>
      <c r="K12" s="678"/>
      <c r="L12" s="678"/>
      <c r="M12" s="678"/>
      <c r="N12" s="678"/>
      <c r="O12" s="678"/>
      <c r="P12" s="678"/>
      <c r="Q12" s="678"/>
    </row>
    <row r="13" spans="1:17">
      <c r="A13" s="678"/>
      <c r="B13" s="678"/>
      <c r="C13" s="678"/>
      <c r="D13" s="678"/>
      <c r="E13" s="678"/>
      <c r="F13" s="678"/>
      <c r="G13" s="678"/>
      <c r="H13" s="678"/>
      <c r="I13" s="678"/>
      <c r="J13" s="678"/>
      <c r="K13" s="678"/>
      <c r="L13" s="678"/>
      <c r="M13" s="678"/>
      <c r="N13" s="678"/>
      <c r="O13" s="678"/>
      <c r="P13" s="678"/>
      <c r="Q13" s="678"/>
    </row>
    <row r="14" spans="1:17">
      <c r="A14" s="678"/>
      <c r="B14" s="678"/>
      <c r="C14" s="678"/>
      <c r="D14" s="678"/>
      <c r="E14" s="678"/>
      <c r="F14" s="678"/>
      <c r="G14" s="678"/>
      <c r="H14" s="678"/>
      <c r="I14" s="678"/>
      <c r="J14" s="678"/>
      <c r="K14" s="678"/>
      <c r="L14" s="678"/>
      <c r="M14" s="678"/>
      <c r="N14" s="678"/>
      <c r="O14" s="678"/>
      <c r="P14" s="678"/>
      <c r="Q14" s="678"/>
    </row>
    <row r="15" spans="1:17">
      <c r="A15" s="678"/>
      <c r="B15" s="678"/>
      <c r="C15" s="678"/>
      <c r="D15" s="678"/>
      <c r="E15" s="678"/>
      <c r="F15" s="678"/>
      <c r="G15" s="678"/>
      <c r="H15" s="678"/>
      <c r="I15" s="678"/>
      <c r="J15" s="678"/>
      <c r="K15" s="678"/>
      <c r="L15" s="678"/>
      <c r="M15" s="678"/>
      <c r="N15" s="678"/>
      <c r="O15" s="678"/>
      <c r="P15" s="678"/>
      <c r="Q15" s="678"/>
    </row>
    <row r="16" spans="1:17">
      <c r="A16" s="678"/>
      <c r="B16" s="678"/>
      <c r="C16" s="678"/>
      <c r="D16" s="678"/>
      <c r="E16" s="678"/>
      <c r="F16" s="678"/>
      <c r="G16" s="678"/>
      <c r="H16" s="678"/>
      <c r="I16" s="678"/>
      <c r="J16" s="678"/>
      <c r="K16" s="678"/>
      <c r="L16" s="678"/>
      <c r="M16" s="678"/>
      <c r="N16" s="678"/>
      <c r="O16" s="678"/>
      <c r="P16" s="678"/>
      <c r="Q16" s="678"/>
    </row>
    <row r="17" spans="1:17">
      <c r="A17" s="678"/>
      <c r="B17" s="678"/>
      <c r="C17" s="678"/>
      <c r="D17" s="678"/>
      <c r="E17" s="678"/>
      <c r="F17" s="678"/>
      <c r="G17" s="678"/>
      <c r="H17" s="678"/>
      <c r="I17" s="678"/>
      <c r="J17" s="678"/>
      <c r="K17" s="678"/>
      <c r="L17" s="678"/>
      <c r="M17" s="678"/>
      <c r="N17" s="678"/>
      <c r="O17" s="678"/>
      <c r="P17" s="678"/>
      <c r="Q17" s="678"/>
    </row>
    <row r="18" spans="1:17">
      <c r="A18" s="678"/>
      <c r="B18" s="678"/>
      <c r="C18" s="678"/>
      <c r="D18" s="678"/>
      <c r="E18" s="678"/>
      <c r="F18" s="678"/>
      <c r="G18" s="678"/>
      <c r="H18" s="678"/>
      <c r="I18" s="678"/>
      <c r="J18" s="678"/>
      <c r="K18" s="678"/>
      <c r="L18" s="678"/>
      <c r="M18" s="678"/>
      <c r="N18" s="678"/>
      <c r="O18" s="678"/>
      <c r="P18" s="678"/>
      <c r="Q18" s="678"/>
    </row>
    <row r="19" spans="1:17">
      <c r="A19" s="678"/>
      <c r="B19" s="678"/>
      <c r="C19" s="678"/>
      <c r="D19" s="678"/>
      <c r="E19" s="678"/>
      <c r="F19" s="678"/>
      <c r="G19" s="678"/>
      <c r="H19" s="678"/>
      <c r="I19" s="678"/>
      <c r="J19" s="678"/>
      <c r="K19" s="678"/>
      <c r="L19" s="678"/>
      <c r="M19" s="678"/>
      <c r="N19" s="678"/>
      <c r="O19" s="678"/>
      <c r="P19" s="678"/>
      <c r="Q19" s="678"/>
    </row>
    <row r="20" spans="1:17">
      <c r="A20" s="678"/>
      <c r="B20" s="678"/>
      <c r="C20" s="678"/>
      <c r="D20" s="678"/>
      <c r="E20" s="678"/>
      <c r="F20" s="678"/>
      <c r="G20" s="678"/>
      <c r="H20" s="678"/>
      <c r="I20" s="678"/>
      <c r="J20" s="678"/>
      <c r="K20" s="678"/>
      <c r="L20" s="678"/>
      <c r="M20" s="678"/>
      <c r="N20" s="678"/>
      <c r="O20" s="678"/>
      <c r="P20" s="678"/>
      <c r="Q20" s="678"/>
    </row>
    <row r="21" spans="1:17">
      <c r="A21" s="678"/>
      <c r="B21" s="678"/>
      <c r="C21" s="678"/>
      <c r="D21" s="678"/>
      <c r="E21" s="678"/>
      <c r="F21" s="678"/>
      <c r="G21" s="678"/>
      <c r="H21" s="678"/>
      <c r="I21" s="678"/>
      <c r="J21" s="678"/>
      <c r="K21" s="678"/>
      <c r="L21" s="678"/>
      <c r="M21" s="678"/>
      <c r="N21" s="678"/>
      <c r="O21" s="678"/>
      <c r="P21" s="678"/>
      <c r="Q21" s="678"/>
    </row>
    <row r="22" spans="1:17">
      <c r="A22" s="678"/>
      <c r="B22" s="678"/>
      <c r="C22" s="678"/>
      <c r="D22" s="678"/>
      <c r="E22" s="678"/>
      <c r="F22" s="678"/>
      <c r="G22" s="678"/>
      <c r="H22" s="678"/>
      <c r="I22" s="678"/>
      <c r="J22" s="678"/>
      <c r="K22" s="678"/>
      <c r="L22" s="678"/>
      <c r="M22" s="678"/>
      <c r="N22" s="678"/>
      <c r="O22" s="678"/>
      <c r="P22" s="678"/>
      <c r="Q22" s="678"/>
    </row>
    <row r="23" spans="1:17">
      <c r="A23" s="678"/>
      <c r="B23" s="678"/>
      <c r="C23" s="678"/>
      <c r="D23" s="678"/>
      <c r="E23" s="678"/>
      <c r="F23" s="678"/>
      <c r="G23" s="678"/>
      <c r="H23" s="678"/>
      <c r="I23" s="678"/>
      <c r="J23" s="678"/>
      <c r="K23" s="678"/>
      <c r="L23" s="678"/>
      <c r="M23" s="678"/>
      <c r="N23" s="678"/>
      <c r="O23" s="678"/>
      <c r="P23" s="678"/>
      <c r="Q23" s="678"/>
    </row>
    <row r="24" spans="1:17">
      <c r="A24" s="678"/>
      <c r="B24" s="678"/>
      <c r="C24" s="678"/>
      <c r="D24" s="678"/>
      <c r="E24" s="678"/>
      <c r="F24" s="678"/>
      <c r="G24" s="678"/>
      <c r="H24" s="678"/>
      <c r="I24" s="678"/>
      <c r="J24" s="678"/>
      <c r="K24" s="678"/>
      <c r="L24" s="678"/>
      <c r="M24" s="678"/>
      <c r="N24" s="678"/>
      <c r="O24" s="678"/>
      <c r="P24" s="678"/>
      <c r="Q24" s="678"/>
    </row>
    <row r="25" spans="1:17">
      <c r="A25" s="678"/>
      <c r="B25" s="678"/>
      <c r="C25" s="678"/>
      <c r="D25" s="678"/>
      <c r="E25" s="678"/>
      <c r="F25" s="678"/>
      <c r="G25" s="678"/>
      <c r="H25" s="678"/>
      <c r="I25" s="678"/>
      <c r="J25" s="678"/>
      <c r="K25" s="678"/>
      <c r="L25" s="678"/>
      <c r="M25" s="678"/>
      <c r="N25" s="678"/>
      <c r="O25" s="678"/>
      <c r="P25" s="678"/>
      <c r="Q25" s="678"/>
    </row>
    <row r="26" spans="1:17">
      <c r="A26" s="678"/>
      <c r="B26" s="678"/>
      <c r="C26" s="678"/>
      <c r="D26" s="678"/>
      <c r="E26" s="678"/>
      <c r="F26" s="678"/>
      <c r="G26" s="678"/>
      <c r="H26" s="678"/>
      <c r="I26" s="678"/>
      <c r="J26" s="678"/>
      <c r="K26" s="678"/>
      <c r="L26" s="678"/>
      <c r="M26" s="678"/>
      <c r="N26" s="678"/>
      <c r="O26" s="678"/>
      <c r="P26" s="678"/>
      <c r="Q26" s="678"/>
    </row>
  </sheetData>
  <pageMargins left="0.25" right="0.25"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workbookViewId="0">
      <selection activeCell="F49" sqref="F49"/>
    </sheetView>
  </sheetViews>
  <sheetFormatPr defaultRowHeight="11.25"/>
  <cols>
    <col min="1" max="1" width="3.83203125" style="4" customWidth="1"/>
    <col min="2" max="2" width="36.1640625" style="4" customWidth="1"/>
    <col min="3" max="17" width="5.6640625" style="4" bestFit="1" customWidth="1"/>
    <col min="18" max="16384" width="9.33203125" style="4"/>
  </cols>
  <sheetData>
    <row r="1" spans="1:17" ht="12">
      <c r="A1" s="1" t="s">
        <v>1758</v>
      </c>
    </row>
    <row r="2" spans="1:17" ht="12">
      <c r="A2" s="1" t="s">
        <v>2007</v>
      </c>
    </row>
    <row r="3" spans="1:17">
      <c r="A3" s="7" t="s">
        <v>2008</v>
      </c>
      <c r="B3" s="8"/>
    </row>
    <row r="4" spans="1:17" ht="12" thickBot="1">
      <c r="L4" s="32"/>
      <c r="M4" s="32"/>
      <c r="N4" s="32"/>
    </row>
    <row r="5" spans="1:17" ht="12" thickBot="1">
      <c r="A5" s="29" t="s">
        <v>1543</v>
      </c>
      <c r="B5" s="30"/>
      <c r="C5" s="29">
        <v>2000</v>
      </c>
      <c r="D5" s="29">
        <v>2001</v>
      </c>
      <c r="E5" s="29">
        <v>2002</v>
      </c>
      <c r="F5" s="29">
        <v>2003</v>
      </c>
      <c r="G5" s="29">
        <v>2004</v>
      </c>
      <c r="H5" s="29">
        <v>2005</v>
      </c>
      <c r="I5" s="29">
        <v>2006</v>
      </c>
      <c r="J5" s="29">
        <v>2007</v>
      </c>
      <c r="K5" s="29">
        <v>2008</v>
      </c>
      <c r="L5" s="29">
        <v>2009</v>
      </c>
      <c r="M5" s="44">
        <v>2010</v>
      </c>
      <c r="N5" s="29">
        <v>2011</v>
      </c>
      <c r="O5" s="29">
        <v>2012</v>
      </c>
      <c r="P5" s="29">
        <v>2013</v>
      </c>
      <c r="Q5" s="29">
        <v>2014</v>
      </c>
    </row>
    <row r="6" spans="1:17" ht="12.75">
      <c r="N6" s="675"/>
      <c r="O6" s="675"/>
    </row>
    <row r="7" spans="1:17">
      <c r="A7" s="15">
        <v>1</v>
      </c>
      <c r="B7" s="7" t="s">
        <v>462</v>
      </c>
      <c r="C7" s="89">
        <v>35.570701907926818</v>
      </c>
      <c r="D7" s="31">
        <v>34.583591597300362</v>
      </c>
      <c r="E7" s="31">
        <v>32.207482493366776</v>
      </c>
      <c r="F7" s="31">
        <v>25.507892148511317</v>
      </c>
      <c r="G7" s="31">
        <v>26.830210705964941</v>
      </c>
      <c r="H7" s="31">
        <v>23.291388512858209</v>
      </c>
      <c r="I7" s="180">
        <v>25.3975635435472</v>
      </c>
      <c r="J7" s="4">
        <v>27.2</v>
      </c>
      <c r="K7" s="4">
        <v>24.7</v>
      </c>
      <c r="L7" s="4">
        <v>26.5</v>
      </c>
      <c r="M7" s="4">
        <v>25.3</v>
      </c>
      <c r="N7" s="4">
        <v>28.2</v>
      </c>
      <c r="O7" s="4">
        <v>27.1</v>
      </c>
      <c r="P7" s="31">
        <v>27.029763655595591</v>
      </c>
      <c r="Q7" s="31">
        <v>26.059760440579709</v>
      </c>
    </row>
    <row r="8" spans="1:17">
      <c r="A8" s="15">
        <v>2</v>
      </c>
      <c r="B8" s="7" t="s">
        <v>180</v>
      </c>
      <c r="C8" s="89">
        <v>6.5484316046710234</v>
      </c>
      <c r="D8" s="31">
        <v>6.2415064937128211</v>
      </c>
      <c r="E8" s="31">
        <v>6.1780209214909423</v>
      </c>
      <c r="F8" s="31">
        <v>6.448036684864074</v>
      </c>
      <c r="G8" s="31">
        <v>5.8054664484033784</v>
      </c>
      <c r="H8" s="31">
        <v>6.0297856577758502</v>
      </c>
      <c r="I8" s="180">
        <v>5.7260384200392398</v>
      </c>
      <c r="J8" s="129">
        <v>6</v>
      </c>
      <c r="K8" s="4">
        <v>5.4</v>
      </c>
      <c r="L8" s="4">
        <v>5.3</v>
      </c>
      <c r="M8" s="4">
        <v>5.7</v>
      </c>
      <c r="N8" s="4">
        <v>5.4</v>
      </c>
      <c r="O8" s="4">
        <v>5.5</v>
      </c>
      <c r="P8" s="31">
        <v>5.4070284777295186</v>
      </c>
      <c r="Q8" s="31">
        <v>5.6134596700613564</v>
      </c>
    </row>
    <row r="9" spans="1:17">
      <c r="A9" s="15">
        <v>3</v>
      </c>
      <c r="B9" s="7" t="s">
        <v>183</v>
      </c>
      <c r="C9" s="89">
        <v>3.3339702015034542</v>
      </c>
      <c r="D9" s="31">
        <v>3.4015451345767937</v>
      </c>
      <c r="E9" s="31">
        <v>3.5679727163361896</v>
      </c>
      <c r="F9" s="31">
        <v>3.9088782612865058</v>
      </c>
      <c r="G9" s="31">
        <v>3.8352498790946523</v>
      </c>
      <c r="H9" s="31">
        <v>4.0070632185732968</v>
      </c>
      <c r="I9" s="180">
        <v>4.0169135954061064</v>
      </c>
      <c r="J9" s="4">
        <v>4.3</v>
      </c>
      <c r="K9" s="4">
        <v>4.5</v>
      </c>
      <c r="L9" s="4">
        <v>4.7</v>
      </c>
      <c r="M9" s="4">
        <v>4.9000000000000004</v>
      </c>
      <c r="N9" s="31">
        <v>5</v>
      </c>
      <c r="O9" s="31">
        <v>5.0999999999999996</v>
      </c>
      <c r="P9" s="31">
        <v>5.1730368505446034</v>
      </c>
      <c r="Q9" s="31">
        <v>5.2075014023841941</v>
      </c>
    </row>
    <row r="10" spans="1:17">
      <c r="A10" s="15">
        <v>4</v>
      </c>
      <c r="B10" s="7" t="s">
        <v>463</v>
      </c>
      <c r="C10" s="89">
        <v>9.6548841263532914</v>
      </c>
      <c r="D10" s="31">
        <v>8.7495367292221591</v>
      </c>
      <c r="E10" s="31">
        <v>8.5703639191681606</v>
      </c>
      <c r="F10" s="31">
        <v>8.2047691422515676</v>
      </c>
      <c r="G10" s="31">
        <v>8.6157237730739116</v>
      </c>
      <c r="H10" s="31">
        <v>9.9811309828869259</v>
      </c>
      <c r="I10" s="180">
        <v>10.173107017548443</v>
      </c>
      <c r="J10" s="129">
        <v>11</v>
      </c>
      <c r="K10" s="4">
        <v>16.100000000000001</v>
      </c>
      <c r="L10" s="4">
        <v>11.1</v>
      </c>
      <c r="M10" s="4">
        <v>11.8</v>
      </c>
      <c r="N10" s="4">
        <v>10.9</v>
      </c>
      <c r="O10" s="4">
        <v>11.5</v>
      </c>
      <c r="P10" s="31">
        <v>11.506501485411649</v>
      </c>
      <c r="Q10" s="31">
        <v>11.670433195445566</v>
      </c>
    </row>
    <row r="11" spans="1:17">
      <c r="A11" s="15">
        <v>5</v>
      </c>
      <c r="B11" s="7" t="s">
        <v>464</v>
      </c>
      <c r="C11" s="31">
        <v>0.30595602100438857</v>
      </c>
      <c r="D11" s="31">
        <v>0.43219362753062174</v>
      </c>
      <c r="E11" s="31">
        <v>0.43538861897311859</v>
      </c>
      <c r="F11" s="31">
        <v>0.40160019605394692</v>
      </c>
      <c r="G11" s="31">
        <v>0.43976476476883414</v>
      </c>
      <c r="H11" s="31">
        <v>0.7153858604475678</v>
      </c>
      <c r="I11" s="180">
        <v>0.75502457095532816</v>
      </c>
      <c r="J11" s="4">
        <v>0.6</v>
      </c>
      <c r="K11" s="4">
        <v>0.6</v>
      </c>
      <c r="L11" s="4">
        <v>0.6</v>
      </c>
      <c r="M11" s="4">
        <v>0.5</v>
      </c>
      <c r="N11" s="4">
        <v>0.5</v>
      </c>
      <c r="O11" s="4">
        <v>0.5</v>
      </c>
      <c r="P11" s="31">
        <v>0.5177818886630613</v>
      </c>
      <c r="Q11" s="31">
        <v>0.54565282630851752</v>
      </c>
    </row>
    <row r="12" spans="1:17">
      <c r="A12" s="15">
        <v>6</v>
      </c>
      <c r="B12" s="7" t="s">
        <v>399</v>
      </c>
      <c r="C12" s="89">
        <v>1.0619913580977669</v>
      </c>
      <c r="D12" s="31">
        <v>0.85650986896013515</v>
      </c>
      <c r="E12" s="31">
        <v>0.7194276076196281</v>
      </c>
      <c r="F12" s="31">
        <v>0.77926883002568725</v>
      </c>
      <c r="G12" s="31">
        <v>0.73723138417202749</v>
      </c>
      <c r="H12" s="31">
        <v>0.77184448890816237</v>
      </c>
      <c r="I12" s="180">
        <v>0.69206231434625065</v>
      </c>
      <c r="J12" s="4">
        <v>0.6</v>
      </c>
      <c r="K12" s="4">
        <v>0.5</v>
      </c>
      <c r="L12" s="4">
        <v>0.6</v>
      </c>
      <c r="M12" s="4">
        <v>0.5</v>
      </c>
      <c r="N12" s="4">
        <v>0.6</v>
      </c>
      <c r="O12" s="4">
        <v>0.4</v>
      </c>
      <c r="P12" s="31">
        <v>0.41259135651727341</v>
      </c>
      <c r="Q12" s="31">
        <v>0.36688760104301621</v>
      </c>
    </row>
    <row r="13" spans="1:17">
      <c r="A13" s="15">
        <v>7</v>
      </c>
      <c r="B13" s="7" t="s">
        <v>546</v>
      </c>
      <c r="C13" s="89">
        <v>2.6478078712903379</v>
      </c>
      <c r="D13" s="31">
        <v>2.5566006800732097</v>
      </c>
      <c r="E13" s="31">
        <v>2.6599059219540986</v>
      </c>
      <c r="F13" s="31">
        <v>2.8751547704252913</v>
      </c>
      <c r="G13" s="31">
        <v>3.3128919183547434</v>
      </c>
      <c r="H13" s="31">
        <v>3.3845285591413172</v>
      </c>
      <c r="I13" s="180">
        <v>3.3794534040112971</v>
      </c>
      <c r="J13" s="4">
        <v>3.7</v>
      </c>
      <c r="K13" s="4">
        <v>3.7</v>
      </c>
      <c r="L13" s="4">
        <v>4.0999999999999996</v>
      </c>
      <c r="M13" s="4">
        <v>4.3</v>
      </c>
      <c r="N13" s="4">
        <v>4.2</v>
      </c>
      <c r="O13" s="4">
        <v>4.4000000000000004</v>
      </c>
      <c r="P13" s="31">
        <v>4.2986942602484843</v>
      </c>
      <c r="Q13" s="31">
        <v>4.2940562428756008</v>
      </c>
    </row>
    <row r="14" spans="1:17">
      <c r="A14" s="15">
        <v>8</v>
      </c>
      <c r="B14" s="7" t="s">
        <v>1453</v>
      </c>
      <c r="C14" s="31">
        <v>0.76189769521087547</v>
      </c>
      <c r="D14" s="31">
        <v>0.77118659625265285</v>
      </c>
      <c r="E14" s="31">
        <v>0.80224439697589456</v>
      </c>
      <c r="F14" s="31">
        <v>0.86523617350239623</v>
      </c>
      <c r="G14" s="31">
        <v>0.86105385803566947</v>
      </c>
      <c r="H14" s="31">
        <v>0.90525127593327703</v>
      </c>
      <c r="I14" s="180">
        <v>0.89309740339473676</v>
      </c>
      <c r="J14" s="4">
        <v>0.9</v>
      </c>
      <c r="K14" s="4">
        <v>0.9</v>
      </c>
      <c r="L14" s="4">
        <v>0.9</v>
      </c>
      <c r="M14" s="4">
        <v>1.1000000000000001</v>
      </c>
      <c r="N14" s="4">
        <v>1.1000000000000001</v>
      </c>
      <c r="O14" s="4">
        <v>1.2</v>
      </c>
      <c r="P14" s="31">
        <v>1.1324970000295582</v>
      </c>
      <c r="Q14" s="31">
        <v>1.1203054897392322</v>
      </c>
    </row>
    <row r="15" spans="1:17">
      <c r="A15" s="15">
        <v>9</v>
      </c>
      <c r="B15" s="7" t="s">
        <v>465</v>
      </c>
      <c r="C15" s="89">
        <v>6.3185062841229716</v>
      </c>
      <c r="D15" s="31">
        <v>6.5566618180792364</v>
      </c>
      <c r="E15" s="31">
        <v>7.1840205355490339</v>
      </c>
      <c r="F15" s="31">
        <v>6.9611343124955996</v>
      </c>
      <c r="G15" s="31">
        <v>6.9908242227408603</v>
      </c>
      <c r="H15" s="31">
        <v>6.9493109109216924</v>
      </c>
      <c r="I15" s="180">
        <v>6.9400865796341913</v>
      </c>
      <c r="J15" s="4">
        <v>6.1</v>
      </c>
      <c r="K15" s="4">
        <v>6.1</v>
      </c>
      <c r="L15" s="4">
        <v>6.9</v>
      </c>
      <c r="M15" s="4">
        <v>7.3</v>
      </c>
      <c r="N15" s="31">
        <v>7</v>
      </c>
      <c r="O15" s="31">
        <v>6.7</v>
      </c>
      <c r="P15" s="31">
        <v>6.7699459878173354</v>
      </c>
      <c r="Q15" s="31">
        <v>6.7682665598830249</v>
      </c>
    </row>
    <row r="16" spans="1:17">
      <c r="A16" s="15">
        <v>10</v>
      </c>
      <c r="B16" s="7" t="s">
        <v>466</v>
      </c>
      <c r="C16" s="89">
        <v>33.79586958788893</v>
      </c>
      <c r="D16" s="31">
        <v>35.85072841045578</v>
      </c>
      <c r="E16" s="31">
        <v>37.675145768855742</v>
      </c>
      <c r="F16" s="31">
        <v>44.048072808103726</v>
      </c>
      <c r="G16" s="31">
        <v>42.571583045390973</v>
      </c>
      <c r="H16" s="31">
        <v>43.964310532553704</v>
      </c>
      <c r="I16" s="180">
        <v>42.026653151117252</v>
      </c>
      <c r="J16" s="4">
        <v>39.6</v>
      </c>
      <c r="K16" s="4">
        <v>37.5</v>
      </c>
      <c r="L16" s="4">
        <v>39.299999999999997</v>
      </c>
      <c r="M16" s="4">
        <v>38.6</v>
      </c>
      <c r="N16" s="4">
        <v>37.1</v>
      </c>
      <c r="O16" s="4">
        <v>37.6</v>
      </c>
      <c r="P16" s="31">
        <v>37.752159158305183</v>
      </c>
      <c r="Q16" s="31">
        <v>38.353676571679777</v>
      </c>
    </row>
    <row r="17" spans="1:17" ht="12.75">
      <c r="A17" s="15"/>
      <c r="B17" s="7"/>
      <c r="C17" s="16"/>
      <c r="D17" s="31"/>
      <c r="E17" s="31"/>
      <c r="F17" s="31"/>
      <c r="G17" s="31"/>
      <c r="H17" s="31"/>
      <c r="I17" s="31"/>
      <c r="L17" s="199"/>
      <c r="N17" s="675"/>
      <c r="O17" s="675"/>
      <c r="P17" s="31"/>
      <c r="Q17" s="31"/>
    </row>
    <row r="18" spans="1:17" ht="15" customHeight="1" thickBot="1">
      <c r="A18" s="32"/>
      <c r="B18" s="435" t="s">
        <v>1227</v>
      </c>
      <c r="C18" s="198">
        <v>100</v>
      </c>
      <c r="D18" s="198">
        <v>100</v>
      </c>
      <c r="E18" s="198">
        <v>100</v>
      </c>
      <c r="F18" s="198">
        <v>100</v>
      </c>
      <c r="G18" s="198">
        <v>100</v>
      </c>
      <c r="H18" s="198">
        <f>H7+H8+H9+H10+H11+H12+H13+H14+H15+H16</f>
        <v>100</v>
      </c>
      <c r="I18" s="198">
        <f>I7+I8+I9+I10+I11+I12+I13+I14+I15+I16</f>
        <v>100.00000000000004</v>
      </c>
      <c r="J18" s="198">
        <f>J7+J8+J9+J10+J11+J12+J13+J14+J15+J16</f>
        <v>100</v>
      </c>
      <c r="K18" s="198">
        <f>K7+K8+K9+K10+K11+K12+K13+K14+K15+K16</f>
        <v>100</v>
      </c>
      <c r="L18" s="198">
        <v>100</v>
      </c>
      <c r="M18" s="198">
        <v>100</v>
      </c>
      <c r="N18" s="198">
        <v>100</v>
      </c>
      <c r="O18" s="198">
        <v>100</v>
      </c>
      <c r="P18" s="198">
        <v>100</v>
      </c>
      <c r="Q18" s="198">
        <v>100</v>
      </c>
    </row>
    <row r="19" spans="1:17" ht="13.5" customHeight="1">
      <c r="A19" s="23" t="s">
        <v>179</v>
      </c>
    </row>
    <row r="22" spans="1:17" ht="12">
      <c r="A22" s="174"/>
      <c r="B22" s="55"/>
      <c r="C22" s="55"/>
      <c r="D22" s="55"/>
      <c r="E22" s="55"/>
      <c r="F22" s="55"/>
      <c r="G22" s="55"/>
      <c r="H22" s="55"/>
      <c r="I22" s="55"/>
    </row>
    <row r="23" spans="1:17" ht="12.75">
      <c r="A23" s="174"/>
      <c r="B23" s="55"/>
      <c r="C23" s="61"/>
      <c r="D23" s="190"/>
      <c r="E23" s="55"/>
      <c r="F23" s="55"/>
      <c r="G23" s="55"/>
      <c r="H23" s="55"/>
      <c r="I23" s="55"/>
    </row>
    <row r="24" spans="1:17" ht="12.75">
      <c r="A24" s="7"/>
      <c r="B24" s="8"/>
      <c r="C24" s="61"/>
      <c r="D24" s="190"/>
      <c r="E24" s="55"/>
      <c r="F24" s="55"/>
      <c r="G24" s="55"/>
      <c r="H24" s="55"/>
      <c r="I24" s="55"/>
    </row>
    <row r="25" spans="1:17">
      <c r="A25" s="55"/>
      <c r="B25" s="55"/>
      <c r="C25" s="55"/>
      <c r="D25" s="55"/>
      <c r="E25" s="55"/>
      <c r="F25" s="55"/>
      <c r="G25" s="55"/>
      <c r="H25" s="55"/>
      <c r="I25" s="55"/>
    </row>
    <row r="36" spans="2:2">
      <c r="B36" s="191"/>
    </row>
  </sheetData>
  <pageMargins left="0.75" right="0.75" top="1" bottom="1" header="0.5" footer="0.5"/>
  <pageSetup paperSize="9" scale="7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7"/>
  <sheetViews>
    <sheetView zoomScaleNormal="100" workbookViewId="0">
      <selection activeCell="F49" sqref="F49"/>
    </sheetView>
  </sheetViews>
  <sheetFormatPr defaultRowHeight="12.75"/>
  <cols>
    <col min="1" max="1" width="4.83203125" customWidth="1"/>
    <col min="2" max="2" width="42.6640625" customWidth="1"/>
    <col min="3" max="9" width="8.83203125" customWidth="1"/>
  </cols>
  <sheetData>
    <row r="1" spans="1:9">
      <c r="A1" s="22" t="s">
        <v>1222</v>
      </c>
    </row>
    <row r="2" spans="1:9">
      <c r="A2" s="21" t="s">
        <v>1678</v>
      </c>
      <c r="B2" s="4"/>
      <c r="C2" s="7"/>
      <c r="D2" s="74"/>
      <c r="E2" s="7"/>
      <c r="F2" s="7"/>
      <c r="G2" s="7"/>
      <c r="H2" s="7"/>
      <c r="I2" s="4"/>
    </row>
    <row r="3" spans="1:9">
      <c r="A3" s="7" t="s">
        <v>1021</v>
      </c>
      <c r="B3" s="8"/>
      <c r="C3" s="7"/>
      <c r="D3" s="74"/>
      <c r="E3" s="7"/>
      <c r="F3" s="7"/>
      <c r="G3" s="7"/>
      <c r="H3" s="7"/>
      <c r="I3" s="4"/>
    </row>
    <row r="4" spans="1:9" ht="13.5" thickBot="1">
      <c r="A4" s="9"/>
      <c r="B4" s="7"/>
      <c r="C4" s="7"/>
      <c r="D4" s="7"/>
      <c r="E4" s="7"/>
      <c r="F4" s="7"/>
      <c r="G4" s="7"/>
      <c r="H4" s="7"/>
      <c r="I4" s="4"/>
    </row>
    <row r="5" spans="1:9" ht="13.5" thickBot="1">
      <c r="A5" s="11" t="s">
        <v>1451</v>
      </c>
      <c r="B5" s="13"/>
      <c r="C5" s="13">
        <v>1995</v>
      </c>
      <c r="D5" s="13">
        <v>1996</v>
      </c>
      <c r="E5" s="13">
        <v>1997</v>
      </c>
      <c r="F5" s="13">
        <v>1998</v>
      </c>
      <c r="G5" s="13">
        <v>1999</v>
      </c>
      <c r="H5" s="13">
        <v>2000</v>
      </c>
      <c r="I5" s="13">
        <v>2001</v>
      </c>
    </row>
    <row r="6" spans="1:9">
      <c r="A6" s="10"/>
      <c r="B6" s="8"/>
      <c r="C6" s="14"/>
      <c r="D6" s="14"/>
      <c r="E6" s="7"/>
      <c r="F6" s="7"/>
      <c r="G6" s="7"/>
      <c r="H6" s="7"/>
      <c r="I6" s="4"/>
    </row>
    <row r="7" spans="1:9">
      <c r="A7" s="24">
        <v>1</v>
      </c>
      <c r="B7" s="8" t="s">
        <v>1544</v>
      </c>
      <c r="C7" s="14">
        <f>SUM(C8:C10)</f>
        <v>47380</v>
      </c>
      <c r="D7" s="14">
        <f>SUM(D8:D10)</f>
        <v>48891.557685902299</v>
      </c>
      <c r="E7" s="14">
        <f>SUM(E8:E10)</f>
        <v>52171.260239000003</v>
      </c>
      <c r="F7" s="14">
        <f>SUM(F8:F10)</f>
        <v>48711.515845999995</v>
      </c>
      <c r="G7" s="14">
        <v>51588.976491691501</v>
      </c>
      <c r="H7" s="14">
        <v>57020.923479842982</v>
      </c>
      <c r="I7" s="14">
        <v>59639.028471707337</v>
      </c>
    </row>
    <row r="8" spans="1:9">
      <c r="A8" s="25">
        <v>110</v>
      </c>
      <c r="B8" s="7" t="s">
        <v>1392</v>
      </c>
      <c r="C8" s="16">
        <v>14506</v>
      </c>
      <c r="D8" s="16">
        <v>15253</v>
      </c>
      <c r="E8" s="26">
        <v>14773.731378</v>
      </c>
      <c r="F8" s="26">
        <v>13038.447258</v>
      </c>
      <c r="G8" s="26">
        <v>15158</v>
      </c>
      <c r="H8" s="26">
        <v>16143.980749645476</v>
      </c>
      <c r="I8" s="26">
        <v>15820.125696555422</v>
      </c>
    </row>
    <row r="9" spans="1:9">
      <c r="A9" s="25">
        <v>120</v>
      </c>
      <c r="B9" s="7" t="s">
        <v>1393</v>
      </c>
      <c r="C9" s="16">
        <v>21113</v>
      </c>
      <c r="D9" s="16">
        <v>21937</v>
      </c>
      <c r="E9" s="26">
        <v>25286.992525000001</v>
      </c>
      <c r="F9" s="26">
        <v>24195.429061999999</v>
      </c>
      <c r="G9" s="26">
        <v>23994</v>
      </c>
      <c r="H9" s="26">
        <v>25521.043127133009</v>
      </c>
      <c r="I9" s="26">
        <v>26537.3293329812</v>
      </c>
    </row>
    <row r="10" spans="1:9">
      <c r="A10" s="25">
        <v>130</v>
      </c>
      <c r="B10" s="7" t="s">
        <v>1394</v>
      </c>
      <c r="C10" s="16">
        <v>11761</v>
      </c>
      <c r="D10" s="16">
        <v>11701.557685902299</v>
      </c>
      <c r="E10" s="26">
        <v>12110.536335999999</v>
      </c>
      <c r="F10" s="26">
        <v>11477.639526000001</v>
      </c>
      <c r="G10" s="26">
        <v>12436.976491691503</v>
      </c>
      <c r="H10" s="26">
        <v>15355.899603064501</v>
      </c>
      <c r="I10" s="26">
        <v>17281.573442170713</v>
      </c>
    </row>
    <row r="11" spans="1:9">
      <c r="A11" s="25"/>
      <c r="B11" s="7"/>
      <c r="C11" s="16"/>
      <c r="D11" s="16"/>
      <c r="E11" s="26"/>
      <c r="F11" s="26"/>
      <c r="G11" s="26"/>
      <c r="H11" s="26"/>
      <c r="I11" s="26"/>
    </row>
    <row r="12" spans="1:9">
      <c r="A12" s="24">
        <v>2</v>
      </c>
      <c r="B12" s="8" t="s">
        <v>180</v>
      </c>
      <c r="C12" s="14">
        <f>SUM(C13:C16)</f>
        <v>42089</v>
      </c>
      <c r="D12" s="14">
        <f>SUM(D13:D16)</f>
        <v>28275.242272076794</v>
      </c>
      <c r="E12" s="14">
        <f>SUM(E13:E16)</f>
        <v>41385.922296149991</v>
      </c>
      <c r="F12" s="14">
        <f>SUM(F13:F16)</f>
        <v>42642.732475689998</v>
      </c>
      <c r="G12" s="14">
        <v>44566.601795751718</v>
      </c>
      <c r="H12" s="14">
        <v>46423.004687553825</v>
      </c>
      <c r="I12" s="14">
        <v>45021.573221724393</v>
      </c>
    </row>
    <row r="13" spans="1:9">
      <c r="A13" s="25">
        <v>210</v>
      </c>
      <c r="B13" s="7" t="s">
        <v>181</v>
      </c>
      <c r="C13" s="16">
        <v>37961</v>
      </c>
      <c r="D13" s="16">
        <v>24687.242272076794</v>
      </c>
      <c r="E13" s="16">
        <v>38322.739351999997</v>
      </c>
      <c r="F13" s="26">
        <v>39487.874312</v>
      </c>
      <c r="G13" s="26">
        <v>40895.478229065113</v>
      </c>
      <c r="H13" s="26">
        <v>42625.105793681927</v>
      </c>
      <c r="I13" s="26">
        <v>41358.656772109694</v>
      </c>
    </row>
    <row r="14" spans="1:9">
      <c r="A14" s="25">
        <v>220</v>
      </c>
      <c r="B14" s="7" t="s">
        <v>182</v>
      </c>
      <c r="C14" s="16">
        <v>1217</v>
      </c>
      <c r="D14" s="16">
        <v>1260</v>
      </c>
      <c r="E14" s="16">
        <v>1660.0006209000001</v>
      </c>
      <c r="F14" s="26">
        <v>1842.0561107999999</v>
      </c>
      <c r="G14" s="26">
        <v>2026.3085903053998</v>
      </c>
      <c r="H14" s="26">
        <v>1880.7719798669002</v>
      </c>
      <c r="I14" s="26">
        <v>1748.3253818538005</v>
      </c>
    </row>
    <row r="15" spans="1:9">
      <c r="A15" s="25">
        <v>230</v>
      </c>
      <c r="B15" s="7" t="s">
        <v>1395</v>
      </c>
      <c r="C15" s="16">
        <v>1514</v>
      </c>
      <c r="D15" s="16">
        <v>769</v>
      </c>
      <c r="E15" s="16">
        <v>457.87768942000002</v>
      </c>
      <c r="F15" s="26">
        <v>497.43451582</v>
      </c>
      <c r="G15" s="26">
        <v>524</v>
      </c>
      <c r="H15" s="26">
        <v>545.18711177859996</v>
      </c>
      <c r="I15" s="26">
        <v>544.95622539009992</v>
      </c>
    </row>
    <row r="16" spans="1:9">
      <c r="A16" s="25">
        <v>290</v>
      </c>
      <c r="B16" s="7" t="s">
        <v>1396</v>
      </c>
      <c r="C16" s="16">
        <v>1397</v>
      </c>
      <c r="D16" s="16">
        <v>1559</v>
      </c>
      <c r="E16" s="16">
        <v>945.30463382999994</v>
      </c>
      <c r="F16" s="26">
        <v>815.36753707000003</v>
      </c>
      <c r="G16" s="26">
        <v>1120.8149763812</v>
      </c>
      <c r="H16" s="26">
        <v>1371.9398022264002</v>
      </c>
      <c r="I16" s="26">
        <v>1369.6348423708005</v>
      </c>
    </row>
    <row r="17" spans="1:9">
      <c r="A17" s="25"/>
      <c r="B17" s="7"/>
      <c r="C17" s="16"/>
      <c r="D17" s="16"/>
      <c r="E17" s="26"/>
      <c r="F17" s="26"/>
      <c r="G17" s="26"/>
      <c r="H17" s="26"/>
      <c r="I17" s="26"/>
    </row>
    <row r="18" spans="1:9">
      <c r="A18" s="24">
        <v>3</v>
      </c>
      <c r="B18" s="8" t="s">
        <v>183</v>
      </c>
      <c r="C18" s="14">
        <f>SUM(C19:C23)</f>
        <v>20201.6539244659</v>
      </c>
      <c r="D18" s="14">
        <f>SUM(D19:D23)</f>
        <v>21119.148247643596</v>
      </c>
      <c r="E18" s="14">
        <f>SUM(E19:E23)</f>
        <v>21341.933925359997</v>
      </c>
      <c r="F18" s="14">
        <f>SUM(F19:F23)</f>
        <v>21601.65463796</v>
      </c>
      <c r="G18" s="14">
        <v>22440.899274649797</v>
      </c>
      <c r="H18" s="14">
        <v>23523.006389883802</v>
      </c>
      <c r="I18" s="14">
        <v>24428.317027662699</v>
      </c>
    </row>
    <row r="19" spans="1:9">
      <c r="A19" s="25">
        <v>310</v>
      </c>
      <c r="B19" s="7" t="s">
        <v>184</v>
      </c>
      <c r="C19" s="16">
        <v>10830</v>
      </c>
      <c r="D19" s="16">
        <v>11209</v>
      </c>
      <c r="E19" s="16">
        <v>11337.097139</v>
      </c>
      <c r="F19" s="26">
        <v>11288.937717000001</v>
      </c>
      <c r="G19" s="26">
        <v>12084.210179485799</v>
      </c>
      <c r="H19" s="26">
        <v>12760.9049033435</v>
      </c>
      <c r="I19" s="26">
        <v>13197.601193791099</v>
      </c>
    </row>
    <row r="20" spans="1:9">
      <c r="A20" s="25">
        <v>320</v>
      </c>
      <c r="B20" s="7" t="s">
        <v>185</v>
      </c>
      <c r="C20" s="16">
        <v>43</v>
      </c>
      <c r="D20" s="16">
        <v>19.398004449999998</v>
      </c>
      <c r="E20" s="16">
        <v>32.215298390000001</v>
      </c>
      <c r="F20" s="26">
        <v>33.568163890000001</v>
      </c>
      <c r="G20" s="26">
        <v>25.658215650300001</v>
      </c>
      <c r="H20" s="26">
        <v>27.699034809899999</v>
      </c>
      <c r="I20" s="26">
        <v>69.93466394939999</v>
      </c>
    </row>
    <row r="21" spans="1:9">
      <c r="A21" s="25">
        <v>330</v>
      </c>
      <c r="B21" s="7" t="s">
        <v>186</v>
      </c>
      <c r="C21" s="16">
        <v>5398</v>
      </c>
      <c r="D21" s="16">
        <v>5762.6024184392982</v>
      </c>
      <c r="E21" s="16">
        <v>5866.7851331000002</v>
      </c>
      <c r="F21" s="26">
        <v>6125.8829187000001</v>
      </c>
      <c r="G21" s="26">
        <v>6233.6693462724988</v>
      </c>
      <c r="H21" s="26">
        <v>6710.9202654678993</v>
      </c>
      <c r="I21" s="26">
        <v>6925.1089693697013</v>
      </c>
    </row>
    <row r="22" spans="1:9">
      <c r="A22" s="25">
        <v>340</v>
      </c>
      <c r="B22" s="7" t="s">
        <v>187</v>
      </c>
      <c r="C22" s="16">
        <v>3843</v>
      </c>
      <c r="D22" s="16">
        <v>4022.8942574735993</v>
      </c>
      <c r="E22" s="16">
        <v>3991.9666173000001</v>
      </c>
      <c r="F22" s="26">
        <v>4038.1872800000001</v>
      </c>
      <c r="G22" s="26">
        <v>3957.3900638813002</v>
      </c>
      <c r="H22" s="26">
        <v>3883.3688251917997</v>
      </c>
      <c r="I22" s="26">
        <v>4073.3584032139001</v>
      </c>
    </row>
    <row r="23" spans="1:9">
      <c r="A23" s="25">
        <v>390</v>
      </c>
      <c r="B23" s="7" t="s">
        <v>1063</v>
      </c>
      <c r="C23" s="16">
        <v>87.653924465899991</v>
      </c>
      <c r="D23" s="16">
        <v>105.2535672807</v>
      </c>
      <c r="E23" s="16">
        <v>113.86973757</v>
      </c>
      <c r="F23" s="26">
        <v>115.07855837</v>
      </c>
      <c r="G23" s="26">
        <v>139.9714693599</v>
      </c>
      <c r="H23" s="26">
        <v>140.11336107069999</v>
      </c>
      <c r="I23" s="26">
        <v>162.31379733859998</v>
      </c>
    </row>
    <row r="24" spans="1:9">
      <c r="A24" s="25"/>
      <c r="B24" s="7"/>
      <c r="C24" s="16"/>
      <c r="D24" s="16"/>
      <c r="E24" s="26"/>
      <c r="F24" s="26"/>
      <c r="G24" s="26"/>
      <c r="H24" s="26"/>
      <c r="I24" s="26"/>
    </row>
    <row r="25" spans="1:9">
      <c r="A25" s="24">
        <v>4</v>
      </c>
      <c r="B25" s="8" t="s">
        <v>1545</v>
      </c>
      <c r="C25" s="14">
        <f>SUM(C26:C34)</f>
        <v>38849.027832230298</v>
      </c>
      <c r="D25" s="14">
        <f>SUM(D26:D34)</f>
        <v>38600.069273572903</v>
      </c>
      <c r="E25" s="14">
        <f>SUM(E26:E34)</f>
        <v>43920.340464809997</v>
      </c>
      <c r="F25" s="14">
        <f>SUM(F26:F34)</f>
        <v>52885.611411769998</v>
      </c>
      <c r="G25" s="14">
        <v>52148.262695017198</v>
      </c>
      <c r="H25" s="14">
        <v>54519.571282734214</v>
      </c>
      <c r="I25" s="14">
        <v>55828.748817960302</v>
      </c>
    </row>
    <row r="26" spans="1:9">
      <c r="A26" s="25">
        <v>410</v>
      </c>
      <c r="B26" s="7" t="s">
        <v>1397</v>
      </c>
      <c r="C26" s="16">
        <v>694</v>
      </c>
      <c r="D26" s="16">
        <v>718</v>
      </c>
      <c r="E26" s="16">
        <v>415.63832751000001</v>
      </c>
      <c r="F26" s="26">
        <v>420.21729314999999</v>
      </c>
      <c r="G26" s="26">
        <v>436.06879268040007</v>
      </c>
      <c r="H26" s="26">
        <v>458.81808851119968</v>
      </c>
      <c r="I26" s="26">
        <v>856.47279998910017</v>
      </c>
    </row>
    <row r="27" spans="1:9">
      <c r="A27" s="25">
        <v>420</v>
      </c>
      <c r="B27" s="7" t="s">
        <v>1398</v>
      </c>
      <c r="C27" s="16">
        <v>300</v>
      </c>
      <c r="D27" s="16">
        <v>229</v>
      </c>
      <c r="E27" s="16">
        <v>149.84403956</v>
      </c>
      <c r="F27" s="26">
        <v>129.54564557</v>
      </c>
      <c r="G27" s="26">
        <v>154.22959000000003</v>
      </c>
      <c r="H27" s="26">
        <v>137.96805671449999</v>
      </c>
      <c r="I27" s="26">
        <v>133.54405863070002</v>
      </c>
    </row>
    <row r="28" spans="1:9">
      <c r="A28" s="25">
        <v>430</v>
      </c>
      <c r="B28" s="7" t="s">
        <v>1399</v>
      </c>
      <c r="C28" s="16">
        <v>11888</v>
      </c>
      <c r="D28" s="16">
        <v>12802</v>
      </c>
      <c r="E28" s="16">
        <v>11613.407818</v>
      </c>
      <c r="F28" s="26">
        <v>12567.932278</v>
      </c>
      <c r="G28" s="26">
        <v>13628.796323373395</v>
      </c>
      <c r="H28" s="26">
        <v>14257.447362081106</v>
      </c>
      <c r="I28" s="26">
        <v>14725.303881979102</v>
      </c>
    </row>
    <row r="29" spans="1:9">
      <c r="A29" s="25">
        <v>440</v>
      </c>
      <c r="B29" s="7" t="s">
        <v>1400</v>
      </c>
      <c r="C29" s="16">
        <v>8743</v>
      </c>
      <c r="D29" s="16">
        <v>8148</v>
      </c>
      <c r="E29" s="16">
        <v>9005.5849228000006</v>
      </c>
      <c r="F29" s="26">
        <v>9799.9145778000002</v>
      </c>
      <c r="G29" s="26">
        <v>9432.6581160079022</v>
      </c>
      <c r="H29" s="26">
        <v>10905.14699558451</v>
      </c>
      <c r="I29" s="26">
        <v>11370.0600516427</v>
      </c>
    </row>
    <row r="30" spans="1:9">
      <c r="A30" s="25">
        <v>450</v>
      </c>
      <c r="B30" s="7" t="s">
        <v>1401</v>
      </c>
      <c r="C30" s="16">
        <v>1319</v>
      </c>
      <c r="D30" s="16">
        <v>1337.1699132331</v>
      </c>
      <c r="E30" s="16">
        <v>2959.4179807999999</v>
      </c>
      <c r="F30" s="26">
        <v>3996.2501885000001</v>
      </c>
      <c r="G30" s="26">
        <v>4755.6851627083997</v>
      </c>
      <c r="H30" s="26">
        <v>4860.4478560347998</v>
      </c>
      <c r="I30" s="26">
        <v>5110.0838779482028</v>
      </c>
    </row>
    <row r="31" spans="1:9">
      <c r="A31" s="25">
        <v>460</v>
      </c>
      <c r="B31" s="7" t="s">
        <v>1402</v>
      </c>
      <c r="C31" s="16">
        <v>2467.0278322303002</v>
      </c>
      <c r="D31" s="16">
        <v>2543.4682429803997</v>
      </c>
      <c r="E31" s="16">
        <v>2424.0356216</v>
      </c>
      <c r="F31" s="26">
        <v>2490.673859</v>
      </c>
      <c r="G31" s="26">
        <v>2502.842639</v>
      </c>
      <c r="H31" s="26">
        <v>2493.3317750000001</v>
      </c>
      <c r="I31" s="26">
        <v>2522.302576</v>
      </c>
    </row>
    <row r="32" spans="1:9">
      <c r="A32" s="25">
        <v>470</v>
      </c>
      <c r="B32" s="7" t="s">
        <v>1403</v>
      </c>
      <c r="C32" s="16">
        <v>12676</v>
      </c>
      <c r="D32" s="16">
        <v>12098.522387049801</v>
      </c>
      <c r="E32" s="16">
        <v>16262.26597</v>
      </c>
      <c r="F32" s="26">
        <v>22237.255513</v>
      </c>
      <c r="G32" s="26">
        <v>19993.437876560507</v>
      </c>
      <c r="H32" s="26">
        <v>20027.635699001497</v>
      </c>
      <c r="I32" s="26">
        <v>19421.193362372898</v>
      </c>
    </row>
    <row r="33" spans="1:9">
      <c r="A33" s="25">
        <v>480</v>
      </c>
      <c r="B33" s="7" t="s">
        <v>1404</v>
      </c>
      <c r="C33" s="16">
        <v>71</v>
      </c>
      <c r="D33" s="16">
        <v>24.414811440099999</v>
      </c>
      <c r="E33" s="16">
        <v>102.11337786999999</v>
      </c>
      <c r="F33" s="26">
        <v>122.81260184999999</v>
      </c>
      <c r="G33" s="26">
        <v>90.558594230200015</v>
      </c>
      <c r="H33" s="26">
        <v>94.884447549800001</v>
      </c>
      <c r="I33" s="26">
        <v>140.91851894039996</v>
      </c>
    </row>
    <row r="34" spans="1:9">
      <c r="A34" s="25">
        <v>490</v>
      </c>
      <c r="B34" s="7" t="s">
        <v>1405</v>
      </c>
      <c r="C34" s="16">
        <v>691</v>
      </c>
      <c r="D34" s="16">
        <v>699.49391886949991</v>
      </c>
      <c r="E34" s="16">
        <v>988.03240667</v>
      </c>
      <c r="F34" s="26">
        <v>1121.0094549</v>
      </c>
      <c r="G34" s="26">
        <v>1153.9856004564001</v>
      </c>
      <c r="H34" s="26">
        <v>1283.8910022567991</v>
      </c>
      <c r="I34" s="26">
        <v>1548.8696904572005</v>
      </c>
    </row>
    <row r="35" spans="1:9">
      <c r="A35" s="25"/>
      <c r="B35" s="7"/>
      <c r="C35" s="16"/>
      <c r="D35" s="16"/>
      <c r="E35" s="26"/>
      <c r="F35" s="26"/>
      <c r="G35" s="26"/>
      <c r="H35" s="26"/>
      <c r="I35" s="26"/>
    </row>
    <row r="36" spans="1:9">
      <c r="A36" s="24">
        <v>5</v>
      </c>
      <c r="B36" s="8" t="s">
        <v>1546</v>
      </c>
      <c r="C36" s="14">
        <f>SUM(C37:C39)</f>
        <v>2198.6986128600001</v>
      </c>
      <c r="D36" s="14">
        <f>SUM(D37:D39)</f>
        <v>2316.775765004199</v>
      </c>
      <c r="E36" s="14">
        <f>SUM(E37:E39)</f>
        <v>2249.0594558100001</v>
      </c>
      <c r="F36" s="14">
        <f>SUM(F37:F39)</f>
        <v>15594.582046860001</v>
      </c>
      <c r="G36" s="14">
        <v>16077.497914809186</v>
      </c>
      <c r="H36" s="14">
        <v>18755.902679859704</v>
      </c>
      <c r="I36" s="14">
        <v>18345.766050632981</v>
      </c>
    </row>
    <row r="37" spans="1:9">
      <c r="A37" s="25">
        <v>510</v>
      </c>
      <c r="B37" s="7" t="s">
        <v>1406</v>
      </c>
      <c r="C37" s="16">
        <v>198.69861286</v>
      </c>
      <c r="D37" s="16">
        <v>395.30620098999998</v>
      </c>
      <c r="E37" s="16">
        <v>418.55695671000001</v>
      </c>
      <c r="F37" s="16">
        <v>135.85254386</v>
      </c>
      <c r="G37" s="16">
        <v>11.4422651604</v>
      </c>
      <c r="H37" s="16">
        <v>5.4204306099000004</v>
      </c>
      <c r="I37" s="26">
        <v>0</v>
      </c>
    </row>
    <row r="38" spans="1:9">
      <c r="A38" s="25">
        <v>520</v>
      </c>
      <c r="B38" s="7" t="s">
        <v>1407</v>
      </c>
      <c r="C38" s="16">
        <v>209</v>
      </c>
      <c r="D38" s="16">
        <v>116.33571620000002</v>
      </c>
      <c r="E38" s="16">
        <v>6.6180000000000003</v>
      </c>
      <c r="F38" s="26">
        <v>0.125</v>
      </c>
      <c r="G38" s="26">
        <v>0</v>
      </c>
      <c r="H38" s="26">
        <v>0</v>
      </c>
      <c r="I38" s="26">
        <v>0</v>
      </c>
    </row>
    <row r="39" spans="1:9">
      <c r="A39" s="25">
        <v>590</v>
      </c>
      <c r="B39" s="7" t="s">
        <v>1408</v>
      </c>
      <c r="C39" s="16">
        <v>1791</v>
      </c>
      <c r="D39" s="16">
        <v>1805.133847814199</v>
      </c>
      <c r="E39" s="16">
        <v>1823.8844991000001</v>
      </c>
      <c r="F39" s="16">
        <v>15458.604503</v>
      </c>
      <c r="G39" s="16">
        <v>16066.055649648786</v>
      </c>
      <c r="H39" s="16">
        <v>18750.482249249802</v>
      </c>
      <c r="I39" s="26">
        <v>18345.766050632981</v>
      </c>
    </row>
    <row r="40" spans="1:9">
      <c r="A40" s="25"/>
      <c r="B40" s="7"/>
      <c r="C40" s="16"/>
      <c r="D40" s="16"/>
      <c r="E40" s="26"/>
      <c r="F40" s="26"/>
      <c r="G40" s="26"/>
      <c r="H40" s="26"/>
      <c r="I40" s="26"/>
    </row>
    <row r="41" spans="1:9">
      <c r="A41" s="24">
        <v>6</v>
      </c>
      <c r="B41" s="8" t="s">
        <v>1386</v>
      </c>
      <c r="C41" s="14">
        <f>C42+C50+C54</f>
        <v>189852.26057853008</v>
      </c>
      <c r="D41" s="14">
        <v>222580</v>
      </c>
      <c r="E41" s="14">
        <f>E42+E50+E54</f>
        <v>209359.50895447002</v>
      </c>
      <c r="F41" s="14">
        <f>F42+F50+F54</f>
        <v>200640.44686051001</v>
      </c>
      <c r="G41" s="14">
        <v>229048.98957600669</v>
      </c>
      <c r="H41" s="14">
        <v>239077.37385980855</v>
      </c>
      <c r="I41" s="14">
        <v>257819.25510735094</v>
      </c>
    </row>
    <row r="42" spans="1:9">
      <c r="A42" s="76">
        <v>61</v>
      </c>
      <c r="B42" s="7" t="s">
        <v>1409</v>
      </c>
      <c r="C42" s="16">
        <f>SUM(C43:C49)</f>
        <v>173815.3541457</v>
      </c>
      <c r="D42" s="16">
        <f>SUM(D43:D49)</f>
        <v>210680.30594610932</v>
      </c>
      <c r="E42" s="16">
        <f>SUM(E43:E49)</f>
        <v>198601.694025</v>
      </c>
      <c r="F42" s="16">
        <f>SUM(F43:F49)</f>
        <v>189975.72494370001</v>
      </c>
      <c r="G42" s="16">
        <v>217031.25557594188</v>
      </c>
      <c r="H42" s="16">
        <v>225862.51062408776</v>
      </c>
      <c r="I42" s="16">
        <v>242756.74064562842</v>
      </c>
    </row>
    <row r="43" spans="1:9">
      <c r="A43" s="25">
        <v>611</v>
      </c>
      <c r="B43" s="7" t="s">
        <v>1410</v>
      </c>
      <c r="C43" s="16">
        <v>30246</v>
      </c>
      <c r="D43" s="16">
        <v>47018</v>
      </c>
      <c r="E43" s="16">
        <v>44556.251988999997</v>
      </c>
      <c r="F43" s="16">
        <v>36769.719492999997</v>
      </c>
      <c r="G43" s="16">
        <v>51250.809575159692</v>
      </c>
      <c r="H43" s="16">
        <v>62521.004074156997</v>
      </c>
      <c r="I43" s="26">
        <v>70573.723053000111</v>
      </c>
    </row>
    <row r="44" spans="1:9">
      <c r="A44" s="25">
        <v>612</v>
      </c>
      <c r="B44" s="7" t="s">
        <v>649</v>
      </c>
      <c r="C44" s="16">
        <v>2444.4920000000002</v>
      </c>
      <c r="D44" s="16">
        <v>2444.4920000000002</v>
      </c>
      <c r="E44" s="16">
        <v>8144.196226</v>
      </c>
      <c r="F44" s="16">
        <v>8046.1930032999999</v>
      </c>
      <c r="G44" s="16">
        <v>7568.5741330999999</v>
      </c>
      <c r="H44" s="16">
        <v>7408.9686178000002</v>
      </c>
      <c r="I44" s="26">
        <v>7458.4475199999997</v>
      </c>
    </row>
    <row r="45" spans="1:9">
      <c r="A45" s="25">
        <v>613</v>
      </c>
      <c r="B45" s="7" t="s">
        <v>650</v>
      </c>
      <c r="C45" s="16">
        <v>70819</v>
      </c>
      <c r="D45" s="16">
        <v>69591.184233530003</v>
      </c>
      <c r="E45" s="16">
        <v>68455.379362000007</v>
      </c>
      <c r="F45" s="16">
        <v>67984.706959000003</v>
      </c>
      <c r="G45" s="16">
        <v>77521.753280999998</v>
      </c>
      <c r="H45" s="16">
        <v>76878.733178404</v>
      </c>
      <c r="I45" s="26">
        <v>78885.404331295998</v>
      </c>
    </row>
    <row r="46" spans="1:9">
      <c r="A46" s="25">
        <v>614</v>
      </c>
      <c r="B46" s="7" t="s">
        <v>779</v>
      </c>
      <c r="C46" s="16">
        <v>25382.862145700001</v>
      </c>
      <c r="D46" s="16">
        <v>50001.995022200004</v>
      </c>
      <c r="E46" s="16">
        <v>38927.376666999997</v>
      </c>
      <c r="F46" s="16">
        <v>35289.473480000001</v>
      </c>
      <c r="G46" s="16">
        <v>38841.529011931183</v>
      </c>
      <c r="H46" s="16">
        <v>36788.407861519285</v>
      </c>
      <c r="I46" s="26">
        <v>40373.266919615402</v>
      </c>
    </row>
    <row r="47" spans="1:9">
      <c r="A47" s="25">
        <v>615</v>
      </c>
      <c r="B47" s="7" t="s">
        <v>780</v>
      </c>
      <c r="C47" s="16">
        <v>29502</v>
      </c>
      <c r="D47" s="16">
        <v>26342</v>
      </c>
      <c r="E47" s="16">
        <v>23662.138236999999</v>
      </c>
      <c r="F47" s="16">
        <v>25588.020272999998</v>
      </c>
      <c r="G47" s="16">
        <v>24750.560819600003</v>
      </c>
      <c r="H47" s="16">
        <v>25957.3299463</v>
      </c>
      <c r="I47" s="26">
        <v>27631.5929153</v>
      </c>
    </row>
    <row r="48" spans="1:9">
      <c r="A48" s="25">
        <v>618</v>
      </c>
      <c r="B48" s="7" t="s">
        <v>781</v>
      </c>
      <c r="C48" s="16">
        <v>10416</v>
      </c>
      <c r="D48" s="16">
        <v>9971.5061673670007</v>
      </c>
      <c r="E48" s="16">
        <v>9634.8400571000002</v>
      </c>
      <c r="F48" s="16">
        <v>11662.880058999999</v>
      </c>
      <c r="G48" s="16">
        <v>10932.3016628148</v>
      </c>
      <c r="H48" s="16">
        <v>10806.055332154101</v>
      </c>
      <c r="I48" s="26">
        <v>11725.7594145925</v>
      </c>
    </row>
    <row r="49" spans="1:9">
      <c r="A49" s="25">
        <v>619</v>
      </c>
      <c r="B49" s="7" t="s">
        <v>782</v>
      </c>
      <c r="C49" s="16">
        <v>5005</v>
      </c>
      <c r="D49" s="16">
        <v>5311.1285230123003</v>
      </c>
      <c r="E49" s="16">
        <v>5221.5114868999999</v>
      </c>
      <c r="F49" s="16">
        <v>4634.7316763999997</v>
      </c>
      <c r="G49" s="16">
        <v>6165.7270923362003</v>
      </c>
      <c r="H49" s="16">
        <v>5502.0116137534005</v>
      </c>
      <c r="I49" s="26">
        <v>6108.5464918243997</v>
      </c>
    </row>
    <row r="50" spans="1:9">
      <c r="A50" s="76">
        <v>62</v>
      </c>
      <c r="B50" s="7" t="s">
        <v>783</v>
      </c>
      <c r="C50" s="16">
        <f>SUM(C51:C53)</f>
        <v>15943.348442958501</v>
      </c>
      <c r="D50" s="16">
        <v>11803</v>
      </c>
      <c r="E50" s="16">
        <f>SUM(E51:E53)</f>
        <v>10660.025511689999</v>
      </c>
      <c r="F50" s="16">
        <f>SUM(F51:F53)</f>
        <v>10562.524776890001</v>
      </c>
      <c r="G50" s="16">
        <v>11916.342269413701</v>
      </c>
      <c r="H50" s="16">
        <v>13087.2898073202</v>
      </c>
      <c r="I50" s="16">
        <v>15062.514461722501</v>
      </c>
    </row>
    <row r="51" spans="1:9">
      <c r="A51" s="25">
        <v>621</v>
      </c>
      <c r="B51" s="7" t="s">
        <v>208</v>
      </c>
      <c r="C51" s="16">
        <v>13.348442958499998</v>
      </c>
      <c r="D51" s="16">
        <v>13.433826059900001</v>
      </c>
      <c r="E51" s="16">
        <v>14.813617689999999</v>
      </c>
      <c r="F51" s="26">
        <v>13.64509299</v>
      </c>
      <c r="G51" s="26">
        <v>13.699930330400001</v>
      </c>
      <c r="H51" s="26">
        <v>15.7775938396</v>
      </c>
      <c r="I51" s="26">
        <v>16.006041300300001</v>
      </c>
    </row>
    <row r="52" spans="1:9">
      <c r="A52" s="25">
        <v>622</v>
      </c>
      <c r="B52" s="7" t="s">
        <v>209</v>
      </c>
      <c r="C52" s="16">
        <v>6321</v>
      </c>
      <c r="D52" s="16">
        <v>6692.8116352726011</v>
      </c>
      <c r="E52" s="16">
        <v>6911.9295715999997</v>
      </c>
      <c r="F52" s="26">
        <v>6485.0954362000002</v>
      </c>
      <c r="G52" s="26">
        <v>7568.7889309317006</v>
      </c>
      <c r="H52" s="26">
        <v>8664.0822994131995</v>
      </c>
      <c r="I52" s="26">
        <v>9686.9010025570005</v>
      </c>
    </row>
    <row r="53" spans="1:9">
      <c r="A53" s="25">
        <v>628</v>
      </c>
      <c r="B53" s="7" t="s">
        <v>210</v>
      </c>
      <c r="C53" s="16">
        <v>9609</v>
      </c>
      <c r="D53" s="16">
        <v>5097</v>
      </c>
      <c r="E53" s="16">
        <v>3733.2823223999999</v>
      </c>
      <c r="F53" s="26">
        <v>4063.7842476999999</v>
      </c>
      <c r="G53" s="26">
        <v>4333.8534081516009</v>
      </c>
      <c r="H53" s="26">
        <v>4407.4299140673993</v>
      </c>
      <c r="I53" s="26">
        <v>5359.6074178652016</v>
      </c>
    </row>
    <row r="54" spans="1:9">
      <c r="A54" s="27" t="s">
        <v>211</v>
      </c>
      <c r="B54" s="7" t="s">
        <v>212</v>
      </c>
      <c r="C54" s="16">
        <f>SUM(C55)</f>
        <v>93.5579898716</v>
      </c>
      <c r="D54" s="16">
        <f>SUM(D55)</f>
        <v>97.290350509800007</v>
      </c>
      <c r="E54" s="16">
        <f>SUM(E55)</f>
        <v>97.789417779999994</v>
      </c>
      <c r="F54" s="16">
        <f>SUM(F55)</f>
        <v>102.19713992</v>
      </c>
      <c r="G54" s="16">
        <v>101.3917306511</v>
      </c>
      <c r="H54" s="16">
        <v>127.57342840059999</v>
      </c>
      <c r="I54" s="26">
        <v>0</v>
      </c>
    </row>
    <row r="55" spans="1:9">
      <c r="A55" s="25">
        <v>690</v>
      </c>
      <c r="B55" s="7" t="s">
        <v>212</v>
      </c>
      <c r="C55" s="16">
        <v>93.5579898716</v>
      </c>
      <c r="D55" s="16">
        <v>97.290350509800007</v>
      </c>
      <c r="E55" s="16">
        <v>97.789417779999994</v>
      </c>
      <c r="F55" s="16">
        <v>102.19713992</v>
      </c>
      <c r="G55" s="16">
        <v>101.3917306511</v>
      </c>
      <c r="H55" s="16">
        <v>127.57342840059999</v>
      </c>
      <c r="I55" s="26">
        <v>0</v>
      </c>
    </row>
    <row r="56" spans="1:9">
      <c r="A56" s="25"/>
      <c r="B56" s="7"/>
      <c r="C56" s="16"/>
      <c r="D56" s="16"/>
      <c r="E56" s="26"/>
      <c r="F56" s="26"/>
      <c r="G56" s="26"/>
      <c r="H56" s="26"/>
      <c r="I56" s="26"/>
    </row>
    <row r="57" spans="1:9">
      <c r="A57" s="24">
        <v>7</v>
      </c>
      <c r="B57" s="8" t="s">
        <v>399</v>
      </c>
      <c r="C57" s="14">
        <f>SUM(C58:C62)</f>
        <v>36799.985524838703</v>
      </c>
      <c r="D57" s="14">
        <f>SUM(D58:D62)</f>
        <v>32339.024433160801</v>
      </c>
      <c r="E57" s="14">
        <f>SUM(E58:E62)</f>
        <v>25794.011139620001</v>
      </c>
      <c r="F57" s="14">
        <f>SUM(F58:F62)</f>
        <v>17857.954640869997</v>
      </c>
      <c r="G57" s="14">
        <v>13503.297751659296</v>
      </c>
      <c r="H57" s="14">
        <v>8611.9951996776999</v>
      </c>
      <c r="I57" s="14">
        <v>7665.8799969263018</v>
      </c>
    </row>
    <row r="58" spans="1:9">
      <c r="A58" s="25">
        <v>710</v>
      </c>
      <c r="B58" s="7" t="s">
        <v>1452</v>
      </c>
      <c r="C58" s="16">
        <v>33255</v>
      </c>
      <c r="D58" s="16">
        <v>29420.275935110902</v>
      </c>
      <c r="E58" s="16">
        <v>22172.410193</v>
      </c>
      <c r="F58" s="26">
        <v>13692.416574999999</v>
      </c>
      <c r="G58" s="26">
        <v>8825.8794113205968</v>
      </c>
      <c r="H58" s="26">
        <v>4460.5496199040008</v>
      </c>
      <c r="I58" s="26">
        <v>2947.1053519788006</v>
      </c>
    </row>
    <row r="59" spans="1:9">
      <c r="A59" s="25">
        <v>720</v>
      </c>
      <c r="B59" s="7" t="s">
        <v>807</v>
      </c>
      <c r="C59" s="16">
        <v>2032</v>
      </c>
      <c r="D59" s="16">
        <v>1749</v>
      </c>
      <c r="E59" s="16">
        <v>2343.4324365000002</v>
      </c>
      <c r="F59" s="26">
        <v>3095.4877078</v>
      </c>
      <c r="G59" s="26">
        <v>3399</v>
      </c>
      <c r="H59" s="26">
        <v>2683.1436711938982</v>
      </c>
      <c r="I59" s="26">
        <v>2797.6047855779016</v>
      </c>
    </row>
    <row r="60" spans="1:9">
      <c r="A60" s="25">
        <v>730</v>
      </c>
      <c r="B60" s="7" t="s">
        <v>808</v>
      </c>
      <c r="C60" s="16">
        <v>1474</v>
      </c>
      <c r="D60" s="16">
        <v>1125</v>
      </c>
      <c r="E60" s="16">
        <v>1255.3153127999999</v>
      </c>
      <c r="F60" s="26">
        <v>1047.8552477999999</v>
      </c>
      <c r="G60" s="26">
        <v>1272.9374784987999</v>
      </c>
      <c r="H60" s="26">
        <v>1462.5647479898998</v>
      </c>
      <c r="I60" s="26">
        <v>1699.3361233845997</v>
      </c>
    </row>
    <row r="61" spans="1:9">
      <c r="A61" s="25">
        <v>740</v>
      </c>
      <c r="B61" s="7" t="s">
        <v>1412</v>
      </c>
      <c r="C61" s="16">
        <v>3.9855248387000004</v>
      </c>
      <c r="D61" s="16">
        <v>4.6618889299999999</v>
      </c>
      <c r="E61" s="16">
        <v>4.9706767799999998</v>
      </c>
      <c r="F61" s="26">
        <v>5.05574689</v>
      </c>
      <c r="G61" s="26">
        <v>5.4808618398999993</v>
      </c>
      <c r="H61" s="26">
        <v>5.7371605898999993</v>
      </c>
      <c r="I61" s="26">
        <v>6.0522791498999995</v>
      </c>
    </row>
    <row r="62" spans="1:9">
      <c r="A62" s="25">
        <v>790</v>
      </c>
      <c r="B62" s="7" t="s">
        <v>1413</v>
      </c>
      <c r="C62" s="16">
        <v>35</v>
      </c>
      <c r="D62" s="16">
        <v>40.086609119899997</v>
      </c>
      <c r="E62" s="16">
        <v>17.882520540000002</v>
      </c>
      <c r="F62" s="26">
        <v>17.139363379999999</v>
      </c>
      <c r="G62" s="26">
        <v>0</v>
      </c>
      <c r="H62" s="26">
        <v>0</v>
      </c>
      <c r="I62" s="26">
        <v>215.78145683510004</v>
      </c>
    </row>
    <row r="63" spans="1:9">
      <c r="A63" s="25"/>
      <c r="B63" s="7"/>
      <c r="C63" s="16"/>
      <c r="D63" s="16"/>
      <c r="E63" s="16"/>
      <c r="F63" s="26"/>
      <c r="G63" s="26"/>
      <c r="H63" s="26"/>
      <c r="I63" s="26"/>
    </row>
    <row r="64" spans="1:9">
      <c r="A64" s="24">
        <v>8</v>
      </c>
      <c r="B64" s="8" t="s">
        <v>1453</v>
      </c>
      <c r="C64" s="14">
        <f>SUM(C65:C68)</f>
        <v>4948.2882629999995</v>
      </c>
      <c r="D64" s="14">
        <v>5304</v>
      </c>
      <c r="E64" s="14">
        <f>SUM(E65:E68)</f>
        <v>5447.7083228000001</v>
      </c>
      <c r="F64" s="14">
        <f>SUM(F65:F68)</f>
        <v>5605.8485260799998</v>
      </c>
      <c r="G64" s="14">
        <v>5765.2777068029018</v>
      </c>
      <c r="H64" s="14">
        <v>5609.8023204543997</v>
      </c>
      <c r="I64" s="14">
        <v>5802.8700559212011</v>
      </c>
    </row>
    <row r="65" spans="1:10">
      <c r="A65" s="25">
        <v>810</v>
      </c>
      <c r="B65" s="7" t="s">
        <v>1414</v>
      </c>
      <c r="C65" s="16">
        <v>4295</v>
      </c>
      <c r="D65" s="16">
        <v>4594</v>
      </c>
      <c r="E65" s="16">
        <v>5283.8910708000003</v>
      </c>
      <c r="F65" s="26">
        <v>5406.4394039999997</v>
      </c>
      <c r="G65" s="26">
        <v>5567.6423068029017</v>
      </c>
      <c r="H65" s="26">
        <v>5417.9512248443998</v>
      </c>
      <c r="I65" s="26">
        <v>5611.9926753907012</v>
      </c>
    </row>
    <row r="66" spans="1:10">
      <c r="A66" s="25">
        <v>820</v>
      </c>
      <c r="B66" s="7" t="s">
        <v>1415</v>
      </c>
      <c r="C66" s="16">
        <v>61.225000999999999</v>
      </c>
      <c r="D66" s="16">
        <v>44.449998000000001</v>
      </c>
      <c r="E66" s="16">
        <v>57.575000000000003</v>
      </c>
      <c r="F66" s="26">
        <v>55.700000080000002</v>
      </c>
      <c r="G66" s="26">
        <v>54.7</v>
      </c>
      <c r="H66" s="26">
        <v>51.89769561</v>
      </c>
      <c r="I66" s="26">
        <v>50.923980530500003</v>
      </c>
    </row>
    <row r="67" spans="1:10">
      <c r="A67" s="25">
        <v>830</v>
      </c>
      <c r="B67" s="7" t="s">
        <v>1416</v>
      </c>
      <c r="C67" s="16">
        <v>152.06326199999998</v>
      </c>
      <c r="D67" s="16">
        <v>120.00529044459999</v>
      </c>
      <c r="E67" s="16">
        <v>105.524252</v>
      </c>
      <c r="F67" s="26">
        <v>140.51260099999999</v>
      </c>
      <c r="G67" s="26">
        <v>139.95339999999999</v>
      </c>
      <c r="H67" s="26">
        <v>139.95339999999999</v>
      </c>
      <c r="I67" s="26">
        <v>139.95339999999999</v>
      </c>
    </row>
    <row r="68" spans="1:10">
      <c r="A68" s="25">
        <v>890</v>
      </c>
      <c r="B68" s="7" t="s">
        <v>1417</v>
      </c>
      <c r="C68" s="16">
        <v>440</v>
      </c>
      <c r="D68" s="16">
        <v>546.21176699010005</v>
      </c>
      <c r="E68" s="16">
        <v>0.71799999999999997</v>
      </c>
      <c r="F68" s="26">
        <v>3.1965210000000002</v>
      </c>
      <c r="G68" s="26">
        <v>2.9820000000000002</v>
      </c>
      <c r="H68" s="26">
        <v>0</v>
      </c>
      <c r="I68" s="26">
        <v>0</v>
      </c>
    </row>
    <row r="69" spans="1:10">
      <c r="A69" s="25"/>
      <c r="B69" s="7"/>
      <c r="C69" s="16"/>
      <c r="D69" s="16"/>
      <c r="E69" s="26"/>
      <c r="F69" s="26"/>
      <c r="G69" s="26"/>
      <c r="H69" s="26"/>
      <c r="I69" s="26"/>
    </row>
    <row r="70" spans="1:10">
      <c r="A70" s="24">
        <v>9</v>
      </c>
      <c r="B70" s="8" t="s">
        <v>1387</v>
      </c>
      <c r="C70" s="14">
        <f>SUM(C71:C73)</f>
        <v>1157.6462980749</v>
      </c>
      <c r="D70" s="14">
        <f>SUM(D71:D73)</f>
        <v>970.32666659040001</v>
      </c>
      <c r="E70" s="14">
        <f>SUM(E71:E73)</f>
        <v>662.45333142999993</v>
      </c>
      <c r="F70" s="14">
        <f>SUM(F71:F73)</f>
        <v>1042.07603096</v>
      </c>
      <c r="G70" s="14">
        <v>1285.0170502566002</v>
      </c>
      <c r="H70" s="14">
        <v>1916.6987374252999</v>
      </c>
      <c r="I70" s="14">
        <v>2141.8040698415994</v>
      </c>
    </row>
    <row r="71" spans="1:10" ht="15">
      <c r="A71" s="25">
        <v>910</v>
      </c>
      <c r="B71" s="7" t="s">
        <v>1418</v>
      </c>
      <c r="C71" s="16">
        <v>1126</v>
      </c>
      <c r="D71" s="16">
        <v>937</v>
      </c>
      <c r="E71" s="16">
        <v>625.07138581000004</v>
      </c>
      <c r="F71" s="26">
        <v>848.77775532999999</v>
      </c>
      <c r="G71" s="26">
        <v>866.85817958960013</v>
      </c>
      <c r="H71" s="26">
        <v>1388.4465000448999</v>
      </c>
      <c r="I71" s="26">
        <v>1726.0840283312994</v>
      </c>
      <c r="J71" s="90"/>
    </row>
    <row r="72" spans="1:10">
      <c r="A72" s="25">
        <v>920</v>
      </c>
      <c r="B72" s="7" t="s">
        <v>1419</v>
      </c>
      <c r="C72" s="16">
        <v>0.86113200000000001</v>
      </c>
      <c r="D72" s="77" t="s">
        <v>1229</v>
      </c>
      <c r="E72" s="16">
        <v>3.5023450999999999</v>
      </c>
      <c r="F72" s="26">
        <v>193.29827563000001</v>
      </c>
      <c r="G72" s="26">
        <v>271.54387008650008</v>
      </c>
      <c r="H72" s="26">
        <v>77.126286490400005</v>
      </c>
      <c r="I72" s="26">
        <v>80.378466510300001</v>
      </c>
    </row>
    <row r="73" spans="1:10">
      <c r="A73" s="25">
        <v>990</v>
      </c>
      <c r="B73" s="7" t="s">
        <v>1284</v>
      </c>
      <c r="C73" s="16">
        <v>30.785166074899998</v>
      </c>
      <c r="D73" s="16">
        <v>33.326666590400002</v>
      </c>
      <c r="E73" s="16">
        <v>33.879600519999997</v>
      </c>
      <c r="F73" s="78" t="s">
        <v>1229</v>
      </c>
      <c r="G73" s="78">
        <v>146.61500058050001</v>
      </c>
      <c r="H73" s="78">
        <v>451.12595088999996</v>
      </c>
      <c r="I73" s="26">
        <v>335.34157499999998</v>
      </c>
    </row>
    <row r="74" spans="1:10">
      <c r="A74" s="25"/>
      <c r="B74" s="7"/>
      <c r="C74" s="16"/>
      <c r="D74" s="16"/>
      <c r="E74" s="26"/>
      <c r="F74" s="26"/>
      <c r="G74" s="26"/>
      <c r="H74" s="26"/>
      <c r="I74" s="26"/>
    </row>
    <row r="75" spans="1:10">
      <c r="A75" s="24">
        <v>10</v>
      </c>
      <c r="B75" s="8" t="s">
        <v>1388</v>
      </c>
      <c r="C75" s="14">
        <f>SUM(C76:C77)</f>
        <v>7835</v>
      </c>
      <c r="D75" s="14">
        <f>SUM(D76:D77)</f>
        <v>8412</v>
      </c>
      <c r="E75" s="14">
        <f>SUM(E76:E77)</f>
        <v>9693.6512447999994</v>
      </c>
      <c r="F75" s="14">
        <f>SUM(F76:F77)</f>
        <v>11237.896091799999</v>
      </c>
      <c r="G75" s="14">
        <v>11569.616466604322</v>
      </c>
      <c r="H75" s="14">
        <v>9018.5749843433023</v>
      </c>
      <c r="I75" s="14">
        <v>16409.615839372385</v>
      </c>
    </row>
    <row r="76" spans="1:10">
      <c r="A76" s="25">
        <v>1010</v>
      </c>
      <c r="B76" s="7" t="s">
        <v>1285</v>
      </c>
      <c r="C76" s="16">
        <v>820</v>
      </c>
      <c r="D76" s="16">
        <v>680</v>
      </c>
      <c r="E76" s="16">
        <v>1134.9260947</v>
      </c>
      <c r="F76" s="26">
        <v>1582.44631</v>
      </c>
      <c r="G76" s="26">
        <v>1585.5190633020002</v>
      </c>
      <c r="H76" s="26">
        <v>1403.345228834</v>
      </c>
      <c r="I76" s="26">
        <v>957.22218883300002</v>
      </c>
    </row>
    <row r="77" spans="1:10">
      <c r="A77" s="25">
        <v>1090</v>
      </c>
      <c r="B77" s="7" t="s">
        <v>819</v>
      </c>
      <c r="C77" s="16">
        <v>7015</v>
      </c>
      <c r="D77" s="16">
        <v>7732</v>
      </c>
      <c r="E77" s="16">
        <v>8558.7251500999992</v>
      </c>
      <c r="F77" s="26">
        <v>9655.4497818</v>
      </c>
      <c r="G77" s="26">
        <v>9984.0974033023213</v>
      </c>
      <c r="H77" s="26">
        <v>7615.2297555093028</v>
      </c>
      <c r="I77" s="26">
        <v>15452.393650539385</v>
      </c>
    </row>
    <row r="78" spans="1:10">
      <c r="A78" s="25"/>
      <c r="B78" s="7"/>
      <c r="C78" s="16"/>
      <c r="D78" s="16"/>
      <c r="E78" s="26"/>
      <c r="F78" s="26"/>
      <c r="G78" s="26"/>
      <c r="H78" s="26"/>
      <c r="I78" s="26"/>
    </row>
    <row r="79" spans="1:10">
      <c r="A79" s="24">
        <v>11</v>
      </c>
      <c r="B79" s="8" t="s">
        <v>510</v>
      </c>
      <c r="C79" s="14">
        <f>SUM(C80)</f>
        <v>1401</v>
      </c>
      <c r="D79" s="14">
        <f>SUM(D80)</f>
        <v>1459</v>
      </c>
      <c r="E79" s="14">
        <f>SUM(E80)</f>
        <v>1667.5789399</v>
      </c>
      <c r="F79" s="14">
        <f>SUM(F80)</f>
        <v>1639.0192955</v>
      </c>
      <c r="G79" s="14">
        <v>1908.1933729947007</v>
      </c>
      <c r="H79" s="14">
        <v>2315.5597762842995</v>
      </c>
      <c r="I79" s="14">
        <v>167.16891309049998</v>
      </c>
    </row>
    <row r="80" spans="1:10">
      <c r="A80" s="25">
        <v>1100</v>
      </c>
      <c r="B80" s="7" t="s">
        <v>1389</v>
      </c>
      <c r="C80" s="16">
        <v>1401</v>
      </c>
      <c r="D80" s="16">
        <v>1459</v>
      </c>
      <c r="E80" s="16">
        <v>1667.5789399</v>
      </c>
      <c r="F80" s="26">
        <v>1639.0192955</v>
      </c>
      <c r="G80" s="26">
        <v>1908.1933729947007</v>
      </c>
      <c r="H80" s="26">
        <v>2315.5597762842995</v>
      </c>
      <c r="I80" s="26">
        <v>167.16891309049998</v>
      </c>
    </row>
    <row r="81" spans="1:9">
      <c r="A81" s="25"/>
      <c r="B81" s="7"/>
      <c r="C81" s="16"/>
      <c r="D81" s="16"/>
      <c r="E81" s="16"/>
      <c r="F81" s="26"/>
      <c r="G81" s="26"/>
      <c r="H81" s="26"/>
      <c r="I81" s="26"/>
    </row>
    <row r="82" spans="1:9">
      <c r="A82" s="24">
        <v>12</v>
      </c>
      <c r="B82" s="8" t="s">
        <v>1447</v>
      </c>
      <c r="C82" s="14">
        <f>SUM(C83:C88)</f>
        <v>28510</v>
      </c>
      <c r="D82" s="14">
        <f>SUM(D83:D88)</f>
        <v>27070.076564660001</v>
      </c>
      <c r="E82" s="14">
        <f>SUM(E83:E88)</f>
        <v>24487.504342819997</v>
      </c>
      <c r="F82" s="14">
        <f>SUM(F83:F88)</f>
        <v>27556.66589529</v>
      </c>
      <c r="G82" s="14">
        <v>24112.072688736098</v>
      </c>
      <c r="H82" s="14">
        <v>23849.024215094098</v>
      </c>
      <c r="I82" s="14">
        <v>24790.743531772598</v>
      </c>
    </row>
    <row r="83" spans="1:9">
      <c r="A83" s="25">
        <v>1210</v>
      </c>
      <c r="B83" s="7" t="s">
        <v>1448</v>
      </c>
      <c r="C83" s="16">
        <v>16040</v>
      </c>
      <c r="D83" s="16">
        <v>14028</v>
      </c>
      <c r="E83" s="16">
        <v>13739.402829000001</v>
      </c>
      <c r="F83" s="26">
        <v>14097.286137999999</v>
      </c>
      <c r="G83" s="26">
        <v>13226.632060094298</v>
      </c>
      <c r="H83" s="26">
        <v>14103.8745899512</v>
      </c>
      <c r="I83" s="26">
        <v>14533.650399119897</v>
      </c>
    </row>
    <row r="84" spans="1:9">
      <c r="A84" s="25">
        <v>1220</v>
      </c>
      <c r="B84" s="7" t="s">
        <v>1449</v>
      </c>
      <c r="C84" s="16">
        <v>469</v>
      </c>
      <c r="D84" s="16">
        <v>1248</v>
      </c>
      <c r="E84" s="16">
        <v>691.13237014000003</v>
      </c>
      <c r="F84" s="26">
        <v>1097.8706571</v>
      </c>
      <c r="G84" s="26">
        <v>762.4511633402999</v>
      </c>
      <c r="H84" s="26">
        <v>670.9617652584999</v>
      </c>
      <c r="I84" s="26">
        <v>645.03303108499995</v>
      </c>
    </row>
    <row r="85" spans="1:9">
      <c r="A85" s="25">
        <v>1230</v>
      </c>
      <c r="B85" s="7" t="s">
        <v>820</v>
      </c>
      <c r="C85" s="16">
        <v>11170</v>
      </c>
      <c r="D85" s="16">
        <v>10855</v>
      </c>
      <c r="E85" s="16">
        <v>8652.7065062999991</v>
      </c>
      <c r="F85" s="26">
        <v>10759.817945000001</v>
      </c>
      <c r="G85" s="26">
        <v>8599.837810077599</v>
      </c>
      <c r="H85" s="26">
        <v>6972.7584829732996</v>
      </c>
      <c r="I85" s="26">
        <v>7665.2548211418998</v>
      </c>
    </row>
    <row r="86" spans="1:9">
      <c r="A86" s="25">
        <v>1240</v>
      </c>
      <c r="B86" s="7" t="s">
        <v>1450</v>
      </c>
      <c r="C86" s="16">
        <v>-2</v>
      </c>
      <c r="D86" s="77" t="s">
        <v>1229</v>
      </c>
      <c r="E86" s="16">
        <v>15.2</v>
      </c>
      <c r="F86" s="26">
        <v>15.2</v>
      </c>
      <c r="G86" s="26">
        <v>105</v>
      </c>
      <c r="H86" s="26">
        <v>102.443</v>
      </c>
      <c r="I86" s="26">
        <v>100.38547800000001</v>
      </c>
    </row>
    <row r="87" spans="1:9">
      <c r="A87" s="25">
        <v>1250</v>
      </c>
      <c r="B87" s="7" t="s">
        <v>821</v>
      </c>
      <c r="C87" s="16">
        <v>155</v>
      </c>
      <c r="D87" s="16">
        <v>144.07656466</v>
      </c>
      <c r="E87" s="16">
        <v>612.46757029000003</v>
      </c>
      <c r="F87" s="26">
        <v>639.93889199</v>
      </c>
      <c r="G87" s="26">
        <v>684</v>
      </c>
      <c r="H87" s="26">
        <v>516.34819412980005</v>
      </c>
      <c r="I87" s="26">
        <v>624.26310087139996</v>
      </c>
    </row>
    <row r="88" spans="1:9">
      <c r="A88" s="25">
        <v>1290</v>
      </c>
      <c r="B88" s="7" t="s">
        <v>509</v>
      </c>
      <c r="C88" s="16">
        <v>678</v>
      </c>
      <c r="D88" s="16">
        <v>795</v>
      </c>
      <c r="E88" s="16">
        <v>776.59506709000004</v>
      </c>
      <c r="F88" s="26">
        <v>946.55226319999997</v>
      </c>
      <c r="G88" s="26">
        <v>734.15165522390021</v>
      </c>
      <c r="H88" s="26">
        <v>1482.6381827813002</v>
      </c>
      <c r="I88" s="26">
        <v>1222.1567015543997</v>
      </c>
    </row>
    <row r="89" spans="1:9">
      <c r="A89" s="25"/>
      <c r="B89" s="7"/>
      <c r="C89" s="16"/>
      <c r="D89" s="16"/>
      <c r="E89" s="26"/>
      <c r="F89" s="26"/>
      <c r="G89" s="26"/>
      <c r="H89" s="26"/>
      <c r="I89" s="26"/>
    </row>
    <row r="90" spans="1:9">
      <c r="A90" s="24">
        <v>13</v>
      </c>
      <c r="B90" s="8" t="s">
        <v>1390</v>
      </c>
      <c r="C90" s="14">
        <f>SUM(C91:C92)</f>
        <v>43697</v>
      </c>
      <c r="D90" s="14">
        <f>SUM(D91:D92)</f>
        <v>43715.08356304191</v>
      </c>
      <c r="E90" s="14">
        <f>SUM(E91:E92)</f>
        <v>43673.604959100005</v>
      </c>
      <c r="F90" s="14">
        <f>SUM(F91:F92)</f>
        <v>41981.675534200003</v>
      </c>
      <c r="G90" s="14">
        <v>38839.6497367396</v>
      </c>
      <c r="H90" s="14">
        <v>31193.820078281606</v>
      </c>
      <c r="I90" s="14">
        <v>22262.938924538008</v>
      </c>
    </row>
    <row r="91" spans="1:9">
      <c r="A91" s="25">
        <v>1310</v>
      </c>
      <c r="B91" s="7" t="s">
        <v>822</v>
      </c>
      <c r="C91" s="16">
        <v>43590</v>
      </c>
      <c r="D91" s="16">
        <v>38516.08356304191</v>
      </c>
      <c r="E91" s="16">
        <v>41226.626747000002</v>
      </c>
      <c r="F91" s="26">
        <v>39457.867029000001</v>
      </c>
      <c r="G91" s="26">
        <v>36507</v>
      </c>
      <c r="H91" s="26">
        <v>28663.832621328806</v>
      </c>
      <c r="I91" s="26">
        <v>18142.915419903209</v>
      </c>
    </row>
    <row r="92" spans="1:9">
      <c r="A92" s="25">
        <v>1390</v>
      </c>
      <c r="B92" s="7" t="s">
        <v>823</v>
      </c>
      <c r="C92" s="16">
        <v>107</v>
      </c>
      <c r="D92" s="16">
        <v>5199</v>
      </c>
      <c r="E92" s="16">
        <v>2446.9782120999998</v>
      </c>
      <c r="F92" s="26">
        <v>2523.8085052000001</v>
      </c>
      <c r="G92" s="26">
        <v>2332.6497367396005</v>
      </c>
      <c r="H92" s="26">
        <v>2529.9874569527997</v>
      </c>
      <c r="I92" s="26">
        <v>4120.0235046347989</v>
      </c>
    </row>
    <row r="93" spans="1:9">
      <c r="A93" s="25"/>
      <c r="B93" s="7"/>
      <c r="C93" s="16"/>
      <c r="D93" s="16"/>
      <c r="E93" s="26"/>
      <c r="F93" s="26"/>
      <c r="G93" s="26"/>
      <c r="H93" s="26"/>
      <c r="I93" s="26"/>
    </row>
    <row r="94" spans="1:9">
      <c r="A94" s="24">
        <v>14</v>
      </c>
      <c r="B94" s="8" t="s">
        <v>1391</v>
      </c>
      <c r="C94" s="14">
        <f>SUM(C95:C97)</f>
        <v>153269</v>
      </c>
      <c r="D94" s="14">
        <f>SUM(D95:D97)</f>
        <v>177776.95178100001</v>
      </c>
      <c r="E94" s="14">
        <f>SUM(E95:E97)</f>
        <v>185697.35685500002</v>
      </c>
      <c r="F94" s="14">
        <f>SUM(F95:F97)</f>
        <v>210096.280711</v>
      </c>
      <c r="G94" s="14">
        <v>192367.63551071679</v>
      </c>
      <c r="H94" s="14">
        <v>187730.60105775899</v>
      </c>
      <c r="I94" s="14">
        <v>181712.73009694542</v>
      </c>
    </row>
    <row r="95" spans="1:9">
      <c r="A95" s="25">
        <v>1410</v>
      </c>
      <c r="B95" s="7" t="s">
        <v>1077</v>
      </c>
      <c r="C95" s="16">
        <v>104748</v>
      </c>
      <c r="D95" s="16">
        <v>99532.951780999996</v>
      </c>
      <c r="E95" s="16">
        <v>98360.112835000007</v>
      </c>
      <c r="F95" s="26">
        <v>113311.17555</v>
      </c>
      <c r="G95" s="26">
        <v>89825.155549000003</v>
      </c>
      <c r="H95" s="26">
        <v>90191.942049000005</v>
      </c>
      <c r="I95" s="26">
        <v>81070.600147000005</v>
      </c>
    </row>
    <row r="96" spans="1:9">
      <c r="A96" s="25">
        <v>1420</v>
      </c>
      <c r="B96" s="7" t="s">
        <v>1078</v>
      </c>
      <c r="C96" s="16">
        <v>48503</v>
      </c>
      <c r="D96" s="16">
        <v>78237</v>
      </c>
      <c r="E96" s="16">
        <v>87330.474686000001</v>
      </c>
      <c r="F96" s="26">
        <v>96784.235992999995</v>
      </c>
      <c r="G96" s="26">
        <v>102542.4595452168</v>
      </c>
      <c r="H96" s="26">
        <v>97534.544008758996</v>
      </c>
      <c r="I96" s="26">
        <v>100639.38710677541</v>
      </c>
    </row>
    <row r="97" spans="1:14">
      <c r="A97" s="25">
        <v>1490</v>
      </c>
      <c r="B97" s="7" t="s">
        <v>1079</v>
      </c>
      <c r="C97" s="16">
        <v>18</v>
      </c>
      <c r="D97" s="16">
        <v>7</v>
      </c>
      <c r="E97" s="16">
        <v>6.7693339999999997</v>
      </c>
      <c r="F97" s="26">
        <v>0.86916800000000005</v>
      </c>
      <c r="G97" s="26">
        <v>2.0416500000000001E-2</v>
      </c>
      <c r="H97" s="26">
        <v>4.1150000000000002</v>
      </c>
      <c r="I97" s="26">
        <v>2.74284317</v>
      </c>
    </row>
    <row r="98" spans="1:14">
      <c r="A98" s="9"/>
      <c r="B98" s="7"/>
      <c r="C98" s="7"/>
      <c r="D98" s="7"/>
      <c r="E98" s="7"/>
      <c r="F98" s="7"/>
      <c r="G98" s="7"/>
      <c r="H98" s="7"/>
      <c r="I98" s="4"/>
    </row>
    <row r="99" spans="1:14" ht="13.5" thickBot="1">
      <c r="A99" s="28"/>
      <c r="B99" s="19" t="s">
        <v>1230</v>
      </c>
      <c r="C99" s="20">
        <f>C7+C12+C18+C25+C36+C41+C57+C64+C70+C75+C79+C82+C90+C94</f>
        <v>618188.5610339999</v>
      </c>
      <c r="D99" s="20">
        <f>D7+D12+D18+D25+D36+D41+D57+D64+D70+D75+D79+D82+D90+D94+2</f>
        <v>658831.25625265297</v>
      </c>
      <c r="E99" s="20">
        <v>667552</v>
      </c>
      <c r="F99" s="20">
        <f>F7+F12+F18+F25+F36+F41+F57+F64+F70+F75+F79+F82+F90+F94</f>
        <v>699093.96000448999</v>
      </c>
      <c r="G99" s="20">
        <v>705221.98803243635</v>
      </c>
      <c r="H99" s="20">
        <v>709565.8587490028</v>
      </c>
      <c r="I99" s="20">
        <v>722036.44012544665</v>
      </c>
    </row>
    <row r="100" spans="1:14">
      <c r="A100" s="23" t="s">
        <v>179</v>
      </c>
    </row>
    <row r="101" spans="1:14">
      <c r="A101" s="42" t="s">
        <v>539</v>
      </c>
      <c r="C101" s="4" t="s">
        <v>189</v>
      </c>
      <c r="D101" s="4" t="s">
        <v>189</v>
      </c>
      <c r="E101" s="4"/>
      <c r="F101" s="4"/>
      <c r="G101" s="4"/>
      <c r="H101" s="4"/>
      <c r="I101" s="4"/>
    </row>
    <row r="109" spans="1:14">
      <c r="J109" s="58"/>
      <c r="K109" s="58"/>
      <c r="L109" s="58"/>
      <c r="M109" s="59"/>
      <c r="N109" s="58"/>
    </row>
    <row r="134" spans="10:10" ht="15">
      <c r="J134" s="90"/>
    </row>
    <row r="137" spans="10:10" ht="15">
      <c r="J137" s="90"/>
    </row>
  </sheetData>
  <phoneticPr fontId="15"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3"/>
  <sheetViews>
    <sheetView topLeftCell="A31" zoomScaleNormal="100" workbookViewId="0">
      <selection activeCell="F49" sqref="F49"/>
    </sheetView>
  </sheetViews>
  <sheetFormatPr defaultRowHeight="12.75"/>
  <cols>
    <col min="1" max="1" width="5.1640625" style="4" customWidth="1"/>
    <col min="2" max="2" width="48" style="4" customWidth="1"/>
    <col min="3" max="5" width="7.6640625" style="4" bestFit="1" customWidth="1"/>
    <col min="6" max="7" width="7.6640625" style="58" bestFit="1" customWidth="1"/>
    <col min="8" max="8" width="7.6640625" style="4" bestFit="1" customWidth="1"/>
    <col min="9" max="10" width="7.6640625" style="3" bestFit="1" customWidth="1"/>
    <col min="11" max="15" width="7.6640625" style="4" bestFit="1" customWidth="1"/>
    <col min="16" max="16" width="7.6640625" style="3" bestFit="1" customWidth="1"/>
    <col min="17" max="17" width="7.6640625" style="4" bestFit="1" customWidth="1"/>
    <col min="18" max="16384" width="9.33203125" style="4"/>
  </cols>
  <sheetData>
    <row r="1" spans="1:18">
      <c r="A1" s="22" t="s">
        <v>1757</v>
      </c>
      <c r="B1" s="7"/>
      <c r="C1" s="7"/>
    </row>
    <row r="2" spans="1:18">
      <c r="A2" s="21" t="s">
        <v>2009</v>
      </c>
      <c r="C2" s="7"/>
    </row>
    <row r="3" spans="1:18">
      <c r="A3" s="7" t="s">
        <v>2010</v>
      </c>
      <c r="B3" s="8"/>
      <c r="C3" s="7"/>
    </row>
    <row r="4" spans="1:18" ht="13.5" thickBot="1">
      <c r="A4" s="9"/>
      <c r="B4" s="7"/>
      <c r="C4" s="7"/>
      <c r="L4" s="32"/>
      <c r="M4" s="32"/>
      <c r="N4" s="32"/>
    </row>
    <row r="5" spans="1:18" ht="12" thickBot="1">
      <c r="A5" s="11" t="s">
        <v>1451</v>
      </c>
      <c r="B5" s="13"/>
      <c r="C5" s="13">
        <v>2000</v>
      </c>
      <c r="D5" s="13">
        <v>2001</v>
      </c>
      <c r="E5" s="13">
        <v>2002</v>
      </c>
      <c r="F5" s="13">
        <v>2003</v>
      </c>
      <c r="G5" s="13">
        <v>2004</v>
      </c>
      <c r="H5" s="188">
        <v>2005</v>
      </c>
      <c r="I5" s="127">
        <v>2006</v>
      </c>
      <c r="J5" s="127">
        <v>2007</v>
      </c>
      <c r="K5" s="127">
        <v>2008</v>
      </c>
      <c r="L5" s="29">
        <v>2009</v>
      </c>
      <c r="M5" s="44">
        <v>2010</v>
      </c>
      <c r="N5" s="29">
        <v>2011</v>
      </c>
      <c r="O5" s="29">
        <v>2012</v>
      </c>
      <c r="P5" s="29">
        <v>2013</v>
      </c>
      <c r="Q5" s="29">
        <v>2014</v>
      </c>
    </row>
    <row r="6" spans="1:18">
      <c r="A6" s="10"/>
      <c r="B6" s="8"/>
      <c r="C6" s="7"/>
      <c r="E6" s="55"/>
      <c r="F6" s="4"/>
      <c r="G6" s="4"/>
      <c r="H6" s="86"/>
      <c r="I6" s="87"/>
      <c r="J6" s="87"/>
      <c r="P6" s="4"/>
      <c r="R6" s="48"/>
    </row>
    <row r="7" spans="1:18">
      <c r="A7" s="24">
        <v>1</v>
      </c>
      <c r="B7" s="8" t="s">
        <v>462</v>
      </c>
      <c r="C7" s="64">
        <f t="shared" ref="C7:I7" si="0">SUM(C8:C20)</f>
        <v>252397.60629999998</v>
      </c>
      <c r="D7" s="64">
        <f t="shared" si="0"/>
        <v>249705.98142548365</v>
      </c>
      <c r="E7" s="64">
        <f t="shared" si="0"/>
        <v>233611.1769187871</v>
      </c>
      <c r="F7" s="64">
        <f t="shared" si="0"/>
        <v>179440.3688971326</v>
      </c>
      <c r="G7" s="64">
        <f t="shared" si="0"/>
        <v>198738.97314481839</v>
      </c>
      <c r="H7" s="64">
        <f t="shared" si="0"/>
        <v>168852.2290277307</v>
      </c>
      <c r="I7" s="64">
        <f t="shared" si="0"/>
        <v>194428.33831878146</v>
      </c>
      <c r="J7" s="64">
        <v>209232</v>
      </c>
      <c r="K7" s="64">
        <v>195306</v>
      </c>
      <c r="L7" s="6">
        <v>207316</v>
      </c>
      <c r="M7" s="6">
        <v>198562</v>
      </c>
      <c r="N7" s="6">
        <v>226018</v>
      </c>
      <c r="O7" s="6">
        <v>219667</v>
      </c>
      <c r="P7" s="6">
        <v>223641</v>
      </c>
      <c r="Q7" s="6">
        <v>219129</v>
      </c>
      <c r="R7"/>
    </row>
    <row r="8" spans="1:18">
      <c r="A8" s="25" t="s">
        <v>467</v>
      </c>
      <c r="B8" s="7" t="s">
        <v>1061</v>
      </c>
      <c r="C8" s="62">
        <v>5763.7925999999998</v>
      </c>
      <c r="D8" s="62">
        <v>6492.8787335946981</v>
      </c>
      <c r="E8" s="62">
        <v>8208.1223084163994</v>
      </c>
      <c r="F8" s="62">
        <v>8611.4332336325024</v>
      </c>
      <c r="G8" s="62">
        <v>8935.7373389407076</v>
      </c>
      <c r="H8" s="62">
        <v>9228.0331894722185</v>
      </c>
      <c r="I8" s="3">
        <v>9593.8541495038935</v>
      </c>
      <c r="J8" s="3">
        <v>9765</v>
      </c>
      <c r="K8" s="3">
        <v>10123</v>
      </c>
      <c r="L8" s="3">
        <v>16194</v>
      </c>
      <c r="M8" s="3">
        <v>10450</v>
      </c>
      <c r="N8" s="3">
        <v>10300</v>
      </c>
      <c r="O8" s="3">
        <v>10624</v>
      </c>
      <c r="P8" s="3">
        <v>10902</v>
      </c>
      <c r="Q8" s="3">
        <v>11360</v>
      </c>
      <c r="R8" s="61"/>
    </row>
    <row r="9" spans="1:18">
      <c r="A9" s="25" t="s">
        <v>468</v>
      </c>
      <c r="B9" s="7" t="s">
        <v>1062</v>
      </c>
      <c r="C9" s="62">
        <v>6658.9385000000002</v>
      </c>
      <c r="D9" s="62">
        <v>7226.5926701970966</v>
      </c>
      <c r="E9" s="62">
        <v>7454.657802537301</v>
      </c>
      <c r="F9" s="62">
        <v>7662.7576867570015</v>
      </c>
      <c r="G9" s="62">
        <v>7940.6036756533003</v>
      </c>
      <c r="H9" s="62">
        <v>7965.2426258638998</v>
      </c>
      <c r="I9" s="3">
        <v>8360.7586972032004</v>
      </c>
      <c r="J9" s="3">
        <v>9334</v>
      </c>
      <c r="K9" s="3">
        <v>9133</v>
      </c>
      <c r="L9" s="3">
        <v>9147</v>
      </c>
      <c r="M9" s="3">
        <v>8991</v>
      </c>
      <c r="N9" s="3">
        <v>9680</v>
      </c>
      <c r="O9" s="3">
        <v>10276</v>
      </c>
      <c r="P9" s="3">
        <v>10914</v>
      </c>
      <c r="Q9" s="3">
        <v>10983</v>
      </c>
      <c r="R9" s="61"/>
    </row>
    <row r="10" spans="1:18">
      <c r="A10" s="25" t="s">
        <v>469</v>
      </c>
      <c r="B10" s="7" t="s">
        <v>1232</v>
      </c>
      <c r="C10" s="62">
        <v>25283.223600000001</v>
      </c>
      <c r="D10" s="62">
        <v>26693.711418362203</v>
      </c>
      <c r="E10" s="62">
        <v>21879.398623634901</v>
      </c>
      <c r="F10" s="62">
        <v>19552.926967531901</v>
      </c>
      <c r="G10" s="62">
        <v>26942.1630807162</v>
      </c>
      <c r="H10" s="62">
        <v>26998.079247551999</v>
      </c>
      <c r="I10" s="3">
        <v>27375.940304148804</v>
      </c>
      <c r="J10" s="3">
        <v>28285</v>
      </c>
      <c r="K10" s="3">
        <v>33351</v>
      </c>
      <c r="L10" s="3">
        <v>21120</v>
      </c>
      <c r="M10" s="3">
        <v>32525</v>
      </c>
      <c r="N10" s="3">
        <v>33497</v>
      </c>
      <c r="O10" s="3">
        <v>34116</v>
      </c>
      <c r="P10" s="3">
        <v>42794</v>
      </c>
      <c r="Q10" s="3">
        <v>44270</v>
      </c>
      <c r="R10" s="61"/>
    </row>
    <row r="11" spans="1:18">
      <c r="A11" s="25" t="s">
        <v>470</v>
      </c>
      <c r="B11" s="7" t="s">
        <v>1233</v>
      </c>
      <c r="C11" s="62">
        <v>15476.050300000001</v>
      </c>
      <c r="D11" s="62">
        <v>17018.297647040014</v>
      </c>
      <c r="E11" s="62">
        <v>15744.975045623692</v>
      </c>
      <c r="F11" s="62">
        <v>15896.426700973707</v>
      </c>
      <c r="G11" s="62">
        <v>19879.811564782805</v>
      </c>
      <c r="H11" s="62">
        <v>22225.754859610111</v>
      </c>
      <c r="I11" s="3">
        <v>25855.811539100578</v>
      </c>
      <c r="J11" s="3">
        <v>25396</v>
      </c>
      <c r="K11" s="3">
        <v>27397</v>
      </c>
      <c r="L11" s="3">
        <v>29545</v>
      </c>
      <c r="M11" s="3">
        <v>26606</v>
      </c>
      <c r="N11" s="3">
        <v>29130</v>
      </c>
      <c r="O11" s="3">
        <v>30126</v>
      </c>
      <c r="P11" s="3">
        <v>30699</v>
      </c>
      <c r="Q11" s="3">
        <v>30917</v>
      </c>
      <c r="R11" s="61"/>
    </row>
    <row r="12" spans="1:18" ht="22.5">
      <c r="A12" s="185" t="s">
        <v>471</v>
      </c>
      <c r="B12" s="184" t="s">
        <v>1420</v>
      </c>
      <c r="C12" s="186">
        <v>21.854399999999998</v>
      </c>
      <c r="D12" s="186">
        <v>32.527540679700003</v>
      </c>
      <c r="E12" s="186">
        <v>36.201804619800001</v>
      </c>
      <c r="F12" s="186">
        <v>8.4192012399000014</v>
      </c>
      <c r="G12" s="186">
        <v>8.1927621299000002</v>
      </c>
      <c r="H12" s="186">
        <v>3.8399678900000001</v>
      </c>
      <c r="I12" s="93">
        <v>3.3465950000000002</v>
      </c>
      <c r="J12" s="3">
        <v>3</v>
      </c>
      <c r="K12" s="3">
        <v>3</v>
      </c>
      <c r="L12" s="3">
        <v>4</v>
      </c>
      <c r="M12" s="3">
        <v>4</v>
      </c>
      <c r="N12" s="3">
        <v>15</v>
      </c>
      <c r="O12" s="3">
        <v>13</v>
      </c>
      <c r="P12" s="3">
        <v>38</v>
      </c>
      <c r="Q12" s="3">
        <v>12</v>
      </c>
      <c r="R12" s="61"/>
    </row>
    <row r="13" spans="1:18">
      <c r="A13" s="25" t="s">
        <v>472</v>
      </c>
      <c r="B13" s="7" t="s">
        <v>1234</v>
      </c>
      <c r="C13" s="62">
        <v>11.5238</v>
      </c>
      <c r="D13" s="62">
        <v>14.5854759399</v>
      </c>
      <c r="E13" s="62">
        <v>13.944326210000002</v>
      </c>
      <c r="F13" s="62">
        <v>13.83812167</v>
      </c>
      <c r="G13" s="62">
        <v>18.221035939899998</v>
      </c>
      <c r="H13" s="62">
        <v>14.0421119407</v>
      </c>
      <c r="I13" s="3">
        <v>258.23923167999999</v>
      </c>
      <c r="J13" s="3">
        <v>215</v>
      </c>
      <c r="K13" s="3">
        <v>2</v>
      </c>
      <c r="L13" s="3">
        <v>13</v>
      </c>
      <c r="M13" s="3">
        <v>17</v>
      </c>
      <c r="N13" s="3">
        <v>3</v>
      </c>
      <c r="O13" s="3">
        <v>2</v>
      </c>
      <c r="P13" s="3">
        <v>2</v>
      </c>
      <c r="Q13" s="3">
        <v>2</v>
      </c>
      <c r="R13" s="61"/>
    </row>
    <row r="14" spans="1:18">
      <c r="A14" s="25" t="s">
        <v>473</v>
      </c>
      <c r="B14" s="7" t="s">
        <v>1235</v>
      </c>
      <c r="C14" s="62">
        <v>390.44909999999999</v>
      </c>
      <c r="D14" s="62">
        <v>456.42038033569992</v>
      </c>
      <c r="E14" s="62">
        <v>479.71249809949995</v>
      </c>
      <c r="F14" s="62">
        <v>505.77993730320003</v>
      </c>
      <c r="G14" s="62">
        <v>520.8660071643003</v>
      </c>
      <c r="H14" s="62">
        <v>514.51314521129996</v>
      </c>
      <c r="I14" s="3">
        <v>542.25367220019984</v>
      </c>
      <c r="J14" s="3">
        <v>572</v>
      </c>
      <c r="K14" s="3">
        <v>589</v>
      </c>
      <c r="L14" s="3">
        <v>577</v>
      </c>
      <c r="M14" s="3">
        <v>530</v>
      </c>
      <c r="N14" s="3">
        <v>559</v>
      </c>
      <c r="O14" s="3">
        <v>559</v>
      </c>
      <c r="P14" s="3">
        <v>531</v>
      </c>
      <c r="Q14" s="3">
        <v>541</v>
      </c>
      <c r="R14" s="61"/>
    </row>
    <row r="15" spans="1:18">
      <c r="A15" s="25" t="s">
        <v>474</v>
      </c>
      <c r="B15" s="7" t="s">
        <v>1236</v>
      </c>
      <c r="C15" s="62">
        <v>2162.9987999999998</v>
      </c>
      <c r="D15" s="62">
        <v>2321.4310227098995</v>
      </c>
      <c r="E15" s="62">
        <v>2218.4835747686989</v>
      </c>
      <c r="F15" s="62">
        <v>1540.8079971474999</v>
      </c>
      <c r="G15" s="62">
        <v>670.1283203733999</v>
      </c>
      <c r="H15" s="62">
        <v>662.92167639830018</v>
      </c>
      <c r="I15" s="3">
        <v>705.85102450939962</v>
      </c>
      <c r="J15" s="3">
        <v>978</v>
      </c>
      <c r="K15" s="3">
        <v>1034</v>
      </c>
      <c r="L15" s="3">
        <v>1073</v>
      </c>
      <c r="M15" s="3">
        <v>1069</v>
      </c>
      <c r="N15" s="3">
        <v>1127</v>
      </c>
      <c r="O15" s="3">
        <v>1196</v>
      </c>
      <c r="P15" s="3">
        <v>1210</v>
      </c>
      <c r="Q15" s="3">
        <v>1210</v>
      </c>
      <c r="R15" s="61"/>
    </row>
    <row r="16" spans="1:18">
      <c r="A16" s="25" t="s">
        <v>475</v>
      </c>
      <c r="B16" s="7" t="s">
        <v>1237</v>
      </c>
      <c r="C16" s="62">
        <v>8549.0766000000003</v>
      </c>
      <c r="D16" s="62">
        <v>7170.2903550978972</v>
      </c>
      <c r="E16" s="62">
        <v>7737.4555094655007</v>
      </c>
      <c r="F16" s="62">
        <v>10901.090558350998</v>
      </c>
      <c r="G16" s="62">
        <v>11211.364197601804</v>
      </c>
      <c r="H16" s="62">
        <v>11313.966878712003</v>
      </c>
      <c r="I16" s="3">
        <v>11812.493782232405</v>
      </c>
      <c r="J16" s="3">
        <v>14513</v>
      </c>
      <c r="K16" s="3">
        <v>15739</v>
      </c>
      <c r="L16" s="3">
        <v>16700</v>
      </c>
      <c r="M16" s="3">
        <v>19142</v>
      </c>
      <c r="N16" s="3">
        <v>19238</v>
      </c>
      <c r="O16" s="3">
        <v>20271</v>
      </c>
      <c r="P16" s="3">
        <v>20885</v>
      </c>
      <c r="Q16" s="3">
        <v>22386</v>
      </c>
      <c r="R16" s="61"/>
    </row>
    <row r="17" spans="1:18">
      <c r="A17" s="25" t="s">
        <v>766</v>
      </c>
      <c r="B17" s="7" t="s">
        <v>765</v>
      </c>
      <c r="C17" s="88" t="s">
        <v>1229</v>
      </c>
      <c r="D17" s="45" t="s">
        <v>1229</v>
      </c>
      <c r="E17" s="45" t="s">
        <v>1229</v>
      </c>
      <c r="F17" s="45" t="s">
        <v>1229</v>
      </c>
      <c r="G17" s="45" t="s">
        <v>1229</v>
      </c>
      <c r="H17" s="88" t="s">
        <v>1378</v>
      </c>
      <c r="I17" s="181" t="s">
        <v>1378</v>
      </c>
      <c r="J17" s="181" t="s">
        <v>1378</v>
      </c>
      <c r="K17" s="181" t="s">
        <v>1378</v>
      </c>
      <c r="L17" s="181" t="s">
        <v>1378</v>
      </c>
      <c r="M17" s="181" t="s">
        <v>1378</v>
      </c>
      <c r="N17" s="181" t="s">
        <v>1378</v>
      </c>
      <c r="O17" s="181" t="s">
        <v>1229</v>
      </c>
      <c r="P17" s="181" t="s">
        <v>1229</v>
      </c>
      <c r="Q17" s="181" t="s">
        <v>1229</v>
      </c>
      <c r="R17" s="61"/>
    </row>
    <row r="18" spans="1:18">
      <c r="A18" s="25" t="s">
        <v>476</v>
      </c>
      <c r="B18" s="7" t="s">
        <v>1238</v>
      </c>
      <c r="C18" s="62">
        <v>67.926900000000003</v>
      </c>
      <c r="D18" s="62">
        <v>569.2589277510998</v>
      </c>
      <c r="E18" s="62">
        <v>322.34934641769996</v>
      </c>
      <c r="F18" s="62">
        <v>331.33724564099992</v>
      </c>
      <c r="G18" s="62">
        <v>181.63505153439999</v>
      </c>
      <c r="H18" s="62">
        <v>39.932628089199994</v>
      </c>
      <c r="I18" s="3">
        <v>299.28139643259993</v>
      </c>
      <c r="J18" s="3">
        <v>35</v>
      </c>
      <c r="K18" s="3">
        <v>39</v>
      </c>
      <c r="L18" s="3">
        <v>212</v>
      </c>
      <c r="M18" s="3">
        <v>286</v>
      </c>
      <c r="N18" s="3">
        <v>72</v>
      </c>
      <c r="O18" s="3">
        <v>47</v>
      </c>
      <c r="P18" s="3">
        <v>58</v>
      </c>
      <c r="Q18" s="3">
        <v>650</v>
      </c>
      <c r="R18" s="61"/>
    </row>
    <row r="19" spans="1:18" ht="11.25">
      <c r="A19" s="25" t="s">
        <v>477</v>
      </c>
      <c r="B19" s="7" t="s">
        <v>1239</v>
      </c>
      <c r="C19" s="62">
        <v>90477.227700000003</v>
      </c>
      <c r="D19" s="62">
        <v>81070.600147000005</v>
      </c>
      <c r="E19" s="62">
        <v>67183.173508000007</v>
      </c>
      <c r="F19" s="62">
        <v>42015.254066000001</v>
      </c>
      <c r="G19" s="62">
        <v>52596.424035999997</v>
      </c>
      <c r="H19" s="62">
        <v>32560.800812000001</v>
      </c>
      <c r="I19" s="3">
        <v>49374.070464999997</v>
      </c>
      <c r="J19" s="3">
        <v>47161</v>
      </c>
      <c r="K19" s="3">
        <v>33126</v>
      </c>
      <c r="L19" s="3">
        <v>31142</v>
      </c>
      <c r="M19" s="3">
        <v>23251</v>
      </c>
      <c r="N19" s="3">
        <v>34374</v>
      </c>
      <c r="O19" s="3">
        <v>27299</v>
      </c>
      <c r="P19" s="3">
        <v>16694</v>
      </c>
      <c r="Q19" s="3">
        <v>3200</v>
      </c>
      <c r="R19" s="131"/>
    </row>
    <row r="20" spans="1:18" ht="22.5" customHeight="1">
      <c r="A20" s="185" t="s">
        <v>478</v>
      </c>
      <c r="B20" s="187" t="s">
        <v>1421</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row>
    <row r="21" spans="1:18">
      <c r="A21" s="25"/>
      <c r="B21" s="7"/>
      <c r="C21" s="26"/>
      <c r="D21" s="26"/>
      <c r="E21" s="58"/>
      <c r="F21" s="4"/>
      <c r="G21" s="4"/>
      <c r="I21" s="61"/>
      <c r="J21" s="61"/>
      <c r="L21" s="3"/>
      <c r="M21" s="3"/>
      <c r="N21" s="3"/>
      <c r="O21" s="3"/>
    </row>
    <row r="22" spans="1:18" ht="11.25">
      <c r="A22" s="24">
        <v>2</v>
      </c>
      <c r="B22" s="8" t="s">
        <v>180</v>
      </c>
      <c r="C22" s="64">
        <f t="shared" ref="C22:I22" si="1">SUM(C23:C27)</f>
        <v>46465.443899999998</v>
      </c>
      <c r="D22" s="64">
        <f t="shared" si="1"/>
        <v>45065.923826944301</v>
      </c>
      <c r="E22" s="64">
        <f t="shared" si="1"/>
        <v>44811.162710268683</v>
      </c>
      <c r="F22" s="64">
        <f t="shared" si="1"/>
        <v>45360.00366701329</v>
      </c>
      <c r="G22" s="64">
        <f t="shared" si="1"/>
        <v>43002.734985076895</v>
      </c>
      <c r="H22" s="64">
        <f t="shared" si="1"/>
        <v>43713.269056288787</v>
      </c>
      <c r="I22" s="64">
        <f t="shared" si="1"/>
        <v>43834.892448749604</v>
      </c>
      <c r="J22" s="64">
        <v>46061</v>
      </c>
      <c r="K22" s="64">
        <v>42494</v>
      </c>
      <c r="L22" s="6">
        <v>41476</v>
      </c>
      <c r="M22" s="6">
        <v>45028</v>
      </c>
      <c r="N22" s="6">
        <v>43538</v>
      </c>
      <c r="O22" s="6">
        <v>44693</v>
      </c>
      <c r="P22" s="6">
        <v>44737</v>
      </c>
      <c r="Q22" s="6">
        <v>47202</v>
      </c>
    </row>
    <row r="23" spans="1:18" ht="11.25">
      <c r="A23" s="25">
        <v>210</v>
      </c>
      <c r="B23" s="7" t="s">
        <v>181</v>
      </c>
      <c r="C23" s="62">
        <v>42607.025600000001</v>
      </c>
      <c r="D23" s="62">
        <v>41157.871371549008</v>
      </c>
      <c r="E23" s="62">
        <v>41907.794708662281</v>
      </c>
      <c r="F23" s="62">
        <v>42344.831742752387</v>
      </c>
      <c r="G23" s="62">
        <v>40130.139899145499</v>
      </c>
      <c r="H23" s="62">
        <v>40871.838476323988</v>
      </c>
      <c r="I23" s="62">
        <v>40754.475064041209</v>
      </c>
      <c r="J23" s="62">
        <v>41767</v>
      </c>
      <c r="K23" s="62">
        <v>38448</v>
      </c>
      <c r="L23" s="3">
        <v>35874</v>
      </c>
      <c r="M23" s="3">
        <v>39021</v>
      </c>
      <c r="N23" s="3">
        <v>37863</v>
      </c>
      <c r="O23" s="3">
        <v>39589</v>
      </c>
      <c r="P23" s="3">
        <v>40222</v>
      </c>
      <c r="Q23" s="3">
        <v>42881</v>
      </c>
    </row>
    <row r="24" spans="1:18" ht="11.25">
      <c r="A24" s="25">
        <v>220</v>
      </c>
      <c r="B24" s="7" t="s">
        <v>182</v>
      </c>
      <c r="C24" s="62">
        <v>2583.7860999999998</v>
      </c>
      <c r="D24" s="62">
        <v>2426.8955238441995</v>
      </c>
      <c r="E24" s="62">
        <v>2409.6127226271001</v>
      </c>
      <c r="F24" s="62">
        <v>2456.7273293197991</v>
      </c>
      <c r="G24" s="62">
        <v>2476.0104308817999</v>
      </c>
      <c r="H24" s="62">
        <v>2473.3852425035993</v>
      </c>
      <c r="I24" s="62">
        <v>2685.0719616869987</v>
      </c>
      <c r="J24" s="62">
        <v>2898</v>
      </c>
      <c r="K24" s="62">
        <v>2784</v>
      </c>
      <c r="L24" s="3">
        <v>2725</v>
      </c>
      <c r="M24" s="3">
        <v>2605</v>
      </c>
      <c r="N24" s="3">
        <v>2468</v>
      </c>
      <c r="O24" s="3">
        <v>2392</v>
      </c>
      <c r="P24" s="3">
        <v>2209</v>
      </c>
      <c r="Q24" s="3">
        <v>2226</v>
      </c>
    </row>
    <row r="25" spans="1:18" ht="11.25">
      <c r="A25" s="25">
        <v>230</v>
      </c>
      <c r="B25" s="7" t="s">
        <v>1240</v>
      </c>
      <c r="C25" s="62">
        <v>1181.8569</v>
      </c>
      <c r="D25" s="62">
        <v>1203.3454356807001</v>
      </c>
      <c r="E25" s="62">
        <v>137.66954137900004</v>
      </c>
      <c r="F25" s="62">
        <v>140.03219264039998</v>
      </c>
      <c r="G25" s="62">
        <v>129.50537843059999</v>
      </c>
      <c r="H25" s="62">
        <v>97.605816180299968</v>
      </c>
      <c r="I25" s="62">
        <v>111.3484889306</v>
      </c>
      <c r="J25" s="62">
        <v>123</v>
      </c>
      <c r="K25" s="62">
        <v>113</v>
      </c>
      <c r="L25" s="3">
        <v>1740</v>
      </c>
      <c r="M25" s="3">
        <v>2340</v>
      </c>
      <c r="N25" s="3">
        <v>2146</v>
      </c>
      <c r="O25" s="3">
        <v>1617</v>
      </c>
      <c r="P25" s="3">
        <v>1349</v>
      </c>
      <c r="Q25" s="3">
        <v>1127</v>
      </c>
    </row>
    <row r="26" spans="1:18" ht="11.25">
      <c r="A26" s="25">
        <v>240</v>
      </c>
      <c r="B26" s="7" t="s">
        <v>1241</v>
      </c>
      <c r="C26" s="62">
        <v>37.018099999999997</v>
      </c>
      <c r="D26" s="62">
        <v>218.15835539070005</v>
      </c>
      <c r="E26" s="62">
        <v>234.28161333940002</v>
      </c>
      <c r="F26" s="62">
        <v>232.14533544039998</v>
      </c>
      <c r="G26" s="62">
        <v>239.1041566291</v>
      </c>
      <c r="H26" s="62">
        <v>243.3414655709</v>
      </c>
      <c r="I26" s="62">
        <v>257.23436391070004</v>
      </c>
      <c r="J26" s="62">
        <v>1246</v>
      </c>
      <c r="K26" s="62">
        <v>1115</v>
      </c>
      <c r="L26" s="3">
        <v>1111</v>
      </c>
      <c r="M26" s="3">
        <v>1033</v>
      </c>
      <c r="N26" s="3">
        <v>1034</v>
      </c>
      <c r="O26" s="3">
        <v>1066</v>
      </c>
      <c r="P26" s="3">
        <v>928</v>
      </c>
      <c r="Q26" s="3">
        <v>938</v>
      </c>
    </row>
    <row r="27" spans="1:18" ht="11.25">
      <c r="A27" s="25">
        <v>250</v>
      </c>
      <c r="B27" s="7" t="s">
        <v>1242</v>
      </c>
      <c r="C27" s="62">
        <v>55.757199999999997</v>
      </c>
      <c r="D27" s="62">
        <v>59.653140479700006</v>
      </c>
      <c r="E27" s="62">
        <v>121.80412426090001</v>
      </c>
      <c r="F27" s="62">
        <v>186.26706686030005</v>
      </c>
      <c r="G27" s="62">
        <v>27.975119989900005</v>
      </c>
      <c r="H27" s="62">
        <v>27.098055709999997</v>
      </c>
      <c r="I27" s="62">
        <v>26.762570180099999</v>
      </c>
      <c r="J27" s="62">
        <v>28</v>
      </c>
      <c r="K27" s="62">
        <v>34</v>
      </c>
      <c r="L27" s="3">
        <v>26</v>
      </c>
      <c r="M27" s="3">
        <v>29</v>
      </c>
      <c r="N27" s="3">
        <v>27</v>
      </c>
      <c r="O27" s="3">
        <v>29</v>
      </c>
      <c r="P27" s="3">
        <v>29</v>
      </c>
      <c r="Q27" s="3">
        <v>31</v>
      </c>
    </row>
    <row r="28" spans="1:18">
      <c r="A28" s="25"/>
      <c r="B28" s="7"/>
      <c r="C28" s="26"/>
      <c r="D28" s="26"/>
      <c r="E28" s="58"/>
      <c r="F28" s="4"/>
      <c r="G28" s="4"/>
      <c r="H28" s="3"/>
      <c r="I28" s="61"/>
      <c r="J28" s="61"/>
      <c r="K28" s="62"/>
      <c r="L28" s="3"/>
      <c r="M28" s="3"/>
      <c r="N28" s="3"/>
      <c r="O28" s="3"/>
    </row>
    <row r="29" spans="1:18" ht="11.25">
      <c r="A29" s="24">
        <v>3</v>
      </c>
      <c r="B29" s="8" t="s">
        <v>183</v>
      </c>
      <c r="C29" s="64">
        <f t="shared" ref="C29:I29" si="2">SUM(C30:C35)</f>
        <v>23656.718799999999</v>
      </c>
      <c r="D29" s="64">
        <f t="shared" si="2"/>
        <v>24560.380427892898</v>
      </c>
      <c r="E29" s="64">
        <f t="shared" si="2"/>
        <v>25879.647862855611</v>
      </c>
      <c r="F29" s="64">
        <f t="shared" si="2"/>
        <v>27497.785904672204</v>
      </c>
      <c r="G29" s="64">
        <f t="shared" si="2"/>
        <v>28408.782587592701</v>
      </c>
      <c r="H29" s="64">
        <f t="shared" si="2"/>
        <v>29049.425749640097</v>
      </c>
      <c r="I29" s="64">
        <f t="shared" si="2"/>
        <v>30750.823443698897</v>
      </c>
      <c r="J29" s="64">
        <v>33348</v>
      </c>
      <c r="K29" s="64">
        <v>35523</v>
      </c>
      <c r="L29" s="6">
        <v>36595</v>
      </c>
      <c r="M29" s="6">
        <v>38354</v>
      </c>
      <c r="N29" s="6">
        <v>40172</v>
      </c>
      <c r="O29" s="6">
        <v>41536</v>
      </c>
      <c r="P29" s="6">
        <v>42801</v>
      </c>
      <c r="Q29" s="6">
        <v>43788</v>
      </c>
    </row>
    <row r="30" spans="1:18" ht="11.25">
      <c r="A30" s="25">
        <v>310</v>
      </c>
      <c r="B30" s="7" t="s">
        <v>184</v>
      </c>
      <c r="C30" s="62">
        <v>12575.4828</v>
      </c>
      <c r="D30" s="62">
        <v>13000.441273269798</v>
      </c>
      <c r="E30" s="62">
        <v>13539.751818301705</v>
      </c>
      <c r="F30" s="62">
        <v>14266.990495533104</v>
      </c>
      <c r="G30" s="62">
        <v>14788.678702890702</v>
      </c>
      <c r="H30" s="62">
        <v>15266.199770659399</v>
      </c>
      <c r="I30" s="62">
        <v>16155.988257754998</v>
      </c>
      <c r="J30" s="62">
        <v>17320</v>
      </c>
      <c r="K30" s="62">
        <v>18651</v>
      </c>
      <c r="L30" s="3">
        <v>18877</v>
      </c>
      <c r="M30" s="3">
        <v>19833</v>
      </c>
      <c r="N30" s="3">
        <v>20702</v>
      </c>
      <c r="O30" s="3">
        <v>21482</v>
      </c>
      <c r="P30" s="3">
        <v>21785</v>
      </c>
      <c r="Q30" s="3">
        <v>22202</v>
      </c>
    </row>
    <row r="31" spans="1:18" ht="11.25">
      <c r="A31" s="25">
        <v>320</v>
      </c>
      <c r="B31" s="7" t="s">
        <v>185</v>
      </c>
      <c r="C31" s="62">
        <v>171.69900000000001</v>
      </c>
      <c r="D31" s="62">
        <v>216.93466394939998</v>
      </c>
      <c r="E31" s="62">
        <v>180.73405388960001</v>
      </c>
      <c r="F31" s="62">
        <v>188.31861351000001</v>
      </c>
      <c r="G31" s="62">
        <v>165.55027006</v>
      </c>
      <c r="H31" s="62">
        <v>165.82327194999999</v>
      </c>
      <c r="I31" s="62">
        <v>196.69198266000001</v>
      </c>
      <c r="J31" s="62">
        <v>204</v>
      </c>
      <c r="K31" s="62">
        <v>203</v>
      </c>
      <c r="L31" s="3">
        <v>206</v>
      </c>
      <c r="M31" s="3">
        <v>183</v>
      </c>
      <c r="N31" s="3">
        <v>199</v>
      </c>
      <c r="O31" s="3">
        <v>330</v>
      </c>
      <c r="P31" s="3">
        <v>228</v>
      </c>
      <c r="Q31" s="3">
        <v>342</v>
      </c>
    </row>
    <row r="32" spans="1:18" ht="11.25">
      <c r="A32" s="25">
        <v>330</v>
      </c>
      <c r="B32" s="436" t="s">
        <v>1726</v>
      </c>
      <c r="C32" s="62">
        <v>6869.1641</v>
      </c>
      <c r="D32" s="62">
        <v>7092.0714197312</v>
      </c>
      <c r="E32" s="62">
        <v>7525.0689051958007</v>
      </c>
      <c r="F32" s="62">
        <v>7907.9697988680982</v>
      </c>
      <c r="G32" s="62">
        <v>8176.8809168867992</v>
      </c>
      <c r="H32" s="62">
        <v>8201.2320292732984</v>
      </c>
      <c r="I32" s="62">
        <v>8734.5915751087996</v>
      </c>
      <c r="J32" s="62">
        <v>9670</v>
      </c>
      <c r="K32" s="62">
        <v>10104</v>
      </c>
      <c r="L32" s="3">
        <v>10504</v>
      </c>
      <c r="M32" s="3">
        <v>10954</v>
      </c>
      <c r="N32" s="3">
        <v>11517</v>
      </c>
      <c r="O32" s="3">
        <v>12063</v>
      </c>
      <c r="P32" s="3">
        <v>12707</v>
      </c>
      <c r="Q32" s="3">
        <v>12933</v>
      </c>
    </row>
    <row r="33" spans="1:17" ht="11.25">
      <c r="A33" s="25">
        <v>340</v>
      </c>
      <c r="B33" s="436" t="s">
        <v>187</v>
      </c>
      <c r="C33" s="62">
        <v>3883.3688000000002</v>
      </c>
      <c r="D33" s="62">
        <v>4073.3584032139001</v>
      </c>
      <c r="E33" s="62">
        <v>4448.3024087067006</v>
      </c>
      <c r="F33" s="62">
        <v>4938.9976991714011</v>
      </c>
      <c r="G33" s="62">
        <v>5072.3446639775993</v>
      </c>
      <c r="H33" s="62">
        <v>5217.9418953358991</v>
      </c>
      <c r="I33" s="62">
        <v>5446.8318136756989</v>
      </c>
      <c r="J33" s="62">
        <v>5928</v>
      </c>
      <c r="K33" s="62">
        <v>6329</v>
      </c>
      <c r="L33" s="3">
        <v>6782</v>
      </c>
      <c r="M33" s="3">
        <v>7164</v>
      </c>
      <c r="N33" s="3">
        <v>7503</v>
      </c>
      <c r="O33" s="3">
        <v>7380</v>
      </c>
      <c r="P33" s="3">
        <v>7604</v>
      </c>
      <c r="Q33" s="3">
        <v>7744</v>
      </c>
    </row>
    <row r="34" spans="1:17" ht="11.25">
      <c r="A34" s="25">
        <v>350</v>
      </c>
      <c r="B34" s="436" t="s">
        <v>767</v>
      </c>
      <c r="C34" s="45" t="s">
        <v>1229</v>
      </c>
      <c r="D34" s="45" t="s">
        <v>1229</v>
      </c>
      <c r="E34" s="45" t="s">
        <v>1229</v>
      </c>
      <c r="F34" s="45" t="s">
        <v>1229</v>
      </c>
      <c r="G34" s="45" t="s">
        <v>1229</v>
      </c>
      <c r="H34" s="88" t="s">
        <v>1378</v>
      </c>
      <c r="I34" s="88" t="s">
        <v>1378</v>
      </c>
      <c r="J34" s="128" t="s">
        <v>1378</v>
      </c>
      <c r="K34" s="128" t="s">
        <v>1378</v>
      </c>
      <c r="L34" s="128" t="s">
        <v>1378</v>
      </c>
      <c r="M34" s="128" t="s">
        <v>1378</v>
      </c>
      <c r="N34" s="128" t="s">
        <v>1378</v>
      </c>
      <c r="O34" s="128" t="s">
        <v>1229</v>
      </c>
      <c r="P34" s="128" t="s">
        <v>1229</v>
      </c>
      <c r="Q34" s="128" t="s">
        <v>1229</v>
      </c>
    </row>
    <row r="35" spans="1:17" ht="11.25">
      <c r="A35" s="25">
        <v>360</v>
      </c>
      <c r="B35" s="436" t="s">
        <v>1727</v>
      </c>
      <c r="C35" s="62">
        <v>157.00409999999999</v>
      </c>
      <c r="D35" s="62">
        <v>177.57466772860002</v>
      </c>
      <c r="E35" s="62">
        <v>185.7906767618</v>
      </c>
      <c r="F35" s="62">
        <v>195.50929758959995</v>
      </c>
      <c r="G35" s="45">
        <v>205.32803377760001</v>
      </c>
      <c r="H35" s="62">
        <v>198.2287824215</v>
      </c>
      <c r="I35" s="62">
        <v>216.71981449940006</v>
      </c>
      <c r="J35" s="4">
        <v>226</v>
      </c>
      <c r="K35" s="62">
        <v>236</v>
      </c>
      <c r="L35" s="3">
        <v>226</v>
      </c>
      <c r="M35" s="3">
        <v>220</v>
      </c>
      <c r="N35" s="3">
        <v>251</v>
      </c>
      <c r="O35" s="3">
        <v>282</v>
      </c>
      <c r="P35" s="3">
        <v>478</v>
      </c>
      <c r="Q35" s="3">
        <v>567</v>
      </c>
    </row>
    <row r="36" spans="1:17">
      <c r="A36" s="25"/>
      <c r="B36" s="7"/>
      <c r="C36" s="26"/>
      <c r="D36" s="62"/>
      <c r="E36" s="62"/>
      <c r="F36" s="4"/>
      <c r="G36" s="4"/>
      <c r="H36" s="3"/>
      <c r="I36" s="61"/>
      <c r="J36" s="61"/>
      <c r="L36" s="3"/>
      <c r="M36" s="3"/>
      <c r="N36" s="3"/>
      <c r="O36" s="3"/>
    </row>
    <row r="37" spans="1:17" ht="11.25">
      <c r="A37" s="24">
        <v>4</v>
      </c>
      <c r="B37" s="8" t="s">
        <v>463</v>
      </c>
      <c r="C37" s="64">
        <f t="shared" ref="C37:I37" si="3">SUM(C38:C69)</f>
        <v>68507.645399999979</v>
      </c>
      <c r="D37" s="64">
        <f t="shared" si="3"/>
        <v>63174.755173926504</v>
      </c>
      <c r="E37" s="64">
        <f t="shared" si="3"/>
        <v>62163.545408420701</v>
      </c>
      <c r="F37" s="64">
        <f t="shared" si="3"/>
        <v>57718.038239337082</v>
      </c>
      <c r="G37" s="64">
        <f t="shared" si="3"/>
        <v>63819.157286378206</v>
      </c>
      <c r="H37" s="64">
        <f t="shared" si="3"/>
        <v>72358.765574382429</v>
      </c>
      <c r="I37" s="64">
        <f t="shared" si="3"/>
        <v>77878.951298430897</v>
      </c>
      <c r="J37" s="64">
        <v>85017</v>
      </c>
      <c r="K37" s="64">
        <v>127373</v>
      </c>
      <c r="L37" s="6">
        <v>87049</v>
      </c>
      <c r="M37" s="6">
        <v>92803</v>
      </c>
      <c r="N37" s="6">
        <v>87727</v>
      </c>
      <c r="O37" s="6">
        <v>93424</v>
      </c>
      <c r="P37" s="6">
        <v>95203</v>
      </c>
      <c r="Q37" s="6">
        <v>98133</v>
      </c>
    </row>
    <row r="38" spans="1:17" ht="11.25">
      <c r="A38" s="25" t="s">
        <v>479</v>
      </c>
      <c r="B38" s="7" t="s">
        <v>1243</v>
      </c>
      <c r="C38" s="62">
        <v>1966.0298</v>
      </c>
      <c r="D38" s="62">
        <v>1914.6590060476999</v>
      </c>
      <c r="E38" s="62">
        <v>2171.0876829886006</v>
      </c>
      <c r="F38" s="62">
        <v>2420.3963284211982</v>
      </c>
      <c r="G38" s="62">
        <v>2548.3582682459019</v>
      </c>
      <c r="H38" s="62">
        <v>2363.3257038987012</v>
      </c>
      <c r="I38" s="62">
        <v>2710.1566561526038</v>
      </c>
      <c r="J38" s="62">
        <v>2908</v>
      </c>
      <c r="K38" s="62">
        <v>25799</v>
      </c>
      <c r="L38" s="3">
        <v>4518</v>
      </c>
      <c r="M38" s="3">
        <v>6436</v>
      </c>
      <c r="N38" s="3">
        <v>3130</v>
      </c>
      <c r="O38" s="3">
        <v>4221</v>
      </c>
      <c r="P38" s="3">
        <v>3146</v>
      </c>
      <c r="Q38" s="3">
        <v>3263</v>
      </c>
    </row>
    <row r="39" spans="1:17" ht="11.25">
      <c r="A39" s="25" t="s">
        <v>480</v>
      </c>
      <c r="B39" s="7" t="s">
        <v>520</v>
      </c>
      <c r="C39" s="62">
        <v>28771.394899999999</v>
      </c>
      <c r="D39" s="62">
        <v>17980.657238262309</v>
      </c>
      <c r="E39" s="62">
        <v>19097.735509194797</v>
      </c>
      <c r="F39" s="62">
        <v>18242.862550188285</v>
      </c>
      <c r="G39" s="62">
        <v>16768.404009411592</v>
      </c>
      <c r="H39" s="62">
        <v>17875.854351206315</v>
      </c>
      <c r="I39" s="62">
        <v>19734.095036220508</v>
      </c>
      <c r="J39" s="62">
        <v>18826</v>
      </c>
      <c r="K39" s="62">
        <v>19354</v>
      </c>
      <c r="L39" s="3">
        <v>20659</v>
      </c>
      <c r="M39" s="3">
        <v>24685</v>
      </c>
      <c r="N39" s="3">
        <v>25329</v>
      </c>
      <c r="O39" s="3">
        <v>26364</v>
      </c>
      <c r="P39" s="3">
        <v>29199</v>
      </c>
      <c r="Q39" s="3">
        <v>29176</v>
      </c>
    </row>
    <row r="40" spans="1:17" ht="11.25">
      <c r="A40" s="25" t="s">
        <v>481</v>
      </c>
      <c r="B40" s="7" t="s">
        <v>521</v>
      </c>
      <c r="C40" s="62">
        <v>7725.1805000000004</v>
      </c>
      <c r="D40" s="62">
        <v>14367.732314009194</v>
      </c>
      <c r="E40" s="62">
        <v>11694.558556936803</v>
      </c>
      <c r="F40" s="62">
        <v>7184.8832995523999</v>
      </c>
      <c r="G40" s="62">
        <v>9684.9253611028998</v>
      </c>
      <c r="H40" s="62">
        <v>14786.5999241155</v>
      </c>
      <c r="I40" s="62">
        <v>18202.866496635506</v>
      </c>
      <c r="J40" s="62">
        <v>12569</v>
      </c>
      <c r="K40" s="62">
        <v>13319</v>
      </c>
      <c r="L40" s="3">
        <v>13331</v>
      </c>
      <c r="M40" s="3">
        <v>14159</v>
      </c>
      <c r="N40" s="3">
        <v>13289</v>
      </c>
      <c r="O40" s="3">
        <v>13447</v>
      </c>
      <c r="P40" s="3">
        <v>12980</v>
      </c>
      <c r="Q40" s="3">
        <v>13020</v>
      </c>
    </row>
    <row r="41" spans="1:17" ht="11.25">
      <c r="A41" s="25" t="s">
        <v>482</v>
      </c>
      <c r="B41" s="7" t="s">
        <v>522</v>
      </c>
      <c r="C41" s="62">
        <v>396.44080000000002</v>
      </c>
      <c r="D41" s="62">
        <v>452.28895493789986</v>
      </c>
      <c r="E41" s="62">
        <v>530.29219417230013</v>
      </c>
      <c r="F41" s="62">
        <v>541.62311898809992</v>
      </c>
      <c r="G41" s="62">
        <v>531.60095230830007</v>
      </c>
      <c r="H41" s="62">
        <v>578.85468974410003</v>
      </c>
      <c r="I41" s="62">
        <v>700.47330948589979</v>
      </c>
      <c r="J41" s="4">
        <v>727</v>
      </c>
      <c r="K41" s="62">
        <v>950</v>
      </c>
      <c r="L41" s="3">
        <v>643</v>
      </c>
      <c r="M41" s="3">
        <v>718</v>
      </c>
      <c r="N41" s="3">
        <v>634</v>
      </c>
      <c r="O41" s="3">
        <v>609</v>
      </c>
      <c r="P41" s="3">
        <v>641</v>
      </c>
      <c r="Q41" s="3">
        <v>688</v>
      </c>
    </row>
    <row r="42" spans="1:17" ht="11.25">
      <c r="A42" s="25" t="s">
        <v>483</v>
      </c>
      <c r="B42" s="7" t="s">
        <v>523</v>
      </c>
      <c r="C42" s="62">
        <v>148.42619999999999</v>
      </c>
      <c r="D42" s="62">
        <v>160.830816782</v>
      </c>
      <c r="E42" s="62">
        <v>181.16108826130002</v>
      </c>
      <c r="F42" s="62">
        <v>357.10211659159995</v>
      </c>
      <c r="G42" s="62">
        <v>381.06138364039998</v>
      </c>
      <c r="H42" s="62">
        <v>379.21670352970006</v>
      </c>
      <c r="I42" s="62">
        <v>367.48020031989995</v>
      </c>
      <c r="J42" s="4">
        <v>428</v>
      </c>
      <c r="K42" s="62">
        <v>423</v>
      </c>
      <c r="L42" s="3">
        <v>434</v>
      </c>
      <c r="M42" s="3">
        <v>476</v>
      </c>
      <c r="N42" s="3">
        <v>336</v>
      </c>
      <c r="O42" s="3">
        <v>203</v>
      </c>
      <c r="P42" s="3">
        <v>233</v>
      </c>
      <c r="Q42" s="3">
        <v>233</v>
      </c>
    </row>
    <row r="43" spans="1:17" ht="11.25">
      <c r="A43" s="25" t="s">
        <v>768</v>
      </c>
      <c r="B43" s="7" t="s">
        <v>770</v>
      </c>
      <c r="C43" s="45" t="s">
        <v>1229</v>
      </c>
      <c r="D43" s="45" t="s">
        <v>1229</v>
      </c>
      <c r="E43" s="45" t="s">
        <v>1229</v>
      </c>
      <c r="F43" s="45" t="s">
        <v>1229</v>
      </c>
      <c r="G43" s="45" t="s">
        <v>1229</v>
      </c>
      <c r="H43" s="88" t="s">
        <v>1378</v>
      </c>
      <c r="I43" s="88" t="s">
        <v>1378</v>
      </c>
      <c r="J43" s="128" t="s">
        <v>1378</v>
      </c>
      <c r="K43" s="128" t="s">
        <v>1378</v>
      </c>
      <c r="L43" s="128" t="s">
        <v>1378</v>
      </c>
      <c r="M43" s="128" t="s">
        <v>1378</v>
      </c>
      <c r="N43" s="128" t="s">
        <v>1378</v>
      </c>
      <c r="O43" s="128" t="s">
        <v>1229</v>
      </c>
      <c r="P43" s="128" t="s">
        <v>1229</v>
      </c>
      <c r="Q43" s="128" t="s">
        <v>1229</v>
      </c>
    </row>
    <row r="44" spans="1:17" ht="11.25">
      <c r="A44" s="25" t="s">
        <v>769</v>
      </c>
      <c r="B44" s="7" t="s">
        <v>771</v>
      </c>
      <c r="C44" s="45" t="s">
        <v>1229</v>
      </c>
      <c r="D44" s="45" t="s">
        <v>1229</v>
      </c>
      <c r="E44" s="45" t="s">
        <v>1229</v>
      </c>
      <c r="F44" s="45" t="s">
        <v>1229</v>
      </c>
      <c r="G44" s="45" t="s">
        <v>1229</v>
      </c>
      <c r="H44" s="88" t="s">
        <v>1378</v>
      </c>
      <c r="I44" s="88" t="s">
        <v>1378</v>
      </c>
      <c r="J44" s="128" t="s">
        <v>1378</v>
      </c>
      <c r="K44" s="128" t="s">
        <v>1378</v>
      </c>
      <c r="L44" s="128" t="s">
        <v>1378</v>
      </c>
      <c r="M44" s="128" t="s">
        <v>1378</v>
      </c>
      <c r="N44" s="128" t="s">
        <v>1378</v>
      </c>
      <c r="O44" s="128" t="s">
        <v>1229</v>
      </c>
      <c r="P44" s="128" t="s">
        <v>1229</v>
      </c>
      <c r="Q44" s="128" t="s">
        <v>1229</v>
      </c>
    </row>
    <row r="45" spans="1:17" ht="11.25">
      <c r="A45" s="25" t="s">
        <v>484</v>
      </c>
      <c r="B45" s="7" t="s">
        <v>524</v>
      </c>
      <c r="C45" s="62">
        <v>672.46960000000001</v>
      </c>
      <c r="D45" s="62">
        <v>574.37255816480001</v>
      </c>
      <c r="E45" s="62">
        <v>611.25269564020005</v>
      </c>
      <c r="F45" s="62">
        <v>526.8487819408</v>
      </c>
      <c r="G45" s="62">
        <v>508.73669689900004</v>
      </c>
      <c r="H45" s="88">
        <v>425.78524011859997</v>
      </c>
      <c r="I45" s="88">
        <v>628.06689284039999</v>
      </c>
      <c r="J45" s="4">
        <v>467</v>
      </c>
      <c r="K45" s="62">
        <v>554</v>
      </c>
      <c r="L45" s="3">
        <v>580</v>
      </c>
      <c r="M45" s="3">
        <v>560</v>
      </c>
      <c r="N45" s="3">
        <v>544</v>
      </c>
      <c r="O45" s="3">
        <v>566</v>
      </c>
      <c r="P45" s="3">
        <v>583</v>
      </c>
      <c r="Q45" s="3">
        <v>558</v>
      </c>
    </row>
    <row r="46" spans="1:17" ht="11.25">
      <c r="A46" s="25" t="s">
        <v>772</v>
      </c>
      <c r="B46" s="7" t="s">
        <v>773</v>
      </c>
      <c r="C46" s="62">
        <v>0</v>
      </c>
      <c r="D46" s="45" t="s">
        <v>1229</v>
      </c>
      <c r="E46" s="45" t="s">
        <v>1229</v>
      </c>
      <c r="F46" s="45" t="s">
        <v>1229</v>
      </c>
      <c r="G46" s="45" t="s">
        <v>1229</v>
      </c>
      <c r="H46" s="88" t="s">
        <v>1378</v>
      </c>
      <c r="I46" s="88" t="s">
        <v>1378</v>
      </c>
      <c r="J46" s="128" t="s">
        <v>1378</v>
      </c>
      <c r="K46" s="128" t="s">
        <v>1378</v>
      </c>
      <c r="L46" s="128" t="s">
        <v>1378</v>
      </c>
      <c r="M46" s="128" t="s">
        <v>1378</v>
      </c>
      <c r="N46" s="128" t="s">
        <v>1378</v>
      </c>
      <c r="O46" s="128" t="s">
        <v>1229</v>
      </c>
      <c r="P46" s="128" t="s">
        <v>1229</v>
      </c>
      <c r="Q46" s="128" t="s">
        <v>1229</v>
      </c>
    </row>
    <row r="47" spans="1:17" ht="11.25">
      <c r="A47" s="25" t="s">
        <v>485</v>
      </c>
      <c r="B47" s="7" t="s">
        <v>525</v>
      </c>
      <c r="C47" s="62">
        <v>824.10879999999997</v>
      </c>
      <c r="D47" s="62">
        <v>945.91190705730014</v>
      </c>
      <c r="E47" s="62">
        <v>1197.0225908090999</v>
      </c>
      <c r="F47" s="62">
        <v>886.01793492280001</v>
      </c>
      <c r="G47" s="62">
        <v>888.39736518590007</v>
      </c>
      <c r="H47" s="88">
        <v>705.58119942309963</v>
      </c>
      <c r="I47" s="88">
        <v>584.52219933190031</v>
      </c>
      <c r="J47" s="88">
        <v>1247</v>
      </c>
      <c r="K47" s="62">
        <v>1140</v>
      </c>
      <c r="L47" s="3">
        <v>1683</v>
      </c>
      <c r="M47" s="3">
        <v>1358</v>
      </c>
      <c r="N47" s="3">
        <v>1468</v>
      </c>
      <c r="O47" s="3">
        <v>1194</v>
      </c>
      <c r="P47" s="3">
        <v>1122</v>
      </c>
      <c r="Q47" s="3">
        <v>1197</v>
      </c>
    </row>
    <row r="48" spans="1:17" ht="11.25">
      <c r="A48" s="25" t="s">
        <v>775</v>
      </c>
      <c r="B48" s="7" t="s">
        <v>774</v>
      </c>
      <c r="C48" s="45" t="s">
        <v>1229</v>
      </c>
      <c r="D48" s="45" t="s">
        <v>1229</v>
      </c>
      <c r="E48" s="45" t="s">
        <v>1229</v>
      </c>
      <c r="F48" s="45" t="s">
        <v>1229</v>
      </c>
      <c r="G48" s="45" t="s">
        <v>1229</v>
      </c>
      <c r="H48" s="88" t="s">
        <v>1378</v>
      </c>
      <c r="I48" s="88" t="s">
        <v>1378</v>
      </c>
      <c r="J48" s="128" t="s">
        <v>1378</v>
      </c>
      <c r="K48" s="128" t="s">
        <v>1378</v>
      </c>
      <c r="L48" s="3">
        <v>48</v>
      </c>
      <c r="M48" s="3">
        <v>109</v>
      </c>
      <c r="N48" s="3">
        <v>72</v>
      </c>
      <c r="O48" s="3">
        <v>84</v>
      </c>
      <c r="P48" s="3">
        <v>186</v>
      </c>
      <c r="Q48" s="3">
        <v>96</v>
      </c>
    </row>
    <row r="49" spans="1:17" ht="11.25">
      <c r="A49" s="25" t="s">
        <v>776</v>
      </c>
      <c r="B49" s="7" t="s">
        <v>777</v>
      </c>
      <c r="C49" s="45" t="s">
        <v>1229</v>
      </c>
      <c r="D49" s="45" t="s">
        <v>1229</v>
      </c>
      <c r="E49" s="45" t="s">
        <v>1229</v>
      </c>
      <c r="F49" s="45" t="s">
        <v>1229</v>
      </c>
      <c r="G49" s="45" t="s">
        <v>1229</v>
      </c>
      <c r="H49" s="88" t="s">
        <v>1378</v>
      </c>
      <c r="I49" s="88" t="s">
        <v>1378</v>
      </c>
      <c r="J49" s="128" t="s">
        <v>1378</v>
      </c>
      <c r="K49" s="128" t="s">
        <v>1378</v>
      </c>
      <c r="L49" s="128" t="s">
        <v>1378</v>
      </c>
      <c r="M49" s="128" t="s">
        <v>1378</v>
      </c>
      <c r="N49" s="128" t="s">
        <v>1378</v>
      </c>
      <c r="O49" s="128" t="s">
        <v>1229</v>
      </c>
      <c r="P49" s="128" t="s">
        <v>1229</v>
      </c>
      <c r="Q49" s="128" t="s">
        <v>1229</v>
      </c>
    </row>
    <row r="50" spans="1:17" ht="11.25">
      <c r="A50" s="25" t="s">
        <v>486</v>
      </c>
      <c r="B50" s="7" t="s">
        <v>526</v>
      </c>
      <c r="C50" s="62">
        <v>5.359</v>
      </c>
      <c r="D50" s="62">
        <v>5.359</v>
      </c>
      <c r="E50" s="62">
        <v>5.359</v>
      </c>
      <c r="F50" s="62">
        <v>5.359</v>
      </c>
      <c r="G50" s="62">
        <v>5.359</v>
      </c>
      <c r="H50" s="88">
        <v>5.327</v>
      </c>
      <c r="I50" s="88">
        <v>5.327</v>
      </c>
      <c r="J50" s="4">
        <v>5</v>
      </c>
      <c r="K50" s="62">
        <v>5</v>
      </c>
      <c r="L50" s="3">
        <v>5</v>
      </c>
      <c r="M50" s="3">
        <v>5</v>
      </c>
      <c r="N50" s="3">
        <v>8</v>
      </c>
      <c r="O50" s="3">
        <v>8</v>
      </c>
      <c r="P50" s="3">
        <v>8</v>
      </c>
      <c r="Q50" s="3">
        <v>8</v>
      </c>
    </row>
    <row r="51" spans="1:17" ht="11.25">
      <c r="A51" s="25" t="s">
        <v>778</v>
      </c>
      <c r="B51" s="7" t="s">
        <v>504</v>
      </c>
      <c r="C51" s="45" t="s">
        <v>1229</v>
      </c>
      <c r="D51" s="45" t="s">
        <v>1229</v>
      </c>
      <c r="E51" s="45" t="s">
        <v>1229</v>
      </c>
      <c r="F51" s="45" t="s">
        <v>1229</v>
      </c>
      <c r="G51" s="45" t="s">
        <v>1229</v>
      </c>
      <c r="H51" s="88" t="s">
        <v>1378</v>
      </c>
      <c r="I51" s="88" t="s">
        <v>1378</v>
      </c>
      <c r="J51" s="128" t="s">
        <v>1378</v>
      </c>
      <c r="K51" s="128" t="s">
        <v>1378</v>
      </c>
      <c r="L51" s="128" t="s">
        <v>1378</v>
      </c>
      <c r="M51" s="128" t="s">
        <v>1378</v>
      </c>
      <c r="N51" s="128" t="s">
        <v>1378</v>
      </c>
      <c r="O51" s="128" t="s">
        <v>1229</v>
      </c>
      <c r="P51" s="128" t="s">
        <v>1229</v>
      </c>
      <c r="Q51" s="128" t="s">
        <v>1229</v>
      </c>
    </row>
    <row r="52" spans="1:17" ht="11.25">
      <c r="A52" s="25" t="s">
        <v>487</v>
      </c>
      <c r="B52" s="7" t="s">
        <v>1448</v>
      </c>
      <c r="C52" s="62">
        <v>14071.0836</v>
      </c>
      <c r="D52" s="62">
        <v>14501.066935119998</v>
      </c>
      <c r="E52" s="62">
        <v>14430.770263704397</v>
      </c>
      <c r="F52" s="62">
        <v>15191.531615481601</v>
      </c>
      <c r="G52" s="62">
        <v>17222.028319035195</v>
      </c>
      <c r="H52" s="88">
        <v>17929.131735466104</v>
      </c>
      <c r="I52" s="88">
        <v>16929.499558207095</v>
      </c>
      <c r="J52" s="3">
        <v>24703</v>
      </c>
      <c r="K52" s="62">
        <v>30944</v>
      </c>
      <c r="L52" s="3">
        <v>22226</v>
      </c>
      <c r="M52" s="3">
        <v>22171</v>
      </c>
      <c r="N52" s="3">
        <v>22745</v>
      </c>
      <c r="O52" s="3">
        <v>25307</v>
      </c>
      <c r="P52" s="3">
        <v>25451</v>
      </c>
      <c r="Q52" s="3">
        <v>42677</v>
      </c>
    </row>
    <row r="53" spans="1:17" ht="11.25">
      <c r="A53" s="25" t="s">
        <v>488</v>
      </c>
      <c r="B53" s="7" t="s">
        <v>1449</v>
      </c>
      <c r="C53" s="62">
        <v>670.96169999999995</v>
      </c>
      <c r="D53" s="62">
        <v>645.03303108499995</v>
      </c>
      <c r="E53" s="62">
        <v>335.41901741970003</v>
      </c>
      <c r="F53" s="62">
        <v>154.10428702960002</v>
      </c>
      <c r="G53" s="62">
        <v>154.33741124030001</v>
      </c>
      <c r="H53" s="88">
        <v>151.52900255989996</v>
      </c>
      <c r="I53" s="88">
        <v>154.17161931029997</v>
      </c>
      <c r="J53" s="3">
        <v>155</v>
      </c>
      <c r="K53" s="62">
        <v>286</v>
      </c>
      <c r="L53" s="3">
        <v>233</v>
      </c>
      <c r="M53" s="3">
        <v>234</v>
      </c>
      <c r="N53" s="3">
        <v>226</v>
      </c>
      <c r="O53" s="3">
        <v>232</v>
      </c>
      <c r="P53" s="3">
        <v>231</v>
      </c>
      <c r="Q53" s="3">
        <v>576</v>
      </c>
    </row>
    <row r="54" spans="1:17" ht="11.25">
      <c r="A54" s="25" t="s">
        <v>489</v>
      </c>
      <c r="B54" s="7" t="s">
        <v>527</v>
      </c>
      <c r="C54" s="62">
        <v>7168.9076999999997</v>
      </c>
      <c r="D54" s="62">
        <v>7693.0815711419</v>
      </c>
      <c r="E54" s="62">
        <v>7951.5234804655993</v>
      </c>
      <c r="F54" s="62">
        <v>7729.1118261657011</v>
      </c>
      <c r="G54" s="62">
        <v>10303.876421054107</v>
      </c>
      <c r="H54" s="88">
        <v>12582.6449824142</v>
      </c>
      <c r="I54" s="88">
        <v>12763.637411716598</v>
      </c>
      <c r="J54" s="3">
        <v>18086</v>
      </c>
      <c r="K54" s="62">
        <v>29220</v>
      </c>
      <c r="L54" s="3">
        <v>17427</v>
      </c>
      <c r="M54" s="3">
        <v>16593</v>
      </c>
      <c r="N54" s="3">
        <v>14742</v>
      </c>
      <c r="O54" s="3">
        <v>16024</v>
      </c>
      <c r="P54" s="3">
        <v>16026</v>
      </c>
      <c r="Q54" s="3">
        <v>794</v>
      </c>
    </row>
    <row r="55" spans="1:17" ht="11.25">
      <c r="A55" s="25" t="s">
        <v>490</v>
      </c>
      <c r="B55" s="7" t="s">
        <v>1450</v>
      </c>
      <c r="C55" s="62">
        <v>108.443</v>
      </c>
      <c r="D55" s="62">
        <v>100.38547800000001</v>
      </c>
      <c r="E55" s="62">
        <v>98.355999999999995</v>
      </c>
      <c r="F55" s="62">
        <v>94.9</v>
      </c>
      <c r="G55" s="62">
        <v>81.099999999999994</v>
      </c>
      <c r="H55" s="88">
        <v>80.614000000000004</v>
      </c>
      <c r="I55" s="88">
        <v>80.612999999700008</v>
      </c>
      <c r="J55" s="3">
        <v>80</v>
      </c>
      <c r="K55" s="62">
        <v>81</v>
      </c>
      <c r="L55" s="3">
        <v>81</v>
      </c>
      <c r="M55" s="3">
        <v>103</v>
      </c>
      <c r="N55" s="3">
        <v>103</v>
      </c>
      <c r="O55" s="3">
        <v>110</v>
      </c>
      <c r="P55" s="3">
        <v>70</v>
      </c>
      <c r="Q55" s="3">
        <v>70</v>
      </c>
    </row>
    <row r="56" spans="1:17" ht="11.25">
      <c r="A56" s="25" t="s">
        <v>505</v>
      </c>
      <c r="B56" s="7" t="s">
        <v>1082</v>
      </c>
      <c r="C56" s="62"/>
      <c r="D56" s="45" t="s">
        <v>1229</v>
      </c>
      <c r="E56" s="45" t="s">
        <v>1229</v>
      </c>
      <c r="F56" s="45" t="s">
        <v>1229</v>
      </c>
      <c r="G56" s="45" t="s">
        <v>1229</v>
      </c>
      <c r="H56" s="88" t="s">
        <v>1378</v>
      </c>
      <c r="I56" s="88" t="s">
        <v>1378</v>
      </c>
      <c r="J56" s="128" t="s">
        <v>1378</v>
      </c>
      <c r="K56" s="128" t="s">
        <v>1378</v>
      </c>
      <c r="L56" s="128" t="s">
        <v>1378</v>
      </c>
      <c r="M56" s="128" t="s">
        <v>1378</v>
      </c>
      <c r="N56" s="128" t="s">
        <v>1378</v>
      </c>
      <c r="O56" s="128" t="s">
        <v>1229</v>
      </c>
      <c r="P56" s="128" t="s">
        <v>1229</v>
      </c>
      <c r="Q56" s="128" t="s">
        <v>1229</v>
      </c>
    </row>
    <row r="57" spans="1:17" ht="11.25">
      <c r="A57" s="25" t="s">
        <v>491</v>
      </c>
      <c r="B57" s="7" t="s">
        <v>1447</v>
      </c>
      <c r="C57" s="62">
        <v>1098.4037000000001</v>
      </c>
      <c r="D57" s="62">
        <v>1200.2707815773999</v>
      </c>
      <c r="E57" s="62">
        <v>1263.4981670974998</v>
      </c>
      <c r="F57" s="62">
        <v>1500.1232774591997</v>
      </c>
      <c r="G57" s="62">
        <v>1730.7884972133991</v>
      </c>
      <c r="H57" s="88">
        <v>1695.9013124265002</v>
      </c>
      <c r="I57" s="88">
        <v>1758.8435793030992</v>
      </c>
      <c r="J57" s="3">
        <v>1328</v>
      </c>
      <c r="K57" s="62">
        <v>1609</v>
      </c>
      <c r="L57" s="3">
        <v>1316</v>
      </c>
      <c r="M57" s="3">
        <v>1359</v>
      </c>
      <c r="N57" s="3">
        <v>1050</v>
      </c>
      <c r="O57" s="3">
        <v>776</v>
      </c>
      <c r="P57" s="3">
        <v>826</v>
      </c>
      <c r="Q57" s="3">
        <v>804</v>
      </c>
    </row>
    <row r="58" spans="1:17" ht="11.25">
      <c r="A58" s="25" t="s">
        <v>492</v>
      </c>
      <c r="B58" s="7" t="s">
        <v>528</v>
      </c>
      <c r="C58" s="45" t="s">
        <v>1229</v>
      </c>
      <c r="D58" s="45" t="s">
        <v>1229</v>
      </c>
      <c r="E58" s="45" t="s">
        <v>1229</v>
      </c>
      <c r="F58" s="45" t="s">
        <v>1229</v>
      </c>
      <c r="G58" s="45">
        <v>0.05</v>
      </c>
      <c r="H58" s="128">
        <v>0.01</v>
      </c>
      <c r="I58" s="88" t="s">
        <v>1378</v>
      </c>
      <c r="J58" s="128">
        <v>0</v>
      </c>
      <c r="K58" s="128" t="s">
        <v>1378</v>
      </c>
      <c r="L58" s="3">
        <v>0</v>
      </c>
      <c r="M58" s="3">
        <v>0</v>
      </c>
      <c r="N58" s="3">
        <v>0</v>
      </c>
      <c r="O58" s="3">
        <v>0</v>
      </c>
      <c r="P58" s="3">
        <v>0</v>
      </c>
      <c r="Q58" s="3">
        <v>0</v>
      </c>
    </row>
    <row r="59" spans="1:17" ht="11.25">
      <c r="A59" s="25" t="s">
        <v>1083</v>
      </c>
      <c r="B59" s="7" t="s">
        <v>1084</v>
      </c>
      <c r="C59" s="45" t="s">
        <v>1229</v>
      </c>
      <c r="D59" s="45" t="s">
        <v>1229</v>
      </c>
      <c r="E59" s="45" t="s">
        <v>1229</v>
      </c>
      <c r="F59" s="45" t="s">
        <v>1229</v>
      </c>
      <c r="G59" s="45" t="s">
        <v>1229</v>
      </c>
      <c r="H59" s="88" t="s">
        <v>1378</v>
      </c>
      <c r="I59" s="88" t="s">
        <v>1378</v>
      </c>
      <c r="J59" s="128" t="s">
        <v>1378</v>
      </c>
      <c r="K59" s="128" t="s">
        <v>1378</v>
      </c>
      <c r="L59" s="128" t="s">
        <v>1378</v>
      </c>
      <c r="M59" s="128" t="s">
        <v>1378</v>
      </c>
      <c r="N59" s="128" t="s">
        <v>1378</v>
      </c>
      <c r="O59" s="128" t="s">
        <v>1229</v>
      </c>
      <c r="P59" s="128" t="s">
        <v>1229</v>
      </c>
      <c r="Q59" s="128" t="s">
        <v>1229</v>
      </c>
    </row>
    <row r="60" spans="1:17" ht="11.25">
      <c r="A60" s="25" t="s">
        <v>493</v>
      </c>
      <c r="B60" s="7" t="s">
        <v>529</v>
      </c>
      <c r="C60" s="62">
        <v>83.234099999999998</v>
      </c>
      <c r="D60" s="62">
        <v>82.216716939400001</v>
      </c>
      <c r="E60" s="62">
        <v>90.427321060400004</v>
      </c>
      <c r="F60" s="62">
        <v>90.333866319599991</v>
      </c>
      <c r="G60" s="62">
        <v>103.0990833597</v>
      </c>
      <c r="H60" s="88">
        <v>100.5136306796</v>
      </c>
      <c r="I60" s="88">
        <v>101.20928596</v>
      </c>
      <c r="J60" s="3">
        <v>111</v>
      </c>
      <c r="K60" s="62">
        <v>100</v>
      </c>
      <c r="L60" s="3">
        <v>110</v>
      </c>
      <c r="M60" s="3">
        <v>150</v>
      </c>
      <c r="N60" s="3">
        <v>140</v>
      </c>
      <c r="O60" s="3">
        <v>140</v>
      </c>
      <c r="P60" s="3">
        <v>120</v>
      </c>
      <c r="Q60" s="3">
        <v>120</v>
      </c>
    </row>
    <row r="61" spans="1:17" ht="11.25">
      <c r="A61" s="25" t="s">
        <v>1085</v>
      </c>
      <c r="B61" s="7" t="s">
        <v>511</v>
      </c>
      <c r="C61" s="45" t="s">
        <v>1229</v>
      </c>
      <c r="D61" s="45" t="s">
        <v>1229</v>
      </c>
      <c r="E61" s="45" t="s">
        <v>1229</v>
      </c>
      <c r="F61" s="45" t="s">
        <v>1229</v>
      </c>
      <c r="G61" s="45" t="s">
        <v>1229</v>
      </c>
      <c r="H61" s="88" t="s">
        <v>1378</v>
      </c>
      <c r="I61" s="88" t="s">
        <v>1378</v>
      </c>
      <c r="J61" s="128" t="s">
        <v>1378</v>
      </c>
      <c r="K61" s="128" t="s">
        <v>1378</v>
      </c>
      <c r="L61" s="128" t="s">
        <v>1378</v>
      </c>
      <c r="M61" s="128" t="s">
        <v>1378</v>
      </c>
      <c r="N61" s="128" t="s">
        <v>1378</v>
      </c>
      <c r="O61" s="128" t="s">
        <v>1229</v>
      </c>
      <c r="P61" s="128" t="s">
        <v>1229</v>
      </c>
      <c r="Q61" s="128" t="s">
        <v>1229</v>
      </c>
    </row>
    <row r="62" spans="1:17" ht="22.5">
      <c r="A62" s="185" t="s">
        <v>494</v>
      </c>
      <c r="B62" s="184" t="s">
        <v>1422</v>
      </c>
      <c r="C62" s="186">
        <v>2001.2093</v>
      </c>
      <c r="D62" s="186">
        <v>387.1355963498998</v>
      </c>
      <c r="E62" s="186">
        <v>332.86807131980004</v>
      </c>
      <c r="F62" s="186">
        <v>607.09785904569981</v>
      </c>
      <c r="G62" s="186">
        <v>599.97802302129992</v>
      </c>
      <c r="H62" s="77">
        <v>625.39765461139996</v>
      </c>
      <c r="I62" s="77">
        <v>666.46581658620005</v>
      </c>
      <c r="J62" s="3">
        <v>630</v>
      </c>
      <c r="K62" s="3">
        <v>412</v>
      </c>
      <c r="L62" s="3">
        <v>128</v>
      </c>
      <c r="M62" s="3">
        <v>94</v>
      </c>
      <c r="N62" s="3">
        <v>156</v>
      </c>
      <c r="O62" s="3">
        <v>183</v>
      </c>
      <c r="P62" s="3">
        <v>313</v>
      </c>
      <c r="Q62" s="3">
        <v>316</v>
      </c>
    </row>
    <row r="63" spans="1:17" ht="11.25">
      <c r="A63" s="25" t="s">
        <v>495</v>
      </c>
      <c r="B63" s="7" t="s">
        <v>92</v>
      </c>
      <c r="C63" s="62">
        <v>237.7276</v>
      </c>
      <c r="D63" s="62">
        <v>237.67823907259998</v>
      </c>
      <c r="E63" s="62">
        <v>232.69917577000001</v>
      </c>
      <c r="F63" s="62">
        <v>234.58254819999999</v>
      </c>
      <c r="G63" s="62">
        <v>232.25579743450004</v>
      </c>
      <c r="H63" s="88">
        <v>235.58922687319998</v>
      </c>
      <c r="I63" s="88">
        <v>251.59322162660001</v>
      </c>
      <c r="J63" s="3">
        <v>284</v>
      </c>
      <c r="K63" s="62">
        <v>324</v>
      </c>
      <c r="L63" s="3">
        <v>382</v>
      </c>
      <c r="M63" s="3">
        <v>399</v>
      </c>
      <c r="N63" s="3">
        <v>398</v>
      </c>
      <c r="O63" s="3">
        <v>422</v>
      </c>
      <c r="P63" s="3">
        <v>445</v>
      </c>
      <c r="Q63" s="3">
        <v>486</v>
      </c>
    </row>
    <row r="64" spans="1:17" ht="11.25">
      <c r="A64" s="25" t="s">
        <v>496</v>
      </c>
      <c r="B64" s="7" t="s">
        <v>1095</v>
      </c>
      <c r="C64" s="62">
        <v>491.0573</v>
      </c>
      <c r="D64" s="62">
        <v>685.38569002450004</v>
      </c>
      <c r="E64" s="62">
        <v>731.02029873929996</v>
      </c>
      <c r="F64" s="62">
        <v>756.58472631080019</v>
      </c>
      <c r="G64" s="62">
        <v>798.72069501449982</v>
      </c>
      <c r="H64" s="88">
        <v>538.43408579099992</v>
      </c>
      <c r="I64" s="88">
        <v>693.71829195270004</v>
      </c>
      <c r="J64" s="3">
        <v>785</v>
      </c>
      <c r="K64" s="62">
        <v>775</v>
      </c>
      <c r="L64" s="3">
        <v>1160</v>
      </c>
      <c r="M64" s="3">
        <v>1104</v>
      </c>
      <c r="N64" s="3">
        <v>1221</v>
      </c>
      <c r="O64" s="3">
        <v>1279</v>
      </c>
      <c r="P64" s="3">
        <v>1158</v>
      </c>
      <c r="Q64" s="3">
        <v>1422</v>
      </c>
    </row>
    <row r="65" spans="1:17" ht="11.25">
      <c r="A65" s="25" t="s">
        <v>1096</v>
      </c>
      <c r="B65" s="7" t="s">
        <v>1097</v>
      </c>
      <c r="C65" s="62">
        <v>150.3955</v>
      </c>
      <c r="D65" s="45" t="s">
        <v>1229</v>
      </c>
      <c r="E65" s="45" t="s">
        <v>1229</v>
      </c>
      <c r="F65" s="45" t="s">
        <v>1229</v>
      </c>
      <c r="G65" s="45" t="s">
        <v>1229</v>
      </c>
      <c r="H65" s="88" t="s">
        <v>1378</v>
      </c>
      <c r="I65" s="88" t="s">
        <v>1378</v>
      </c>
      <c r="J65" s="128" t="s">
        <v>1378</v>
      </c>
      <c r="K65" s="128" t="s">
        <v>1378</v>
      </c>
      <c r="L65" s="128" t="s">
        <v>1378</v>
      </c>
      <c r="M65" s="128" t="s">
        <v>1378</v>
      </c>
      <c r="N65" s="128" t="s">
        <v>1378</v>
      </c>
      <c r="O65" s="128" t="s">
        <v>1229</v>
      </c>
      <c r="P65" s="128" t="s">
        <v>1229</v>
      </c>
      <c r="Q65" s="128" t="s">
        <v>1229</v>
      </c>
    </row>
    <row r="66" spans="1:17" ht="11.25">
      <c r="A66" s="25" t="s">
        <v>497</v>
      </c>
      <c r="B66" s="7" t="s">
        <v>1098</v>
      </c>
      <c r="C66" s="62">
        <v>1745.6929</v>
      </c>
      <c r="D66" s="62">
        <v>87.912151380599994</v>
      </c>
      <c r="E66" s="62">
        <v>92.162384810100008</v>
      </c>
      <c r="F66" s="62">
        <v>93.797979760300009</v>
      </c>
      <c r="G66" s="62">
        <v>34.892238999999996</v>
      </c>
      <c r="H66" s="88">
        <v>33.362000000000002</v>
      </c>
      <c r="I66" s="88">
        <v>34.725285</v>
      </c>
      <c r="J66" s="3">
        <v>41</v>
      </c>
      <c r="K66" s="62">
        <v>38</v>
      </c>
      <c r="L66" s="3">
        <v>39</v>
      </c>
      <c r="M66" s="3">
        <v>40</v>
      </c>
      <c r="N66" s="3">
        <v>39</v>
      </c>
      <c r="O66" s="3">
        <v>46</v>
      </c>
      <c r="P66" s="3">
        <v>44</v>
      </c>
      <c r="Q66" s="3">
        <v>45</v>
      </c>
    </row>
    <row r="67" spans="1:17" ht="11.25">
      <c r="A67" s="25" t="s">
        <v>498</v>
      </c>
      <c r="B67" s="7" t="s">
        <v>1099</v>
      </c>
      <c r="C67" s="62">
        <v>149.6859</v>
      </c>
      <c r="D67" s="62">
        <v>1105.2156063844</v>
      </c>
      <c r="E67" s="62">
        <v>1070.8523563607</v>
      </c>
      <c r="F67" s="62">
        <v>1077.7174902592999</v>
      </c>
      <c r="G67" s="62">
        <v>1224.3659584715999</v>
      </c>
      <c r="H67" s="88">
        <v>1260.8475349044998</v>
      </c>
      <c r="I67" s="88">
        <v>1504.6930810117997</v>
      </c>
      <c r="J67" s="3">
        <v>1557</v>
      </c>
      <c r="K67" s="62">
        <v>1923</v>
      </c>
      <c r="L67" s="3">
        <v>1993</v>
      </c>
      <c r="M67" s="3">
        <v>2016</v>
      </c>
      <c r="N67" s="3">
        <v>2079</v>
      </c>
      <c r="O67" s="3">
        <v>2180</v>
      </c>
      <c r="P67" s="3">
        <v>2400</v>
      </c>
      <c r="Q67" s="3">
        <v>2571</v>
      </c>
    </row>
    <row r="68" spans="1:17" ht="11.25">
      <c r="A68" s="25" t="s">
        <v>512</v>
      </c>
      <c r="B68" s="7" t="s">
        <v>513</v>
      </c>
      <c r="C68" s="45" t="s">
        <v>1229</v>
      </c>
      <c r="D68" s="45" t="s">
        <v>1229</v>
      </c>
      <c r="E68" s="45" t="s">
        <v>1229</v>
      </c>
      <c r="F68" s="45" t="s">
        <v>1229</v>
      </c>
      <c r="G68" s="45" t="s">
        <v>1229</v>
      </c>
      <c r="H68" s="88" t="s">
        <v>1378</v>
      </c>
      <c r="I68" s="88" t="s">
        <v>1378</v>
      </c>
      <c r="J68" s="128" t="s">
        <v>1378</v>
      </c>
      <c r="K68" s="128" t="s">
        <v>1378</v>
      </c>
      <c r="L68" s="128" t="s">
        <v>1378</v>
      </c>
      <c r="M68" s="128" t="s">
        <v>1378</v>
      </c>
      <c r="N68" s="128" t="s">
        <v>1378</v>
      </c>
      <c r="O68" s="128" t="s">
        <v>1229</v>
      </c>
      <c r="P68" s="128" t="s">
        <v>1229</v>
      </c>
      <c r="Q68" s="128" t="s">
        <v>1229</v>
      </c>
    </row>
    <row r="69" spans="1:17" ht="11.25">
      <c r="A69" s="25" t="s">
        <v>499</v>
      </c>
      <c r="B69" s="7" t="s">
        <v>1100</v>
      </c>
      <c r="C69" s="62">
        <v>21.433499999999999</v>
      </c>
      <c r="D69" s="62">
        <v>47.561581589600003</v>
      </c>
      <c r="E69" s="62">
        <v>45.479553670100003</v>
      </c>
      <c r="F69" s="62">
        <v>23.0596327001</v>
      </c>
      <c r="G69" s="62">
        <v>16.821804739600001</v>
      </c>
      <c r="H69" s="88">
        <v>4.2455966199999997</v>
      </c>
      <c r="I69" s="62">
        <v>6.7933567700999999</v>
      </c>
      <c r="J69" s="4">
        <v>79</v>
      </c>
      <c r="K69" s="62">
        <v>117</v>
      </c>
      <c r="L69" s="3">
        <v>53</v>
      </c>
      <c r="M69" s="3">
        <v>34</v>
      </c>
      <c r="N69" s="3">
        <v>18</v>
      </c>
      <c r="O69" s="3">
        <v>30</v>
      </c>
      <c r="P69" s="3">
        <v>22</v>
      </c>
      <c r="Q69" s="3">
        <v>12</v>
      </c>
    </row>
    <row r="70" spans="1:17" ht="15">
      <c r="A70" s="25"/>
      <c r="B70" s="7"/>
      <c r="C70" s="26"/>
      <c r="D70" s="62"/>
      <c r="E70" s="62"/>
      <c r="F70" s="4"/>
      <c r="G70" s="4"/>
      <c r="H70" s="45"/>
      <c r="I70" s="182"/>
      <c r="J70" s="182"/>
      <c r="K70" s="62"/>
      <c r="L70" s="3"/>
      <c r="M70" s="3"/>
      <c r="N70" s="3"/>
      <c r="O70" s="3"/>
    </row>
    <row r="71" spans="1:17" ht="11.25">
      <c r="A71" s="24">
        <v>5</v>
      </c>
      <c r="B71" s="8" t="s">
        <v>464</v>
      </c>
      <c r="C71" s="64">
        <f t="shared" ref="C71:I71" si="4">SUM(C72:C77)</f>
        <v>2170.9597000000003</v>
      </c>
      <c r="D71" s="64">
        <f t="shared" si="4"/>
        <v>3120.5935804769997</v>
      </c>
      <c r="E71" s="64">
        <f t="shared" si="4"/>
        <v>3158.0129777701004</v>
      </c>
      <c r="F71" s="64">
        <f t="shared" si="4"/>
        <v>2825.1368991807003</v>
      </c>
      <c r="G71" s="64">
        <f t="shared" si="4"/>
        <v>3257.4622217185993</v>
      </c>
      <c r="H71" s="64">
        <f t="shared" si="4"/>
        <v>5186.2272434976003</v>
      </c>
      <c r="I71" s="64">
        <f t="shared" si="4"/>
        <v>5780.0175688556992</v>
      </c>
      <c r="J71" s="64">
        <v>4397</v>
      </c>
      <c r="K71" s="64">
        <v>4455</v>
      </c>
      <c r="L71" s="6">
        <v>4543</v>
      </c>
      <c r="M71" s="6">
        <v>4318</v>
      </c>
      <c r="N71" s="6">
        <v>4394</v>
      </c>
      <c r="O71" s="6">
        <v>4307</v>
      </c>
      <c r="P71" s="6">
        <v>4284</v>
      </c>
      <c r="Q71" s="6">
        <v>4588</v>
      </c>
    </row>
    <row r="72" spans="1:17">
      <c r="A72" s="25" t="s">
        <v>1101</v>
      </c>
      <c r="B72" s="7" t="s">
        <v>1102</v>
      </c>
      <c r="C72" s="45" t="s">
        <v>1229</v>
      </c>
      <c r="D72" s="45" t="s">
        <v>1229</v>
      </c>
      <c r="E72" s="45" t="s">
        <v>1229</v>
      </c>
      <c r="F72" s="45" t="s">
        <v>1229</v>
      </c>
      <c r="G72" s="45" t="s">
        <v>1229</v>
      </c>
      <c r="H72" s="45" t="s">
        <v>1378</v>
      </c>
      <c r="I72" s="181" t="s">
        <v>1378</v>
      </c>
      <c r="J72" s="181" t="s">
        <v>1378</v>
      </c>
      <c r="K72" s="181" t="s">
        <v>1378</v>
      </c>
      <c r="L72" s="181" t="s">
        <v>1378</v>
      </c>
      <c r="M72" s="181" t="s">
        <v>1378</v>
      </c>
      <c r="N72" s="181" t="s">
        <v>1378</v>
      </c>
      <c r="O72" s="181" t="s">
        <v>1229</v>
      </c>
      <c r="P72" s="181" t="s">
        <v>1229</v>
      </c>
      <c r="Q72" s="181" t="s">
        <v>1229</v>
      </c>
    </row>
    <row r="73" spans="1:17" ht="11.25">
      <c r="A73" s="25" t="s">
        <v>500</v>
      </c>
      <c r="B73" s="7" t="s">
        <v>553</v>
      </c>
      <c r="C73" s="62">
        <v>5.7370999999999999</v>
      </c>
      <c r="D73" s="62">
        <v>6.0522791498999995</v>
      </c>
      <c r="E73" s="62">
        <v>5.9036141202000003</v>
      </c>
      <c r="F73" s="62">
        <v>8.1876976003999982</v>
      </c>
      <c r="G73" s="62">
        <v>7.5482707000999998</v>
      </c>
      <c r="H73" s="62">
        <v>7.3380667505000003</v>
      </c>
      <c r="I73" s="62">
        <v>7.3306242601000013</v>
      </c>
      <c r="J73" s="3">
        <v>8</v>
      </c>
      <c r="K73" s="3">
        <v>7</v>
      </c>
      <c r="L73" s="3">
        <v>7</v>
      </c>
      <c r="M73" s="3">
        <v>8</v>
      </c>
      <c r="N73" s="3">
        <v>8</v>
      </c>
      <c r="O73" s="3">
        <v>8</v>
      </c>
      <c r="P73" s="3">
        <v>9</v>
      </c>
      <c r="Q73" s="3">
        <v>9</v>
      </c>
    </row>
    <row r="74" spans="1:17" ht="11.25">
      <c r="A74" s="25" t="s">
        <v>501</v>
      </c>
      <c r="B74" s="7" t="s">
        <v>554</v>
      </c>
      <c r="C74" s="62">
        <v>699.84630000000004</v>
      </c>
      <c r="D74" s="62">
        <v>1289.4065612398999</v>
      </c>
      <c r="E74" s="62">
        <v>1132.7728539312002</v>
      </c>
      <c r="F74" s="62">
        <v>256.57533521809995</v>
      </c>
      <c r="G74" s="62">
        <v>764.5351510455996</v>
      </c>
      <c r="H74" s="62">
        <v>591.70567634420013</v>
      </c>
      <c r="I74" s="62">
        <v>1116.0954032769998</v>
      </c>
      <c r="J74" s="3">
        <v>781</v>
      </c>
      <c r="K74" s="3">
        <v>878</v>
      </c>
      <c r="L74" s="3">
        <v>922</v>
      </c>
      <c r="M74" s="3">
        <v>642</v>
      </c>
      <c r="N74" s="3">
        <v>563</v>
      </c>
      <c r="O74" s="3">
        <v>339</v>
      </c>
      <c r="P74" s="3">
        <v>474</v>
      </c>
      <c r="Q74" s="3">
        <v>504</v>
      </c>
    </row>
    <row r="75" spans="1:17" ht="11.25">
      <c r="A75" s="25" t="s">
        <v>502</v>
      </c>
      <c r="B75" s="7" t="s">
        <v>555</v>
      </c>
      <c r="C75" s="62">
        <v>754.52670000000001</v>
      </c>
      <c r="D75" s="62">
        <v>861.40643825479992</v>
      </c>
      <c r="E75" s="62">
        <v>956.04808111180012</v>
      </c>
      <c r="F75" s="62">
        <v>970.50039154770002</v>
      </c>
      <c r="G75" s="62">
        <v>1105.3752454696994</v>
      </c>
      <c r="H75" s="62">
        <v>2029.0163309142001</v>
      </c>
      <c r="I75" s="62">
        <v>2001.5691757799996</v>
      </c>
      <c r="J75" s="3">
        <v>1998</v>
      </c>
      <c r="K75" s="3">
        <v>2080</v>
      </c>
      <c r="L75" s="3">
        <v>2108</v>
      </c>
      <c r="M75" s="3">
        <v>2132</v>
      </c>
      <c r="N75" s="3">
        <v>2154</v>
      </c>
      <c r="O75" s="3">
        <v>2131</v>
      </c>
      <c r="P75" s="3">
        <v>1946</v>
      </c>
      <c r="Q75" s="3">
        <v>2145</v>
      </c>
    </row>
    <row r="76" spans="1:17" ht="11.25">
      <c r="A76" s="25" t="s">
        <v>503</v>
      </c>
      <c r="B76" s="7" t="s">
        <v>556</v>
      </c>
      <c r="C76" s="62">
        <v>76.114999999999995</v>
      </c>
      <c r="D76" s="62">
        <v>301.68809705589996</v>
      </c>
      <c r="E76" s="62">
        <v>378.99919424270001</v>
      </c>
      <c r="F76" s="62">
        <v>869.99590364580001</v>
      </c>
      <c r="G76" s="62">
        <v>622.53291169759996</v>
      </c>
      <c r="H76" s="62">
        <v>529.76698156140003</v>
      </c>
      <c r="I76" s="62">
        <v>425.17279544810003</v>
      </c>
      <c r="J76" s="3">
        <v>509</v>
      </c>
      <c r="K76" s="3">
        <v>554</v>
      </c>
      <c r="L76" s="3">
        <v>630</v>
      </c>
      <c r="M76" s="3">
        <v>654</v>
      </c>
      <c r="N76" s="3">
        <v>648</v>
      </c>
      <c r="O76" s="3">
        <v>723</v>
      </c>
      <c r="P76" s="3">
        <v>768</v>
      </c>
      <c r="Q76" s="3">
        <v>799</v>
      </c>
    </row>
    <row r="77" spans="1:17" ht="11.25">
      <c r="A77" s="25" t="s">
        <v>1029</v>
      </c>
      <c r="B77" s="7" t="s">
        <v>557</v>
      </c>
      <c r="C77" s="62">
        <v>634.7346</v>
      </c>
      <c r="D77" s="62">
        <v>662.04020477649988</v>
      </c>
      <c r="E77" s="62">
        <v>684.28923436420007</v>
      </c>
      <c r="F77" s="62">
        <v>719.87757116870023</v>
      </c>
      <c r="G77" s="62">
        <v>757.47064280560005</v>
      </c>
      <c r="H77" s="62">
        <v>2028.4001879273001</v>
      </c>
      <c r="I77" s="62">
        <v>2229.8495700904991</v>
      </c>
      <c r="J77" s="3">
        <v>1102</v>
      </c>
      <c r="K77" s="3">
        <v>936</v>
      </c>
      <c r="L77" s="3">
        <v>876</v>
      </c>
      <c r="M77" s="3">
        <v>882</v>
      </c>
      <c r="N77" s="3">
        <v>1021</v>
      </c>
      <c r="O77" s="3">
        <v>1105</v>
      </c>
      <c r="P77" s="3">
        <v>1087</v>
      </c>
      <c r="Q77" s="3">
        <v>1130</v>
      </c>
    </row>
    <row r="78" spans="1:17">
      <c r="A78" s="25"/>
      <c r="B78" s="7"/>
      <c r="C78" s="16"/>
      <c r="D78" s="62"/>
      <c r="E78" s="62"/>
      <c r="F78" s="4"/>
      <c r="G78" s="4"/>
      <c r="H78" s="3"/>
      <c r="I78" s="61"/>
      <c r="J78" s="61"/>
      <c r="L78" s="3"/>
      <c r="M78" s="3"/>
      <c r="N78" s="3"/>
      <c r="O78" s="3"/>
      <c r="Q78" s="3"/>
    </row>
    <row r="79" spans="1:17" ht="11.25">
      <c r="A79" s="24">
        <v>6</v>
      </c>
      <c r="B79" s="8" t="s">
        <v>399</v>
      </c>
      <c r="C79" s="64">
        <f t="shared" ref="C79:I79" si="5">SUM(C80:C85)</f>
        <v>7535.5294000000004</v>
      </c>
      <c r="D79" s="64">
        <f t="shared" si="5"/>
        <v>6184.3095974450016</v>
      </c>
      <c r="E79" s="64">
        <f t="shared" si="5"/>
        <v>5218.238654899601</v>
      </c>
      <c r="F79" s="64">
        <f t="shared" si="5"/>
        <v>5481.9224385817006</v>
      </c>
      <c r="G79" s="64">
        <f t="shared" si="5"/>
        <v>5460.8817599746999</v>
      </c>
      <c r="H79" s="64">
        <f t="shared" si="5"/>
        <v>5595.5326810990982</v>
      </c>
      <c r="I79" s="64">
        <f t="shared" si="5"/>
        <v>5298.4471552324021</v>
      </c>
      <c r="J79" s="64">
        <v>4456</v>
      </c>
      <c r="K79" s="64">
        <v>3711</v>
      </c>
      <c r="L79" s="6">
        <v>4421</v>
      </c>
      <c r="M79" s="6">
        <v>4217</v>
      </c>
      <c r="N79" s="6">
        <v>3591</v>
      </c>
      <c r="O79" s="6">
        <v>3496</v>
      </c>
      <c r="P79" s="6">
        <v>3414</v>
      </c>
      <c r="Q79" s="6">
        <v>3085</v>
      </c>
    </row>
    <row r="80" spans="1:17" ht="11.25">
      <c r="A80" s="25" t="s">
        <v>1030</v>
      </c>
      <c r="B80" s="7" t="s">
        <v>1452</v>
      </c>
      <c r="C80" s="62">
        <v>4870.5253000000002</v>
      </c>
      <c r="D80" s="62">
        <v>3369.9977818675002</v>
      </c>
      <c r="E80" s="62">
        <v>2345.8626594252</v>
      </c>
      <c r="F80" s="62">
        <v>2199.1801822326006</v>
      </c>
      <c r="G80" s="62">
        <v>2284.1598871100005</v>
      </c>
      <c r="H80" s="62">
        <v>2464.6228198797999</v>
      </c>
      <c r="I80" s="62">
        <v>2345.7295215773011</v>
      </c>
      <c r="J80" s="3">
        <v>1826</v>
      </c>
      <c r="K80" s="3">
        <v>1474</v>
      </c>
      <c r="L80" s="3">
        <v>1215</v>
      </c>
      <c r="M80" s="3">
        <v>961</v>
      </c>
      <c r="N80" s="3">
        <v>516</v>
      </c>
      <c r="O80" s="3">
        <v>272</v>
      </c>
      <c r="P80" s="3">
        <v>263</v>
      </c>
      <c r="Q80" s="3">
        <v>319</v>
      </c>
    </row>
    <row r="81" spans="1:17" ht="11.25">
      <c r="A81" s="25" t="s">
        <v>1031</v>
      </c>
      <c r="B81" s="7" t="s">
        <v>558</v>
      </c>
      <c r="C81" s="62">
        <v>2632.3744000000002</v>
      </c>
      <c r="D81" s="62">
        <v>2788.8682241071015</v>
      </c>
      <c r="E81" s="62">
        <v>2846.2762388644005</v>
      </c>
      <c r="F81" s="62">
        <v>3254.4987879385999</v>
      </c>
      <c r="G81" s="62">
        <v>3148.2699133450001</v>
      </c>
      <c r="H81" s="62">
        <v>3101.5811926390984</v>
      </c>
      <c r="I81" s="62">
        <v>2921.4706595551006</v>
      </c>
      <c r="J81" s="3">
        <v>2599</v>
      </c>
      <c r="K81" s="3">
        <v>2207</v>
      </c>
      <c r="L81" s="3">
        <v>2830</v>
      </c>
      <c r="M81" s="3">
        <v>2814</v>
      </c>
      <c r="N81" s="3">
        <v>2845</v>
      </c>
      <c r="O81" s="3">
        <v>3017</v>
      </c>
      <c r="P81" s="3">
        <v>2914</v>
      </c>
      <c r="Q81" s="3">
        <v>2514</v>
      </c>
    </row>
    <row r="82" spans="1:17">
      <c r="A82" s="25" t="s">
        <v>514</v>
      </c>
      <c r="B82" s="7" t="s">
        <v>516</v>
      </c>
      <c r="C82" s="88" t="s">
        <v>1229</v>
      </c>
      <c r="D82" s="45" t="s">
        <v>1229</v>
      </c>
      <c r="E82" s="45" t="s">
        <v>1229</v>
      </c>
      <c r="F82" s="88" t="s">
        <v>1229</v>
      </c>
      <c r="G82" s="88" t="s">
        <v>1229</v>
      </c>
      <c r="H82" s="88" t="s">
        <v>1378</v>
      </c>
      <c r="I82" s="88" t="s">
        <v>1378</v>
      </c>
      <c r="J82" s="128" t="s">
        <v>1378</v>
      </c>
      <c r="K82" s="128" t="s">
        <v>1378</v>
      </c>
      <c r="L82" s="128" t="s">
        <v>1378</v>
      </c>
      <c r="M82" s="128" t="s">
        <v>1378</v>
      </c>
      <c r="N82" s="181" t="s">
        <v>1378</v>
      </c>
      <c r="O82" s="181" t="s">
        <v>1229</v>
      </c>
      <c r="P82" s="181" t="s">
        <v>1229</v>
      </c>
      <c r="Q82" s="181" t="s">
        <v>1229</v>
      </c>
    </row>
    <row r="83" spans="1:17">
      <c r="A83" s="25" t="s">
        <v>515</v>
      </c>
      <c r="B83" s="7" t="s">
        <v>517</v>
      </c>
      <c r="C83" s="88" t="s">
        <v>1229</v>
      </c>
      <c r="D83" s="45" t="s">
        <v>1229</v>
      </c>
      <c r="E83" s="45" t="s">
        <v>1229</v>
      </c>
      <c r="F83" s="88" t="s">
        <v>1229</v>
      </c>
      <c r="G83" s="88" t="s">
        <v>1229</v>
      </c>
      <c r="H83" s="88" t="s">
        <v>1378</v>
      </c>
      <c r="I83" s="88" t="s">
        <v>1378</v>
      </c>
      <c r="J83" s="128" t="s">
        <v>1378</v>
      </c>
      <c r="K83" s="128" t="s">
        <v>1378</v>
      </c>
      <c r="L83" s="128" t="s">
        <v>1378</v>
      </c>
      <c r="M83" s="128" t="s">
        <v>1378</v>
      </c>
      <c r="N83" s="181" t="s">
        <v>1378</v>
      </c>
      <c r="O83" s="181" t="s">
        <v>1229</v>
      </c>
      <c r="P83" s="181" t="s">
        <v>1229</v>
      </c>
      <c r="Q83" s="181" t="s">
        <v>1229</v>
      </c>
    </row>
    <row r="84" spans="1:17" ht="11.25">
      <c r="A84" s="25" t="s">
        <v>1032</v>
      </c>
      <c r="B84" s="7" t="s">
        <v>559</v>
      </c>
      <c r="C84" s="62">
        <v>32.6297</v>
      </c>
      <c r="D84" s="62">
        <v>25.443591470400001</v>
      </c>
      <c r="E84" s="62">
        <v>26.09975661</v>
      </c>
      <c r="F84" s="88">
        <v>28.243468410500004</v>
      </c>
      <c r="G84" s="88">
        <v>28.451959519699997</v>
      </c>
      <c r="H84" s="62">
        <v>29.328668580199999</v>
      </c>
      <c r="I84" s="62">
        <v>31.246974099999999</v>
      </c>
      <c r="J84" s="3">
        <v>31</v>
      </c>
      <c r="K84" s="4">
        <v>30</v>
      </c>
      <c r="L84" s="3">
        <v>376</v>
      </c>
      <c r="M84" s="3">
        <v>442</v>
      </c>
      <c r="N84" s="3">
        <v>230</v>
      </c>
      <c r="O84" s="3">
        <v>207</v>
      </c>
      <c r="P84" s="3">
        <v>237</v>
      </c>
      <c r="Q84" s="3">
        <v>252</v>
      </c>
    </row>
    <row r="85" spans="1:17">
      <c r="A85" s="25" t="s">
        <v>518</v>
      </c>
      <c r="B85" s="7" t="s">
        <v>519</v>
      </c>
      <c r="C85" s="88" t="s">
        <v>1229</v>
      </c>
      <c r="D85" s="45" t="s">
        <v>1229</v>
      </c>
      <c r="E85" s="45" t="s">
        <v>1229</v>
      </c>
      <c r="F85" s="45" t="s">
        <v>1229</v>
      </c>
      <c r="G85" s="45" t="s">
        <v>1229</v>
      </c>
      <c r="H85" s="45" t="s">
        <v>1378</v>
      </c>
      <c r="I85" s="45" t="s">
        <v>1378</v>
      </c>
      <c r="J85" s="45" t="s">
        <v>1378</v>
      </c>
      <c r="K85" s="128" t="s">
        <v>1378</v>
      </c>
      <c r="L85" s="128" t="s">
        <v>1378</v>
      </c>
      <c r="M85" s="128" t="s">
        <v>1378</v>
      </c>
      <c r="N85" s="181" t="s">
        <v>1378</v>
      </c>
      <c r="O85" s="181" t="s">
        <v>1229</v>
      </c>
      <c r="P85" s="181" t="s">
        <v>1229</v>
      </c>
      <c r="Q85" s="181" t="s">
        <v>1229</v>
      </c>
    </row>
    <row r="86" spans="1:17">
      <c r="A86" s="25"/>
      <c r="B86" s="7"/>
      <c r="C86" s="26"/>
      <c r="D86" s="26"/>
      <c r="E86" s="58"/>
      <c r="F86" s="4"/>
      <c r="G86" s="4"/>
      <c r="H86" s="3"/>
      <c r="I86" s="61"/>
      <c r="J86" s="61"/>
      <c r="L86" s="3"/>
      <c r="M86" s="3"/>
      <c r="N86" s="3"/>
      <c r="O86" s="3"/>
    </row>
    <row r="87" spans="1:17" ht="11.25">
      <c r="A87" s="24">
        <v>7</v>
      </c>
      <c r="B87" s="8" t="s">
        <v>546</v>
      </c>
      <c r="C87" s="64">
        <f t="shared" ref="C87:I87" si="6">SUM(C88:C101)</f>
        <v>18787.944199999998</v>
      </c>
      <c r="D87" s="64">
        <f t="shared" si="6"/>
        <v>18459.577286373402</v>
      </c>
      <c r="E87" s="64">
        <f t="shared" si="6"/>
        <v>19293.148821828101</v>
      </c>
      <c r="F87" s="64">
        <f t="shared" si="6"/>
        <v>20225.851263510805</v>
      </c>
      <c r="G87" s="64">
        <f t="shared" si="6"/>
        <v>24539.529160209404</v>
      </c>
      <c r="H87" s="64">
        <f t="shared" si="6"/>
        <v>24536.329387709589</v>
      </c>
      <c r="I87" s="64">
        <f t="shared" si="6"/>
        <v>25870.538416728003</v>
      </c>
      <c r="J87" s="64">
        <v>28333</v>
      </c>
      <c r="K87" s="64">
        <v>29451</v>
      </c>
      <c r="L87" s="6">
        <v>32372</v>
      </c>
      <c r="M87" s="6">
        <v>33848</v>
      </c>
      <c r="N87" s="6">
        <v>33531</v>
      </c>
      <c r="O87" s="6">
        <v>35597</v>
      </c>
      <c r="P87" s="6">
        <v>35567</v>
      </c>
      <c r="Q87" s="6">
        <v>36108</v>
      </c>
    </row>
    <row r="88" spans="1:17" ht="11.25">
      <c r="A88" s="25" t="s">
        <v>1033</v>
      </c>
      <c r="B88" s="7" t="s">
        <v>560</v>
      </c>
      <c r="C88" s="62">
        <v>16920.5962</v>
      </c>
      <c r="D88" s="62">
        <v>16530.753417</v>
      </c>
      <c r="E88" s="62">
        <v>17842.910728999999</v>
      </c>
      <c r="F88" s="62">
        <v>18589.303791679806</v>
      </c>
      <c r="G88" s="62">
        <v>19501.635824929905</v>
      </c>
      <c r="H88" s="62">
        <v>19819.05219842009</v>
      </c>
      <c r="I88" s="62">
        <v>20597.022610019703</v>
      </c>
      <c r="J88" s="3">
        <v>21461</v>
      </c>
      <c r="K88" s="3">
        <v>21585</v>
      </c>
      <c r="L88" s="3">
        <v>22350</v>
      </c>
      <c r="M88" s="3">
        <v>23155</v>
      </c>
      <c r="N88" s="3">
        <v>22660</v>
      </c>
      <c r="O88" s="3">
        <v>22259</v>
      </c>
      <c r="P88" s="3">
        <v>20938</v>
      </c>
      <c r="Q88" s="3">
        <v>21740</v>
      </c>
    </row>
    <row r="89" spans="1:17">
      <c r="A89" s="25" t="s">
        <v>423</v>
      </c>
      <c r="B89" s="7" t="s">
        <v>1003</v>
      </c>
      <c r="C89" s="88" t="s">
        <v>1229</v>
      </c>
      <c r="D89" s="45" t="s">
        <v>1229</v>
      </c>
      <c r="E89" s="45" t="s">
        <v>1229</v>
      </c>
      <c r="F89" s="88" t="s">
        <v>1229</v>
      </c>
      <c r="G89" s="88" t="s">
        <v>1229</v>
      </c>
      <c r="H89" s="88" t="s">
        <v>1378</v>
      </c>
      <c r="I89" s="88" t="s">
        <v>1378</v>
      </c>
      <c r="J89" s="128" t="s">
        <v>1378</v>
      </c>
      <c r="K89" s="128" t="s">
        <v>1378</v>
      </c>
      <c r="L89" s="128" t="s">
        <v>1378</v>
      </c>
      <c r="M89" s="128" t="s">
        <v>1378</v>
      </c>
      <c r="N89" s="181" t="s">
        <v>1378</v>
      </c>
      <c r="O89" s="181" t="s">
        <v>1229</v>
      </c>
      <c r="Q89" s="3" t="s">
        <v>1229</v>
      </c>
    </row>
    <row r="90" spans="1:17" ht="11.25">
      <c r="A90" s="25" t="s">
        <v>424</v>
      </c>
      <c r="B90" s="7" t="s">
        <v>1004</v>
      </c>
      <c r="C90" s="88" t="s">
        <v>1229</v>
      </c>
      <c r="D90" s="45" t="s">
        <v>1229</v>
      </c>
      <c r="E90" s="45" t="s">
        <v>1229</v>
      </c>
      <c r="F90" s="88" t="s">
        <v>1229</v>
      </c>
      <c r="G90" s="88" t="s">
        <v>1229</v>
      </c>
      <c r="H90" s="88" t="s">
        <v>1378</v>
      </c>
      <c r="I90" s="88" t="s">
        <v>1378</v>
      </c>
      <c r="J90" s="128" t="s">
        <v>1378</v>
      </c>
      <c r="K90" s="128" t="s">
        <v>1378</v>
      </c>
      <c r="L90" s="128" t="s">
        <v>1378</v>
      </c>
      <c r="M90" s="128" t="s">
        <v>1378</v>
      </c>
      <c r="N90" s="128" t="s">
        <v>1378</v>
      </c>
      <c r="O90" s="128" t="s">
        <v>1229</v>
      </c>
      <c r="Q90" s="3" t="s">
        <v>1229</v>
      </c>
    </row>
    <row r="91" spans="1:17" ht="11.25">
      <c r="A91" s="25" t="s">
        <v>1005</v>
      </c>
      <c r="B91" s="7" t="s">
        <v>1006</v>
      </c>
      <c r="C91" s="88" t="s">
        <v>1229</v>
      </c>
      <c r="D91" s="45" t="s">
        <v>1229</v>
      </c>
      <c r="E91" s="45" t="s">
        <v>1229</v>
      </c>
      <c r="F91" s="88" t="s">
        <v>1229</v>
      </c>
      <c r="G91" s="88">
        <v>279.96085106609996</v>
      </c>
      <c r="H91" s="62">
        <v>317.48403601400003</v>
      </c>
      <c r="I91" s="62">
        <v>385.24266365889997</v>
      </c>
      <c r="J91" s="3">
        <v>472</v>
      </c>
      <c r="K91" s="3">
        <v>361</v>
      </c>
      <c r="L91" s="3">
        <v>608</v>
      </c>
      <c r="M91" s="128">
        <v>579</v>
      </c>
      <c r="N91" s="128">
        <v>650</v>
      </c>
      <c r="O91" s="128">
        <v>698</v>
      </c>
      <c r="P91" s="128">
        <v>781</v>
      </c>
      <c r="Q91" s="128">
        <v>489</v>
      </c>
    </row>
    <row r="92" spans="1:17" ht="11.25">
      <c r="A92" s="25" t="s">
        <v>1007</v>
      </c>
      <c r="B92" s="7" t="s">
        <v>1010</v>
      </c>
      <c r="C92" s="88" t="s">
        <v>1229</v>
      </c>
      <c r="D92" s="45" t="s">
        <v>1229</v>
      </c>
      <c r="E92" s="45" t="s">
        <v>1229</v>
      </c>
      <c r="F92" s="88" t="s">
        <v>1229</v>
      </c>
      <c r="G92" s="88" t="s">
        <v>1229</v>
      </c>
      <c r="H92" s="62">
        <v>452.35663475939998</v>
      </c>
      <c r="I92" s="62">
        <v>170.10317327689998</v>
      </c>
      <c r="J92" s="3">
        <v>422</v>
      </c>
      <c r="K92" s="3">
        <v>586</v>
      </c>
      <c r="L92" s="3">
        <v>859</v>
      </c>
      <c r="M92" s="3">
        <v>801</v>
      </c>
      <c r="N92" s="3">
        <v>751</v>
      </c>
      <c r="O92" s="3">
        <v>917</v>
      </c>
      <c r="P92" s="3">
        <v>776</v>
      </c>
      <c r="Q92" s="3">
        <v>809</v>
      </c>
    </row>
    <row r="93" spans="1:17" ht="11.25">
      <c r="A93" s="25" t="s">
        <v>1008</v>
      </c>
      <c r="B93" s="7" t="s">
        <v>1011</v>
      </c>
      <c r="C93" s="88" t="s">
        <v>1229</v>
      </c>
      <c r="D93" s="45" t="s">
        <v>1229</v>
      </c>
      <c r="E93" s="45" t="s">
        <v>1229</v>
      </c>
      <c r="F93" s="88" t="s">
        <v>1229</v>
      </c>
      <c r="G93" s="88">
        <v>3161.6006897399998</v>
      </c>
      <c r="H93" s="62">
        <v>2438.4260108699991</v>
      </c>
      <c r="I93" s="62">
        <v>3031.5450556598998</v>
      </c>
      <c r="J93" s="3">
        <v>3271</v>
      </c>
      <c r="K93" s="3">
        <v>3880</v>
      </c>
      <c r="L93" s="3">
        <v>5515</v>
      </c>
      <c r="M93" s="3">
        <v>4909</v>
      </c>
      <c r="N93" s="3">
        <v>4966</v>
      </c>
      <c r="O93" s="3">
        <v>4950</v>
      </c>
      <c r="P93" s="3">
        <v>5200</v>
      </c>
      <c r="Q93" s="3">
        <v>5226</v>
      </c>
    </row>
    <row r="94" spans="1:17" ht="11.25">
      <c r="A94" s="25" t="s">
        <v>1009</v>
      </c>
      <c r="B94" s="7" t="s">
        <v>1012</v>
      </c>
      <c r="C94" s="88" t="s">
        <v>1229</v>
      </c>
      <c r="D94" s="45" t="s">
        <v>1229</v>
      </c>
      <c r="E94" s="45" t="s">
        <v>1229</v>
      </c>
      <c r="F94" s="88" t="s">
        <v>1229</v>
      </c>
      <c r="G94" s="88" t="s">
        <v>1229</v>
      </c>
      <c r="H94" s="88" t="s">
        <v>1378</v>
      </c>
      <c r="I94" s="88" t="s">
        <v>1378</v>
      </c>
      <c r="J94" s="128" t="s">
        <v>1378</v>
      </c>
      <c r="K94" s="128" t="s">
        <v>1378</v>
      </c>
      <c r="L94" s="128" t="s">
        <v>1378</v>
      </c>
      <c r="M94" s="128" t="s">
        <v>1378</v>
      </c>
      <c r="N94" s="128" t="s">
        <v>1378</v>
      </c>
      <c r="O94" s="128" t="s">
        <v>1229</v>
      </c>
      <c r="P94" s="128" t="s">
        <v>1229</v>
      </c>
      <c r="Q94" s="128" t="s">
        <v>1229</v>
      </c>
    </row>
    <row r="95" spans="1:17" ht="11.25">
      <c r="A95" s="25" t="s">
        <v>1013</v>
      </c>
      <c r="B95" s="7" t="s">
        <v>637</v>
      </c>
      <c r="C95" s="88" t="s">
        <v>1229</v>
      </c>
      <c r="D95" s="45" t="s">
        <v>1229</v>
      </c>
      <c r="E95" s="45" t="s">
        <v>1229</v>
      </c>
      <c r="F95" s="88" t="s">
        <v>1229</v>
      </c>
      <c r="G95" s="88" t="s">
        <v>1229</v>
      </c>
      <c r="H95" s="88" t="s">
        <v>1378</v>
      </c>
      <c r="I95" s="88" t="s">
        <v>1378</v>
      </c>
      <c r="J95" s="128" t="s">
        <v>1378</v>
      </c>
      <c r="K95" s="128" t="s">
        <v>1378</v>
      </c>
      <c r="L95" s="128" t="s">
        <v>1378</v>
      </c>
      <c r="M95" s="128" t="s">
        <v>1378</v>
      </c>
      <c r="N95" s="128" t="s">
        <v>1378</v>
      </c>
      <c r="O95" s="128" t="s">
        <v>1229</v>
      </c>
      <c r="P95" s="128" t="s">
        <v>1229</v>
      </c>
      <c r="Q95" s="128" t="s">
        <v>1229</v>
      </c>
    </row>
    <row r="96" spans="1:17" ht="11.25">
      <c r="A96" s="25" t="s">
        <v>1014</v>
      </c>
      <c r="B96" s="7" t="s">
        <v>638</v>
      </c>
      <c r="C96" s="88">
        <v>5.4203999999999999</v>
      </c>
      <c r="D96" s="45" t="s">
        <v>1229</v>
      </c>
      <c r="E96" s="45" t="s">
        <v>1229</v>
      </c>
      <c r="F96" s="88" t="s">
        <v>1229</v>
      </c>
      <c r="G96" s="88" t="s">
        <v>1229</v>
      </c>
      <c r="H96" s="88" t="s">
        <v>1378</v>
      </c>
      <c r="I96" s="88" t="s">
        <v>1378</v>
      </c>
      <c r="J96" s="128" t="s">
        <v>1378</v>
      </c>
      <c r="K96" s="128" t="s">
        <v>1378</v>
      </c>
      <c r="L96" s="128" t="s">
        <v>1378</v>
      </c>
      <c r="M96" s="3">
        <v>1074</v>
      </c>
      <c r="N96" s="3">
        <v>1074</v>
      </c>
      <c r="O96" s="3">
        <v>1074</v>
      </c>
      <c r="P96" s="3">
        <v>1074</v>
      </c>
      <c r="Q96" s="3">
        <v>1074</v>
      </c>
    </row>
    <row r="97" spans="1:17" ht="11.25">
      <c r="A97" s="25" t="s">
        <v>639</v>
      </c>
      <c r="B97" s="7" t="s">
        <v>641</v>
      </c>
      <c r="C97" s="88" t="s">
        <v>1229</v>
      </c>
      <c r="D97" s="45" t="s">
        <v>1229</v>
      </c>
      <c r="E97" s="45" t="s">
        <v>1229</v>
      </c>
      <c r="F97" s="88" t="s">
        <v>1229</v>
      </c>
      <c r="G97" s="88" t="s">
        <v>1229</v>
      </c>
      <c r="H97" s="88" t="s">
        <v>1378</v>
      </c>
      <c r="I97" s="88" t="s">
        <v>1378</v>
      </c>
      <c r="J97" s="128" t="s">
        <v>1378</v>
      </c>
      <c r="K97" s="128" t="s">
        <v>1378</v>
      </c>
      <c r="L97" s="128" t="s">
        <v>1378</v>
      </c>
      <c r="M97" s="128" t="s">
        <v>1378</v>
      </c>
      <c r="N97" s="128" t="s">
        <v>1378</v>
      </c>
      <c r="O97" s="128" t="s">
        <v>1229</v>
      </c>
      <c r="P97" s="128" t="s">
        <v>1229</v>
      </c>
      <c r="Q97" s="128" t="s">
        <v>1229</v>
      </c>
    </row>
    <row r="98" spans="1:17" ht="11.25">
      <c r="A98" s="25" t="s">
        <v>640</v>
      </c>
      <c r="B98" s="7" t="s">
        <v>642</v>
      </c>
      <c r="C98" s="88" t="s">
        <v>1229</v>
      </c>
      <c r="D98" s="45" t="s">
        <v>1229</v>
      </c>
      <c r="E98" s="45" t="s">
        <v>1229</v>
      </c>
      <c r="F98" s="88" t="s">
        <v>1229</v>
      </c>
      <c r="G98" s="88" t="s">
        <v>1229</v>
      </c>
      <c r="H98" s="88" t="s">
        <v>1378</v>
      </c>
      <c r="I98" s="88" t="s">
        <v>1378</v>
      </c>
      <c r="J98" s="128" t="s">
        <v>1378</v>
      </c>
      <c r="K98" s="128" t="s">
        <v>1378</v>
      </c>
      <c r="L98" s="128" t="s">
        <v>1378</v>
      </c>
      <c r="M98" s="128" t="s">
        <v>1378</v>
      </c>
      <c r="N98" s="128" t="s">
        <v>1378</v>
      </c>
      <c r="O98" s="128" t="s">
        <v>1229</v>
      </c>
      <c r="P98" s="128" t="s">
        <v>1229</v>
      </c>
      <c r="Q98" s="128" t="s">
        <v>1229</v>
      </c>
    </row>
    <row r="99" spans="1:17" ht="11.25">
      <c r="A99" s="25" t="s">
        <v>1034</v>
      </c>
      <c r="B99" s="7" t="s">
        <v>561</v>
      </c>
      <c r="C99" s="62">
        <v>419.6397</v>
      </c>
      <c r="D99" s="62">
        <v>460.80702206350009</v>
      </c>
      <c r="E99" s="62">
        <v>628.84698522199994</v>
      </c>
      <c r="F99" s="62">
        <v>432.05369420920005</v>
      </c>
      <c r="G99" s="62">
        <v>416.65540744020001</v>
      </c>
      <c r="H99" s="62">
        <v>377.62885641079998</v>
      </c>
      <c r="I99" s="62">
        <v>496.07270858949994</v>
      </c>
      <c r="J99" s="3">
        <v>549</v>
      </c>
      <c r="K99" s="3">
        <v>565</v>
      </c>
      <c r="L99" s="3">
        <v>621</v>
      </c>
      <c r="M99" s="3">
        <v>601</v>
      </c>
      <c r="N99" s="3">
        <v>421</v>
      </c>
      <c r="O99" s="3">
        <v>397</v>
      </c>
      <c r="P99" s="3">
        <v>390</v>
      </c>
      <c r="Q99" s="3">
        <v>410</v>
      </c>
    </row>
    <row r="100" spans="1:17" ht="11.25">
      <c r="A100" s="25" t="s">
        <v>1035</v>
      </c>
      <c r="B100" s="7" t="s">
        <v>562</v>
      </c>
      <c r="C100" s="62">
        <v>34.216299999999997</v>
      </c>
      <c r="D100" s="62">
        <v>36.609234399499996</v>
      </c>
      <c r="E100" s="62">
        <v>38.027252498999992</v>
      </c>
      <c r="F100" s="62">
        <v>52.440072739899996</v>
      </c>
      <c r="G100" s="62">
        <v>56.728595460700006</v>
      </c>
      <c r="H100" s="62">
        <v>54.293450989800007</v>
      </c>
      <c r="I100" s="62">
        <v>54.638929831799999</v>
      </c>
      <c r="J100" s="3">
        <v>56</v>
      </c>
      <c r="K100" s="3">
        <v>41</v>
      </c>
      <c r="L100" s="3">
        <v>44</v>
      </c>
      <c r="M100" s="3">
        <v>57</v>
      </c>
      <c r="N100" s="3">
        <v>56</v>
      </c>
      <c r="O100" s="3">
        <v>57</v>
      </c>
      <c r="P100" s="3">
        <v>54</v>
      </c>
      <c r="Q100" s="3">
        <v>59</v>
      </c>
    </row>
    <row r="101" spans="1:17" ht="11.25">
      <c r="A101" s="25" t="s">
        <v>1036</v>
      </c>
      <c r="B101" s="7" t="s">
        <v>563</v>
      </c>
      <c r="C101" s="62">
        <v>1408.0716</v>
      </c>
      <c r="D101" s="62">
        <v>1431.4076129104003</v>
      </c>
      <c r="E101" s="62">
        <v>783.36385510709999</v>
      </c>
      <c r="F101" s="62">
        <v>1152.0537048818999</v>
      </c>
      <c r="G101" s="62">
        <v>1122.9477915725008</v>
      </c>
      <c r="H101" s="62">
        <v>1077.0882002454998</v>
      </c>
      <c r="I101" s="62">
        <v>1135.9132756912998</v>
      </c>
      <c r="J101" s="3">
        <v>2102</v>
      </c>
      <c r="K101" s="3">
        <v>2433</v>
      </c>
      <c r="L101" s="3">
        <v>2375</v>
      </c>
      <c r="M101" s="3">
        <v>2672</v>
      </c>
      <c r="N101" s="3">
        <v>2953</v>
      </c>
      <c r="O101" s="3">
        <v>5246</v>
      </c>
      <c r="P101" s="3">
        <v>6354</v>
      </c>
      <c r="Q101" s="3">
        <v>6301</v>
      </c>
    </row>
    <row r="102" spans="1:17">
      <c r="A102" s="25"/>
      <c r="B102" s="7"/>
      <c r="C102" s="26"/>
      <c r="D102" s="26"/>
      <c r="E102" s="58"/>
      <c r="F102" s="4"/>
      <c r="G102" s="4"/>
      <c r="H102" s="3"/>
      <c r="I102" s="61"/>
      <c r="J102" s="61"/>
      <c r="L102" s="3"/>
      <c r="M102" s="3"/>
      <c r="N102" s="3"/>
      <c r="O102" s="3"/>
      <c r="Q102" s="3"/>
    </row>
    <row r="103" spans="1:17" ht="11.25">
      <c r="A103" s="24">
        <v>8</v>
      </c>
      <c r="B103" s="8" t="s">
        <v>1453</v>
      </c>
      <c r="C103" s="64">
        <f t="shared" ref="C103:I103" si="7">SUM(C104:C109)</f>
        <v>5406.1668</v>
      </c>
      <c r="D103" s="64">
        <f t="shared" si="7"/>
        <v>5568.2448521188044</v>
      </c>
      <c r="E103" s="64">
        <f t="shared" si="7"/>
        <v>5818.9353294731955</v>
      </c>
      <c r="F103" s="64">
        <f t="shared" si="7"/>
        <v>6086.6769097372971</v>
      </c>
      <c r="G103" s="64">
        <f t="shared" si="7"/>
        <v>6378.069909467702</v>
      </c>
      <c r="H103" s="64">
        <f t="shared" si="7"/>
        <v>6562.6679018627028</v>
      </c>
      <c r="I103" s="64">
        <f t="shared" si="7"/>
        <v>6836.7004502268965</v>
      </c>
      <c r="J103" s="6">
        <v>6954</v>
      </c>
      <c r="K103" s="6">
        <v>7071</v>
      </c>
      <c r="L103" s="6">
        <v>7371</v>
      </c>
      <c r="M103" s="202">
        <v>8388</v>
      </c>
      <c r="N103" s="6">
        <v>8897</v>
      </c>
      <c r="O103" s="6">
        <v>9225</v>
      </c>
      <c r="P103" s="6">
        <v>9370</v>
      </c>
      <c r="Q103" s="6">
        <v>9420</v>
      </c>
    </row>
    <row r="104" spans="1:17" ht="11.25">
      <c r="A104" s="25" t="s">
        <v>1037</v>
      </c>
      <c r="B104" s="7" t="s">
        <v>564</v>
      </c>
      <c r="C104" s="62">
        <v>473.53500000000003</v>
      </c>
      <c r="D104" s="62">
        <v>471.19839059979989</v>
      </c>
      <c r="E104" s="62">
        <v>465.45415126939997</v>
      </c>
      <c r="F104" s="62">
        <v>469.59864542009996</v>
      </c>
      <c r="G104" s="62">
        <v>460.7929899298</v>
      </c>
      <c r="H104" s="62">
        <v>460.03724411000002</v>
      </c>
      <c r="I104" s="62">
        <v>483.36822533970002</v>
      </c>
      <c r="J104" s="3">
        <v>470</v>
      </c>
      <c r="K104" s="3">
        <v>471</v>
      </c>
      <c r="L104" s="3">
        <v>470</v>
      </c>
      <c r="M104" s="3">
        <v>1229</v>
      </c>
      <c r="N104" s="3">
        <v>1483</v>
      </c>
      <c r="O104" s="3">
        <v>1733</v>
      </c>
      <c r="P104" s="3">
        <v>1733</v>
      </c>
      <c r="Q104" s="3">
        <v>1733</v>
      </c>
    </row>
    <row r="105" spans="1:17" ht="11.25">
      <c r="A105" s="25" t="s">
        <v>1038</v>
      </c>
      <c r="B105" s="7" t="s">
        <v>565</v>
      </c>
      <c r="C105" s="62">
        <v>4195.3429999999998</v>
      </c>
      <c r="D105" s="62">
        <v>4382.8237624697058</v>
      </c>
      <c r="E105" s="62">
        <v>4641.6761268224964</v>
      </c>
      <c r="F105" s="62">
        <v>4709.707174725997</v>
      </c>
      <c r="G105" s="62">
        <v>5022.4215325100022</v>
      </c>
      <c r="H105" s="62">
        <v>5221.2188137322037</v>
      </c>
      <c r="I105" s="62">
        <v>5410.433935699597</v>
      </c>
      <c r="J105" s="3">
        <v>5494</v>
      </c>
      <c r="K105" s="3">
        <v>5698</v>
      </c>
      <c r="L105" s="3">
        <v>5960</v>
      </c>
      <c r="M105" s="3">
        <v>6157</v>
      </c>
      <c r="N105" s="3">
        <v>6392</v>
      </c>
      <c r="O105" s="3">
        <v>6489</v>
      </c>
      <c r="P105" s="3">
        <v>6647</v>
      </c>
      <c r="Q105" s="3">
        <v>6660</v>
      </c>
    </row>
    <row r="106" spans="1:17" ht="11.25">
      <c r="A106" s="25" t="s">
        <v>1039</v>
      </c>
      <c r="B106" s="7" t="s">
        <v>566</v>
      </c>
      <c r="C106" s="62">
        <v>684.12720000000002</v>
      </c>
      <c r="D106" s="62">
        <v>662.01071851860002</v>
      </c>
      <c r="E106" s="62">
        <v>655.19886655129994</v>
      </c>
      <c r="F106" s="62">
        <v>691.20886637060005</v>
      </c>
      <c r="G106" s="62">
        <v>690.05287332689988</v>
      </c>
      <c r="H106" s="62">
        <v>676.94481888979988</v>
      </c>
      <c r="I106" s="62">
        <v>694.84298859939963</v>
      </c>
      <c r="J106" s="3">
        <v>697</v>
      </c>
      <c r="K106" s="3">
        <v>687</v>
      </c>
      <c r="L106" s="3">
        <v>728</v>
      </c>
      <c r="M106" s="3">
        <v>748</v>
      </c>
      <c r="N106" s="3">
        <v>616</v>
      </c>
      <c r="O106" s="3">
        <v>590</v>
      </c>
      <c r="P106" s="3">
        <v>570</v>
      </c>
      <c r="Q106" s="3">
        <v>574</v>
      </c>
    </row>
    <row r="107" spans="1:17" ht="11.25">
      <c r="A107" s="25" t="s">
        <v>1040</v>
      </c>
      <c r="B107" s="7" t="s">
        <v>567</v>
      </c>
      <c r="C107" s="62">
        <v>51.897599999999997</v>
      </c>
      <c r="D107" s="62">
        <v>50.923980530500003</v>
      </c>
      <c r="E107" s="62">
        <v>51.890684830000005</v>
      </c>
      <c r="F107" s="62">
        <v>52.8541580702</v>
      </c>
      <c r="G107" s="62">
        <v>53.5061991201</v>
      </c>
      <c r="H107" s="62">
        <v>51.568090539399996</v>
      </c>
      <c r="I107" s="62">
        <v>58.043324219900001</v>
      </c>
      <c r="J107" s="3">
        <v>53</v>
      </c>
      <c r="K107" s="3">
        <v>55</v>
      </c>
      <c r="L107" s="3">
        <v>55</v>
      </c>
      <c r="M107" s="3">
        <v>55</v>
      </c>
      <c r="N107" s="3">
        <v>55</v>
      </c>
      <c r="O107" s="3">
        <v>67</v>
      </c>
      <c r="P107" s="3">
        <v>79</v>
      </c>
      <c r="Q107" s="3">
        <v>84</v>
      </c>
    </row>
    <row r="108" spans="1:17" ht="11.25">
      <c r="A108" s="25" t="s">
        <v>1041</v>
      </c>
      <c r="B108" s="7" t="s">
        <v>507</v>
      </c>
      <c r="C108" s="62">
        <v>1.264</v>
      </c>
      <c r="D108" s="62">
        <v>1.2880000002000001</v>
      </c>
      <c r="E108" s="62">
        <v>1.615</v>
      </c>
      <c r="F108" s="62">
        <v>41.392679420200011</v>
      </c>
      <c r="G108" s="62">
        <v>56.947341390500014</v>
      </c>
      <c r="H108" s="62">
        <v>57.207743481100003</v>
      </c>
      <c r="I108" s="62">
        <v>56.983641078700003</v>
      </c>
      <c r="J108" s="3">
        <v>59</v>
      </c>
      <c r="K108" s="3">
        <v>60</v>
      </c>
      <c r="L108" s="3">
        <v>60</v>
      </c>
      <c r="M108" s="3">
        <v>84</v>
      </c>
      <c r="N108" s="3">
        <v>85</v>
      </c>
      <c r="O108" s="3">
        <v>83</v>
      </c>
      <c r="P108" s="3">
        <v>84</v>
      </c>
      <c r="Q108" s="3">
        <v>87</v>
      </c>
    </row>
    <row r="109" spans="1:17" ht="11.25">
      <c r="A109" s="25" t="s">
        <v>1042</v>
      </c>
      <c r="B109" s="7" t="s">
        <v>508</v>
      </c>
      <c r="C109" s="45" t="s">
        <v>1229</v>
      </c>
      <c r="D109" s="45" t="s">
        <v>1229</v>
      </c>
      <c r="E109" s="62">
        <v>3.1004999999999998</v>
      </c>
      <c r="F109" s="62">
        <v>121.9153857302</v>
      </c>
      <c r="G109" s="62">
        <v>94.348973190399988</v>
      </c>
      <c r="H109" s="62">
        <v>95.691191110199995</v>
      </c>
      <c r="I109" s="62">
        <v>133.02833528960002</v>
      </c>
      <c r="J109" s="3">
        <v>181</v>
      </c>
      <c r="K109" s="3">
        <v>100</v>
      </c>
      <c r="L109" s="3">
        <v>98</v>
      </c>
      <c r="M109" s="3">
        <v>115</v>
      </c>
      <c r="N109" s="3">
        <v>266</v>
      </c>
      <c r="O109" s="3">
        <v>264</v>
      </c>
      <c r="P109" s="3">
        <v>258</v>
      </c>
      <c r="Q109" s="3">
        <v>282</v>
      </c>
    </row>
    <row r="110" spans="1:17">
      <c r="A110" s="25"/>
      <c r="B110" s="7"/>
      <c r="C110" s="26"/>
      <c r="D110" s="26"/>
      <c r="E110" s="55"/>
      <c r="F110" s="4"/>
      <c r="G110" s="4"/>
      <c r="H110" s="3"/>
      <c r="I110" s="61"/>
      <c r="J110" s="61"/>
      <c r="L110" s="3"/>
      <c r="M110" s="3"/>
      <c r="N110" s="3"/>
      <c r="O110" s="3"/>
    </row>
    <row r="111" spans="1:17" ht="11.25">
      <c r="A111" s="24">
        <v>9</v>
      </c>
      <c r="B111" s="8" t="s">
        <v>465</v>
      </c>
      <c r="C111" s="64">
        <f t="shared" ref="C111:I111" si="8">SUM(C112:C122)</f>
        <v>44833.972000000002</v>
      </c>
      <c r="D111" s="64">
        <f t="shared" si="8"/>
        <v>47341.458724786593</v>
      </c>
      <c r="E111" s="64">
        <f t="shared" si="8"/>
        <v>52107.999830908513</v>
      </c>
      <c r="F111" s="64">
        <f t="shared" si="8"/>
        <v>48969.49154811287</v>
      </c>
      <c r="G111" s="64">
        <f t="shared" si="8"/>
        <v>51783.015895382407</v>
      </c>
      <c r="H111" s="64">
        <f t="shared" si="8"/>
        <v>50379.417382730506</v>
      </c>
      <c r="I111" s="64">
        <f t="shared" si="8"/>
        <v>53128.599052557074</v>
      </c>
      <c r="J111" s="6">
        <v>47027</v>
      </c>
      <c r="K111" s="6">
        <v>48243</v>
      </c>
      <c r="L111" s="6">
        <v>53872</v>
      </c>
      <c r="M111" s="6">
        <v>57203</v>
      </c>
      <c r="N111" s="6">
        <v>56412</v>
      </c>
      <c r="O111" s="6">
        <v>54221</v>
      </c>
      <c r="P111" s="6">
        <v>56014</v>
      </c>
      <c r="Q111" s="6">
        <v>56912</v>
      </c>
    </row>
    <row r="112" spans="1:17" ht="11.25">
      <c r="A112" s="25" t="s">
        <v>643</v>
      </c>
      <c r="B112" s="7" t="s">
        <v>644</v>
      </c>
      <c r="C112" s="45" t="s">
        <v>1229</v>
      </c>
      <c r="D112" s="45" t="s">
        <v>1229</v>
      </c>
      <c r="E112" s="45" t="s">
        <v>1229</v>
      </c>
      <c r="F112" s="45" t="s">
        <v>1229</v>
      </c>
      <c r="G112" s="45" t="s">
        <v>1229</v>
      </c>
      <c r="H112" s="62">
        <v>664.84223573719999</v>
      </c>
      <c r="I112" s="62">
        <v>2277.0429975000002</v>
      </c>
      <c r="J112" s="3">
        <v>-57</v>
      </c>
      <c r="K112" s="3">
        <v>1</v>
      </c>
      <c r="L112" s="45" t="s">
        <v>1229</v>
      </c>
      <c r="M112" s="45" t="s">
        <v>1229</v>
      </c>
      <c r="N112" s="45" t="s">
        <v>1229</v>
      </c>
      <c r="O112" s="45" t="s">
        <v>1229</v>
      </c>
      <c r="P112" s="45" t="s">
        <v>1229</v>
      </c>
      <c r="Q112" s="45" t="s">
        <v>1229</v>
      </c>
    </row>
    <row r="113" spans="1:17" ht="11.25">
      <c r="A113" s="25" t="s">
        <v>1043</v>
      </c>
      <c r="B113" s="7" t="s">
        <v>1382</v>
      </c>
      <c r="C113" s="62">
        <v>525.87980000000005</v>
      </c>
      <c r="D113" s="62">
        <v>936.66865044930012</v>
      </c>
      <c r="E113" s="62">
        <v>1826.9859214617998</v>
      </c>
      <c r="F113" s="62">
        <v>2824.3601065851003</v>
      </c>
      <c r="G113" s="62">
        <v>3735.7654605523994</v>
      </c>
      <c r="H113" s="62">
        <v>1793.8327085312999</v>
      </c>
      <c r="I113" s="62">
        <v>1296.5210113579999</v>
      </c>
      <c r="J113" s="3">
        <v>368</v>
      </c>
      <c r="K113" s="3">
        <v>251</v>
      </c>
      <c r="L113" s="3">
        <v>129</v>
      </c>
      <c r="M113" s="3">
        <v>122</v>
      </c>
      <c r="N113" s="3">
        <v>121</v>
      </c>
      <c r="O113" s="3">
        <v>122</v>
      </c>
      <c r="P113" s="3">
        <v>148</v>
      </c>
      <c r="Q113" s="3">
        <v>131</v>
      </c>
    </row>
    <row r="114" spans="1:17" ht="11.25">
      <c r="A114" s="25" t="s">
        <v>1044</v>
      </c>
      <c r="B114" s="7" t="s">
        <v>1383</v>
      </c>
      <c r="C114" s="62">
        <v>2493.3317000000002</v>
      </c>
      <c r="D114" s="62">
        <v>2522.302576</v>
      </c>
      <c r="E114" s="62">
        <v>2531.9719990000003</v>
      </c>
      <c r="F114" s="62">
        <v>2529.241246</v>
      </c>
      <c r="G114" s="62">
        <v>2613.7329995300001</v>
      </c>
      <c r="H114" s="62">
        <v>2650.8069999999998</v>
      </c>
      <c r="I114" s="62">
        <v>2701.0724677799999</v>
      </c>
      <c r="J114" s="3">
        <v>3079</v>
      </c>
      <c r="K114" s="3">
        <v>3107</v>
      </c>
      <c r="L114" s="3">
        <v>3166</v>
      </c>
      <c r="M114" s="45" t="s">
        <v>1229</v>
      </c>
      <c r="N114" s="45" t="s">
        <v>1229</v>
      </c>
      <c r="O114" s="45" t="s">
        <v>1229</v>
      </c>
      <c r="P114" s="45" t="s">
        <v>1229</v>
      </c>
      <c r="Q114" s="45" t="s">
        <v>1229</v>
      </c>
    </row>
    <row r="115" spans="1:17" ht="11.25">
      <c r="A115" s="25" t="s">
        <v>1045</v>
      </c>
      <c r="B115" s="7" t="s">
        <v>1384</v>
      </c>
      <c r="C115" s="62">
        <v>103.3456</v>
      </c>
      <c r="D115" s="62">
        <v>110.41648537019999</v>
      </c>
      <c r="E115" s="62">
        <v>115.71527900039999</v>
      </c>
      <c r="F115" s="62">
        <v>123.00220851979999</v>
      </c>
      <c r="G115" s="62">
        <v>130.8003673904</v>
      </c>
      <c r="H115" s="62">
        <v>243.81364969019998</v>
      </c>
      <c r="I115" s="62">
        <v>253.13066642939995</v>
      </c>
      <c r="J115" s="3">
        <v>218</v>
      </c>
      <c r="K115" s="3">
        <v>114</v>
      </c>
      <c r="L115" s="3">
        <v>115</v>
      </c>
      <c r="M115" s="3">
        <v>3379</v>
      </c>
      <c r="N115" s="3">
        <v>3392</v>
      </c>
      <c r="O115" s="3">
        <v>3422</v>
      </c>
      <c r="P115" s="3">
        <v>3685</v>
      </c>
      <c r="Q115" s="3">
        <v>3791</v>
      </c>
    </row>
    <row r="116" spans="1:17" ht="11.25">
      <c r="A116" s="25" t="s">
        <v>1385</v>
      </c>
      <c r="B116" s="7" t="s">
        <v>1103</v>
      </c>
      <c r="C116" s="45" t="s">
        <v>1229</v>
      </c>
      <c r="D116" s="45" t="s">
        <v>1229</v>
      </c>
      <c r="E116" s="45" t="s">
        <v>1229</v>
      </c>
      <c r="F116" s="88" t="s">
        <v>1229</v>
      </c>
      <c r="G116" s="88" t="s">
        <v>1229</v>
      </c>
      <c r="H116" s="88" t="s">
        <v>1378</v>
      </c>
      <c r="I116" s="88" t="s">
        <v>1378</v>
      </c>
      <c r="J116" s="128" t="s">
        <v>1378</v>
      </c>
      <c r="K116" s="128" t="s">
        <v>1378</v>
      </c>
      <c r="L116" s="128" t="s">
        <v>1378</v>
      </c>
      <c r="M116" s="45" t="s">
        <v>1229</v>
      </c>
      <c r="N116" s="45" t="s">
        <v>1229</v>
      </c>
      <c r="O116" s="45" t="s">
        <v>1229</v>
      </c>
      <c r="P116" s="45" t="s">
        <v>1229</v>
      </c>
      <c r="Q116" s="45" t="s">
        <v>1229</v>
      </c>
    </row>
    <row r="117" spans="1:17" ht="11.25">
      <c r="A117" s="25" t="s">
        <v>1046</v>
      </c>
      <c r="B117" s="7" t="s">
        <v>1104</v>
      </c>
      <c r="C117" s="62">
        <v>23294.313200000001</v>
      </c>
      <c r="D117" s="62">
        <v>16615.873859020205</v>
      </c>
      <c r="E117" s="62">
        <v>19370.66748210329</v>
      </c>
      <c r="F117" s="88">
        <v>39500.957652751975</v>
      </c>
      <c r="G117" s="88">
        <v>41025.994762534108</v>
      </c>
      <c r="H117" s="62">
        <v>40164.387585781005</v>
      </c>
      <c r="I117" s="62">
        <v>41927.940528401974</v>
      </c>
      <c r="J117" s="3">
        <v>39609</v>
      </c>
      <c r="K117" s="3">
        <v>40565</v>
      </c>
      <c r="L117" s="3">
        <v>45644</v>
      </c>
      <c r="M117" s="3">
        <v>47704</v>
      </c>
      <c r="N117" s="3">
        <v>46877</v>
      </c>
      <c r="O117" s="3">
        <v>45716</v>
      </c>
      <c r="P117" s="3">
        <v>45676</v>
      </c>
      <c r="Q117" s="3">
        <v>42384</v>
      </c>
    </row>
    <row r="118" spans="1:17" ht="11.25">
      <c r="A118" s="25" t="s">
        <v>1105</v>
      </c>
      <c r="B118" s="7" t="s">
        <v>1106</v>
      </c>
      <c r="C118" s="45" t="s">
        <v>1229</v>
      </c>
      <c r="D118" s="45" t="s">
        <v>1229</v>
      </c>
      <c r="E118" s="45" t="s">
        <v>1229</v>
      </c>
      <c r="F118" s="88" t="s">
        <v>1229</v>
      </c>
      <c r="G118" s="88" t="s">
        <v>1229</v>
      </c>
      <c r="H118" s="88" t="s">
        <v>1378</v>
      </c>
      <c r="I118" s="88" t="s">
        <v>1378</v>
      </c>
      <c r="J118" s="128" t="s">
        <v>1378</v>
      </c>
      <c r="K118" s="128" t="s">
        <v>1378</v>
      </c>
      <c r="L118" s="128" t="s">
        <v>1378</v>
      </c>
      <c r="M118" s="45" t="s">
        <v>1229</v>
      </c>
      <c r="N118" s="45" t="s">
        <v>1229</v>
      </c>
      <c r="O118" s="45" t="s">
        <v>1229</v>
      </c>
      <c r="P118" s="45" t="s">
        <v>1229</v>
      </c>
      <c r="Q118" s="45">
        <v>48</v>
      </c>
    </row>
    <row r="119" spans="1:17" ht="11.25">
      <c r="A119" s="25" t="s">
        <v>1047</v>
      </c>
      <c r="B119" s="7" t="s">
        <v>1107</v>
      </c>
      <c r="C119" s="62">
        <v>16733.713500000002</v>
      </c>
      <c r="D119" s="62">
        <v>23424.211867482692</v>
      </c>
      <c r="E119" s="62">
        <v>21543.227159750018</v>
      </c>
      <c r="F119" s="88">
        <v>2453.2038715978001</v>
      </c>
      <c r="G119" s="88">
        <v>2817.3406803679995</v>
      </c>
      <c r="H119" s="62">
        <v>3394.3316522662021</v>
      </c>
      <c r="I119" s="62">
        <v>3073.4851776810992</v>
      </c>
      <c r="J119" s="3">
        <v>1588</v>
      </c>
      <c r="K119" s="3">
        <v>1805</v>
      </c>
      <c r="L119" s="3">
        <v>2145</v>
      </c>
      <c r="M119" s="3">
        <v>3194</v>
      </c>
      <c r="N119" s="3">
        <v>3162</v>
      </c>
      <c r="O119" s="3">
        <v>2207</v>
      </c>
      <c r="P119" s="3">
        <v>3009</v>
      </c>
      <c r="Q119" s="3">
        <v>6099</v>
      </c>
    </row>
    <row r="120" spans="1:17" ht="11.25">
      <c r="A120" s="25" t="s">
        <v>1048</v>
      </c>
      <c r="B120" s="7" t="s">
        <v>1108</v>
      </c>
      <c r="C120" s="62">
        <v>334.64440000000002</v>
      </c>
      <c r="D120" s="62">
        <v>347.55878235250003</v>
      </c>
      <c r="E120" s="62">
        <v>376.81378747810004</v>
      </c>
      <c r="F120" s="88">
        <v>78.581909330199991</v>
      </c>
      <c r="G120" s="88">
        <v>106.10408875999998</v>
      </c>
      <c r="H120" s="62">
        <v>110.43318230999999</v>
      </c>
      <c r="I120" s="62">
        <v>109.46619804000001</v>
      </c>
      <c r="J120" s="3">
        <v>511</v>
      </c>
      <c r="K120" s="3">
        <v>919</v>
      </c>
      <c r="L120" s="3">
        <v>458</v>
      </c>
      <c r="M120" s="3">
        <v>374</v>
      </c>
      <c r="N120" s="3">
        <v>373</v>
      </c>
      <c r="O120" s="3">
        <v>380</v>
      </c>
      <c r="P120" s="3">
        <v>345</v>
      </c>
      <c r="Q120" s="3">
        <v>340</v>
      </c>
    </row>
    <row r="121" spans="1:17" ht="11.25">
      <c r="A121" s="25" t="s">
        <v>1049</v>
      </c>
      <c r="B121" s="7" t="s">
        <v>1109</v>
      </c>
      <c r="C121" s="62">
        <v>8.1892999999999994</v>
      </c>
      <c r="D121" s="62">
        <v>1801.920750175</v>
      </c>
      <c r="E121" s="62">
        <v>2111.8324290186001</v>
      </c>
      <c r="F121" s="88" t="s">
        <v>1229</v>
      </c>
      <c r="G121" s="88">
        <v>27.171733529899988</v>
      </c>
      <c r="H121" s="62">
        <v>29.467483410099995</v>
      </c>
      <c r="I121" s="62">
        <v>30.792779020099999</v>
      </c>
      <c r="J121" s="3">
        <v>32</v>
      </c>
      <c r="K121" s="3">
        <v>32</v>
      </c>
      <c r="L121" s="3">
        <v>36</v>
      </c>
      <c r="M121" s="3">
        <v>37</v>
      </c>
      <c r="N121" s="3">
        <v>38</v>
      </c>
      <c r="O121" s="3">
        <v>38</v>
      </c>
      <c r="P121" s="3">
        <v>38</v>
      </c>
      <c r="Q121" s="3">
        <v>41</v>
      </c>
    </row>
    <row r="122" spans="1:17" ht="11.25">
      <c r="A122" s="25" t="s">
        <v>1050</v>
      </c>
      <c r="B122" s="7" t="s">
        <v>754</v>
      </c>
      <c r="C122" s="62">
        <v>1340.5545</v>
      </c>
      <c r="D122" s="62">
        <v>1582.5057539366996</v>
      </c>
      <c r="E122" s="62">
        <v>4230.7857730963005</v>
      </c>
      <c r="F122" s="62">
        <v>1460.1445533279996</v>
      </c>
      <c r="G122" s="62">
        <v>1326.1058027175993</v>
      </c>
      <c r="H122" s="62">
        <v>1327.5018850044992</v>
      </c>
      <c r="I122" s="62">
        <v>1459.1472263465007</v>
      </c>
      <c r="J122" s="3">
        <v>1679</v>
      </c>
      <c r="K122" s="3">
        <v>1449</v>
      </c>
      <c r="L122" s="3">
        <v>2179</v>
      </c>
      <c r="M122" s="3">
        <v>2393</v>
      </c>
      <c r="N122" s="3">
        <v>2449</v>
      </c>
      <c r="O122" s="3">
        <v>2336</v>
      </c>
      <c r="P122" s="3">
        <v>3113</v>
      </c>
      <c r="Q122" s="3">
        <v>4080</v>
      </c>
    </row>
    <row r="123" spans="1:17">
      <c r="A123" s="25"/>
      <c r="B123" s="7"/>
      <c r="C123" s="62"/>
      <c r="D123" s="62"/>
      <c r="E123" s="62"/>
      <c r="F123" s="62"/>
      <c r="G123" s="62"/>
      <c r="H123" s="62"/>
      <c r="I123" s="61"/>
      <c r="J123" s="61"/>
      <c r="L123" s="3"/>
      <c r="M123" s="3"/>
      <c r="N123" s="3"/>
      <c r="O123" s="3"/>
    </row>
    <row r="124" spans="1:17" ht="11.25">
      <c r="A124" s="24">
        <v>10</v>
      </c>
      <c r="B124" s="8" t="s">
        <v>466</v>
      </c>
      <c r="C124" s="64">
        <f t="shared" ref="C124:I124" si="9">SUM(C125:C134)</f>
        <v>239803.80930000002</v>
      </c>
      <c r="D124" s="64">
        <f t="shared" si="9"/>
        <v>258855.16538571849</v>
      </c>
      <c r="E124" s="64">
        <f t="shared" si="9"/>
        <v>273269.88830815669</v>
      </c>
      <c r="F124" s="64">
        <f t="shared" si="9"/>
        <v>309864.97778316721</v>
      </c>
      <c r="G124" s="64">
        <f t="shared" si="9"/>
        <v>315339.7784427157</v>
      </c>
      <c r="H124" s="64">
        <f t="shared" si="9"/>
        <v>318721.73863623652</v>
      </c>
      <c r="I124" s="64">
        <f t="shared" si="9"/>
        <v>321730.45335276</v>
      </c>
      <c r="J124" s="6">
        <v>304347</v>
      </c>
      <c r="K124" s="6">
        <v>296636</v>
      </c>
      <c r="L124" s="6">
        <v>306255</v>
      </c>
      <c r="M124" s="6">
        <v>303668</v>
      </c>
      <c r="N124" s="6">
        <v>297198</v>
      </c>
      <c r="O124" s="6">
        <v>304921</v>
      </c>
      <c r="P124" s="6">
        <v>312357</v>
      </c>
      <c r="Q124" s="6">
        <v>322505</v>
      </c>
    </row>
    <row r="125" spans="1:17" ht="11.25">
      <c r="A125" s="25" t="s">
        <v>1051</v>
      </c>
      <c r="B125" s="7" t="s">
        <v>755</v>
      </c>
      <c r="C125" s="62">
        <v>45676.7713</v>
      </c>
      <c r="D125" s="62">
        <v>52201.562113500098</v>
      </c>
      <c r="E125" s="62">
        <v>57620.451209409897</v>
      </c>
      <c r="F125" s="62">
        <v>57637.904677061211</v>
      </c>
      <c r="G125" s="62">
        <v>50558.039379467707</v>
      </c>
      <c r="H125" s="62">
        <v>45334.839032336713</v>
      </c>
      <c r="I125" s="62">
        <v>42613.649013766808</v>
      </c>
      <c r="J125" s="3">
        <v>45027</v>
      </c>
      <c r="K125" s="3">
        <v>39679</v>
      </c>
      <c r="L125" s="3">
        <v>35444</v>
      </c>
      <c r="M125" s="3">
        <v>32373</v>
      </c>
      <c r="N125" s="3">
        <v>35558</v>
      </c>
      <c r="O125" s="3">
        <v>36577</v>
      </c>
      <c r="P125" s="3">
        <v>39474</v>
      </c>
      <c r="Q125" s="3">
        <v>43761</v>
      </c>
    </row>
    <row r="126" spans="1:17" ht="11.25">
      <c r="A126" s="25" t="s">
        <v>1052</v>
      </c>
      <c r="B126" s="7" t="s">
        <v>756</v>
      </c>
      <c r="C126" s="62">
        <v>7506.8067000000001</v>
      </c>
      <c r="D126" s="62">
        <v>8699.9056758231982</v>
      </c>
      <c r="E126" s="62">
        <v>10133.198996305204</v>
      </c>
      <c r="F126" s="62">
        <v>11319.034459954704</v>
      </c>
      <c r="G126" s="62">
        <v>76816.332330815218</v>
      </c>
      <c r="H126" s="62">
        <v>87643.82492290769</v>
      </c>
      <c r="I126" s="62">
        <v>89683.087531697805</v>
      </c>
      <c r="J126" s="3">
        <v>89790</v>
      </c>
      <c r="K126" s="3">
        <v>92678</v>
      </c>
      <c r="L126" s="3">
        <v>92539</v>
      </c>
      <c r="M126" s="3">
        <v>86880</v>
      </c>
      <c r="N126" s="3">
        <v>80815</v>
      </c>
      <c r="O126" s="3">
        <v>78713</v>
      </c>
      <c r="P126" s="3">
        <v>77577</v>
      </c>
      <c r="Q126" s="3">
        <v>77485</v>
      </c>
    </row>
    <row r="127" spans="1:17" ht="11.25">
      <c r="A127" s="25" t="s">
        <v>1053</v>
      </c>
      <c r="B127" s="7" t="s">
        <v>757</v>
      </c>
      <c r="C127" s="62">
        <v>69890</v>
      </c>
      <c r="D127" s="62">
        <v>71627.652893433289</v>
      </c>
      <c r="E127" s="62">
        <v>70934.344940000199</v>
      </c>
      <c r="F127" s="62">
        <v>94595.726597870205</v>
      </c>
      <c r="G127" s="62">
        <v>35564.654247320199</v>
      </c>
      <c r="H127" s="62">
        <v>35027.634110125495</v>
      </c>
      <c r="I127" s="62">
        <v>35168.706571699193</v>
      </c>
      <c r="J127" s="3">
        <v>35459</v>
      </c>
      <c r="K127" s="3">
        <v>35610</v>
      </c>
      <c r="L127" s="3">
        <v>35835</v>
      </c>
      <c r="M127" s="3">
        <v>35970</v>
      </c>
      <c r="N127" s="3">
        <v>36527</v>
      </c>
      <c r="O127" s="3">
        <v>37810</v>
      </c>
      <c r="P127" s="3">
        <v>36332</v>
      </c>
      <c r="Q127" s="3">
        <v>37255</v>
      </c>
    </row>
    <row r="128" spans="1:17" ht="11.25">
      <c r="A128" s="25" t="s">
        <v>1054</v>
      </c>
      <c r="B128" s="7" t="s">
        <v>758</v>
      </c>
      <c r="C128" s="62">
        <v>13805.9133</v>
      </c>
      <c r="D128" s="62">
        <v>14006.673915000001</v>
      </c>
      <c r="E128" s="62">
        <v>14421.269721999999</v>
      </c>
      <c r="F128" s="62">
        <v>16656.404558999999</v>
      </c>
      <c r="G128" s="62">
        <v>16985.7351237</v>
      </c>
      <c r="H128" s="62">
        <v>16903.135775999999</v>
      </c>
      <c r="I128" s="62">
        <v>16839.725201699999</v>
      </c>
      <c r="J128" s="3">
        <v>16711</v>
      </c>
      <c r="K128" s="3">
        <v>16700</v>
      </c>
      <c r="L128" s="3">
        <v>16863</v>
      </c>
      <c r="M128" s="3">
        <v>16055</v>
      </c>
      <c r="N128" s="3">
        <v>15360</v>
      </c>
      <c r="O128" s="3">
        <v>15125</v>
      </c>
      <c r="P128" s="3">
        <v>14759</v>
      </c>
      <c r="Q128" s="3">
        <v>13912</v>
      </c>
    </row>
    <row r="129" spans="1:17" ht="11.25">
      <c r="A129" s="25" t="s">
        <v>1055</v>
      </c>
      <c r="B129" s="7" t="s">
        <v>759</v>
      </c>
      <c r="C129" s="62">
        <v>40430.550999999999</v>
      </c>
      <c r="D129" s="62">
        <v>44078.241674630299</v>
      </c>
      <c r="E129" s="62">
        <v>49450.753187509588</v>
      </c>
      <c r="F129" s="62">
        <v>51270.0931441102</v>
      </c>
      <c r="G129" s="62">
        <v>52497.720014270802</v>
      </c>
      <c r="H129" s="62">
        <v>53786.492712190193</v>
      </c>
      <c r="I129" s="62">
        <v>58274.940100859407</v>
      </c>
      <c r="J129" s="3">
        <v>59636</v>
      </c>
      <c r="K129" s="3">
        <v>61004</v>
      </c>
      <c r="L129" s="3">
        <v>62285</v>
      </c>
      <c r="M129" s="3">
        <v>64113</v>
      </c>
      <c r="N129" s="3">
        <v>66056</v>
      </c>
      <c r="O129" s="3">
        <v>67593</v>
      </c>
      <c r="P129" s="3">
        <v>70342</v>
      </c>
      <c r="Q129" s="3">
        <v>71946</v>
      </c>
    </row>
    <row r="130" spans="1:17" ht="11.25">
      <c r="A130" s="25" t="s">
        <v>1056</v>
      </c>
      <c r="B130" s="7" t="s">
        <v>760</v>
      </c>
      <c r="C130" s="62">
        <v>37761.436000000002</v>
      </c>
      <c r="D130" s="62">
        <v>41649.143425515402</v>
      </c>
      <c r="E130" s="62">
        <v>42875.991122197105</v>
      </c>
      <c r="F130" s="62">
        <v>46410.829935880392</v>
      </c>
      <c r="G130" s="62">
        <v>51437.099398929786</v>
      </c>
      <c r="H130" s="62">
        <v>52991.839716667811</v>
      </c>
      <c r="I130" s="62">
        <v>50350.754001010486</v>
      </c>
      <c r="J130" s="3">
        <v>35694</v>
      </c>
      <c r="K130" s="3">
        <v>27850</v>
      </c>
      <c r="L130" s="3">
        <v>37886</v>
      </c>
      <c r="M130" s="3">
        <v>43532</v>
      </c>
      <c r="N130" s="3">
        <v>36830</v>
      </c>
      <c r="O130" s="3">
        <v>38263</v>
      </c>
      <c r="P130" s="3">
        <v>38944</v>
      </c>
      <c r="Q130" s="3">
        <v>39732</v>
      </c>
    </row>
    <row r="131" spans="1:17" ht="11.25">
      <c r="A131" s="25" t="s">
        <v>1057</v>
      </c>
      <c r="B131" s="7" t="s">
        <v>761</v>
      </c>
      <c r="C131" s="62">
        <v>13992.6147</v>
      </c>
      <c r="D131" s="62">
        <v>14401.445031499999</v>
      </c>
      <c r="E131" s="62">
        <v>14219.954541500001</v>
      </c>
      <c r="F131" s="62">
        <v>15207.769478</v>
      </c>
      <c r="G131" s="62">
        <v>15148.5969073</v>
      </c>
      <c r="H131" s="62">
        <v>11420.796103000001</v>
      </c>
      <c r="I131" s="62">
        <v>11464.9806771</v>
      </c>
      <c r="J131" s="3">
        <v>11042</v>
      </c>
      <c r="K131" s="3">
        <v>10773</v>
      </c>
      <c r="L131" s="3">
        <v>10776</v>
      </c>
      <c r="M131" s="3">
        <v>11096</v>
      </c>
      <c r="N131" s="3">
        <v>11471</v>
      </c>
      <c r="O131" s="3">
        <v>12969</v>
      </c>
      <c r="P131" s="3">
        <v>13373</v>
      </c>
      <c r="Q131" s="3">
        <v>14175</v>
      </c>
    </row>
    <row r="132" spans="1:17" ht="11.25">
      <c r="A132" s="25" t="s">
        <v>1058</v>
      </c>
      <c r="B132" s="7" t="s">
        <v>762</v>
      </c>
      <c r="C132" s="62">
        <v>4982.4710999999998</v>
      </c>
      <c r="D132" s="62">
        <v>5878.5371243805002</v>
      </c>
      <c r="E132" s="62">
        <v>7204.9023857562979</v>
      </c>
      <c r="F132" s="62">
        <v>9601.5019299658015</v>
      </c>
      <c r="G132" s="62">
        <v>9060.8623017564023</v>
      </c>
      <c r="H132" s="62">
        <v>8254.4232362071034</v>
      </c>
      <c r="I132" s="62">
        <v>9263.6388687454946</v>
      </c>
      <c r="J132" s="3">
        <v>6540</v>
      </c>
      <c r="K132" s="3">
        <v>7209</v>
      </c>
      <c r="L132" s="3">
        <v>9493</v>
      </c>
      <c r="M132" s="3">
        <v>13181</v>
      </c>
      <c r="N132" s="3">
        <v>14094</v>
      </c>
      <c r="O132" s="3">
        <v>17352</v>
      </c>
      <c r="P132" s="3">
        <v>20972</v>
      </c>
      <c r="Q132" s="3">
        <v>23602</v>
      </c>
    </row>
    <row r="133" spans="1:17" ht="11.25">
      <c r="A133" s="25" t="s">
        <v>1059</v>
      </c>
      <c r="B133" s="7" t="s">
        <v>763</v>
      </c>
      <c r="C133" s="62">
        <v>755.52530000000002</v>
      </c>
      <c r="D133" s="62">
        <v>1003.6650650882001</v>
      </c>
      <c r="E133" s="62">
        <v>1028.1458325569004</v>
      </c>
      <c r="F133" s="62">
        <v>1229.2986851772998</v>
      </c>
      <c r="G133" s="62">
        <v>1268.0295158715999</v>
      </c>
      <c r="H133" s="62">
        <v>267.65913256919993</v>
      </c>
      <c r="I133" s="62">
        <v>291.90390382490006</v>
      </c>
      <c r="J133" s="3">
        <v>323</v>
      </c>
      <c r="K133" s="3">
        <v>345</v>
      </c>
      <c r="L133" s="3">
        <v>387</v>
      </c>
      <c r="M133" s="3">
        <v>387</v>
      </c>
      <c r="N133" s="3">
        <v>391</v>
      </c>
      <c r="O133" s="3">
        <v>412</v>
      </c>
      <c r="P133" s="3">
        <v>472</v>
      </c>
      <c r="Q133" s="3">
        <v>520</v>
      </c>
    </row>
    <row r="134" spans="1:17" ht="11.25">
      <c r="A134" s="25" t="s">
        <v>1060</v>
      </c>
      <c r="B134" s="7" t="s">
        <v>764</v>
      </c>
      <c r="C134" s="62">
        <v>5001.7199000000001</v>
      </c>
      <c r="D134" s="62">
        <v>5308.3384668475001</v>
      </c>
      <c r="E134" s="62">
        <v>5380.8763709215</v>
      </c>
      <c r="F134" s="62">
        <v>5936.4143161473985</v>
      </c>
      <c r="G134" s="62">
        <v>6002.7092232840005</v>
      </c>
      <c r="H134" s="62">
        <v>7091.0938942322991</v>
      </c>
      <c r="I134" s="62">
        <v>7779.0674823559011</v>
      </c>
      <c r="J134" s="3">
        <v>4125</v>
      </c>
      <c r="K134" s="3">
        <v>4788</v>
      </c>
      <c r="L134" s="3">
        <v>4747</v>
      </c>
      <c r="M134" s="3">
        <v>81</v>
      </c>
      <c r="N134" s="3">
        <v>96</v>
      </c>
      <c r="O134" s="3">
        <v>107</v>
      </c>
      <c r="P134" s="3">
        <v>113</v>
      </c>
      <c r="Q134" s="3">
        <v>119</v>
      </c>
    </row>
    <row r="135" spans="1:17">
      <c r="A135" s="24"/>
      <c r="B135" s="8"/>
      <c r="C135" s="14"/>
      <c r="D135" s="14"/>
      <c r="E135" s="55"/>
      <c r="F135" s="4"/>
      <c r="G135" s="4"/>
      <c r="H135" s="61"/>
      <c r="I135" s="61"/>
      <c r="J135" s="61"/>
      <c r="L135" s="3"/>
      <c r="M135" s="3"/>
      <c r="N135" s="3"/>
      <c r="O135" s="3"/>
    </row>
    <row r="136" spans="1:17" ht="15">
      <c r="A136" s="24"/>
      <c r="B136" s="8"/>
      <c r="C136" s="14"/>
      <c r="D136" s="14"/>
      <c r="E136" s="55"/>
      <c r="F136" s="4"/>
      <c r="G136" s="4"/>
      <c r="H136" s="61"/>
      <c r="I136" s="182"/>
      <c r="J136" s="182"/>
      <c r="L136" s="3"/>
      <c r="M136" s="3"/>
      <c r="N136" s="3"/>
      <c r="O136" s="3"/>
    </row>
    <row r="137" spans="1:17" ht="12" thickBot="1">
      <c r="A137" s="28"/>
      <c r="B137" s="19" t="s">
        <v>1230</v>
      </c>
      <c r="C137" s="20">
        <f t="shared" ref="C137:I137" si="10">C7+C22+C29+C37+C71+C79+C87+C103+C111+C124</f>
        <v>709565.79579999996</v>
      </c>
      <c r="D137" s="20">
        <f t="shared" si="10"/>
        <v>722036.39028116665</v>
      </c>
      <c r="E137" s="20">
        <f t="shared" si="10"/>
        <v>725331.75682336825</v>
      </c>
      <c r="F137" s="20">
        <f t="shared" si="10"/>
        <v>703470.25355044578</v>
      </c>
      <c r="G137" s="20">
        <f t="shared" si="10"/>
        <v>740728.38539333479</v>
      </c>
      <c r="H137" s="20">
        <f t="shared" si="10"/>
        <v>724955.60264117806</v>
      </c>
      <c r="I137" s="20">
        <f t="shared" si="10"/>
        <v>765537.76150602102</v>
      </c>
      <c r="J137" s="20">
        <v>769172</v>
      </c>
      <c r="K137" s="20">
        <v>790263</v>
      </c>
      <c r="L137" s="79">
        <v>781270</v>
      </c>
      <c r="M137" s="75">
        <v>786389</v>
      </c>
      <c r="N137" s="79">
        <f>N124+N111+N103+N87+N79+N71+N37+N29+N22+N7</f>
        <v>801478</v>
      </c>
      <c r="O137" s="79">
        <v>811088</v>
      </c>
      <c r="P137" s="79">
        <v>827388</v>
      </c>
      <c r="Q137" s="79">
        <v>840872</v>
      </c>
    </row>
    <row r="138" spans="1:17">
      <c r="A138" s="23" t="s">
        <v>179</v>
      </c>
      <c r="F138" s="4"/>
      <c r="G138" s="4"/>
      <c r="H138" s="3"/>
      <c r="I138" s="61"/>
      <c r="J138" s="61"/>
      <c r="O138" s="131"/>
    </row>
    <row r="139" spans="1:17">
      <c r="A139" s="42" t="s">
        <v>539</v>
      </c>
      <c r="B139" s="675"/>
      <c r="C139" s="4" t="s">
        <v>189</v>
      </c>
      <c r="D139" s="4" t="s">
        <v>189</v>
      </c>
      <c r="F139" s="4"/>
      <c r="G139" s="4"/>
      <c r="H139" s="3"/>
      <c r="I139" s="61"/>
      <c r="J139" s="61"/>
    </row>
    <row r="140" spans="1:17">
      <c r="I140" s="61"/>
      <c r="J140" s="61"/>
    </row>
    <row r="141" spans="1:17">
      <c r="I141" s="61"/>
      <c r="J141" s="61"/>
    </row>
    <row r="142" spans="1:17">
      <c r="I142" s="61"/>
      <c r="J142" s="61"/>
    </row>
    <row r="143" spans="1:17">
      <c r="I143" s="61"/>
      <c r="J143" s="61"/>
    </row>
    <row r="144" spans="1:17">
      <c r="I144" s="61"/>
      <c r="J144" s="61"/>
    </row>
    <row r="145" spans="6:10">
      <c r="I145" s="61"/>
      <c r="J145" s="61"/>
    </row>
    <row r="146" spans="6:10" ht="11.25">
      <c r="F146" s="4"/>
      <c r="G146" s="4"/>
    </row>
    <row r="147" spans="6:10" ht="11.25">
      <c r="F147" s="4"/>
      <c r="G147" s="4"/>
    </row>
    <row r="148" spans="6:10" ht="11.25">
      <c r="F148" s="4"/>
      <c r="G148" s="4"/>
    </row>
    <row r="149" spans="6:10" ht="11.25">
      <c r="F149" s="4"/>
      <c r="G149" s="4"/>
    </row>
    <row r="150" spans="6:10" ht="11.25">
      <c r="F150" s="4"/>
      <c r="G150" s="4"/>
    </row>
    <row r="151" spans="6:10" ht="11.25">
      <c r="F151" s="4"/>
      <c r="G151" s="4"/>
    </row>
    <row r="152" spans="6:10" ht="11.25">
      <c r="F152" s="4"/>
      <c r="G152" s="4"/>
    </row>
    <row r="153" spans="6:10" ht="11.25">
      <c r="F153" s="4"/>
      <c r="G153" s="4"/>
    </row>
    <row r="154" spans="6:10" ht="11.25">
      <c r="F154" s="4"/>
      <c r="G154" s="4"/>
    </row>
    <row r="155" spans="6:10" ht="11.25">
      <c r="F155" s="4"/>
      <c r="G155" s="4"/>
    </row>
    <row r="156" spans="6:10" ht="11.25">
      <c r="F156" s="4"/>
      <c r="G156" s="4"/>
    </row>
    <row r="157" spans="6:10" ht="11.25">
      <c r="F157" s="4"/>
      <c r="G157" s="4"/>
    </row>
    <row r="158" spans="6:10" ht="11.25">
      <c r="F158" s="4"/>
      <c r="G158" s="4"/>
    </row>
    <row r="159" spans="6:10" ht="11.25">
      <c r="F159" s="4"/>
      <c r="G159" s="4"/>
    </row>
    <row r="160" spans="6:10" ht="11.25">
      <c r="F160" s="4"/>
      <c r="G160" s="4"/>
    </row>
    <row r="161" spans="1:7" ht="11.25">
      <c r="F161" s="4"/>
      <c r="G161" s="4"/>
    </row>
    <row r="162" spans="1:7" ht="11.25">
      <c r="F162" s="4"/>
      <c r="G162" s="4"/>
    </row>
    <row r="163" spans="1:7" ht="11.25">
      <c r="F163" s="4"/>
      <c r="G163" s="4"/>
    </row>
    <row r="164" spans="1:7" ht="11.25">
      <c r="F164" s="4"/>
      <c r="G164" s="4"/>
    </row>
    <row r="165" spans="1:7" ht="11.25">
      <c r="F165" s="4"/>
      <c r="G165" s="4"/>
    </row>
    <row r="166" spans="1:7" ht="11.25">
      <c r="F166" s="4"/>
      <c r="G166" s="4"/>
    </row>
    <row r="167" spans="1:7" ht="11.25">
      <c r="F167" s="4"/>
      <c r="G167" s="4"/>
    </row>
    <row r="168" spans="1:7" ht="11.25">
      <c r="F168" s="4"/>
      <c r="G168" s="4"/>
    </row>
    <row r="169" spans="1:7" ht="11.25">
      <c r="F169" s="4"/>
      <c r="G169" s="4"/>
    </row>
    <row r="170" spans="1:7" ht="11.25">
      <c r="F170" s="4"/>
      <c r="G170" s="4"/>
    </row>
    <row r="171" spans="1:7" ht="11.25">
      <c r="F171" s="4"/>
      <c r="G171" s="4"/>
    </row>
    <row r="172" spans="1:7" ht="11.25">
      <c r="F172" s="4"/>
      <c r="G172" s="4"/>
    </row>
    <row r="173" spans="1:7">
      <c r="A173" s="23" t="s">
        <v>179</v>
      </c>
    </row>
  </sheetData>
  <pageMargins left="0.59055118110236227" right="0.31496062992125984" top="0.59055118110236227" bottom="0.51181102362204722" header="0.51181102362204722" footer="0"/>
  <pageSetup paperSize="9" scale="62" fitToHeight="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c r="A1" s="1" t="s">
        <v>1802</v>
      </c>
      <c r="B1" s="4"/>
      <c r="C1" s="4"/>
      <c r="D1" s="4"/>
      <c r="E1" s="4"/>
      <c r="F1" s="4"/>
      <c r="G1" s="4"/>
      <c r="H1" s="4"/>
      <c r="I1" s="4"/>
    </row>
    <row r="2" spans="1:12">
      <c r="A2" s="1" t="s">
        <v>1803</v>
      </c>
      <c r="B2" s="4"/>
      <c r="C2" s="4"/>
      <c r="D2" s="4"/>
      <c r="E2" s="4"/>
      <c r="F2" s="4"/>
      <c r="G2" s="4"/>
      <c r="H2" s="4"/>
      <c r="I2" s="4"/>
    </row>
    <row r="3" spans="1:12">
      <c r="A3" s="7" t="s">
        <v>1804</v>
      </c>
      <c r="B3" s="4"/>
      <c r="C3" s="4"/>
      <c r="D3" s="4"/>
      <c r="E3" s="4"/>
      <c r="F3" s="4"/>
      <c r="G3" s="4"/>
      <c r="H3" s="4"/>
      <c r="I3" s="4"/>
    </row>
    <row r="4" spans="1:12" ht="13.5" thickBot="1">
      <c r="A4" s="39"/>
      <c r="B4" s="43"/>
      <c r="C4" s="4"/>
      <c r="D4" s="4"/>
      <c r="E4" s="4"/>
      <c r="F4" s="4"/>
      <c r="G4" s="4"/>
      <c r="H4" s="4"/>
      <c r="I4" s="4"/>
    </row>
    <row r="5" spans="1:12">
      <c r="A5" s="470" t="s">
        <v>1805</v>
      </c>
      <c r="B5" s="4"/>
      <c r="C5" s="437" t="s">
        <v>1806</v>
      </c>
      <c r="D5" s="437" t="s">
        <v>1807</v>
      </c>
      <c r="E5" s="437" t="s">
        <v>1808</v>
      </c>
      <c r="F5" s="437" t="s">
        <v>1093</v>
      </c>
      <c r="G5" s="437" t="s">
        <v>1809</v>
      </c>
      <c r="H5" s="471" t="s">
        <v>178</v>
      </c>
      <c r="I5" s="437" t="s">
        <v>1810</v>
      </c>
    </row>
    <row r="6" spans="1:12" ht="13.5" thickBot="1">
      <c r="A6" s="39"/>
      <c r="B6" s="44"/>
      <c r="C6" s="39" t="s">
        <v>1811</v>
      </c>
      <c r="D6" s="39" t="s">
        <v>1812</v>
      </c>
      <c r="E6" s="39" t="s">
        <v>1813</v>
      </c>
      <c r="F6" s="39"/>
      <c r="G6" s="39" t="s">
        <v>1814</v>
      </c>
      <c r="H6" s="472"/>
      <c r="I6" s="39"/>
    </row>
    <row r="7" spans="1:12">
      <c r="A7" s="17"/>
      <c r="B7" s="4"/>
      <c r="C7" s="4"/>
      <c r="D7" s="4"/>
      <c r="E7" s="4"/>
      <c r="F7" s="4"/>
      <c r="G7" s="4"/>
      <c r="H7" s="4"/>
      <c r="I7" s="4"/>
      <c r="J7" s="58"/>
      <c r="K7" s="58"/>
      <c r="L7" s="58"/>
    </row>
    <row r="8" spans="1:12">
      <c r="A8" s="17">
        <v>1</v>
      </c>
      <c r="B8" s="4" t="s">
        <v>401</v>
      </c>
      <c r="C8" s="3">
        <v>1147</v>
      </c>
      <c r="D8" s="3">
        <v>3049</v>
      </c>
      <c r="E8" s="3">
        <v>83</v>
      </c>
      <c r="F8" s="45" t="s">
        <v>1229</v>
      </c>
      <c r="G8" s="3">
        <v>49</v>
      </c>
      <c r="H8" s="6">
        <v>4328</v>
      </c>
      <c r="I8" s="31">
        <v>0.61908698973242515</v>
      </c>
      <c r="J8" s="58"/>
      <c r="K8" s="58"/>
      <c r="L8" s="58"/>
    </row>
    <row r="9" spans="1:12">
      <c r="A9" s="17">
        <v>2</v>
      </c>
      <c r="B9" s="4" t="s">
        <v>402</v>
      </c>
      <c r="C9" s="45" t="s">
        <v>1229</v>
      </c>
      <c r="D9" s="3">
        <v>1505</v>
      </c>
      <c r="E9" s="3">
        <v>8</v>
      </c>
      <c r="F9" s="45" t="s">
        <v>1229</v>
      </c>
      <c r="G9" s="3">
        <v>467</v>
      </c>
      <c r="H9" s="6">
        <v>1981</v>
      </c>
      <c r="I9" s="31">
        <v>0.2833667575461955</v>
      </c>
      <c r="J9" s="58"/>
      <c r="K9" s="58"/>
    </row>
    <row r="10" spans="1:12">
      <c r="A10" s="17">
        <v>3</v>
      </c>
      <c r="B10" s="4" t="s">
        <v>207</v>
      </c>
      <c r="C10" s="45" t="s">
        <v>1229</v>
      </c>
      <c r="D10" s="3">
        <v>5746</v>
      </c>
      <c r="E10" s="3">
        <v>17</v>
      </c>
      <c r="F10" s="45" t="s">
        <v>1229</v>
      </c>
      <c r="G10" s="3">
        <v>101</v>
      </c>
      <c r="H10" s="6">
        <v>5864</v>
      </c>
      <c r="I10" s="31">
        <v>0.83879993248404361</v>
      </c>
      <c r="J10" s="58"/>
      <c r="K10" s="58"/>
    </row>
    <row r="11" spans="1:12">
      <c r="A11" s="17">
        <v>4</v>
      </c>
      <c r="B11" s="4" t="s">
        <v>1267</v>
      </c>
      <c r="C11" s="3">
        <v>923</v>
      </c>
      <c r="D11" s="3">
        <v>19872</v>
      </c>
      <c r="E11" s="3">
        <v>16</v>
      </c>
      <c r="F11" s="45" t="s">
        <v>1229</v>
      </c>
      <c r="G11" s="3">
        <v>602</v>
      </c>
      <c r="H11" s="6">
        <v>21413</v>
      </c>
      <c r="I11" s="31">
        <v>3.0629643510028695</v>
      </c>
      <c r="J11" s="58"/>
      <c r="K11" s="58"/>
    </row>
    <row r="12" spans="1:12">
      <c r="A12" s="17">
        <v>5</v>
      </c>
      <c r="B12" s="4" t="s">
        <v>1183</v>
      </c>
      <c r="C12" s="3">
        <v>802</v>
      </c>
      <c r="D12" s="3">
        <v>1821</v>
      </c>
      <c r="E12" s="3">
        <v>14</v>
      </c>
      <c r="F12" s="45" t="s">
        <v>1229</v>
      </c>
      <c r="G12" s="3">
        <v>1</v>
      </c>
      <c r="H12" s="6">
        <v>2638</v>
      </c>
      <c r="I12" s="31">
        <v>0.3773455357934698</v>
      </c>
      <c r="J12" s="58"/>
      <c r="K12" s="58"/>
    </row>
    <row r="13" spans="1:12">
      <c r="A13" s="17">
        <v>6</v>
      </c>
      <c r="B13" s="4" t="s">
        <v>1268</v>
      </c>
      <c r="C13" s="3">
        <v>1453</v>
      </c>
      <c r="D13" s="3">
        <v>25150</v>
      </c>
      <c r="E13" s="3">
        <v>15506</v>
      </c>
      <c r="F13" s="45" t="s">
        <v>1229</v>
      </c>
      <c r="G13" s="3">
        <v>290</v>
      </c>
      <c r="H13" s="6">
        <v>42399</v>
      </c>
      <c r="I13" s="31">
        <v>6.0648496482590328</v>
      </c>
      <c r="J13" s="58"/>
      <c r="K13" s="473"/>
      <c r="L13" s="61"/>
    </row>
    <row r="14" spans="1:12">
      <c r="A14" s="17">
        <v>7</v>
      </c>
      <c r="B14" s="4" t="s">
        <v>1269</v>
      </c>
      <c r="C14" s="3">
        <v>10780</v>
      </c>
      <c r="D14" s="3">
        <v>657</v>
      </c>
      <c r="E14" s="3">
        <v>4</v>
      </c>
      <c r="F14" s="45" t="s">
        <v>1229</v>
      </c>
      <c r="G14" s="3">
        <v>38</v>
      </c>
      <c r="H14" s="6">
        <v>11479</v>
      </c>
      <c r="I14" s="31">
        <v>1.6419823371392115</v>
      </c>
      <c r="J14" s="58"/>
      <c r="K14" s="58"/>
    </row>
    <row r="15" spans="1:12">
      <c r="A15" s="17">
        <v>8</v>
      </c>
      <c r="B15" s="4" t="s">
        <v>1270</v>
      </c>
      <c r="C15" s="3">
        <v>2862</v>
      </c>
      <c r="D15" s="3">
        <v>1304</v>
      </c>
      <c r="E15" s="3">
        <v>6</v>
      </c>
      <c r="F15" s="45" t="s">
        <v>1229</v>
      </c>
      <c r="G15" s="3">
        <v>14</v>
      </c>
      <c r="H15" s="6">
        <v>4186</v>
      </c>
      <c r="I15" s="31">
        <v>0.5987749859103354</v>
      </c>
      <c r="J15" s="58"/>
      <c r="K15" s="58"/>
    </row>
    <row r="16" spans="1:12">
      <c r="A16" s="17">
        <v>9</v>
      </c>
      <c r="B16" s="4" t="s">
        <v>1271</v>
      </c>
      <c r="C16" s="3">
        <v>21813</v>
      </c>
      <c r="D16" s="3">
        <v>1302</v>
      </c>
      <c r="E16" s="3">
        <v>5</v>
      </c>
      <c r="F16" s="45" t="s">
        <v>1229</v>
      </c>
      <c r="G16" s="3">
        <v>4</v>
      </c>
      <c r="H16" s="6">
        <v>23124</v>
      </c>
      <c r="I16" s="31">
        <v>3.3077096928310068</v>
      </c>
      <c r="J16" s="58"/>
      <c r="K16" s="58"/>
    </row>
    <row r="17" spans="1:11">
      <c r="A17" s="17">
        <v>10</v>
      </c>
      <c r="B17" s="4" t="s">
        <v>1272</v>
      </c>
      <c r="C17" s="3">
        <v>35311</v>
      </c>
      <c r="D17" s="3">
        <v>4244</v>
      </c>
      <c r="E17" s="3">
        <v>131</v>
      </c>
      <c r="F17" s="45" t="s">
        <v>1229</v>
      </c>
      <c r="G17" s="45" t="s">
        <v>1229</v>
      </c>
      <c r="H17" s="6">
        <v>39685</v>
      </c>
      <c r="I17" s="31">
        <v>5.6766328991523309</v>
      </c>
      <c r="J17" s="58"/>
      <c r="K17" s="58"/>
    </row>
    <row r="18" spans="1:11">
      <c r="A18" s="17">
        <v>11</v>
      </c>
      <c r="B18" s="4" t="s">
        <v>1273</v>
      </c>
      <c r="C18" s="3">
        <v>62684</v>
      </c>
      <c r="D18" s="45" t="s">
        <v>1229</v>
      </c>
      <c r="E18" s="45" t="s">
        <v>1229</v>
      </c>
      <c r="F18" s="45" t="s">
        <v>1229</v>
      </c>
      <c r="G18" s="45" t="s">
        <v>1229</v>
      </c>
      <c r="H18" s="6">
        <v>62684</v>
      </c>
      <c r="I18" s="31">
        <v>8.9664623069286833</v>
      </c>
      <c r="J18" s="58"/>
      <c r="K18" s="58"/>
    </row>
    <row r="19" spans="1:11">
      <c r="A19" s="17">
        <v>12</v>
      </c>
      <c r="B19" s="4" t="s">
        <v>593</v>
      </c>
      <c r="C19" s="3">
        <v>35910</v>
      </c>
      <c r="D19" s="45" t="s">
        <v>1229</v>
      </c>
      <c r="E19" s="45" t="s">
        <v>1229</v>
      </c>
      <c r="F19" s="45" t="s">
        <v>1229</v>
      </c>
      <c r="G19" s="45" t="s">
        <v>1229</v>
      </c>
      <c r="H19" s="6">
        <v>35910</v>
      </c>
      <c r="I19" s="31">
        <v>5.1366482905017063</v>
      </c>
      <c r="J19" s="58"/>
      <c r="K19" s="58"/>
    </row>
    <row r="20" spans="1:11">
      <c r="A20" s="17">
        <v>13</v>
      </c>
      <c r="B20" s="4" t="s">
        <v>594</v>
      </c>
      <c r="C20" s="3">
        <v>36412</v>
      </c>
      <c r="D20" s="45" t="s">
        <v>1229</v>
      </c>
      <c r="E20" s="45" t="s">
        <v>1229</v>
      </c>
      <c r="F20" s="45" t="s">
        <v>1229</v>
      </c>
      <c r="G20" s="3">
        <v>919</v>
      </c>
      <c r="H20" s="6">
        <v>37331</v>
      </c>
      <c r="I20" s="31">
        <v>5.3401974555639153</v>
      </c>
      <c r="J20" s="58"/>
      <c r="K20" s="58"/>
    </row>
    <row r="21" spans="1:11">
      <c r="A21" s="17">
        <v>14</v>
      </c>
      <c r="B21" s="4" t="s">
        <v>595</v>
      </c>
      <c r="C21" s="3">
        <v>39009</v>
      </c>
      <c r="D21" s="3">
        <v>8442</v>
      </c>
      <c r="E21" s="3">
        <v>40</v>
      </c>
      <c r="F21" s="45" t="s">
        <v>1229</v>
      </c>
      <c r="G21" s="3">
        <v>176</v>
      </c>
      <c r="H21" s="6">
        <v>47668</v>
      </c>
      <c r="I21" s="31">
        <v>6.8185394238829122</v>
      </c>
      <c r="J21" s="58"/>
      <c r="K21" s="58"/>
    </row>
    <row r="22" spans="1:11">
      <c r="A22" s="17">
        <v>15</v>
      </c>
      <c r="B22" s="4" t="s">
        <v>596</v>
      </c>
      <c r="C22" s="3">
        <v>16824</v>
      </c>
      <c r="D22" s="3">
        <v>4998</v>
      </c>
      <c r="E22" s="45" t="s">
        <v>1229</v>
      </c>
      <c r="F22" s="45" t="s">
        <v>1229</v>
      </c>
      <c r="G22" s="45">
        <v>97</v>
      </c>
      <c r="H22" s="6">
        <v>21919</v>
      </c>
      <c r="I22" s="31">
        <v>3.135343744904119</v>
      </c>
      <c r="J22" s="58"/>
      <c r="K22" s="58"/>
    </row>
    <row r="23" spans="1:11">
      <c r="A23" s="17">
        <v>16</v>
      </c>
      <c r="B23" s="4" t="s">
        <v>73</v>
      </c>
      <c r="C23" s="3">
        <v>8771</v>
      </c>
      <c r="D23" s="3">
        <v>17351</v>
      </c>
      <c r="E23" s="3">
        <v>1535</v>
      </c>
      <c r="F23" s="45" t="s">
        <v>1229</v>
      </c>
      <c r="G23" s="3">
        <v>80</v>
      </c>
      <c r="H23" s="6">
        <v>27737</v>
      </c>
      <c r="I23" s="31">
        <v>3.9675637324880491</v>
      </c>
      <c r="J23" s="58"/>
      <c r="K23" s="58"/>
    </row>
    <row r="24" spans="1:11">
      <c r="A24" s="17">
        <v>17</v>
      </c>
      <c r="B24" s="4" t="s">
        <v>74</v>
      </c>
      <c r="C24" s="3">
        <v>6001</v>
      </c>
      <c r="D24" s="3">
        <v>1306</v>
      </c>
      <c r="E24" s="3">
        <v>13</v>
      </c>
      <c r="F24" s="45" t="s">
        <v>1229</v>
      </c>
      <c r="G24" s="3">
        <v>21</v>
      </c>
      <c r="H24" s="6">
        <v>7342</v>
      </c>
      <c r="I24" s="31">
        <v>1.0502164229703015</v>
      </c>
      <c r="J24" s="58"/>
      <c r="K24" s="58"/>
    </row>
    <row r="25" spans="1:11">
      <c r="A25" s="17">
        <v>18</v>
      </c>
      <c r="B25" s="4" t="s">
        <v>75</v>
      </c>
      <c r="C25" s="3">
        <v>20040</v>
      </c>
      <c r="D25" s="3">
        <v>2283</v>
      </c>
      <c r="E25" s="3">
        <v>14</v>
      </c>
      <c r="F25" s="45" t="s">
        <v>1229</v>
      </c>
      <c r="G25" s="3">
        <v>35</v>
      </c>
      <c r="H25" s="6">
        <v>22371</v>
      </c>
      <c r="I25" s="31">
        <v>3.1999988556617565</v>
      </c>
      <c r="J25" s="58"/>
      <c r="K25" s="58"/>
    </row>
    <row r="26" spans="1:11">
      <c r="A26" s="17">
        <v>19</v>
      </c>
      <c r="B26" s="4" t="s">
        <v>76</v>
      </c>
      <c r="C26" s="3">
        <v>3175</v>
      </c>
      <c r="D26" s="3">
        <v>166</v>
      </c>
      <c r="E26" s="45" t="s">
        <v>1229</v>
      </c>
      <c r="F26" s="45" t="s">
        <v>1229</v>
      </c>
      <c r="G26" s="3">
        <v>96</v>
      </c>
      <c r="H26" s="6">
        <v>3437</v>
      </c>
      <c r="I26" s="31">
        <v>0.49163631786283385</v>
      </c>
      <c r="J26" s="58"/>
      <c r="K26" s="58"/>
    </row>
    <row r="27" spans="1:11">
      <c r="A27" s="17">
        <v>20</v>
      </c>
      <c r="B27" s="4" t="s">
        <v>1225</v>
      </c>
      <c r="C27" s="3">
        <v>414</v>
      </c>
      <c r="D27" s="3">
        <v>784</v>
      </c>
      <c r="E27" s="3">
        <v>172</v>
      </c>
      <c r="F27" s="45" t="s">
        <v>1229</v>
      </c>
      <c r="G27" s="3">
        <v>2</v>
      </c>
      <c r="H27" s="6">
        <v>1372</v>
      </c>
      <c r="I27" s="31">
        <v>0.19625400875990925</v>
      </c>
      <c r="J27" s="58"/>
      <c r="K27" s="58"/>
    </row>
    <row r="28" spans="1:11">
      <c r="A28" s="17">
        <v>21</v>
      </c>
      <c r="B28" s="4" t="s">
        <v>77</v>
      </c>
      <c r="C28" s="3">
        <v>635</v>
      </c>
      <c r="D28" s="3">
        <v>196</v>
      </c>
      <c r="E28" s="3">
        <v>6</v>
      </c>
      <c r="F28" s="45" t="s">
        <v>1229</v>
      </c>
      <c r="G28" s="3">
        <v>31</v>
      </c>
      <c r="H28" s="6">
        <v>867</v>
      </c>
      <c r="I28" s="31">
        <v>0.12401765713909718</v>
      </c>
      <c r="J28" s="58"/>
      <c r="K28" s="58"/>
    </row>
    <row r="29" spans="1:11">
      <c r="A29" s="17">
        <v>22</v>
      </c>
      <c r="B29" s="4" t="s">
        <v>78</v>
      </c>
      <c r="C29" s="3">
        <v>4421</v>
      </c>
      <c r="D29" s="3">
        <v>11050</v>
      </c>
      <c r="E29" s="3">
        <v>11866</v>
      </c>
      <c r="F29" s="45" t="s">
        <v>1229</v>
      </c>
      <c r="G29" s="3">
        <v>10</v>
      </c>
      <c r="H29" s="6">
        <v>27348</v>
      </c>
      <c r="I29" s="31">
        <v>3.911920285397958</v>
      </c>
      <c r="J29" s="58"/>
      <c r="K29" s="58"/>
    </row>
    <row r="30" spans="1:11">
      <c r="A30" s="17">
        <v>23</v>
      </c>
      <c r="B30" s="4" t="s">
        <v>1086</v>
      </c>
      <c r="C30" s="3">
        <v>9156</v>
      </c>
      <c r="D30" s="3">
        <v>2581</v>
      </c>
      <c r="E30" s="3">
        <v>92</v>
      </c>
      <c r="F30" s="45" t="s">
        <v>1229</v>
      </c>
      <c r="G30" s="3">
        <v>7</v>
      </c>
      <c r="H30" s="6">
        <v>11836</v>
      </c>
      <c r="I30" s="31">
        <v>1.6930484312553105</v>
      </c>
      <c r="J30" s="58"/>
      <c r="K30" s="58"/>
    </row>
    <row r="31" spans="1:11">
      <c r="A31" s="17">
        <v>24</v>
      </c>
      <c r="B31" s="4" t="s">
        <v>1087</v>
      </c>
      <c r="C31" s="3">
        <v>1836</v>
      </c>
      <c r="D31" s="3">
        <v>850</v>
      </c>
      <c r="E31" s="3">
        <v>10</v>
      </c>
      <c r="F31" s="45" t="s">
        <v>1229</v>
      </c>
      <c r="G31" s="3">
        <v>80</v>
      </c>
      <c r="H31" s="6">
        <v>2777</v>
      </c>
      <c r="I31" s="31">
        <v>0.39722841277424786</v>
      </c>
      <c r="J31" s="58"/>
      <c r="K31" s="58"/>
    </row>
    <row r="32" spans="1:11">
      <c r="A32" s="17">
        <v>25</v>
      </c>
      <c r="B32" s="4" t="s">
        <v>1088</v>
      </c>
      <c r="C32" s="3">
        <v>96784</v>
      </c>
      <c r="D32" s="45" t="s">
        <v>1229</v>
      </c>
      <c r="E32" s="45" t="s">
        <v>1229</v>
      </c>
      <c r="F32" s="45" t="s">
        <v>1229</v>
      </c>
      <c r="G32" s="45" t="s">
        <v>1229</v>
      </c>
      <c r="H32" s="6">
        <v>96784</v>
      </c>
      <c r="I32" s="31">
        <v>13.844204069838964</v>
      </c>
      <c r="J32" s="58"/>
      <c r="K32" s="58"/>
    </row>
    <row r="33" spans="1:14" ht="12.75" customHeight="1">
      <c r="A33" s="17">
        <v>26</v>
      </c>
      <c r="B33" s="4" t="s">
        <v>422</v>
      </c>
      <c r="C33" s="45" t="s">
        <v>1229</v>
      </c>
      <c r="D33" s="45">
        <v>94</v>
      </c>
      <c r="E33" s="45" t="s">
        <v>1229</v>
      </c>
      <c r="F33" s="3">
        <v>113311</v>
      </c>
      <c r="G33" s="45" t="s">
        <v>1229</v>
      </c>
      <c r="H33" s="6">
        <v>113405</v>
      </c>
      <c r="I33" s="31">
        <v>16.221709812986525</v>
      </c>
      <c r="J33" s="58"/>
      <c r="K33" s="58"/>
    </row>
    <row r="34" spans="1:14" ht="12.75" customHeight="1">
      <c r="A34" s="17">
        <v>27</v>
      </c>
      <c r="B34" s="4" t="s">
        <v>1089</v>
      </c>
      <c r="C34" s="38">
        <v>21210</v>
      </c>
      <c r="D34" s="474" t="s">
        <v>1229</v>
      </c>
      <c r="E34" s="474" t="s">
        <v>1229</v>
      </c>
      <c r="F34" s="474" t="s">
        <v>1229</v>
      </c>
      <c r="G34" s="474" t="s">
        <v>1229</v>
      </c>
      <c r="H34" s="6">
        <v>21210</v>
      </c>
      <c r="I34" s="31">
        <v>3.0339267680741075</v>
      </c>
      <c r="J34" s="58"/>
      <c r="K34" s="58"/>
    </row>
    <row r="35" spans="1:14" ht="12.75" customHeight="1">
      <c r="A35" s="17"/>
      <c r="B35" s="4"/>
      <c r="C35" s="3"/>
      <c r="D35" s="3"/>
      <c r="E35" s="3"/>
      <c r="F35" s="3"/>
      <c r="G35" s="3"/>
      <c r="H35" s="6"/>
      <c r="I35" s="31"/>
      <c r="J35" s="58"/>
      <c r="K35" s="58"/>
    </row>
    <row r="36" spans="1:14" ht="12.75" customHeight="1">
      <c r="A36" s="17"/>
      <c r="B36" s="2" t="s">
        <v>178</v>
      </c>
      <c r="C36" s="6">
        <f>SUM(C34,C11:C32,C8)</f>
        <v>438373</v>
      </c>
      <c r="D36" s="6">
        <f>SUM(D33,D21:D31,D8:D17)</f>
        <v>114751</v>
      </c>
      <c r="E36" s="6">
        <f>SUM(E8:E17,E21,E23:E25,E27,E28:E31)</f>
        <v>29538</v>
      </c>
      <c r="F36" s="6">
        <v>113311</v>
      </c>
      <c r="G36" s="6">
        <f>SUM(G20:G31,G8:G16)</f>
        <v>3120</v>
      </c>
      <c r="H36" s="6">
        <v>699094</v>
      </c>
      <c r="I36" s="31">
        <v>100.00042912684131</v>
      </c>
      <c r="J36" s="58"/>
      <c r="K36" s="58"/>
    </row>
    <row r="37" spans="1:14" ht="12.75" customHeight="1" thickBot="1">
      <c r="A37" s="39"/>
      <c r="B37" s="475" t="s">
        <v>1810</v>
      </c>
      <c r="C37" s="476">
        <f t="shared" ref="C37:H37" si="0">C36/$H$36*100</f>
        <v>62.705873602119311</v>
      </c>
      <c r="D37" s="476">
        <f t="shared" si="0"/>
        <v>16.414244722455063</v>
      </c>
      <c r="E37" s="476">
        <f t="shared" si="0"/>
        <v>4.2251828795555388</v>
      </c>
      <c r="F37" s="476">
        <f t="shared" si="0"/>
        <v>16.20826383862542</v>
      </c>
      <c r="G37" s="476">
        <f t="shared" si="0"/>
        <v>0.4462919149642251</v>
      </c>
      <c r="H37" s="477">
        <f t="shared" si="0"/>
        <v>100</v>
      </c>
      <c r="I37" s="478"/>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1.25" customHeight="1">
      <c r="J44" s="58"/>
      <c r="K44" s="58"/>
    </row>
    <row r="45" spans="1:14" ht="11.25" customHeight="1">
      <c r="J45" s="58"/>
      <c r="K45" s="58"/>
    </row>
    <row r="46" spans="1:14">
      <c r="A46" s="183"/>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1.25"/>
  <cols>
    <col min="1" max="1" width="3.83203125" style="17" customWidth="1"/>
    <col min="2" max="2" width="45.33203125" style="4" customWidth="1"/>
    <col min="3" max="8" width="8.5" style="4" customWidth="1"/>
    <col min="9" max="9" width="7.33203125" style="4" customWidth="1"/>
    <col min="10" max="16384" width="9.33203125" style="4"/>
  </cols>
  <sheetData>
    <row r="1" spans="1:14" ht="12.75" customHeight="1">
      <c r="A1" s="1" t="s">
        <v>1815</v>
      </c>
      <c r="J1"/>
      <c r="K1"/>
      <c r="L1"/>
      <c r="M1"/>
      <c r="N1"/>
    </row>
    <row r="2" spans="1:14" ht="12.75" customHeight="1">
      <c r="A2" s="1" t="s">
        <v>1816</v>
      </c>
      <c r="J2"/>
      <c r="K2"/>
      <c r="L2"/>
      <c r="M2"/>
      <c r="N2"/>
    </row>
    <row r="3" spans="1:14" ht="12.75" customHeight="1">
      <c r="A3" s="7" t="s">
        <v>1817</v>
      </c>
      <c r="J3"/>
      <c r="K3"/>
      <c r="L3"/>
      <c r="M3"/>
      <c r="N3"/>
    </row>
    <row r="4" spans="1:14" ht="13.5" customHeight="1" thickBot="1">
      <c r="A4" s="39"/>
      <c r="B4" s="43"/>
      <c r="J4"/>
      <c r="K4"/>
      <c r="L4"/>
      <c r="M4"/>
      <c r="N4"/>
    </row>
    <row r="5" spans="1:14" ht="12.75" customHeight="1">
      <c r="A5" s="470" t="s">
        <v>1805</v>
      </c>
      <c r="C5" s="437" t="s">
        <v>1806</v>
      </c>
      <c r="D5" s="437" t="s">
        <v>1807</v>
      </c>
      <c r="E5" s="437" t="s">
        <v>1808</v>
      </c>
      <c r="F5" s="437" t="s">
        <v>1093</v>
      </c>
      <c r="G5" s="437" t="s">
        <v>1809</v>
      </c>
      <c r="H5" s="471" t="s">
        <v>178</v>
      </c>
      <c r="I5" s="437" t="s">
        <v>1810</v>
      </c>
      <c r="J5"/>
      <c r="K5"/>
      <c r="L5"/>
      <c r="M5"/>
      <c r="N5"/>
    </row>
    <row r="6" spans="1:14" ht="13.5" customHeight="1" thickBot="1">
      <c r="A6" s="39"/>
      <c r="B6" s="44"/>
      <c r="C6" s="39" t="s">
        <v>1811</v>
      </c>
      <c r="D6" s="39" t="s">
        <v>1812</v>
      </c>
      <c r="E6" s="39" t="s">
        <v>1813</v>
      </c>
      <c r="F6" s="39"/>
      <c r="G6" s="39" t="s">
        <v>1814</v>
      </c>
      <c r="H6" s="472"/>
      <c r="I6" s="39"/>
      <c r="J6"/>
      <c r="K6"/>
      <c r="L6"/>
      <c r="M6"/>
      <c r="N6"/>
    </row>
    <row r="7" spans="1:14" ht="12.75" customHeight="1">
      <c r="J7" s="58"/>
      <c r="K7" s="58"/>
      <c r="L7" s="58"/>
      <c r="M7"/>
      <c r="N7"/>
    </row>
    <row r="8" spans="1:14" ht="12.75" customHeight="1">
      <c r="A8" s="17">
        <v>1</v>
      </c>
      <c r="B8" s="4" t="s">
        <v>401</v>
      </c>
      <c r="C8" s="3">
        <v>1179</v>
      </c>
      <c r="D8" s="3">
        <v>3192</v>
      </c>
      <c r="E8" s="3">
        <v>105</v>
      </c>
      <c r="F8" s="3">
        <v>19</v>
      </c>
      <c r="G8" s="3">
        <v>46</v>
      </c>
      <c r="H8" s="6">
        <v>4541</v>
      </c>
      <c r="I8" s="31">
        <v>0.64391071180422621</v>
      </c>
      <c r="J8" s="58"/>
      <c r="K8" s="58"/>
      <c r="L8" s="58"/>
      <c r="M8"/>
      <c r="N8"/>
    </row>
    <row r="9" spans="1:14" ht="12.75" customHeight="1">
      <c r="A9" s="17">
        <v>2</v>
      </c>
      <c r="B9" s="4" t="s">
        <v>402</v>
      </c>
      <c r="C9" s="45">
        <v>1</v>
      </c>
      <c r="D9" s="3">
        <v>1114</v>
      </c>
      <c r="E9" s="3">
        <v>43</v>
      </c>
      <c r="F9" s="3">
        <v>1</v>
      </c>
      <c r="G9" s="3">
        <v>356</v>
      </c>
      <c r="H9" s="6">
        <v>1515</v>
      </c>
      <c r="I9" s="31">
        <v>0.21482596969464937</v>
      </c>
      <c r="J9" s="58"/>
      <c r="K9" s="58"/>
      <c r="L9"/>
      <c r="M9"/>
      <c r="N9"/>
    </row>
    <row r="10" spans="1:14" ht="12.75" customHeight="1">
      <c r="A10" s="17">
        <v>3</v>
      </c>
      <c r="B10" s="4" t="s">
        <v>207</v>
      </c>
      <c r="C10" s="3">
        <v>2</v>
      </c>
      <c r="D10" s="3">
        <v>5692</v>
      </c>
      <c r="E10" s="3">
        <v>13</v>
      </c>
      <c r="F10" s="3">
        <v>21</v>
      </c>
      <c r="G10" s="3">
        <v>225</v>
      </c>
      <c r="H10" s="6">
        <v>5953</v>
      </c>
      <c r="I10" s="31">
        <v>0.84413135154603802</v>
      </c>
      <c r="J10" s="58"/>
      <c r="K10" s="58"/>
      <c r="L10"/>
      <c r="M10"/>
      <c r="N10"/>
    </row>
    <row r="11" spans="1:14" ht="12.75" customHeight="1">
      <c r="A11" s="17">
        <v>4</v>
      </c>
      <c r="B11" s="4" t="s">
        <v>1267</v>
      </c>
      <c r="C11" s="3">
        <v>86</v>
      </c>
      <c r="D11" s="3">
        <v>21091</v>
      </c>
      <c r="E11" s="3">
        <v>54</v>
      </c>
      <c r="F11" s="3">
        <v>99</v>
      </c>
      <c r="G11" s="3">
        <v>932</v>
      </c>
      <c r="H11" s="6">
        <v>22262</v>
      </c>
      <c r="I11" s="31">
        <v>3.1567364602919366</v>
      </c>
      <c r="J11" s="58"/>
      <c r="K11" s="58"/>
      <c r="L11"/>
      <c r="M11"/>
      <c r="N11"/>
    </row>
    <row r="12" spans="1:14" ht="12.75" customHeight="1">
      <c r="A12" s="17">
        <v>5</v>
      </c>
      <c r="B12" s="4" t="s">
        <v>1183</v>
      </c>
      <c r="C12" s="3">
        <v>680</v>
      </c>
      <c r="D12" s="3">
        <v>2110</v>
      </c>
      <c r="E12" s="3">
        <v>10</v>
      </c>
      <c r="F12" s="3">
        <v>3</v>
      </c>
      <c r="G12" s="3">
        <v>74</v>
      </c>
      <c r="H12" s="6">
        <v>2877</v>
      </c>
      <c r="I12" s="31">
        <v>0.40795664343993809</v>
      </c>
      <c r="J12" s="58"/>
      <c r="K12" s="58"/>
      <c r="L12"/>
      <c r="M12"/>
      <c r="N12"/>
    </row>
    <row r="13" spans="1:14" ht="12.75" customHeight="1">
      <c r="A13" s="17">
        <v>6</v>
      </c>
      <c r="B13" s="4" t="s">
        <v>1268</v>
      </c>
      <c r="C13" s="3">
        <v>1124</v>
      </c>
      <c r="D13" s="3">
        <v>28764</v>
      </c>
      <c r="E13" s="3">
        <v>13850</v>
      </c>
      <c r="F13" s="3">
        <v>7</v>
      </c>
      <c r="G13" s="3">
        <v>519</v>
      </c>
      <c r="H13" s="6">
        <v>44264</v>
      </c>
      <c r="I13" s="31">
        <v>6.2766050974019532</v>
      </c>
      <c r="J13" s="58"/>
      <c r="K13" s="473"/>
      <c r="L13" s="61"/>
      <c r="M13"/>
      <c r="N13"/>
    </row>
    <row r="14" spans="1:14" ht="12.75" customHeight="1">
      <c r="A14" s="17">
        <v>7</v>
      </c>
      <c r="B14" s="4" t="s">
        <v>1269</v>
      </c>
      <c r="C14" s="3">
        <v>11695</v>
      </c>
      <c r="D14" s="3">
        <v>663</v>
      </c>
      <c r="E14" s="3">
        <v>9</v>
      </c>
      <c r="F14" s="45" t="s">
        <v>1229</v>
      </c>
      <c r="G14" s="3">
        <v>51</v>
      </c>
      <c r="H14" s="6">
        <v>12418</v>
      </c>
      <c r="I14" s="31">
        <v>1.7608639548964724</v>
      </c>
      <c r="J14" s="58"/>
      <c r="K14" s="58"/>
      <c r="L14"/>
      <c r="M14"/>
      <c r="N14"/>
    </row>
    <row r="15" spans="1:14" ht="12.75" customHeight="1">
      <c r="A15" s="17">
        <v>8</v>
      </c>
      <c r="B15" s="4" t="s">
        <v>1270</v>
      </c>
      <c r="C15" s="3">
        <v>2947</v>
      </c>
      <c r="D15" s="3">
        <v>1421</v>
      </c>
      <c r="E15" s="3">
        <v>3</v>
      </c>
      <c r="F15" s="3">
        <v>29</v>
      </c>
      <c r="G15" s="3">
        <v>2</v>
      </c>
      <c r="H15" s="6">
        <v>4402</v>
      </c>
      <c r="I15" s="31">
        <v>0.62420060633389207</v>
      </c>
      <c r="J15" s="58"/>
      <c r="K15" s="58"/>
      <c r="L15"/>
      <c r="M15"/>
      <c r="N15"/>
    </row>
    <row r="16" spans="1:14" ht="12.75" customHeight="1">
      <c r="A16" s="17">
        <v>9</v>
      </c>
      <c r="B16" s="4" t="s">
        <v>1271</v>
      </c>
      <c r="C16" s="3">
        <v>21678</v>
      </c>
      <c r="D16" s="3">
        <v>2796</v>
      </c>
      <c r="E16" s="3">
        <v>12</v>
      </c>
      <c r="F16" s="3">
        <v>1</v>
      </c>
      <c r="G16" s="3">
        <v>32</v>
      </c>
      <c r="H16" s="6">
        <v>24519</v>
      </c>
      <c r="I16" s="31">
        <v>3.4767775253749882</v>
      </c>
      <c r="J16" s="58"/>
      <c r="K16" s="58"/>
      <c r="L16"/>
      <c r="M16"/>
      <c r="N16"/>
    </row>
    <row r="17" spans="1:14" ht="12.75" customHeight="1">
      <c r="A17" s="17">
        <v>10</v>
      </c>
      <c r="B17" s="4" t="s">
        <v>1272</v>
      </c>
      <c r="C17" s="3">
        <v>82062</v>
      </c>
      <c r="D17" s="3">
        <v>6037</v>
      </c>
      <c r="E17" s="3">
        <v>328</v>
      </c>
      <c r="F17" s="3">
        <v>52</v>
      </c>
      <c r="G17" s="45" t="s">
        <v>1229</v>
      </c>
      <c r="H17" s="6">
        <v>88479</v>
      </c>
      <c r="I17" s="31">
        <v>12.546262028127314</v>
      </c>
      <c r="J17" s="58"/>
      <c r="K17" s="58"/>
      <c r="L17"/>
      <c r="M17"/>
      <c r="N17"/>
    </row>
    <row r="18" spans="1:14" ht="12.75" customHeight="1">
      <c r="A18" s="17">
        <v>11</v>
      </c>
      <c r="B18" s="4" t="s">
        <v>1273</v>
      </c>
      <c r="C18" s="3">
        <v>34450</v>
      </c>
      <c r="D18" s="45" t="s">
        <v>1229</v>
      </c>
      <c r="E18" s="45" t="s">
        <v>1229</v>
      </c>
      <c r="F18" s="45" t="s">
        <v>1229</v>
      </c>
      <c r="G18" s="45" t="s">
        <v>1229</v>
      </c>
      <c r="H18" s="6">
        <v>34450</v>
      </c>
      <c r="I18" s="31">
        <v>4.8849865716044025</v>
      </c>
      <c r="J18" s="58"/>
      <c r="K18" s="58"/>
      <c r="L18"/>
      <c r="M18"/>
      <c r="N18"/>
    </row>
    <row r="19" spans="1:14" ht="12.75" customHeight="1">
      <c r="A19" s="17">
        <v>12</v>
      </c>
      <c r="B19" s="4" t="s">
        <v>593</v>
      </c>
      <c r="C19" s="3">
        <v>41175</v>
      </c>
      <c r="D19" s="45" t="s">
        <v>1229</v>
      </c>
      <c r="E19" s="45" t="s">
        <v>1229</v>
      </c>
      <c r="F19" s="45" t="s">
        <v>1229</v>
      </c>
      <c r="G19" s="45" t="s">
        <v>1229</v>
      </c>
      <c r="H19" s="6">
        <v>41175</v>
      </c>
      <c r="I19" s="31">
        <v>5.8385869981367566</v>
      </c>
      <c r="J19" s="58"/>
      <c r="K19" s="58"/>
      <c r="L19"/>
      <c r="M19"/>
      <c r="N19"/>
    </row>
    <row r="20" spans="1:14" ht="12.75" customHeight="1">
      <c r="A20" s="17">
        <v>13</v>
      </c>
      <c r="B20" s="4" t="s">
        <v>594</v>
      </c>
      <c r="C20" s="3">
        <v>35401</v>
      </c>
      <c r="D20" s="3">
        <v>47</v>
      </c>
      <c r="E20" s="45" t="s">
        <v>1229</v>
      </c>
      <c r="F20" s="45" t="s">
        <v>1229</v>
      </c>
      <c r="G20" s="45" t="s">
        <v>1229</v>
      </c>
      <c r="H20" s="6">
        <v>35448</v>
      </c>
      <c r="I20" s="31">
        <v>5.0265022928950032</v>
      </c>
      <c r="J20" s="58"/>
      <c r="K20" s="58"/>
      <c r="L20"/>
      <c r="M20"/>
      <c r="N20"/>
    </row>
    <row r="21" spans="1:14" ht="12.75" customHeight="1">
      <c r="A21" s="17">
        <v>14</v>
      </c>
      <c r="B21" s="4" t="s">
        <v>595</v>
      </c>
      <c r="C21" s="3">
        <v>39617</v>
      </c>
      <c r="D21" s="3">
        <v>8888</v>
      </c>
      <c r="E21" s="3">
        <v>25</v>
      </c>
      <c r="F21" s="3">
        <v>25</v>
      </c>
      <c r="G21" s="3">
        <v>240</v>
      </c>
      <c r="H21" s="6">
        <v>48795</v>
      </c>
      <c r="I21" s="31">
        <v>6.9190978160068752</v>
      </c>
      <c r="J21" s="58"/>
      <c r="K21" s="58"/>
      <c r="L21"/>
      <c r="M21"/>
      <c r="N21"/>
    </row>
    <row r="22" spans="1:14" ht="12.75" customHeight="1">
      <c r="A22" s="17">
        <v>15</v>
      </c>
      <c r="B22" s="4" t="s">
        <v>596</v>
      </c>
      <c r="C22" s="3">
        <v>16479</v>
      </c>
      <c r="D22" s="3">
        <v>24</v>
      </c>
      <c r="E22" s="45" t="s">
        <v>1229</v>
      </c>
      <c r="F22" s="3">
        <v>3173</v>
      </c>
      <c r="G22" s="45" t="s">
        <v>1229</v>
      </c>
      <c r="H22" s="6">
        <v>19676</v>
      </c>
      <c r="I22" s="31">
        <v>2.7900434189517624</v>
      </c>
      <c r="J22" s="58"/>
      <c r="K22" s="58"/>
      <c r="L22"/>
      <c r="M22"/>
      <c r="N22"/>
    </row>
    <row r="23" spans="1:14" ht="12.75" customHeight="1">
      <c r="A23" s="17">
        <v>16</v>
      </c>
      <c r="B23" s="4" t="s">
        <v>73</v>
      </c>
      <c r="C23" s="3">
        <v>9667</v>
      </c>
      <c r="D23" s="3">
        <v>18812</v>
      </c>
      <c r="E23" s="3">
        <v>376</v>
      </c>
      <c r="F23" s="3">
        <v>67</v>
      </c>
      <c r="G23" s="3">
        <v>226</v>
      </c>
      <c r="H23" s="6">
        <v>29148</v>
      </c>
      <c r="I23" s="31">
        <v>4.1331665773330952</v>
      </c>
      <c r="J23" s="58"/>
      <c r="K23" s="58"/>
      <c r="L23"/>
      <c r="M23"/>
      <c r="N23"/>
    </row>
    <row r="24" spans="1:14" ht="12.75" customHeight="1">
      <c r="A24" s="17">
        <v>17</v>
      </c>
      <c r="B24" s="4" t="s">
        <v>74</v>
      </c>
      <c r="C24" s="3">
        <v>6106</v>
      </c>
      <c r="D24" s="3">
        <v>1391</v>
      </c>
      <c r="E24" s="3">
        <v>12</v>
      </c>
      <c r="F24" s="3">
        <v>5</v>
      </c>
      <c r="G24" s="3">
        <v>40</v>
      </c>
      <c r="H24" s="6">
        <v>7554</v>
      </c>
      <c r="I24" s="31">
        <v>1.0711520627547071</v>
      </c>
      <c r="J24" s="58"/>
      <c r="K24" s="58"/>
      <c r="L24"/>
      <c r="M24"/>
      <c r="N24"/>
    </row>
    <row r="25" spans="1:14" ht="12.75" customHeight="1">
      <c r="A25" s="17">
        <v>18</v>
      </c>
      <c r="B25" s="4" t="s">
        <v>75</v>
      </c>
      <c r="C25" s="3">
        <v>14763</v>
      </c>
      <c r="D25" s="3">
        <v>2289</v>
      </c>
      <c r="E25" s="3">
        <v>36</v>
      </c>
      <c r="F25" s="3">
        <v>8</v>
      </c>
      <c r="G25" s="3">
        <v>76</v>
      </c>
      <c r="H25" s="6">
        <v>17172</v>
      </c>
      <c r="I25" s="31">
        <v>2.4349779218458867</v>
      </c>
      <c r="J25" s="58"/>
      <c r="K25" s="58"/>
      <c r="L25"/>
      <c r="M25"/>
      <c r="N25"/>
    </row>
    <row r="26" spans="1:14" ht="12.75" customHeight="1">
      <c r="A26" s="17">
        <v>19</v>
      </c>
      <c r="B26" s="4" t="s">
        <v>76</v>
      </c>
      <c r="C26" s="3">
        <v>3037</v>
      </c>
      <c r="D26" s="3">
        <v>456</v>
      </c>
      <c r="E26" s="3">
        <v>1</v>
      </c>
      <c r="F26" s="45" t="s">
        <v>1229</v>
      </c>
      <c r="G26" s="3">
        <v>226</v>
      </c>
      <c r="H26" s="6">
        <v>3720</v>
      </c>
      <c r="I26" s="31">
        <v>0.5274934701413172</v>
      </c>
      <c r="J26" s="58"/>
      <c r="K26" s="58"/>
      <c r="L26"/>
      <c r="M26"/>
      <c r="N26"/>
    </row>
    <row r="27" spans="1:14" ht="12.75" customHeight="1">
      <c r="A27" s="17">
        <v>20</v>
      </c>
      <c r="B27" s="4" t="s">
        <v>1225</v>
      </c>
      <c r="C27" s="3">
        <v>519</v>
      </c>
      <c r="D27" s="3">
        <v>896</v>
      </c>
      <c r="E27" s="3">
        <v>206</v>
      </c>
      <c r="F27" s="3">
        <v>1</v>
      </c>
      <c r="G27" s="3">
        <v>10</v>
      </c>
      <c r="H27" s="6">
        <v>1632</v>
      </c>
      <c r="I27" s="31">
        <v>0.23141649012651333</v>
      </c>
      <c r="J27" s="58"/>
      <c r="K27" s="58"/>
      <c r="L27"/>
      <c r="M27"/>
      <c r="N27"/>
    </row>
    <row r="28" spans="1:14" ht="12.75" customHeight="1">
      <c r="A28" s="17">
        <v>21</v>
      </c>
      <c r="B28" s="4" t="s">
        <v>77</v>
      </c>
      <c r="C28" s="3">
        <v>884</v>
      </c>
      <c r="D28" s="3">
        <v>192</v>
      </c>
      <c r="E28" s="3">
        <v>7</v>
      </c>
      <c r="F28" s="45" t="s">
        <v>1229</v>
      </c>
      <c r="G28" s="3">
        <v>18</v>
      </c>
      <c r="H28" s="6">
        <v>1101</v>
      </c>
      <c r="I28" s="31">
        <v>0.15612105124343825</v>
      </c>
      <c r="J28" s="58"/>
      <c r="K28" s="58"/>
      <c r="L28"/>
      <c r="M28"/>
      <c r="N28"/>
    </row>
    <row r="29" spans="1:14" ht="12.75" customHeight="1">
      <c r="A29" s="17">
        <v>22</v>
      </c>
      <c r="B29" s="4" t="s">
        <v>78</v>
      </c>
      <c r="C29" s="3">
        <v>3545</v>
      </c>
      <c r="D29" s="3">
        <v>11175</v>
      </c>
      <c r="E29" s="3">
        <v>8145</v>
      </c>
      <c r="F29" s="3">
        <v>487</v>
      </c>
      <c r="G29" s="3">
        <v>2277</v>
      </c>
      <c r="H29" s="6">
        <v>25629</v>
      </c>
      <c r="I29" s="31">
        <v>3.6341747704978009</v>
      </c>
      <c r="J29" s="58"/>
      <c r="K29" s="58"/>
      <c r="L29"/>
      <c r="M29"/>
      <c r="N29"/>
    </row>
    <row r="30" spans="1:14" ht="12.75" customHeight="1">
      <c r="A30" s="17">
        <v>23</v>
      </c>
      <c r="B30" s="4" t="s">
        <v>1086</v>
      </c>
      <c r="C30" s="3">
        <v>9448</v>
      </c>
      <c r="D30" s="3">
        <v>2315</v>
      </c>
      <c r="E30" s="3">
        <v>48</v>
      </c>
      <c r="F30" s="3">
        <v>44</v>
      </c>
      <c r="G30" s="3">
        <v>70</v>
      </c>
      <c r="H30" s="6">
        <v>11925</v>
      </c>
      <c r="I30" s="31">
        <v>1.6909568901707548</v>
      </c>
      <c r="J30" s="58"/>
      <c r="K30" s="58"/>
      <c r="L30"/>
      <c r="M30"/>
      <c r="N30"/>
    </row>
    <row r="31" spans="1:14" ht="12.75" customHeight="1">
      <c r="A31" s="17">
        <v>24</v>
      </c>
      <c r="B31" s="4" t="s">
        <v>1087</v>
      </c>
      <c r="C31" s="3">
        <v>1801</v>
      </c>
      <c r="D31" s="3">
        <v>1405</v>
      </c>
      <c r="E31" s="3">
        <v>18</v>
      </c>
      <c r="F31" s="45" t="s">
        <v>1229</v>
      </c>
      <c r="G31" s="3">
        <v>32</v>
      </c>
      <c r="H31" s="6">
        <v>3256</v>
      </c>
      <c r="I31" s="31">
        <v>0.46169858569358302</v>
      </c>
      <c r="J31" s="58"/>
      <c r="K31" s="58"/>
      <c r="L31"/>
      <c r="M31"/>
      <c r="N31"/>
    </row>
    <row r="32" spans="1:14" ht="12.75" customHeight="1">
      <c r="A32" s="17">
        <v>25</v>
      </c>
      <c r="B32" s="4" t="s">
        <v>1088</v>
      </c>
      <c r="C32" s="3">
        <v>102538</v>
      </c>
      <c r="D32" s="3">
        <v>4</v>
      </c>
      <c r="E32" s="45" t="s">
        <v>1229</v>
      </c>
      <c r="F32" s="45" t="s">
        <v>1229</v>
      </c>
      <c r="G32" s="45" t="s">
        <v>1229</v>
      </c>
      <c r="H32" s="6">
        <v>102542</v>
      </c>
      <c r="I32" s="31">
        <v>14.540385864309394</v>
      </c>
      <c r="J32" s="58"/>
      <c r="K32" s="58"/>
      <c r="L32"/>
      <c r="M32"/>
      <c r="N32"/>
    </row>
    <row r="33" spans="1:14" ht="12.75" customHeight="1">
      <c r="A33" s="17">
        <v>26</v>
      </c>
      <c r="B33" s="4" t="s">
        <v>422</v>
      </c>
      <c r="C33" s="45" t="s">
        <v>1229</v>
      </c>
      <c r="D33" s="45">
        <v>2</v>
      </c>
      <c r="E33" s="45" t="s">
        <v>1229</v>
      </c>
      <c r="F33" s="3">
        <v>89825</v>
      </c>
      <c r="G33" s="3">
        <v>58</v>
      </c>
      <c r="H33" s="6">
        <v>89885</v>
      </c>
      <c r="I33" s="31">
        <v>12.745631871949541</v>
      </c>
      <c r="J33" s="58"/>
      <c r="K33" s="58"/>
      <c r="L33"/>
      <c r="M33"/>
      <c r="N33"/>
    </row>
    <row r="34" spans="1:14" ht="12.75" customHeight="1">
      <c r="A34" s="17">
        <v>27</v>
      </c>
      <c r="B34" s="4" t="s">
        <v>1089</v>
      </c>
      <c r="C34" s="3">
        <v>20884</v>
      </c>
      <c r="D34" s="45" t="s">
        <v>1229</v>
      </c>
      <c r="E34" s="45" t="s">
        <v>1229</v>
      </c>
      <c r="F34" s="45" t="s">
        <v>1229</v>
      </c>
      <c r="G34" s="45" t="s">
        <v>1229</v>
      </c>
      <c r="H34" s="6">
        <v>20884</v>
      </c>
      <c r="I34" s="31">
        <v>2.9613369974277601</v>
      </c>
      <c r="J34" s="58"/>
      <c r="K34" s="58"/>
      <c r="L34"/>
      <c r="M34"/>
      <c r="N34"/>
    </row>
    <row r="35" spans="1:14" ht="12.75" customHeight="1">
      <c r="C35" s="3"/>
      <c r="D35" s="3"/>
      <c r="E35" s="3"/>
      <c r="F35" s="3"/>
      <c r="G35" s="3"/>
      <c r="H35" s="6"/>
      <c r="I35" s="31"/>
      <c r="J35" s="58"/>
      <c r="K35" s="58"/>
      <c r="L35"/>
      <c r="M35"/>
      <c r="N35"/>
    </row>
    <row r="36" spans="1:14" ht="12.75" customHeight="1">
      <c r="B36" s="2" t="s">
        <v>178</v>
      </c>
      <c r="C36" s="6">
        <f t="shared" ref="C36:H36" si="0">SUM(C8:C34)</f>
        <v>461768</v>
      </c>
      <c r="D36" s="6">
        <f t="shared" si="0"/>
        <v>120776</v>
      </c>
      <c r="E36" s="6">
        <f t="shared" si="0"/>
        <v>23301</v>
      </c>
      <c r="F36" s="6">
        <f t="shared" si="0"/>
        <v>93867</v>
      </c>
      <c r="G36" s="6">
        <f t="shared" si="0"/>
        <v>5510</v>
      </c>
      <c r="H36" s="6">
        <f t="shared" si="0"/>
        <v>705222</v>
      </c>
      <c r="I36" s="31">
        <v>100</v>
      </c>
      <c r="J36" s="58"/>
      <c r="K36" s="58"/>
      <c r="L36"/>
      <c r="M36"/>
      <c r="N36"/>
    </row>
    <row r="37" spans="1:14" ht="12.75" customHeight="1" thickBot="1">
      <c r="A37" s="39"/>
      <c r="B37" s="475" t="s">
        <v>1810</v>
      </c>
      <c r="C37" s="479">
        <f t="shared" ref="C37:H37" si="1">C36/$H$36*100</f>
        <v>65.478388365649394</v>
      </c>
      <c r="D37" s="479">
        <f t="shared" si="1"/>
        <v>17.12595466392143</v>
      </c>
      <c r="E37" s="479">
        <f t="shared" si="1"/>
        <v>3.3040659536996864</v>
      </c>
      <c r="F37" s="479">
        <f t="shared" si="1"/>
        <v>13.31027676391264</v>
      </c>
      <c r="G37" s="479">
        <f t="shared" si="1"/>
        <v>0.78131425281684352</v>
      </c>
      <c r="H37" s="479">
        <f t="shared" si="1"/>
        <v>100</v>
      </c>
      <c r="I37" s="478"/>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1.25" customHeight="1">
      <c r="A45"/>
      <c r="B45"/>
      <c r="C45"/>
      <c r="D45"/>
      <c r="E45"/>
      <c r="F45"/>
      <c r="G45"/>
      <c r="H45"/>
      <c r="I45"/>
      <c r="J45" s="58"/>
      <c r="K45" s="58"/>
      <c r="L45"/>
      <c r="M45"/>
      <c r="N45"/>
    </row>
    <row r="46" spans="1:14" ht="12"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1818</v>
      </c>
      <c r="J1"/>
      <c r="K1"/>
      <c r="L1"/>
      <c r="M1"/>
      <c r="N1"/>
    </row>
    <row r="2" spans="1:14" ht="12.75" customHeight="1">
      <c r="A2" s="1" t="s">
        <v>1819</v>
      </c>
      <c r="J2"/>
      <c r="K2"/>
      <c r="L2"/>
      <c r="M2"/>
      <c r="N2"/>
    </row>
    <row r="3" spans="1:14" ht="12.75" customHeight="1">
      <c r="A3" s="7" t="s">
        <v>1820</v>
      </c>
      <c r="J3"/>
      <c r="K3"/>
      <c r="L3"/>
      <c r="M3"/>
      <c r="N3"/>
    </row>
    <row r="4" spans="1:14" ht="13.5" customHeight="1" thickBot="1">
      <c r="A4" s="39"/>
      <c r="B4" s="43"/>
      <c r="J4"/>
      <c r="K4"/>
      <c r="L4"/>
      <c r="M4"/>
      <c r="N4"/>
    </row>
    <row r="5" spans="1:14" ht="12.75" customHeight="1">
      <c r="A5" s="470" t="s">
        <v>1805</v>
      </c>
      <c r="C5" s="437" t="s">
        <v>1806</v>
      </c>
      <c r="D5" s="437" t="s">
        <v>1807</v>
      </c>
      <c r="E5" s="437" t="s">
        <v>1808</v>
      </c>
      <c r="F5" s="437" t="s">
        <v>1093</v>
      </c>
      <c r="G5" s="437" t="s">
        <v>1809</v>
      </c>
      <c r="H5" s="471" t="s">
        <v>178</v>
      </c>
      <c r="I5" s="437" t="s">
        <v>1810</v>
      </c>
      <c r="J5"/>
      <c r="K5"/>
      <c r="L5"/>
      <c r="M5"/>
      <c r="N5"/>
    </row>
    <row r="6" spans="1:14" ht="13.5" customHeight="1" thickBot="1">
      <c r="A6" s="39"/>
      <c r="B6" s="44"/>
      <c r="C6" s="39" t="s">
        <v>1811</v>
      </c>
      <c r="D6" s="39" t="s">
        <v>1812</v>
      </c>
      <c r="E6" s="39" t="s">
        <v>1813</v>
      </c>
      <c r="F6" s="39"/>
      <c r="G6" s="39" t="s">
        <v>1814</v>
      </c>
      <c r="H6" s="472"/>
      <c r="I6" s="39"/>
      <c r="J6"/>
      <c r="K6"/>
      <c r="L6"/>
      <c r="M6"/>
      <c r="N6"/>
    </row>
    <row r="7" spans="1:14" ht="12.75" customHeight="1">
      <c r="J7" s="58"/>
      <c r="K7" s="58"/>
      <c r="L7" s="58"/>
      <c r="M7"/>
      <c r="N7"/>
    </row>
    <row r="8" spans="1:14" ht="12.75" customHeight="1">
      <c r="A8" s="17">
        <v>1</v>
      </c>
      <c r="B8" s="4" t="s">
        <v>401</v>
      </c>
      <c r="C8" s="3">
        <v>1113.5865217490998</v>
      </c>
      <c r="D8" s="3">
        <v>3514.9560756314845</v>
      </c>
      <c r="E8" s="3">
        <v>74.078792954399987</v>
      </c>
      <c r="F8" s="3">
        <v>14.291008119500002</v>
      </c>
      <c r="G8" s="3">
        <v>103.05621349810002</v>
      </c>
      <c r="H8" s="6">
        <v>4819.9686119525841</v>
      </c>
      <c r="I8" s="31">
        <v>0.67928417813822217</v>
      </c>
      <c r="J8" s="58"/>
      <c r="K8" s="58"/>
      <c r="L8" s="58"/>
      <c r="M8"/>
      <c r="N8"/>
    </row>
    <row r="9" spans="1:14" ht="12.75" customHeight="1">
      <c r="A9" s="17">
        <v>2</v>
      </c>
      <c r="B9" s="4" t="s">
        <v>402</v>
      </c>
      <c r="C9" s="45">
        <v>2.6824230272</v>
      </c>
      <c r="D9" s="3">
        <v>1141.7154667941998</v>
      </c>
      <c r="E9" s="3">
        <v>17.948787125500001</v>
      </c>
      <c r="F9" s="3">
        <v>2.3588394012999996</v>
      </c>
      <c r="G9" s="3">
        <v>337.84480065839983</v>
      </c>
      <c r="H9" s="6">
        <v>1502.5503170065997</v>
      </c>
      <c r="I9" s="31">
        <v>0.2117562870986584</v>
      </c>
      <c r="J9" s="58"/>
      <c r="K9" s="58"/>
      <c r="L9"/>
      <c r="M9"/>
      <c r="N9"/>
    </row>
    <row r="10" spans="1:14" ht="12.75" customHeight="1">
      <c r="A10" s="17">
        <v>3</v>
      </c>
      <c r="B10" s="4" t="s">
        <v>207</v>
      </c>
      <c r="C10" s="3">
        <v>64.590138869100002</v>
      </c>
      <c r="D10" s="3">
        <v>5758.8234224966991</v>
      </c>
      <c r="E10" s="3">
        <v>39.938018812400003</v>
      </c>
      <c r="F10" s="3">
        <v>19.319645953400002</v>
      </c>
      <c r="G10" s="3">
        <v>287.40781474699997</v>
      </c>
      <c r="H10" s="6">
        <v>6170.0790408785988</v>
      </c>
      <c r="I10" s="31">
        <v>0.86955692199688539</v>
      </c>
      <c r="J10" s="58"/>
      <c r="K10" s="58"/>
      <c r="L10"/>
      <c r="M10"/>
      <c r="N10"/>
    </row>
    <row r="11" spans="1:14" ht="12.75" customHeight="1">
      <c r="A11" s="17">
        <v>4</v>
      </c>
      <c r="B11" s="4" t="s">
        <v>1267</v>
      </c>
      <c r="C11" s="3">
        <v>269.97063446110002</v>
      </c>
      <c r="D11" s="3">
        <v>21822.055342619398</v>
      </c>
      <c r="E11" s="3">
        <v>47.599671247199993</v>
      </c>
      <c r="F11" s="3">
        <v>117.53892993409997</v>
      </c>
      <c r="G11" s="3">
        <v>1059.6305274916001</v>
      </c>
      <c r="H11" s="6">
        <v>23316.795105753401</v>
      </c>
      <c r="I11" s="31">
        <v>3.2860649675087208</v>
      </c>
      <c r="J11" s="58"/>
      <c r="K11" s="58"/>
      <c r="L11"/>
      <c r="M11"/>
      <c r="N11"/>
    </row>
    <row r="12" spans="1:14" ht="12.75" customHeight="1">
      <c r="A12" s="17">
        <v>5</v>
      </c>
      <c r="B12" s="4" t="s">
        <v>1183</v>
      </c>
      <c r="C12" s="3">
        <v>794.18888429169999</v>
      </c>
      <c r="D12" s="3">
        <v>2064.0302759014994</v>
      </c>
      <c r="E12" s="3">
        <v>5.9443028723000007</v>
      </c>
      <c r="F12" s="3">
        <v>5.9149953729</v>
      </c>
      <c r="G12" s="3">
        <v>113.9111731644</v>
      </c>
      <c r="H12" s="6">
        <v>2983.9896316027998</v>
      </c>
      <c r="I12" s="31">
        <v>0.42053737434093991</v>
      </c>
      <c r="J12" s="58"/>
      <c r="K12" s="58"/>
      <c r="L12"/>
      <c r="M12"/>
      <c r="N12"/>
    </row>
    <row r="13" spans="1:14" ht="12.75" customHeight="1">
      <c r="A13" s="17">
        <v>6</v>
      </c>
      <c r="B13" s="4" t="s">
        <v>1268</v>
      </c>
      <c r="C13" s="3">
        <v>1529.8999525936999</v>
      </c>
      <c r="D13" s="3">
        <v>31716.389711193879</v>
      </c>
      <c r="E13" s="3">
        <v>12086.3839432683</v>
      </c>
      <c r="F13" s="3">
        <v>133.51484679270001</v>
      </c>
      <c r="G13" s="3">
        <v>698.70465825460019</v>
      </c>
      <c r="H13" s="6">
        <v>46164.893112103186</v>
      </c>
      <c r="I13" s="31">
        <v>6.506075869193312</v>
      </c>
      <c r="J13" s="58"/>
      <c r="K13" s="473"/>
      <c r="L13" s="61"/>
      <c r="M13"/>
      <c r="N13"/>
    </row>
    <row r="14" spans="1:14" ht="12.75" customHeight="1">
      <c r="A14" s="17">
        <v>7</v>
      </c>
      <c r="B14" s="4" t="s">
        <v>1269</v>
      </c>
      <c r="C14" s="3">
        <v>14408.362224578201</v>
      </c>
      <c r="D14" s="3">
        <v>768.1006731384997</v>
      </c>
      <c r="E14" s="3">
        <v>9.6567763265999993</v>
      </c>
      <c r="F14" s="3">
        <v>4.8220776677999995</v>
      </c>
      <c r="G14" s="3">
        <v>126.53302736339998</v>
      </c>
      <c r="H14" s="6">
        <v>15317.474779074502</v>
      </c>
      <c r="I14" s="31">
        <v>2.1587107933969523</v>
      </c>
      <c r="J14" s="58"/>
      <c r="K14" s="58"/>
      <c r="L14"/>
      <c r="M14"/>
      <c r="N14"/>
    </row>
    <row r="15" spans="1:14" ht="12.75" customHeight="1">
      <c r="A15" s="17">
        <v>8</v>
      </c>
      <c r="B15" s="4" t="s">
        <v>1270</v>
      </c>
      <c r="C15" s="3">
        <v>2879.3666621868001</v>
      </c>
      <c r="D15" s="3">
        <v>1591.6572891887004</v>
      </c>
      <c r="E15" s="3">
        <v>4.6323657917999999</v>
      </c>
      <c r="F15" s="3">
        <v>34.680489272200006</v>
      </c>
      <c r="G15" s="3">
        <v>-38.068002780699999</v>
      </c>
      <c r="H15" s="6">
        <v>4472.2688036588006</v>
      </c>
      <c r="I15" s="31">
        <v>0.63028241121178163</v>
      </c>
      <c r="J15" s="58"/>
      <c r="K15" s="58"/>
      <c r="L15"/>
      <c r="M15"/>
      <c r="N15"/>
    </row>
    <row r="16" spans="1:14" ht="12.75" customHeight="1">
      <c r="A16" s="17">
        <v>9</v>
      </c>
      <c r="B16" s="4" t="s">
        <v>1271</v>
      </c>
      <c r="C16" s="3">
        <v>25935.155474573592</v>
      </c>
      <c r="D16" s="3">
        <v>2594.2823119610002</v>
      </c>
      <c r="E16" s="3">
        <v>8.5568610261</v>
      </c>
      <c r="F16" s="3">
        <v>3.1357069382999998</v>
      </c>
      <c r="G16" s="3">
        <v>32.166414070899997</v>
      </c>
      <c r="H16" s="6">
        <v>28573.296768569893</v>
      </c>
      <c r="I16" s="31">
        <v>4.0268702920608268</v>
      </c>
      <c r="J16" s="58"/>
      <c r="K16" s="58"/>
      <c r="L16"/>
      <c r="M16"/>
      <c r="N16"/>
    </row>
    <row r="17" spans="1:14" ht="12.75" customHeight="1">
      <c r="A17" s="17">
        <v>10</v>
      </c>
      <c r="B17" s="4" t="s">
        <v>1272</v>
      </c>
      <c r="C17" s="3">
        <v>91631.677431377393</v>
      </c>
      <c r="D17" s="3">
        <v>6028.3983545371002</v>
      </c>
      <c r="E17" s="3">
        <v>11.4881826431</v>
      </c>
      <c r="F17" s="3">
        <v>66.711549988999991</v>
      </c>
      <c r="G17" s="3">
        <v>198.51167440400002</v>
      </c>
      <c r="H17" s="6">
        <v>97936.787192950593</v>
      </c>
      <c r="I17" s="31">
        <v>13.802353366552559</v>
      </c>
      <c r="J17" s="58"/>
      <c r="K17" s="58"/>
      <c r="L17"/>
      <c r="M17"/>
      <c r="N17"/>
    </row>
    <row r="18" spans="1:14" ht="12.75" customHeight="1">
      <c r="A18" s="17">
        <v>11</v>
      </c>
      <c r="B18" s="4" t="s">
        <v>1273</v>
      </c>
      <c r="C18" s="3">
        <v>33537.532529003998</v>
      </c>
      <c r="D18" s="45" t="s">
        <v>1229</v>
      </c>
      <c r="E18" s="45" t="s">
        <v>1229</v>
      </c>
      <c r="F18" s="45" t="s">
        <v>1229</v>
      </c>
      <c r="G18" s="45" t="s">
        <v>1229</v>
      </c>
      <c r="H18" s="6">
        <v>33537.532529003998</v>
      </c>
      <c r="I18" s="31">
        <v>4.7264862190709396</v>
      </c>
      <c r="J18" s="58"/>
      <c r="K18" s="58"/>
      <c r="L18"/>
      <c r="M18"/>
      <c r="N18"/>
    </row>
    <row r="19" spans="1:14" ht="12.75" customHeight="1">
      <c r="A19" s="17">
        <v>12</v>
      </c>
      <c r="B19" s="4" t="s">
        <v>593</v>
      </c>
      <c r="C19" s="3">
        <v>44596.001342889998</v>
      </c>
      <c r="D19" s="45" t="s">
        <v>1229</v>
      </c>
      <c r="E19" s="45" t="s">
        <v>1229</v>
      </c>
      <c r="F19" s="45" t="s">
        <v>1229</v>
      </c>
      <c r="G19" s="45" t="s">
        <v>1229</v>
      </c>
      <c r="H19" s="6">
        <v>44596.001342889998</v>
      </c>
      <c r="I19" s="31">
        <v>6.2849699986291307</v>
      </c>
      <c r="J19" s="58"/>
      <c r="K19" s="58"/>
      <c r="L19"/>
      <c r="M19"/>
      <c r="N19"/>
    </row>
    <row r="20" spans="1:14" ht="12.75" customHeight="1">
      <c r="A20" s="17">
        <v>13</v>
      </c>
      <c r="B20" s="4" t="s">
        <v>594</v>
      </c>
      <c r="C20" s="3">
        <v>33224.38090987</v>
      </c>
      <c r="D20" s="45" t="s">
        <v>1229</v>
      </c>
      <c r="E20" s="45" t="s">
        <v>1229</v>
      </c>
      <c r="F20" s="45" t="s">
        <v>1229</v>
      </c>
      <c r="G20" s="45" t="s">
        <v>1229</v>
      </c>
      <c r="H20" s="6">
        <v>33224.38090987</v>
      </c>
      <c r="I20" s="31">
        <v>4.6823533714609802</v>
      </c>
      <c r="J20" s="58"/>
      <c r="K20" s="58"/>
      <c r="L20"/>
      <c r="M20"/>
      <c r="N20"/>
    </row>
    <row r="21" spans="1:14" ht="12.75" customHeight="1">
      <c r="A21" s="17">
        <v>14</v>
      </c>
      <c r="B21" s="4" t="s">
        <v>595</v>
      </c>
      <c r="C21" s="3">
        <v>32475.348820347401</v>
      </c>
      <c r="D21" s="3">
        <v>8259.6969068922008</v>
      </c>
      <c r="E21" s="3">
        <v>21.516374868100002</v>
      </c>
      <c r="F21" s="3">
        <v>30.9371680504</v>
      </c>
      <c r="G21" s="3">
        <v>279.08515347770003</v>
      </c>
      <c r="H21" s="6">
        <v>41066.584423635803</v>
      </c>
      <c r="I21" s="31">
        <v>5.7875648774925645</v>
      </c>
      <c r="J21" s="58"/>
      <c r="K21" s="58"/>
      <c r="L21"/>
      <c r="M21"/>
      <c r="N21"/>
    </row>
    <row r="22" spans="1:14" ht="12.75" customHeight="1">
      <c r="A22" s="17">
        <v>15</v>
      </c>
      <c r="B22" s="4" t="s">
        <v>596</v>
      </c>
      <c r="C22" s="3">
        <v>14595.659074499999</v>
      </c>
      <c r="D22" s="3">
        <v>21.1203445501</v>
      </c>
      <c r="E22" s="45" t="s">
        <v>1229</v>
      </c>
      <c r="F22" s="3">
        <v>5064.0177813999999</v>
      </c>
      <c r="G22" s="45" t="s">
        <v>1229</v>
      </c>
      <c r="H22" s="6">
        <v>19680.797200450099</v>
      </c>
      <c r="I22" s="31">
        <v>2.7736392552973506</v>
      </c>
      <c r="J22" s="58"/>
      <c r="K22" s="58"/>
      <c r="L22"/>
      <c r="M22"/>
      <c r="N22"/>
    </row>
    <row r="23" spans="1:14" ht="12.75" customHeight="1">
      <c r="A23" s="17">
        <v>16</v>
      </c>
      <c r="B23" s="4" t="s">
        <v>73</v>
      </c>
      <c r="C23" s="3">
        <v>10874.142615403007</v>
      </c>
      <c r="D23" s="3">
        <v>19237.567766604716</v>
      </c>
      <c r="E23" s="3">
        <v>796.91800590749983</v>
      </c>
      <c r="F23" s="3">
        <v>92.689618719399988</v>
      </c>
      <c r="G23" s="3">
        <v>361.74940459050009</v>
      </c>
      <c r="H23" s="6">
        <v>31363.067411225125</v>
      </c>
      <c r="I23" s="31">
        <v>4.4200361424547179</v>
      </c>
      <c r="J23" s="58"/>
      <c r="K23" s="58"/>
      <c r="L23"/>
      <c r="M23"/>
      <c r="N23"/>
    </row>
    <row r="24" spans="1:14" ht="12.75" customHeight="1">
      <c r="A24" s="17">
        <v>17</v>
      </c>
      <c r="B24" s="4" t="s">
        <v>74</v>
      </c>
      <c r="C24" s="3">
        <v>6134.5820167978045</v>
      </c>
      <c r="D24" s="3">
        <v>1383.1546352923012</v>
      </c>
      <c r="E24" s="3">
        <v>9.9569693106999999</v>
      </c>
      <c r="F24" s="3">
        <v>9.7300166423000025</v>
      </c>
      <c r="G24" s="3">
        <v>51.193724564699998</v>
      </c>
      <c r="H24" s="6">
        <v>7588.6173626078053</v>
      </c>
      <c r="I24" s="31">
        <v>1.0694732939923128</v>
      </c>
      <c r="J24" s="58"/>
      <c r="K24" s="58"/>
      <c r="L24"/>
      <c r="M24"/>
      <c r="N24"/>
    </row>
    <row r="25" spans="1:14" ht="12.75" customHeight="1">
      <c r="A25" s="17">
        <v>18</v>
      </c>
      <c r="B25" s="4" t="s">
        <v>75</v>
      </c>
      <c r="C25" s="3">
        <v>9432.5476837814003</v>
      </c>
      <c r="D25" s="3">
        <v>2320.3261693649997</v>
      </c>
      <c r="E25" s="3">
        <v>20.5259830151</v>
      </c>
      <c r="F25" s="3">
        <v>8.3848488932999992</v>
      </c>
      <c r="G25" s="3">
        <v>85.066598862699976</v>
      </c>
      <c r="H25" s="6">
        <v>11866.851283917502</v>
      </c>
      <c r="I25" s="31">
        <v>1.6724101276292103</v>
      </c>
      <c r="J25" s="58"/>
      <c r="K25" s="58"/>
      <c r="L25"/>
      <c r="M25"/>
      <c r="N25"/>
    </row>
    <row r="26" spans="1:14" ht="12.75" customHeight="1">
      <c r="A26" s="17">
        <v>19</v>
      </c>
      <c r="B26" s="4" t="s">
        <v>76</v>
      </c>
      <c r="C26" s="3">
        <v>2756.8140150877994</v>
      </c>
      <c r="D26" s="3">
        <v>169.91258313010013</v>
      </c>
      <c r="E26" s="3">
        <v>0.88545309239999992</v>
      </c>
      <c r="F26" s="3">
        <v>3.41437453E-2</v>
      </c>
      <c r="G26" s="3">
        <v>78.409992489800018</v>
      </c>
      <c r="H26" s="6">
        <v>3006.0561875453996</v>
      </c>
      <c r="I26" s="31">
        <v>0.42364724154643146</v>
      </c>
      <c r="J26" s="58"/>
      <c r="K26" s="58"/>
      <c r="L26"/>
      <c r="M26"/>
      <c r="N26"/>
    </row>
    <row r="27" spans="1:14" ht="12.75" customHeight="1">
      <c r="A27" s="17">
        <v>20</v>
      </c>
      <c r="B27" s="4" t="s">
        <v>1225</v>
      </c>
      <c r="C27" s="3">
        <v>514.26576576050002</v>
      </c>
      <c r="D27" s="3">
        <v>906.17520552510007</v>
      </c>
      <c r="E27" s="3">
        <v>262.84944799049998</v>
      </c>
      <c r="F27" s="3">
        <v>1.3660839485</v>
      </c>
      <c r="G27" s="3">
        <v>16.107786864799998</v>
      </c>
      <c r="H27" s="6">
        <v>1700.7642900894</v>
      </c>
      <c r="I27" s="31">
        <v>0.23969082913429979</v>
      </c>
      <c r="J27" s="58"/>
      <c r="K27" s="58"/>
      <c r="L27"/>
      <c r="M27"/>
      <c r="N27"/>
    </row>
    <row r="28" spans="1:14" ht="12.75" customHeight="1">
      <c r="A28" s="17">
        <v>21</v>
      </c>
      <c r="B28" s="4" t="s">
        <v>77</v>
      </c>
      <c r="C28" s="3">
        <v>1429.5939520039992</v>
      </c>
      <c r="D28" s="3">
        <v>238.5371610927001</v>
      </c>
      <c r="E28" s="3">
        <v>13.919129262500002</v>
      </c>
      <c r="F28" s="3">
        <v>0.1232928155</v>
      </c>
      <c r="G28" s="3">
        <v>48.611804591199999</v>
      </c>
      <c r="H28" s="6">
        <v>1730.7853397658994</v>
      </c>
      <c r="I28" s="31">
        <v>0.24392173304636625</v>
      </c>
      <c r="J28" s="58"/>
      <c r="K28" s="58"/>
      <c r="L28"/>
      <c r="M28"/>
      <c r="N28"/>
    </row>
    <row r="29" spans="1:14" ht="12.75" customHeight="1">
      <c r="A29" s="17">
        <v>22</v>
      </c>
      <c r="B29" s="4" t="s">
        <v>78</v>
      </c>
      <c r="C29" s="3">
        <v>4378.2218913125998</v>
      </c>
      <c r="D29" s="3">
        <v>11071.669409583301</v>
      </c>
      <c r="E29" s="3">
        <v>7171.0603167436993</v>
      </c>
      <c r="F29" s="3">
        <v>428.08334945670003</v>
      </c>
      <c r="G29" s="3">
        <v>2296.3111770866003</v>
      </c>
      <c r="H29" s="6">
        <v>25345.346144182902</v>
      </c>
      <c r="I29" s="31">
        <v>3.5719511912351454</v>
      </c>
      <c r="J29" s="58"/>
      <c r="K29" s="58"/>
      <c r="L29"/>
      <c r="M29"/>
      <c r="N29"/>
    </row>
    <row r="30" spans="1:14" ht="12.75" customHeight="1">
      <c r="A30" s="17">
        <v>23</v>
      </c>
      <c r="B30" s="4" t="s">
        <v>1086</v>
      </c>
      <c r="C30" s="3">
        <v>6988.9497513878978</v>
      </c>
      <c r="D30" s="3">
        <v>2551.5667044340998</v>
      </c>
      <c r="E30" s="3">
        <v>88.367419463900006</v>
      </c>
      <c r="F30" s="3">
        <v>36.365562655399998</v>
      </c>
      <c r="G30" s="3">
        <v>74.145551613700007</v>
      </c>
      <c r="H30" s="6">
        <v>9739.3949895549977</v>
      </c>
      <c r="I30" s="31">
        <v>1.3725850630307939</v>
      </c>
      <c r="J30" s="58"/>
      <c r="K30" s="58"/>
      <c r="L30"/>
      <c r="M30"/>
      <c r="N30"/>
    </row>
    <row r="31" spans="1:14" ht="12.75" customHeight="1">
      <c r="A31" s="17">
        <v>24</v>
      </c>
      <c r="B31" s="4" t="s">
        <v>1087</v>
      </c>
      <c r="C31" s="3">
        <v>2730.1430845758991</v>
      </c>
      <c r="D31" s="3">
        <v>985.57471448470028</v>
      </c>
      <c r="E31" s="3">
        <v>8.9896271829999996</v>
      </c>
      <c r="F31" s="3">
        <v>3.4865399753000008</v>
      </c>
      <c r="G31" s="3">
        <v>90.511963744800013</v>
      </c>
      <c r="H31" s="6">
        <v>3818.7059299636994</v>
      </c>
      <c r="I31" s="31">
        <v>0.5381749816283794</v>
      </c>
      <c r="J31" s="58"/>
      <c r="K31" s="58"/>
      <c r="L31"/>
      <c r="M31"/>
      <c r="N31"/>
    </row>
    <row r="32" spans="1:14" ht="12.75" customHeight="1">
      <c r="A32" s="17">
        <v>25</v>
      </c>
      <c r="B32" s="4" t="s">
        <v>1088</v>
      </c>
      <c r="C32" s="3">
        <v>98228.128230525006</v>
      </c>
      <c r="D32" s="3">
        <v>7.0351924339999998</v>
      </c>
      <c r="E32" s="45" t="s">
        <v>1229</v>
      </c>
      <c r="F32" s="45" t="s">
        <v>1229</v>
      </c>
      <c r="G32" s="45">
        <v>-700.61941420000005</v>
      </c>
      <c r="H32" s="6">
        <v>97534.54400875901</v>
      </c>
      <c r="I32" s="31">
        <v>13.745664733745343</v>
      </c>
      <c r="J32" s="58"/>
      <c r="K32" s="58"/>
      <c r="L32"/>
      <c r="M32"/>
      <c r="N32"/>
    </row>
    <row r="33" spans="1:14" ht="12.75" customHeight="1">
      <c r="A33" s="17">
        <v>26</v>
      </c>
      <c r="B33" s="4" t="s">
        <v>422</v>
      </c>
      <c r="C33" s="3">
        <v>1.90113</v>
      </c>
      <c r="D33" s="45">
        <v>3.5943952232000003</v>
      </c>
      <c r="E33" s="45" t="s">
        <v>1229</v>
      </c>
      <c r="F33" s="3">
        <v>90191.942049000005</v>
      </c>
      <c r="G33" s="3">
        <v>15.876040067</v>
      </c>
      <c r="H33" s="6">
        <v>90213.313614290208</v>
      </c>
      <c r="I33" s="31">
        <v>12.71387461811373</v>
      </c>
      <c r="J33" s="58"/>
      <c r="K33" s="58"/>
      <c r="L33"/>
      <c r="M33"/>
      <c r="N33"/>
    </row>
    <row r="34" spans="1:14" ht="12.75" customHeight="1">
      <c r="A34" s="17">
        <v>27</v>
      </c>
      <c r="B34" s="4" t="s">
        <v>1089</v>
      </c>
      <c r="C34" s="3">
        <v>22295.012417699996</v>
      </c>
      <c r="D34" s="45" t="s">
        <v>1229</v>
      </c>
      <c r="E34" s="45" t="s">
        <v>1229</v>
      </c>
      <c r="F34" s="45" t="s">
        <v>1229</v>
      </c>
      <c r="G34" s="45" t="s">
        <v>1229</v>
      </c>
      <c r="H34" s="6">
        <v>22295.012417699996</v>
      </c>
      <c r="I34" s="31">
        <v>3.1420638609934137</v>
      </c>
      <c r="J34" s="58"/>
      <c r="K34" s="58"/>
      <c r="L34"/>
      <c r="M34"/>
      <c r="N34"/>
    </row>
    <row r="35" spans="1:14" ht="12.75" customHeight="1">
      <c r="C35" s="3"/>
      <c r="D35" s="3"/>
      <c r="E35" s="3"/>
      <c r="F35" s="3"/>
      <c r="G35" s="3"/>
      <c r="H35" s="6"/>
      <c r="I35" s="31"/>
      <c r="J35" s="58"/>
      <c r="K35" s="58"/>
      <c r="L35"/>
      <c r="M35"/>
      <c r="N35"/>
    </row>
    <row r="36" spans="1:14" ht="12.75" customHeight="1">
      <c r="B36" s="2" t="s">
        <v>178</v>
      </c>
      <c r="C36" s="6">
        <f>SUM(C8:C34)</f>
        <v>462822.70557865524</v>
      </c>
      <c r="D36" s="6">
        <f>SUM(D8:D34)</f>
        <v>124156.340112074</v>
      </c>
      <c r="E36" s="6">
        <f>SUM(E8:E34)</f>
        <v>20701.2164289051</v>
      </c>
      <c r="F36" s="6">
        <f>SUM(F8:F34)</f>
        <v>96269.448544743311</v>
      </c>
      <c r="G36" s="6">
        <f>SUM(G8:G34)</f>
        <v>5616.1480846251998</v>
      </c>
      <c r="H36" s="6">
        <f>SUM(C36:G36)</f>
        <v>709565.85874900303</v>
      </c>
      <c r="I36" s="31">
        <v>100</v>
      </c>
      <c r="J36" s="58"/>
      <c r="K36" s="58"/>
      <c r="L36"/>
      <c r="M36"/>
      <c r="N36"/>
    </row>
    <row r="37" spans="1:14" ht="12.75" customHeight="1" thickBot="1">
      <c r="A37" s="39"/>
      <c r="B37" s="475" t="s">
        <v>1810</v>
      </c>
      <c r="C37" s="479">
        <f t="shared" ref="C37:H37" si="0">C36/$H$36*100</f>
        <v>65.226180187788742</v>
      </c>
      <c r="D37" s="479">
        <f t="shared" si="0"/>
        <v>17.497507607111661</v>
      </c>
      <c r="E37" s="479">
        <f t="shared" si="0"/>
        <v>2.9174482077537225</v>
      </c>
      <c r="F37" s="479">
        <f t="shared" si="0"/>
        <v>13.567373254749141</v>
      </c>
      <c r="G37" s="479">
        <f t="shared" si="0"/>
        <v>0.79149074259670904</v>
      </c>
      <c r="H37" s="479">
        <f t="shared" si="0"/>
        <v>100</v>
      </c>
      <c r="I37" s="478"/>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1.25" customHeight="1">
      <c r="A45"/>
      <c r="B45"/>
      <c r="C45"/>
      <c r="D45"/>
      <c r="E45"/>
      <c r="F45"/>
      <c r="G45"/>
      <c r="H45"/>
      <c r="I45"/>
      <c r="J45" s="58"/>
      <c r="K45" s="58"/>
      <c r="L45"/>
      <c r="M45"/>
      <c r="N45"/>
    </row>
    <row r="46" spans="1:14" ht="12.75"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1821</v>
      </c>
      <c r="J1"/>
      <c r="K1"/>
      <c r="L1"/>
      <c r="M1"/>
      <c r="N1"/>
    </row>
    <row r="2" spans="1:14" ht="12.75" customHeight="1">
      <c r="A2" s="1" t="s">
        <v>1822</v>
      </c>
      <c r="J2"/>
      <c r="K2"/>
      <c r="L2"/>
      <c r="M2"/>
      <c r="N2"/>
    </row>
    <row r="3" spans="1:14" ht="12.75" customHeight="1">
      <c r="A3" s="7" t="s">
        <v>1823</v>
      </c>
      <c r="J3"/>
      <c r="K3"/>
      <c r="L3"/>
      <c r="M3"/>
      <c r="N3"/>
    </row>
    <row r="4" spans="1:14" ht="13.5" customHeight="1" thickBot="1">
      <c r="A4" s="39"/>
      <c r="B4" s="43"/>
      <c r="J4"/>
      <c r="K4"/>
      <c r="L4"/>
      <c r="M4"/>
      <c r="N4"/>
    </row>
    <row r="5" spans="1:14" ht="12.75" customHeight="1">
      <c r="A5" s="470" t="s">
        <v>1805</v>
      </c>
      <c r="C5" s="437" t="s">
        <v>1806</v>
      </c>
      <c r="D5" s="437" t="s">
        <v>1807</v>
      </c>
      <c r="E5" s="437" t="s">
        <v>1808</v>
      </c>
      <c r="F5" s="437" t="s">
        <v>1093</v>
      </c>
      <c r="G5" s="437" t="s">
        <v>1809</v>
      </c>
      <c r="H5" s="471" t="s">
        <v>178</v>
      </c>
      <c r="I5" s="437" t="s">
        <v>1810</v>
      </c>
      <c r="J5"/>
      <c r="K5"/>
      <c r="L5"/>
      <c r="M5"/>
      <c r="N5"/>
    </row>
    <row r="6" spans="1:14" ht="13.5" customHeight="1" thickBot="1">
      <c r="A6" s="39"/>
      <c r="B6" s="44"/>
      <c r="C6" s="39" t="s">
        <v>1811</v>
      </c>
      <c r="D6" s="39" t="s">
        <v>1812</v>
      </c>
      <c r="E6" s="39" t="s">
        <v>1813</v>
      </c>
      <c r="F6" s="39"/>
      <c r="G6" s="39" t="s">
        <v>1814</v>
      </c>
      <c r="H6" s="472"/>
      <c r="I6" s="39"/>
      <c r="J6"/>
      <c r="K6"/>
      <c r="L6"/>
      <c r="M6"/>
      <c r="N6"/>
    </row>
    <row r="7" spans="1:14" ht="12.75" customHeight="1">
      <c r="J7" s="58"/>
      <c r="K7" s="58"/>
      <c r="L7" s="58"/>
      <c r="M7"/>
      <c r="N7"/>
    </row>
    <row r="8" spans="1:14" ht="12.75" customHeight="1">
      <c r="A8" s="17">
        <v>1</v>
      </c>
      <c r="B8" s="4" t="s">
        <v>401</v>
      </c>
      <c r="C8" s="3">
        <v>1096.9618809599001</v>
      </c>
      <c r="D8" s="3">
        <v>4117.4118102268994</v>
      </c>
      <c r="E8" s="3">
        <v>68.788799803700002</v>
      </c>
      <c r="F8" s="3">
        <v>8.4032863498999983</v>
      </c>
      <c r="G8" s="3">
        <v>121.17349729839999</v>
      </c>
      <c r="H8" s="6">
        <f>SUM(C8:G8)</f>
        <v>5412.7392746388005</v>
      </c>
      <c r="I8" s="31">
        <v>0.74964950149837417</v>
      </c>
      <c r="J8" s="58"/>
      <c r="K8" s="58"/>
      <c r="L8" s="58"/>
      <c r="M8"/>
      <c r="N8"/>
    </row>
    <row r="9" spans="1:14" ht="12.75" customHeight="1">
      <c r="A9" s="17">
        <v>2</v>
      </c>
      <c r="B9" s="4" t="s">
        <v>402</v>
      </c>
      <c r="C9" s="474" t="s">
        <v>1229</v>
      </c>
      <c r="D9" s="3">
        <v>1156.0890822889999</v>
      </c>
      <c r="E9" s="3">
        <v>18.221038132999997</v>
      </c>
      <c r="F9" s="3">
        <v>2.7088559765999993</v>
      </c>
      <c r="G9" s="3">
        <v>944.71206448930002</v>
      </c>
      <c r="H9" s="6">
        <f t="shared" ref="H9:H34" si="0">SUM(C9:G9)</f>
        <v>2121.7310408879002</v>
      </c>
      <c r="I9" s="31">
        <v>0.29385391322425752</v>
      </c>
      <c r="J9" s="58"/>
      <c r="K9" s="58"/>
      <c r="L9"/>
      <c r="M9"/>
      <c r="N9"/>
    </row>
    <row r="10" spans="1:14" ht="12.75" customHeight="1">
      <c r="A10" s="17">
        <v>3</v>
      </c>
      <c r="B10" s="4" t="s">
        <v>207</v>
      </c>
      <c r="C10" s="3">
        <v>53.563521323499998</v>
      </c>
      <c r="D10" s="3">
        <v>6045.7101200263987</v>
      </c>
      <c r="E10" s="3">
        <v>62.202755047700002</v>
      </c>
      <c r="F10" s="3">
        <v>15.284350255400001</v>
      </c>
      <c r="G10" s="3">
        <v>254.992778982</v>
      </c>
      <c r="H10" s="6">
        <f t="shared" si="0"/>
        <v>6431.7535256349984</v>
      </c>
      <c r="I10" s="31">
        <v>0.89078017240622342</v>
      </c>
      <c r="J10" s="58"/>
      <c r="K10" s="58"/>
      <c r="L10"/>
      <c r="M10"/>
      <c r="N10"/>
    </row>
    <row r="11" spans="1:14" ht="12.75" customHeight="1">
      <c r="A11" s="17">
        <v>4</v>
      </c>
      <c r="B11" s="4" t="s">
        <v>1267</v>
      </c>
      <c r="C11" s="3">
        <v>270.12599782000001</v>
      </c>
      <c r="D11" s="3">
        <v>22634.071098407112</v>
      </c>
      <c r="E11" s="3">
        <v>57.74609728370001</v>
      </c>
      <c r="F11" s="3">
        <v>131.3884695433</v>
      </c>
      <c r="G11" s="3">
        <v>1055.4442779697999</v>
      </c>
      <c r="H11" s="6">
        <f t="shared" si="0"/>
        <v>24148.775941023912</v>
      </c>
      <c r="I11" s="31">
        <v>3.3445390452863726</v>
      </c>
      <c r="J11" s="58"/>
      <c r="K11" s="58"/>
      <c r="L11"/>
      <c r="M11"/>
      <c r="N11"/>
    </row>
    <row r="12" spans="1:14" ht="12.75" customHeight="1">
      <c r="A12" s="17">
        <v>5</v>
      </c>
      <c r="B12" s="4" t="s">
        <v>1183</v>
      </c>
      <c r="C12" s="3">
        <v>873.36051331820011</v>
      </c>
      <c r="D12" s="3">
        <v>1919.5338501983001</v>
      </c>
      <c r="E12" s="3">
        <v>4.1107454614999988</v>
      </c>
      <c r="F12" s="3">
        <v>9.7758706094000019</v>
      </c>
      <c r="G12" s="3">
        <v>208.48671260579999</v>
      </c>
      <c r="H12" s="6">
        <f t="shared" si="0"/>
        <v>3015.2676921931998</v>
      </c>
      <c r="I12" s="31">
        <v>0.4176062817080034</v>
      </c>
      <c r="J12" s="58"/>
      <c r="K12" s="58"/>
      <c r="L12"/>
      <c r="M12"/>
      <c r="N12"/>
    </row>
    <row r="13" spans="1:14" ht="12.75" customHeight="1">
      <c r="A13" s="17">
        <v>6</v>
      </c>
      <c r="B13" s="4" t="s">
        <v>1268</v>
      </c>
      <c r="C13" s="3">
        <v>1853.2324815807999</v>
      </c>
      <c r="D13" s="3">
        <v>28847.71714730018</v>
      </c>
      <c r="E13" s="3">
        <v>13572.990338897402</v>
      </c>
      <c r="F13" s="3">
        <v>61.458690914300014</v>
      </c>
      <c r="G13" s="3">
        <v>559.48684166170005</v>
      </c>
      <c r="H13" s="6">
        <f t="shared" si="0"/>
        <v>44894.885500354387</v>
      </c>
      <c r="I13" s="31">
        <v>6.217818155930507</v>
      </c>
      <c r="J13" s="58"/>
      <c r="K13" s="473"/>
      <c r="L13" s="61"/>
      <c r="M13"/>
      <c r="N13"/>
    </row>
    <row r="14" spans="1:14" ht="12.75" customHeight="1">
      <c r="A14" s="17">
        <v>7</v>
      </c>
      <c r="B14" s="4" t="s">
        <v>1269</v>
      </c>
      <c r="C14" s="3">
        <v>16013.622428663704</v>
      </c>
      <c r="D14" s="3">
        <v>896.85969035379981</v>
      </c>
      <c r="E14" s="3">
        <v>0.92779981020000002</v>
      </c>
      <c r="F14" s="3">
        <v>2.3563284371000002</v>
      </c>
      <c r="G14" s="3">
        <v>75.547359135899995</v>
      </c>
      <c r="H14" s="6">
        <f t="shared" si="0"/>
        <v>16989.313606400705</v>
      </c>
      <c r="I14" s="31">
        <v>2.3529732044386575</v>
      </c>
      <c r="J14" s="58"/>
      <c r="K14" s="58"/>
      <c r="L14"/>
      <c r="M14"/>
      <c r="N14"/>
    </row>
    <row r="15" spans="1:14" ht="12.75" customHeight="1">
      <c r="A15" s="17">
        <v>8</v>
      </c>
      <c r="B15" s="4" t="s">
        <v>1270</v>
      </c>
      <c r="C15" s="3">
        <v>3412.7568886199992</v>
      </c>
      <c r="D15" s="3">
        <v>1821.0064371005001</v>
      </c>
      <c r="E15" s="3">
        <v>35.893288652400003</v>
      </c>
      <c r="F15" s="3">
        <v>31.074154645799993</v>
      </c>
      <c r="G15" s="3">
        <v>-19.183806102999995</v>
      </c>
      <c r="H15" s="6">
        <f t="shared" si="0"/>
        <v>5281.5469629156996</v>
      </c>
      <c r="I15" s="31">
        <v>0.73147972717644261</v>
      </c>
      <c r="J15" s="58"/>
      <c r="K15" s="58"/>
      <c r="L15"/>
      <c r="M15"/>
      <c r="N15"/>
    </row>
    <row r="16" spans="1:14" ht="12.75" customHeight="1">
      <c r="A16" s="17">
        <v>9</v>
      </c>
      <c r="B16" s="4" t="s">
        <v>1271</v>
      </c>
      <c r="C16" s="3">
        <v>26460.1715557635</v>
      </c>
      <c r="D16" s="3">
        <v>2980.1944226832002</v>
      </c>
      <c r="E16" s="3">
        <v>14.870965021500002</v>
      </c>
      <c r="F16" s="3">
        <v>4.4759791783000002</v>
      </c>
      <c r="G16" s="3">
        <v>31.937608940000004</v>
      </c>
      <c r="H16" s="6">
        <f t="shared" si="0"/>
        <v>29491.6505315865</v>
      </c>
      <c r="I16" s="31">
        <v>4.0845124802068735</v>
      </c>
      <c r="J16" s="58"/>
      <c r="K16" s="58"/>
      <c r="L16"/>
      <c r="M16"/>
      <c r="N16"/>
    </row>
    <row r="17" spans="1:14" ht="12.75" customHeight="1">
      <c r="A17" s="17">
        <v>10</v>
      </c>
      <c r="B17" s="4" t="s">
        <v>1272</v>
      </c>
      <c r="C17" s="3">
        <v>100689.9628204496</v>
      </c>
      <c r="D17" s="3">
        <v>6291.3481876073001</v>
      </c>
      <c r="E17" s="3">
        <v>12.067456180599999</v>
      </c>
      <c r="F17" s="3">
        <v>68.985424367000007</v>
      </c>
      <c r="G17" s="3">
        <v>253.14255445999999</v>
      </c>
      <c r="H17" s="6">
        <f t="shared" si="0"/>
        <v>107315.5064430645</v>
      </c>
      <c r="I17" s="31">
        <v>14.862902465121476</v>
      </c>
      <c r="J17" s="58"/>
      <c r="K17" s="58"/>
      <c r="L17"/>
      <c r="M17"/>
      <c r="N17"/>
    </row>
    <row r="18" spans="1:14" ht="12.75" customHeight="1">
      <c r="A18" s="17">
        <v>11</v>
      </c>
      <c r="B18" s="4" t="s">
        <v>1273</v>
      </c>
      <c r="C18" s="3">
        <v>33839.037469996001</v>
      </c>
      <c r="D18" s="474" t="s">
        <v>1229</v>
      </c>
      <c r="E18" s="474" t="s">
        <v>1229</v>
      </c>
      <c r="F18" s="474" t="s">
        <v>1229</v>
      </c>
      <c r="G18" s="474" t="s">
        <v>1229</v>
      </c>
      <c r="H18" s="6">
        <f t="shared" si="0"/>
        <v>33839.037469996001</v>
      </c>
      <c r="I18" s="31">
        <v>4.6866136134480829</v>
      </c>
      <c r="J18" s="58"/>
      <c r="K18" s="58"/>
      <c r="L18"/>
      <c r="M18"/>
      <c r="N18"/>
    </row>
    <row r="19" spans="1:14" ht="12.75" customHeight="1">
      <c r="A19" s="17">
        <v>12</v>
      </c>
      <c r="B19" s="4" t="s">
        <v>593</v>
      </c>
      <c r="C19" s="3">
        <v>48288.768824329993</v>
      </c>
      <c r="D19" s="474" t="s">
        <v>1229</v>
      </c>
      <c r="E19" s="474" t="s">
        <v>1229</v>
      </c>
      <c r="F19" s="474" t="s">
        <v>1229</v>
      </c>
      <c r="G19" s="474" t="s">
        <v>1229</v>
      </c>
      <c r="H19" s="6">
        <f t="shared" si="0"/>
        <v>48288.768824329993</v>
      </c>
      <c r="I19" s="31">
        <v>6.6878616612371111</v>
      </c>
      <c r="J19" s="58"/>
      <c r="K19" s="58"/>
      <c r="L19"/>
      <c r="M19"/>
      <c r="N19"/>
    </row>
    <row r="20" spans="1:14" ht="12.75" customHeight="1">
      <c r="A20" s="17">
        <v>13</v>
      </c>
      <c r="B20" s="4" t="s">
        <v>594</v>
      </c>
      <c r="C20" s="3">
        <v>51157.258327895528</v>
      </c>
      <c r="D20" s="3">
        <v>7226.239811058198</v>
      </c>
      <c r="E20" s="38">
        <v>13.930394943</v>
      </c>
      <c r="F20" s="38">
        <v>17.9687799499</v>
      </c>
      <c r="G20" s="38">
        <v>212.00663392679999</v>
      </c>
      <c r="H20" s="6">
        <f t="shared" si="0"/>
        <v>58627.403947773433</v>
      </c>
      <c r="I20" s="31">
        <v>8.11973418884563</v>
      </c>
      <c r="J20" s="58"/>
      <c r="K20" s="58"/>
      <c r="L20"/>
      <c r="M20"/>
      <c r="N20"/>
    </row>
    <row r="21" spans="1:14" ht="12.75" customHeight="1">
      <c r="A21" s="17">
        <v>14</v>
      </c>
      <c r="B21" s="4" t="s">
        <v>595</v>
      </c>
      <c r="C21" s="3">
        <v>7652.0026057316991</v>
      </c>
      <c r="D21" s="3">
        <v>809.72516878300007</v>
      </c>
      <c r="E21" s="38">
        <v>7.1171712383000001</v>
      </c>
      <c r="F21" s="38">
        <v>2.1268138950999993</v>
      </c>
      <c r="G21" s="38">
        <v>35.850883805199999</v>
      </c>
      <c r="H21" s="6">
        <f t="shared" si="0"/>
        <v>8506.822643453299</v>
      </c>
      <c r="I21" s="31">
        <v>1.1781715376315445</v>
      </c>
      <c r="J21" s="58"/>
      <c r="K21" s="58"/>
      <c r="L21"/>
      <c r="M21"/>
      <c r="N21"/>
    </row>
    <row r="22" spans="1:14" ht="12.75" customHeight="1">
      <c r="A22" s="17">
        <v>15</v>
      </c>
      <c r="B22" s="4" t="s">
        <v>596</v>
      </c>
      <c r="C22" s="3">
        <v>15905.924322289902</v>
      </c>
      <c r="D22" s="3">
        <v>25.733575930299999</v>
      </c>
      <c r="E22" s="474" t="s">
        <v>1229</v>
      </c>
      <c r="F22" s="3">
        <v>3156.8857124000001</v>
      </c>
      <c r="G22" s="474" t="s">
        <v>1229</v>
      </c>
      <c r="H22" s="6">
        <f t="shared" si="0"/>
        <v>19088.543610620203</v>
      </c>
      <c r="I22" s="31">
        <v>2.6437107859746884</v>
      </c>
      <c r="J22" s="58"/>
      <c r="K22" s="58"/>
      <c r="L22"/>
      <c r="M22"/>
      <c r="N22"/>
    </row>
    <row r="23" spans="1:14" ht="12.75" customHeight="1">
      <c r="A23" s="17">
        <v>16</v>
      </c>
      <c r="B23" s="4" t="s">
        <v>73</v>
      </c>
      <c r="C23" s="3">
        <v>11338</v>
      </c>
      <c r="D23" s="3">
        <v>20401</v>
      </c>
      <c r="E23" s="3">
        <v>685.00066001699929</v>
      </c>
      <c r="F23" s="3">
        <v>100.50767423910001</v>
      </c>
      <c r="G23" s="3">
        <v>734.39028994289993</v>
      </c>
      <c r="H23" s="6">
        <f t="shared" si="0"/>
        <v>33258.898624198999</v>
      </c>
      <c r="I23" s="31">
        <v>4.6063412522042659</v>
      </c>
      <c r="J23" s="58"/>
      <c r="K23" s="58"/>
      <c r="L23"/>
      <c r="M23"/>
      <c r="N23"/>
    </row>
    <row r="24" spans="1:14" ht="12.75" customHeight="1">
      <c r="A24" s="17">
        <v>17</v>
      </c>
      <c r="B24" s="4" t="s">
        <v>74</v>
      </c>
      <c r="C24" s="3">
        <v>6308.7664867049998</v>
      </c>
      <c r="D24" s="3">
        <v>1427.4384115292999</v>
      </c>
      <c r="E24" s="3">
        <v>11.0364383621</v>
      </c>
      <c r="F24" s="3">
        <v>7.4412327692000009</v>
      </c>
      <c r="G24" s="3">
        <v>59.184525159899991</v>
      </c>
      <c r="H24" s="6">
        <f t="shared" si="0"/>
        <v>7813.8670945254989</v>
      </c>
      <c r="I24" s="31">
        <v>1.0821991001176532</v>
      </c>
      <c r="J24" s="58"/>
      <c r="K24" s="58"/>
      <c r="L24"/>
      <c r="M24"/>
      <c r="N24"/>
    </row>
    <row r="25" spans="1:14" ht="12.75" customHeight="1">
      <c r="A25" s="17">
        <v>18</v>
      </c>
      <c r="B25" s="4" t="s">
        <v>75</v>
      </c>
      <c r="C25" s="3">
        <v>7942.8562109359009</v>
      </c>
      <c r="D25" s="3">
        <v>2377.9428177005993</v>
      </c>
      <c r="E25" s="3">
        <v>20.365214134400006</v>
      </c>
      <c r="F25" s="3">
        <v>10.039424062900006</v>
      </c>
      <c r="G25" s="3">
        <v>83.072729169200002</v>
      </c>
      <c r="H25" s="6">
        <f t="shared" si="0"/>
        <v>10434.276396002999</v>
      </c>
      <c r="I25" s="31">
        <v>1.4451185807914009</v>
      </c>
      <c r="J25" s="58"/>
      <c r="K25" s="58"/>
      <c r="L25"/>
      <c r="M25"/>
      <c r="N25"/>
    </row>
    <row r="26" spans="1:14" ht="12.75" customHeight="1">
      <c r="A26" s="17">
        <v>19</v>
      </c>
      <c r="B26" s="4" t="s">
        <v>76</v>
      </c>
      <c r="C26" s="3">
        <v>3122.777124959001</v>
      </c>
      <c r="D26" s="3">
        <v>113.62564489410005</v>
      </c>
      <c r="E26" s="3">
        <v>1.3990766245999999</v>
      </c>
      <c r="F26" s="3">
        <v>0.23941690090000001</v>
      </c>
      <c r="G26" s="3">
        <v>19.9942247219</v>
      </c>
      <c r="H26" s="6">
        <f t="shared" si="0"/>
        <v>3258.035488100501</v>
      </c>
      <c r="I26" s="31">
        <v>0.45122895369489896</v>
      </c>
      <c r="J26" s="58"/>
      <c r="K26" s="58"/>
      <c r="L26"/>
      <c r="M26"/>
      <c r="N26"/>
    </row>
    <row r="27" spans="1:14" ht="12.75" customHeight="1">
      <c r="A27" s="17">
        <v>20</v>
      </c>
      <c r="B27" s="4" t="s">
        <v>1225</v>
      </c>
      <c r="C27" s="3">
        <v>729.0441520774001</v>
      </c>
      <c r="D27" s="3">
        <v>1071.8211068021003</v>
      </c>
      <c r="E27" s="3">
        <v>334.89101738729994</v>
      </c>
      <c r="F27" s="3">
        <v>1.5900602511999999</v>
      </c>
      <c r="G27" s="3">
        <v>15.326149102</v>
      </c>
      <c r="H27" s="6">
        <f t="shared" si="0"/>
        <v>2152.6724856200003</v>
      </c>
      <c r="I27" s="31">
        <v>0.29813921821349632</v>
      </c>
      <c r="J27" s="58"/>
      <c r="K27" s="58"/>
      <c r="L27"/>
      <c r="M27"/>
      <c r="N27"/>
    </row>
    <row r="28" spans="1:14" ht="12.75" customHeight="1">
      <c r="A28" s="17">
        <v>21</v>
      </c>
      <c r="B28" s="4" t="s">
        <v>77</v>
      </c>
      <c r="C28" s="3">
        <v>1513.3106047482997</v>
      </c>
      <c r="D28" s="3">
        <v>378.3569046287999</v>
      </c>
      <c r="E28" s="3">
        <v>2.4088131546000002</v>
      </c>
      <c r="F28" s="3">
        <v>0.13162305050000001</v>
      </c>
      <c r="G28" s="3">
        <v>56.240583790200006</v>
      </c>
      <c r="H28" s="6">
        <f t="shared" si="0"/>
        <v>1950.4485293723994</v>
      </c>
      <c r="I28" s="31">
        <v>0.27013175650139321</v>
      </c>
      <c r="J28" s="58"/>
      <c r="K28" s="58"/>
      <c r="L28"/>
      <c r="M28"/>
      <c r="N28"/>
    </row>
    <row r="29" spans="1:14" ht="12.75" customHeight="1">
      <c r="A29" s="17">
        <v>22</v>
      </c>
      <c r="B29" s="4" t="s">
        <v>78</v>
      </c>
      <c r="C29" s="3">
        <v>3511.5029780111995</v>
      </c>
      <c r="D29" s="3">
        <v>12271.785566652785</v>
      </c>
      <c r="E29" s="3">
        <v>6720.2080859205016</v>
      </c>
      <c r="F29" s="3">
        <v>473.75488872270006</v>
      </c>
      <c r="G29" s="3">
        <v>1591.0754934422998</v>
      </c>
      <c r="H29" s="6">
        <f t="shared" si="0"/>
        <v>24568.327012749483</v>
      </c>
      <c r="I29" s="31">
        <v>3.4026457147219094</v>
      </c>
      <c r="J29" s="58"/>
      <c r="K29" s="58"/>
      <c r="L29"/>
      <c r="M29"/>
      <c r="N29"/>
    </row>
    <row r="30" spans="1:14" ht="12.75" customHeight="1">
      <c r="A30" s="17">
        <v>23</v>
      </c>
      <c r="B30" s="4" t="s">
        <v>1086</v>
      </c>
      <c r="C30" s="3">
        <v>13958.257209084599</v>
      </c>
      <c r="D30" s="3">
        <v>2540.6285160801986</v>
      </c>
      <c r="E30" s="3">
        <v>14.683415013799998</v>
      </c>
      <c r="F30" s="3">
        <v>43.868000093599996</v>
      </c>
      <c r="G30" s="3">
        <v>69.156565770400007</v>
      </c>
      <c r="H30" s="6">
        <f t="shared" si="0"/>
        <v>16626.593706042597</v>
      </c>
      <c r="I30" s="31">
        <v>2.3027374959202307</v>
      </c>
      <c r="J30" s="58"/>
      <c r="K30" s="58"/>
      <c r="L30"/>
      <c r="M30"/>
      <c r="N30"/>
    </row>
    <row r="31" spans="1:14" ht="12.75" customHeight="1">
      <c r="A31" s="17">
        <v>24</v>
      </c>
      <c r="B31" s="4" t="s">
        <v>1087</v>
      </c>
      <c r="C31" s="3">
        <v>1749.1727553173002</v>
      </c>
      <c r="D31" s="3">
        <v>1504.9832447559002</v>
      </c>
      <c r="E31" s="3">
        <v>9.6520754098000001</v>
      </c>
      <c r="F31" s="3">
        <v>2.1989662268000005</v>
      </c>
      <c r="G31" s="3">
        <v>82.223858688800036</v>
      </c>
      <c r="H31" s="6">
        <f t="shared" si="0"/>
        <v>3348.2309003986011</v>
      </c>
      <c r="I31" s="31">
        <v>0.4637207702107099</v>
      </c>
      <c r="J31" s="58"/>
      <c r="K31" s="58"/>
      <c r="L31"/>
      <c r="M31"/>
      <c r="N31"/>
    </row>
    <row r="32" spans="1:14" ht="12.75" customHeight="1">
      <c r="A32" s="17">
        <v>25</v>
      </c>
      <c r="B32" s="4" t="s">
        <v>1088</v>
      </c>
      <c r="C32" s="3">
        <v>100629.49983693</v>
      </c>
      <c r="D32" s="3">
        <v>9.8872698454000005</v>
      </c>
      <c r="E32" s="474" t="s">
        <v>1229</v>
      </c>
      <c r="F32" s="474" t="s">
        <v>1229</v>
      </c>
      <c r="G32" s="474" t="s">
        <v>1229</v>
      </c>
      <c r="H32" s="6">
        <f t="shared" si="0"/>
        <v>100639.38710677541</v>
      </c>
      <c r="I32" s="31">
        <v>13.938278300081356</v>
      </c>
      <c r="J32" s="58"/>
      <c r="K32" s="58"/>
      <c r="L32"/>
      <c r="M32"/>
      <c r="N32"/>
    </row>
    <row r="33" spans="1:14" ht="12.75" customHeight="1">
      <c r="A33" s="17">
        <v>26</v>
      </c>
      <c r="B33" s="4" t="s">
        <v>422</v>
      </c>
      <c r="C33" s="3">
        <v>2.74284317</v>
      </c>
      <c r="D33" s="474" t="s">
        <v>1229</v>
      </c>
      <c r="E33" s="474" t="s">
        <v>1229</v>
      </c>
      <c r="F33" s="3">
        <v>81070.600147000005</v>
      </c>
      <c r="G33" s="3">
        <v>186.53129824999999</v>
      </c>
      <c r="H33" s="6">
        <f t="shared" si="0"/>
        <v>81259.874288420004</v>
      </c>
      <c r="I33" s="31">
        <v>11.254269079162258</v>
      </c>
      <c r="J33" s="58"/>
      <c r="K33" s="58"/>
      <c r="L33"/>
      <c r="M33"/>
      <c r="N33"/>
    </row>
    <row r="34" spans="1:14" ht="12.75" customHeight="1">
      <c r="A34" s="17">
        <v>27</v>
      </c>
      <c r="B34" s="4" t="s">
        <v>1089</v>
      </c>
      <c r="C34" s="3">
        <v>23271.537978799999</v>
      </c>
      <c r="D34" s="474" t="s">
        <v>1229</v>
      </c>
      <c r="E34" s="474" t="s">
        <v>1229</v>
      </c>
      <c r="F34" s="474" t="s">
        <v>1229</v>
      </c>
      <c r="G34" s="474" t="s">
        <v>1229</v>
      </c>
      <c r="H34" s="6">
        <f t="shared" si="0"/>
        <v>23271.537978799999</v>
      </c>
      <c r="I34" s="31">
        <v>3.2230440004099519</v>
      </c>
      <c r="J34" s="58"/>
      <c r="K34" s="58"/>
      <c r="L34"/>
      <c r="M34"/>
      <c r="N34"/>
    </row>
    <row r="35" spans="1:14" ht="12.75" customHeight="1">
      <c r="C35" s="3"/>
      <c r="D35" s="3"/>
      <c r="E35" s="3"/>
      <c r="F35" s="3"/>
      <c r="G35" s="3"/>
      <c r="H35" s="6"/>
      <c r="I35" s="31"/>
      <c r="J35" s="58"/>
      <c r="K35" s="58"/>
      <c r="L35"/>
      <c r="M35"/>
      <c r="N35"/>
    </row>
    <row r="36" spans="1:14" ht="12.75" customHeight="1">
      <c r="B36" s="2" t="s">
        <v>178</v>
      </c>
      <c r="C36" s="6">
        <f>SUM(C8:C34)</f>
        <v>481644.21781948104</v>
      </c>
      <c r="D36" s="6">
        <f>SUM(D8:D34)</f>
        <v>126869.1098848534</v>
      </c>
      <c r="E36" s="6">
        <f>SUM(E8:E34)</f>
        <v>21668.5116464971</v>
      </c>
      <c r="F36" s="6">
        <f>SUM(F8:F34)</f>
        <v>85223.264149839</v>
      </c>
      <c r="G36" s="6">
        <f>SUM(G8:G34)</f>
        <v>6630.7931252094995</v>
      </c>
      <c r="H36" s="6">
        <f>SUM(C36:G36)</f>
        <v>722035.89662588004</v>
      </c>
      <c r="I36" s="31">
        <v>100</v>
      </c>
      <c r="J36" s="58"/>
      <c r="K36" s="58"/>
      <c r="L36"/>
      <c r="M36"/>
      <c r="N36"/>
    </row>
    <row r="37" spans="1:14" ht="12.75" customHeight="1" thickBot="1">
      <c r="A37" s="39"/>
      <c r="B37" s="475" t="s">
        <v>1810</v>
      </c>
      <c r="C37" s="479">
        <f t="shared" ref="C37:H37" si="1">C36/$H$36*100</f>
        <v>66.706408929283896</v>
      </c>
      <c r="D37" s="479">
        <f t="shared" si="1"/>
        <v>17.571025274189399</v>
      </c>
      <c r="E37" s="479">
        <f t="shared" si="1"/>
        <v>3.001029692257053</v>
      </c>
      <c r="F37" s="479">
        <f t="shared" si="1"/>
        <v>11.803189363311819</v>
      </c>
      <c r="G37" s="479">
        <f t="shared" si="1"/>
        <v>0.91834674095784152</v>
      </c>
      <c r="H37" s="479">
        <f t="shared" si="1"/>
        <v>100</v>
      </c>
      <c r="I37" s="478"/>
      <c r="J37" s="58"/>
      <c r="K37" s="58"/>
      <c r="L37"/>
      <c r="M37"/>
      <c r="N37"/>
    </row>
    <row r="38" spans="1:14" ht="12.75" customHeight="1">
      <c r="A38" s="46" t="s">
        <v>179</v>
      </c>
      <c r="J38" s="58"/>
      <c r="K38" s="58"/>
      <c r="L38"/>
      <c r="M38"/>
      <c r="N38"/>
    </row>
    <row r="39" spans="1:14" ht="12.75" customHeight="1">
      <c r="A39" s="42" t="s">
        <v>539</v>
      </c>
      <c r="B39"/>
      <c r="C39" s="4" t="s">
        <v>189</v>
      </c>
      <c r="D39" s="4" t="s">
        <v>189</v>
      </c>
      <c r="J39" s="58"/>
      <c r="K39" s="58"/>
      <c r="L39" s="58"/>
      <c r="M39" s="59"/>
      <c r="N39" s="58"/>
    </row>
    <row r="40" spans="1:14" ht="11.25" customHeight="1">
      <c r="A40" s="4"/>
      <c r="J40" s="58"/>
      <c r="K40" s="58"/>
      <c r="L40"/>
      <c r="M40"/>
      <c r="N40"/>
    </row>
    <row r="41" spans="1:14" ht="11.25" customHeight="1">
      <c r="A41"/>
      <c r="B41"/>
      <c r="C41"/>
      <c r="D41"/>
      <c r="E41"/>
      <c r="F41"/>
      <c r="G41"/>
      <c r="H41"/>
      <c r="I41"/>
      <c r="J41" s="58"/>
      <c r="K41" s="58"/>
      <c r="L41"/>
      <c r="M41"/>
      <c r="N41"/>
    </row>
    <row r="42" spans="1:14" ht="11.25" customHeight="1">
      <c r="A42"/>
      <c r="B42"/>
      <c r="C42"/>
      <c r="D42"/>
      <c r="E42"/>
      <c r="F42"/>
      <c r="G42"/>
      <c r="H42"/>
      <c r="I42"/>
      <c r="J42" s="58"/>
      <c r="K42" s="58"/>
      <c r="L42"/>
      <c r="M42"/>
      <c r="N42"/>
    </row>
    <row r="43" spans="1:14" ht="11.25" customHeight="1">
      <c r="A43"/>
      <c r="B43"/>
      <c r="C43"/>
      <c r="D43"/>
      <c r="E43"/>
      <c r="F43"/>
      <c r="G43"/>
      <c r="H43"/>
      <c r="I43"/>
      <c r="J43" s="58"/>
      <c r="K43" s="58"/>
      <c r="L43"/>
      <c r="M43"/>
      <c r="N43"/>
    </row>
    <row r="44" spans="1:14" ht="11.25" customHeight="1">
      <c r="A44"/>
      <c r="B44"/>
      <c r="C44"/>
      <c r="D44"/>
      <c r="E44"/>
      <c r="F44"/>
      <c r="G44"/>
      <c r="H44"/>
      <c r="I44"/>
      <c r="J44" s="58"/>
      <c r="K44" s="58"/>
      <c r="L44"/>
      <c r="M44"/>
      <c r="N44"/>
    </row>
    <row r="45" spans="1:14" ht="16.5" customHeight="1">
      <c r="A45" s="183"/>
      <c r="B45"/>
      <c r="C45"/>
      <c r="D45"/>
      <c r="E45"/>
      <c r="F45"/>
      <c r="G45"/>
      <c r="H45"/>
      <c r="I45"/>
      <c r="J45" s="58"/>
      <c r="K45" s="58"/>
      <c r="L45"/>
      <c r="M45"/>
      <c r="N45"/>
    </row>
    <row r="46" spans="1:14" ht="11.25" customHeight="1">
      <c r="A46" s="183"/>
      <c r="B46"/>
      <c r="C46"/>
      <c r="D46"/>
      <c r="E46"/>
      <c r="F46"/>
      <c r="G46"/>
      <c r="H46"/>
      <c r="I46"/>
      <c r="J46" s="58"/>
      <c r="K46" s="58"/>
      <c r="L46"/>
      <c r="M46"/>
      <c r="N46"/>
    </row>
    <row r="47" spans="1:14" ht="11.25" customHeight="1">
      <c r="A47"/>
      <c r="B47"/>
      <c r="C47"/>
      <c r="D47"/>
      <c r="E47"/>
      <c r="F47"/>
      <c r="G47"/>
      <c r="H47"/>
      <c r="I47"/>
      <c r="J47" s="58"/>
      <c r="K47" s="58"/>
      <c r="L47"/>
      <c r="M47"/>
      <c r="N47"/>
    </row>
    <row r="48" spans="1:14" ht="11.25" customHeight="1">
      <c r="A48"/>
      <c r="B48"/>
      <c r="C48"/>
      <c r="D48"/>
      <c r="E48"/>
      <c r="F48"/>
      <c r="G48"/>
      <c r="H48"/>
      <c r="I48"/>
      <c r="J48" s="58"/>
      <c r="K48" s="58"/>
      <c r="L48"/>
      <c r="M48"/>
      <c r="N48"/>
    </row>
    <row r="49" spans="1:14" ht="11.25" customHeight="1">
      <c r="A49"/>
      <c r="B49"/>
      <c r="C49"/>
      <c r="D49"/>
      <c r="E49"/>
      <c r="F49"/>
      <c r="G49"/>
      <c r="H49"/>
      <c r="I49"/>
      <c r="J49" s="58"/>
      <c r="K49" s="58"/>
      <c r="L49"/>
      <c r="M49"/>
      <c r="N49"/>
    </row>
    <row r="50" spans="1:14" ht="11.25" customHeight="1">
      <c r="A50"/>
      <c r="B50"/>
      <c r="C50"/>
      <c r="D50"/>
      <c r="E50"/>
      <c r="F50"/>
      <c r="G50"/>
      <c r="H50"/>
      <c r="I50"/>
      <c r="J50" s="58"/>
      <c r="K50" s="58"/>
      <c r="L50"/>
      <c r="M50"/>
      <c r="N50"/>
    </row>
    <row r="51" spans="1:14" ht="11.25" customHeight="1">
      <c r="A51"/>
      <c r="B51"/>
      <c r="C51"/>
      <c r="D51"/>
      <c r="E51"/>
      <c r="F51"/>
      <c r="G51"/>
      <c r="H51"/>
      <c r="I51"/>
      <c r="J51" s="58"/>
      <c r="K51" s="58"/>
      <c r="L51"/>
      <c r="M51"/>
      <c r="N51"/>
    </row>
    <row r="52" spans="1:14" ht="11.25" customHeight="1">
      <c r="A52"/>
      <c r="B52"/>
      <c r="C52"/>
      <c r="D52"/>
      <c r="E52"/>
      <c r="F52"/>
      <c r="G52"/>
      <c r="H52"/>
      <c r="I52"/>
      <c r="J52" s="58"/>
      <c r="K52" s="58"/>
      <c r="L52"/>
      <c r="M52"/>
      <c r="N52"/>
    </row>
    <row r="53" spans="1:14" ht="11.25" customHeight="1">
      <c r="A53"/>
      <c r="B53"/>
      <c r="C53"/>
      <c r="D53"/>
      <c r="E53"/>
      <c r="F53"/>
      <c r="G53"/>
      <c r="H53"/>
      <c r="I53"/>
      <c r="J53" s="58"/>
      <c r="K53" s="58"/>
      <c r="L53"/>
      <c r="M53"/>
      <c r="N53"/>
    </row>
    <row r="54" spans="1:14" ht="11.25" customHeight="1">
      <c r="A54"/>
      <c r="B54"/>
      <c r="C54"/>
      <c r="D54"/>
      <c r="E54"/>
      <c r="F54"/>
      <c r="G54"/>
      <c r="H54"/>
      <c r="I54"/>
      <c r="J54" s="58"/>
      <c r="K54" s="58"/>
      <c r="L54"/>
      <c r="M54"/>
      <c r="N54"/>
    </row>
    <row r="55" spans="1:14" ht="11.25" customHeight="1">
      <c r="A55"/>
      <c r="B55"/>
      <c r="C55"/>
      <c r="D55"/>
      <c r="E55"/>
      <c r="F55"/>
      <c r="G55"/>
      <c r="H55"/>
      <c r="I55"/>
      <c r="J55" s="58"/>
      <c r="K55" s="58"/>
      <c r="L55"/>
      <c r="M55"/>
      <c r="N55"/>
    </row>
    <row r="56" spans="1:14" ht="11.25" customHeight="1">
      <c r="A56"/>
      <c r="B56"/>
      <c r="C56"/>
      <c r="D56"/>
      <c r="E56"/>
      <c r="F56"/>
      <c r="G56"/>
      <c r="H56"/>
      <c r="I56"/>
      <c r="J56" s="58"/>
      <c r="K56" s="58"/>
      <c r="L56"/>
      <c r="M56"/>
      <c r="N56"/>
    </row>
    <row r="57" spans="1:14" ht="11.25" customHeight="1">
      <c r="A57"/>
      <c r="B57"/>
      <c r="C57"/>
      <c r="D57"/>
      <c r="E57"/>
      <c r="F57"/>
      <c r="G57"/>
      <c r="H57"/>
      <c r="I57"/>
      <c r="J57" s="58"/>
      <c r="K57" s="58"/>
      <c r="L57"/>
      <c r="M57"/>
      <c r="N57"/>
    </row>
    <row r="58" spans="1:14" ht="11.25" customHeight="1">
      <c r="A58"/>
      <c r="B58"/>
      <c r="C58"/>
      <c r="D58"/>
      <c r="E58"/>
      <c r="F58"/>
      <c r="G58"/>
      <c r="H58"/>
      <c r="I58"/>
      <c r="J58" s="58"/>
      <c r="K58" s="58"/>
      <c r="L58"/>
      <c r="M58"/>
      <c r="N58"/>
    </row>
    <row r="59" spans="1:14" ht="11.25" customHeight="1">
      <c r="A59"/>
      <c r="B59"/>
      <c r="C59"/>
      <c r="D59"/>
      <c r="E59"/>
      <c r="F59"/>
      <c r="G59"/>
      <c r="H59"/>
      <c r="I59"/>
      <c r="J59" s="58"/>
      <c r="K59" s="58"/>
      <c r="L59"/>
      <c r="M59"/>
      <c r="N59"/>
    </row>
    <row r="60" spans="1:14" ht="11.25" customHeight="1">
      <c r="A60"/>
      <c r="B60"/>
      <c r="C60"/>
      <c r="D60"/>
      <c r="E60"/>
      <c r="F60"/>
      <c r="G60"/>
      <c r="H60"/>
      <c r="I60"/>
      <c r="J60" s="58"/>
      <c r="K60" s="58"/>
      <c r="L60"/>
      <c r="M60"/>
      <c r="N60"/>
    </row>
    <row r="61" spans="1:14" ht="11.25" customHeight="1">
      <c r="A61"/>
      <c r="B61"/>
      <c r="C61"/>
      <c r="D61"/>
      <c r="E61"/>
      <c r="F61"/>
      <c r="G61"/>
      <c r="H61"/>
      <c r="I61"/>
      <c r="J61" s="58"/>
      <c r="K61" s="58"/>
      <c r="L61"/>
      <c r="M61"/>
      <c r="N61"/>
    </row>
    <row r="62" spans="1:14" ht="11.25" customHeight="1">
      <c r="A62"/>
      <c r="B62"/>
      <c r="C62"/>
      <c r="D62"/>
      <c r="E62"/>
      <c r="F62"/>
      <c r="G62"/>
      <c r="H62"/>
      <c r="I62"/>
      <c r="J62" s="58"/>
      <c r="K62" s="58"/>
      <c r="L62"/>
      <c r="M62"/>
      <c r="N62"/>
    </row>
    <row r="63" spans="1:14" ht="11.25" customHeight="1">
      <c r="A63"/>
      <c r="B63"/>
      <c r="C63"/>
      <c r="D63"/>
      <c r="E63"/>
      <c r="F63"/>
      <c r="G63"/>
      <c r="H63"/>
      <c r="I63"/>
      <c r="J63" s="58"/>
      <c r="K63" s="58"/>
      <c r="L63"/>
      <c r="M63"/>
      <c r="N63"/>
    </row>
    <row r="64" spans="1:14" ht="11.25" customHeight="1">
      <c r="A64"/>
      <c r="B64"/>
      <c r="C64"/>
      <c r="D64"/>
      <c r="E64"/>
      <c r="F64"/>
      <c r="G64"/>
      <c r="H64"/>
      <c r="I64"/>
      <c r="J64" s="58"/>
      <c r="K64" s="58"/>
      <c r="L64"/>
      <c r="M64"/>
      <c r="N64"/>
    </row>
    <row r="65" spans="1:14" ht="11.25" customHeight="1">
      <c r="A65"/>
      <c r="B65"/>
      <c r="C65"/>
      <c r="D65"/>
      <c r="E65"/>
      <c r="F65"/>
      <c r="G65"/>
      <c r="H65"/>
      <c r="I65"/>
      <c r="J65" s="58"/>
      <c r="K65" s="58"/>
      <c r="L65"/>
      <c r="M65"/>
      <c r="N65"/>
    </row>
    <row r="66" spans="1:14" ht="11.25" customHeight="1">
      <c r="A66"/>
      <c r="B66"/>
      <c r="C66"/>
      <c r="D66"/>
      <c r="E66"/>
      <c r="F66"/>
      <c r="G66"/>
      <c r="H66"/>
      <c r="I66"/>
      <c r="J66" s="58"/>
      <c r="K66" s="58"/>
      <c r="L66"/>
      <c r="M66"/>
      <c r="N66"/>
    </row>
    <row r="67" spans="1:14" ht="11.25" customHeight="1">
      <c r="A67"/>
      <c r="B67"/>
      <c r="C67"/>
      <c r="D67"/>
      <c r="E67"/>
      <c r="F67"/>
      <c r="G67"/>
      <c r="H67"/>
      <c r="I67"/>
      <c r="J67" s="58"/>
      <c r="K67" s="58"/>
      <c r="L67"/>
      <c r="M67"/>
      <c r="N67"/>
    </row>
    <row r="68" spans="1:14" ht="11.25" customHeight="1">
      <c r="A68"/>
      <c r="B68"/>
      <c r="C68"/>
      <c r="D68"/>
      <c r="E68"/>
      <c r="F68"/>
      <c r="G68"/>
      <c r="H68"/>
      <c r="I68"/>
      <c r="J68" s="58"/>
      <c r="K68" s="58"/>
      <c r="L68"/>
      <c r="M68"/>
      <c r="N68"/>
    </row>
    <row r="69" spans="1:14" ht="11.25" customHeight="1">
      <c r="A69"/>
      <c r="B69"/>
      <c r="C69"/>
      <c r="D69"/>
      <c r="E69"/>
      <c r="F69"/>
      <c r="G69"/>
      <c r="H69"/>
      <c r="I69"/>
      <c r="J69" s="58"/>
      <c r="K69" s="58"/>
      <c r="L69"/>
      <c r="M69"/>
      <c r="N69"/>
    </row>
    <row r="70" spans="1:14" ht="11.25" customHeight="1">
      <c r="A70"/>
      <c r="B70"/>
      <c r="C70"/>
      <c r="D70"/>
      <c r="E70"/>
      <c r="F70"/>
      <c r="G70"/>
      <c r="H70"/>
      <c r="I70"/>
      <c r="J70" s="58"/>
      <c r="K70" s="58"/>
      <c r="L70"/>
      <c r="M70"/>
      <c r="N70"/>
    </row>
    <row r="71" spans="1:14" ht="11.25" customHeight="1">
      <c r="A71"/>
      <c r="B71"/>
      <c r="C71"/>
      <c r="D71"/>
      <c r="E71"/>
      <c r="F71"/>
      <c r="G71"/>
      <c r="H71"/>
      <c r="I71"/>
      <c r="J71" s="58"/>
      <c r="K71" s="58"/>
      <c r="L71"/>
      <c r="M71"/>
      <c r="N71"/>
    </row>
    <row r="72" spans="1:14" ht="11.25" customHeight="1">
      <c r="A72"/>
      <c r="B72"/>
      <c r="C72"/>
      <c r="D72"/>
      <c r="E72"/>
      <c r="F72"/>
      <c r="G72"/>
      <c r="H72"/>
      <c r="I72"/>
      <c r="J72" s="58"/>
      <c r="K72" s="58"/>
      <c r="L72"/>
      <c r="M72"/>
      <c r="N72"/>
    </row>
    <row r="73" spans="1:14" ht="11.25" customHeight="1">
      <c r="A73"/>
      <c r="B73"/>
      <c r="C73"/>
      <c r="D73"/>
      <c r="E73"/>
      <c r="F73"/>
      <c r="G73"/>
      <c r="H73"/>
      <c r="I73"/>
      <c r="J73" s="58"/>
      <c r="K73" s="58"/>
      <c r="L73"/>
      <c r="M73"/>
      <c r="N73"/>
    </row>
    <row r="74" spans="1:14" ht="11.25" customHeight="1">
      <c r="A74"/>
      <c r="B74"/>
      <c r="C74"/>
      <c r="D74"/>
      <c r="E74"/>
      <c r="F74"/>
      <c r="G74"/>
      <c r="H74"/>
      <c r="I74"/>
      <c r="J74" s="58"/>
      <c r="K74" s="58"/>
      <c r="L74"/>
      <c r="M74"/>
      <c r="N74"/>
    </row>
    <row r="75" spans="1:14" ht="11.25" customHeight="1">
      <c r="A75"/>
      <c r="B75"/>
      <c r="C75"/>
      <c r="D75"/>
      <c r="E75"/>
      <c r="F75"/>
      <c r="G75"/>
      <c r="H75"/>
      <c r="I75"/>
      <c r="J75" s="58"/>
      <c r="K75" s="58"/>
      <c r="L75"/>
      <c r="M75"/>
      <c r="N75"/>
    </row>
    <row r="76" spans="1:14" ht="11.25" customHeight="1">
      <c r="A76"/>
      <c r="B76"/>
      <c r="C76"/>
      <c r="D76"/>
      <c r="E76"/>
      <c r="F76"/>
      <c r="G76"/>
      <c r="H76"/>
      <c r="I76"/>
      <c r="J76" s="58"/>
      <c r="K76" s="58"/>
      <c r="L76"/>
      <c r="M76"/>
      <c r="N76"/>
    </row>
    <row r="77" spans="1:14" ht="11.25" customHeight="1">
      <c r="A77"/>
      <c r="B77"/>
      <c r="C77"/>
      <c r="D77"/>
      <c r="E77"/>
      <c r="F77"/>
      <c r="G77"/>
      <c r="H77"/>
      <c r="I77"/>
      <c r="J77" s="58"/>
      <c r="K77" s="58"/>
      <c r="L77"/>
      <c r="M77"/>
      <c r="N77"/>
    </row>
    <row r="78" spans="1:14" ht="11.25" customHeight="1">
      <c r="A78"/>
      <c r="B78"/>
      <c r="C78"/>
      <c r="D78"/>
      <c r="E78"/>
      <c r="F78"/>
      <c r="G78"/>
      <c r="H78"/>
      <c r="I78"/>
      <c r="J78" s="58"/>
      <c r="K78" s="58"/>
      <c r="L78"/>
      <c r="M78"/>
      <c r="N78"/>
    </row>
    <row r="79" spans="1:14" ht="11.25" customHeight="1">
      <c r="A79"/>
      <c r="B79"/>
      <c r="C79"/>
      <c r="D79"/>
      <c r="E79"/>
      <c r="F79"/>
      <c r="G79"/>
      <c r="H79"/>
      <c r="I79"/>
      <c r="J79" s="58"/>
      <c r="K79" s="58"/>
      <c r="L79"/>
      <c r="M79"/>
      <c r="N79"/>
    </row>
    <row r="80" spans="1:14" ht="11.25" customHeight="1">
      <c r="A80"/>
      <c r="B80"/>
      <c r="C80"/>
      <c r="D80"/>
      <c r="E80"/>
      <c r="F80"/>
      <c r="G80"/>
      <c r="H80"/>
      <c r="I80"/>
      <c r="J80" s="58"/>
      <c r="K80" s="58"/>
      <c r="L80"/>
      <c r="M80"/>
      <c r="N80"/>
    </row>
    <row r="81" spans="1:14" ht="11.25" customHeight="1">
      <c r="A81"/>
      <c r="B81"/>
      <c r="C81"/>
      <c r="D81"/>
      <c r="E81"/>
      <c r="F81"/>
      <c r="G81"/>
      <c r="H81"/>
      <c r="I81"/>
      <c r="J81" s="58"/>
      <c r="K81" s="58"/>
      <c r="L81"/>
      <c r="M81"/>
      <c r="N81"/>
    </row>
    <row r="82" spans="1:14" ht="11.25" customHeight="1">
      <c r="A82"/>
      <c r="B82"/>
      <c r="C82"/>
      <c r="D82"/>
      <c r="E82"/>
      <c r="F82"/>
      <c r="G82"/>
      <c r="H82"/>
      <c r="I82"/>
      <c r="J82" s="58"/>
      <c r="K82" s="58"/>
      <c r="L82"/>
      <c r="M82"/>
      <c r="N82"/>
    </row>
    <row r="83" spans="1:14" ht="11.25" customHeight="1">
      <c r="A83"/>
      <c r="B83"/>
      <c r="C83"/>
      <c r="D83"/>
      <c r="E83"/>
      <c r="F83"/>
      <c r="G83"/>
      <c r="H83"/>
      <c r="I83"/>
      <c r="J83" s="58"/>
      <c r="K83" s="58"/>
      <c r="L83"/>
      <c r="M83"/>
      <c r="N83"/>
    </row>
    <row r="84" spans="1:14" ht="11.25" customHeight="1">
      <c r="A84"/>
      <c r="B84"/>
      <c r="C84"/>
      <c r="D84"/>
      <c r="E84"/>
      <c r="F84"/>
      <c r="G84"/>
      <c r="H84"/>
      <c r="I84"/>
      <c r="J84" s="58"/>
      <c r="K84" s="58"/>
      <c r="L84"/>
      <c r="M84"/>
      <c r="N84"/>
    </row>
    <row r="85" spans="1:14" ht="11.25" customHeight="1">
      <c r="A85"/>
      <c r="B85"/>
      <c r="C85"/>
      <c r="D85"/>
      <c r="E85"/>
      <c r="F85"/>
      <c r="G85"/>
      <c r="H85"/>
      <c r="I85"/>
      <c r="J85" s="58"/>
      <c r="K85" s="58"/>
      <c r="L85"/>
      <c r="M85"/>
      <c r="N85"/>
    </row>
    <row r="86" spans="1:14" ht="11.25" customHeight="1">
      <c r="A86"/>
      <c r="B86"/>
      <c r="C86"/>
      <c r="D86"/>
      <c r="E86"/>
      <c r="F86"/>
      <c r="G86"/>
      <c r="H86"/>
      <c r="I86"/>
      <c r="J86" s="58"/>
      <c r="K86" s="58"/>
      <c r="L86" s="59"/>
      <c r="M86"/>
      <c r="N86"/>
    </row>
    <row r="87" spans="1:14" ht="11.25" customHeight="1">
      <c r="A87"/>
      <c r="B87"/>
      <c r="C87"/>
      <c r="D87"/>
      <c r="E87"/>
      <c r="F87"/>
      <c r="G87"/>
      <c r="H87"/>
      <c r="I87"/>
      <c r="J87" s="58"/>
      <c r="K87" s="58"/>
      <c r="L87" s="59"/>
      <c r="M87"/>
      <c r="N87"/>
    </row>
    <row r="88" spans="1:14" ht="11.25" customHeight="1">
      <c r="A88"/>
      <c r="B88"/>
      <c r="C88"/>
      <c r="D88"/>
      <c r="E88"/>
      <c r="F88"/>
      <c r="G88"/>
      <c r="H88"/>
      <c r="I88"/>
      <c r="J88" s="58"/>
      <c r="K88" s="58"/>
      <c r="L88" s="59"/>
      <c r="M88"/>
      <c r="N88"/>
    </row>
    <row r="89" spans="1:14" ht="11.25" customHeight="1">
      <c r="A89"/>
      <c r="B89"/>
      <c r="C89"/>
      <c r="D89"/>
      <c r="E89"/>
      <c r="F89"/>
      <c r="G89"/>
      <c r="H89"/>
      <c r="I89"/>
      <c r="J89" s="58"/>
      <c r="K89" s="58"/>
      <c r="L89" s="59"/>
      <c r="M89"/>
      <c r="N89"/>
    </row>
    <row r="90" spans="1:14" ht="11.25" customHeight="1">
      <c r="A90"/>
      <c r="B90"/>
      <c r="C90"/>
      <c r="D90"/>
      <c r="E90"/>
      <c r="F90"/>
      <c r="G90"/>
      <c r="H90"/>
      <c r="I90"/>
      <c r="J90" s="58"/>
      <c r="K90" s="58"/>
      <c r="L90" s="59"/>
      <c r="M90"/>
      <c r="N90"/>
    </row>
    <row r="91" spans="1:14" ht="11.25" customHeight="1">
      <c r="A91"/>
      <c r="B91"/>
      <c r="C91"/>
      <c r="D91"/>
      <c r="E91"/>
      <c r="F91"/>
      <c r="G91"/>
      <c r="H91"/>
      <c r="I91"/>
      <c r="J91" s="58"/>
      <c r="K91" s="58"/>
      <c r="L91" s="59"/>
      <c r="M91"/>
      <c r="N91"/>
    </row>
    <row r="92" spans="1:14" ht="11.25" customHeight="1">
      <c r="A92"/>
      <c r="B92"/>
      <c r="C92"/>
      <c r="D92"/>
      <c r="E92"/>
      <c r="F92"/>
      <c r="G92"/>
      <c r="H92"/>
      <c r="I92"/>
      <c r="J92" s="58"/>
      <c r="K92" s="58"/>
      <c r="L92" s="59"/>
      <c r="M92"/>
      <c r="N92"/>
    </row>
    <row r="93" spans="1:14" ht="11.25" customHeight="1">
      <c r="A93"/>
      <c r="B93"/>
      <c r="C93"/>
      <c r="D93"/>
      <c r="E93"/>
      <c r="F93"/>
      <c r="G93"/>
      <c r="H93"/>
      <c r="I93"/>
      <c r="J93" s="58"/>
      <c r="K93" s="58"/>
      <c r="L93" s="59"/>
      <c r="M93"/>
      <c r="N93"/>
    </row>
    <row r="94" spans="1:14" ht="11.25" customHeight="1">
      <c r="A94"/>
      <c r="B94"/>
      <c r="C94"/>
      <c r="D94"/>
      <c r="E94"/>
      <c r="F94"/>
      <c r="G94"/>
      <c r="H94"/>
      <c r="I94"/>
      <c r="J94" s="58"/>
      <c r="K94" s="58"/>
      <c r="L94" s="59"/>
      <c r="M94"/>
      <c r="N94"/>
    </row>
    <row r="95" spans="1:14" ht="11.25" customHeight="1">
      <c r="A95"/>
      <c r="B95"/>
      <c r="C95"/>
      <c r="D95"/>
      <c r="E95"/>
      <c r="F95"/>
      <c r="G95"/>
      <c r="H95"/>
      <c r="I95"/>
      <c r="J95" s="58"/>
      <c r="K95" s="58"/>
      <c r="L95" s="59"/>
      <c r="M95"/>
      <c r="N95"/>
    </row>
    <row r="96" spans="1:14" ht="11.25" customHeight="1">
      <c r="A96"/>
      <c r="B96"/>
      <c r="C96"/>
      <c r="D96"/>
      <c r="E96"/>
      <c r="F96"/>
      <c r="G96"/>
      <c r="H96"/>
      <c r="I96"/>
      <c r="J96" s="58"/>
      <c r="K96" s="58"/>
      <c r="L96" s="59"/>
      <c r="M96"/>
      <c r="N96"/>
    </row>
    <row r="97" spans="1:14" ht="11.25" customHeight="1">
      <c r="A97"/>
      <c r="B97"/>
      <c r="C97"/>
      <c r="D97"/>
      <c r="E97"/>
      <c r="F97"/>
      <c r="G97"/>
      <c r="H97"/>
      <c r="I97"/>
      <c r="J97" s="58"/>
      <c r="K97" s="58"/>
      <c r="L97" s="59"/>
      <c r="M97"/>
      <c r="N97"/>
    </row>
    <row r="98" spans="1:14" ht="11.25" customHeight="1">
      <c r="A98"/>
      <c r="B98"/>
      <c r="C98"/>
      <c r="D98"/>
      <c r="E98"/>
      <c r="F98"/>
      <c r="G98"/>
      <c r="H98"/>
      <c r="I98"/>
      <c r="J98" s="58"/>
      <c r="K98" s="58"/>
      <c r="L98" s="59"/>
      <c r="M98"/>
      <c r="N98"/>
    </row>
    <row r="99" spans="1:14" ht="11.25" customHeight="1">
      <c r="A99"/>
      <c r="B99"/>
      <c r="C99"/>
      <c r="D99"/>
      <c r="E99"/>
      <c r="F99"/>
      <c r="G99"/>
      <c r="H99"/>
      <c r="I99"/>
      <c r="J99" s="58"/>
      <c r="K99" s="58"/>
      <c r="L99"/>
      <c r="M99"/>
      <c r="N99"/>
    </row>
    <row r="100" spans="1:14" ht="11.25" customHeight="1">
      <c r="A100"/>
      <c r="B100"/>
      <c r="C100"/>
      <c r="D100"/>
      <c r="E100"/>
      <c r="F100"/>
      <c r="G100"/>
      <c r="H100"/>
      <c r="I100"/>
      <c r="J100" s="58"/>
      <c r="K100" s="58"/>
      <c r="L100"/>
      <c r="M100"/>
      <c r="N100"/>
    </row>
    <row r="101" spans="1:14" ht="11.25" customHeight="1">
      <c r="A101"/>
      <c r="B101"/>
      <c r="C101"/>
      <c r="D101"/>
      <c r="E101"/>
      <c r="F101"/>
      <c r="G101"/>
      <c r="H101"/>
      <c r="I101"/>
      <c r="J101" s="58"/>
      <c r="K101" s="58"/>
      <c r="L101"/>
      <c r="M101"/>
      <c r="N101"/>
    </row>
    <row r="102" spans="1:14" ht="11.25" customHeight="1">
      <c r="A102"/>
      <c r="B102"/>
      <c r="C102"/>
      <c r="D102"/>
      <c r="E102"/>
      <c r="F102"/>
      <c r="G102"/>
      <c r="H102"/>
      <c r="I102"/>
      <c r="J102" s="58"/>
      <c r="K102" s="58"/>
      <c r="L102"/>
      <c r="M102"/>
      <c r="N102"/>
    </row>
    <row r="103" spans="1:14" ht="11.25" customHeight="1">
      <c r="A103"/>
      <c r="B103"/>
      <c r="C103"/>
      <c r="D103"/>
      <c r="E103"/>
      <c r="F103"/>
      <c r="G103"/>
      <c r="H103"/>
      <c r="I103"/>
      <c r="J103" s="58"/>
      <c r="K103" s="58"/>
      <c r="L103"/>
      <c r="M103"/>
      <c r="N103"/>
    </row>
    <row r="104" spans="1:14" ht="11.25" customHeight="1">
      <c r="A104"/>
      <c r="B104"/>
      <c r="C104"/>
      <c r="D104"/>
      <c r="E104"/>
      <c r="F104"/>
      <c r="G104"/>
      <c r="H104"/>
      <c r="I104"/>
      <c r="J104" s="58"/>
      <c r="K104" s="58"/>
      <c r="L104"/>
      <c r="M104"/>
      <c r="N104"/>
    </row>
    <row r="105" spans="1:14" ht="11.25" customHeight="1">
      <c r="A105"/>
      <c r="B105"/>
      <c r="C105"/>
      <c r="D105"/>
      <c r="E105"/>
      <c r="F105"/>
      <c r="G105"/>
      <c r="H105"/>
      <c r="I105"/>
      <c r="J105" s="58"/>
      <c r="K105" s="58"/>
      <c r="L105"/>
      <c r="M105"/>
      <c r="N105"/>
    </row>
    <row r="106" spans="1:14" ht="11.25" customHeight="1">
      <c r="A106"/>
      <c r="B106"/>
      <c r="C106"/>
      <c r="D106"/>
      <c r="E106"/>
      <c r="F106"/>
      <c r="G106"/>
      <c r="H106"/>
      <c r="I106"/>
      <c r="J106" s="58"/>
      <c r="K106" s="58"/>
      <c r="L106"/>
      <c r="M106"/>
      <c r="N106"/>
    </row>
    <row r="107" spans="1:14" ht="11.25" customHeight="1">
      <c r="A107"/>
      <c r="B107"/>
      <c r="C107"/>
      <c r="D107"/>
      <c r="E107"/>
      <c r="F107"/>
      <c r="G107"/>
      <c r="H107"/>
      <c r="I107"/>
      <c r="J107" s="58"/>
      <c r="K107" s="58"/>
      <c r="L107"/>
      <c r="M107"/>
      <c r="N107"/>
    </row>
    <row r="108" spans="1:14" ht="11.25" customHeight="1">
      <c r="A108"/>
      <c r="B108"/>
      <c r="C108"/>
      <c r="D108"/>
      <c r="E108"/>
      <c r="F108"/>
      <c r="G108"/>
      <c r="H108"/>
      <c r="I108"/>
      <c r="J108" s="58"/>
      <c r="K108" s="58"/>
      <c r="L108"/>
      <c r="M108"/>
      <c r="N108"/>
    </row>
    <row r="109" spans="1:14" ht="11.25" customHeight="1">
      <c r="A109"/>
      <c r="B109"/>
      <c r="C109"/>
      <c r="D109"/>
      <c r="E109"/>
      <c r="F109"/>
      <c r="G109"/>
      <c r="H109"/>
      <c r="I109"/>
      <c r="J109" s="58"/>
      <c r="K109" s="58"/>
      <c r="L109"/>
      <c r="M109"/>
      <c r="N109"/>
    </row>
    <row r="110" spans="1:14" ht="11.25" customHeight="1">
      <c r="A110"/>
      <c r="B110"/>
      <c r="C110"/>
      <c r="D110"/>
      <c r="E110"/>
      <c r="F110"/>
      <c r="G110"/>
      <c r="H110"/>
      <c r="I110"/>
      <c r="J110" s="58"/>
      <c r="K110" s="58"/>
      <c r="L110"/>
      <c r="M110"/>
      <c r="N110"/>
    </row>
    <row r="111" spans="1:14" ht="11.25" customHeight="1">
      <c r="A111"/>
      <c r="B111"/>
      <c r="C111"/>
      <c r="D111"/>
      <c r="E111"/>
      <c r="F111"/>
      <c r="G111"/>
      <c r="H111"/>
      <c r="I111"/>
      <c r="J111" s="58"/>
      <c r="K111" s="58"/>
      <c r="L111"/>
      <c r="M111"/>
      <c r="N111"/>
    </row>
    <row r="112" spans="1:14" ht="11.25" customHeight="1">
      <c r="A112"/>
      <c r="B112"/>
      <c r="C112"/>
      <c r="D112"/>
      <c r="E112"/>
      <c r="F112"/>
      <c r="G112"/>
      <c r="H112"/>
      <c r="I112"/>
      <c r="J112" s="58"/>
      <c r="K112" s="58"/>
      <c r="L112"/>
      <c r="M112"/>
      <c r="N112"/>
    </row>
    <row r="113" spans="1:14" ht="11.25" customHeight="1">
      <c r="A113"/>
      <c r="B113"/>
      <c r="C113"/>
      <c r="D113"/>
      <c r="E113"/>
      <c r="F113"/>
      <c r="G113"/>
      <c r="H113"/>
      <c r="I113"/>
      <c r="J113" s="58"/>
      <c r="K113" s="58"/>
      <c r="L113"/>
      <c r="M113"/>
      <c r="N113"/>
    </row>
    <row r="114" spans="1:14" ht="11.25" customHeight="1">
      <c r="A114"/>
      <c r="B114"/>
      <c r="C114"/>
      <c r="D114"/>
      <c r="E114"/>
      <c r="F114"/>
      <c r="G114"/>
      <c r="H114"/>
      <c r="I114"/>
      <c r="J114" s="58"/>
      <c r="K114" s="58"/>
      <c r="L114"/>
      <c r="M114"/>
      <c r="N114"/>
    </row>
    <row r="115" spans="1:14" ht="11.25" customHeight="1">
      <c r="A115"/>
      <c r="B115"/>
      <c r="C115"/>
      <c r="D115"/>
      <c r="E115"/>
      <c r="F115"/>
      <c r="G115"/>
      <c r="H115"/>
      <c r="I115"/>
      <c r="J115" s="58"/>
      <c r="K115" s="58"/>
      <c r="L115"/>
      <c r="M115"/>
      <c r="N115"/>
    </row>
    <row r="116" spans="1:14" ht="11.25" customHeight="1">
      <c r="A116"/>
      <c r="B116"/>
      <c r="C116"/>
      <c r="D116"/>
      <c r="E116"/>
      <c r="F116"/>
      <c r="G116"/>
      <c r="H116"/>
      <c r="I116"/>
      <c r="J116" s="58"/>
      <c r="K116" s="58"/>
      <c r="L116"/>
      <c r="M116"/>
      <c r="N116"/>
    </row>
    <row r="117" spans="1:14" ht="11.25" customHeight="1">
      <c r="A117"/>
      <c r="B117"/>
      <c r="C117"/>
      <c r="D117"/>
      <c r="E117"/>
      <c r="F117"/>
      <c r="G117"/>
      <c r="H117"/>
      <c r="I117"/>
      <c r="J117" s="58"/>
      <c r="K117" s="58"/>
      <c r="L117"/>
      <c r="M117"/>
      <c r="N117"/>
    </row>
    <row r="118" spans="1:14" ht="11.25" customHeight="1">
      <c r="A118"/>
      <c r="B118"/>
      <c r="C118"/>
      <c r="D118"/>
      <c r="E118"/>
      <c r="F118"/>
      <c r="G118"/>
      <c r="H118"/>
      <c r="I118"/>
      <c r="J118" s="58"/>
      <c r="K118" s="58"/>
      <c r="L118"/>
      <c r="M118"/>
      <c r="N118"/>
    </row>
    <row r="119" spans="1:14" ht="11.25" customHeight="1">
      <c r="A119"/>
      <c r="B119"/>
      <c r="C119"/>
      <c r="D119"/>
      <c r="E119"/>
      <c r="F119"/>
      <c r="G119"/>
      <c r="H119"/>
      <c r="I119"/>
      <c r="J119" s="58"/>
      <c r="K119" s="58"/>
      <c r="L119"/>
      <c r="M119"/>
      <c r="N119"/>
    </row>
    <row r="120" spans="1:14" ht="11.25" customHeight="1">
      <c r="A120"/>
      <c r="B120"/>
      <c r="C120"/>
      <c r="D120"/>
      <c r="E120"/>
      <c r="F120"/>
      <c r="G120"/>
      <c r="H120"/>
      <c r="I120"/>
      <c r="J120" s="58"/>
      <c r="K120" s="58"/>
      <c r="L120"/>
      <c r="M120"/>
      <c r="N120"/>
    </row>
    <row r="121" spans="1:14" ht="11.25" customHeight="1">
      <c r="A121"/>
      <c r="B121"/>
      <c r="C121"/>
      <c r="D121"/>
      <c r="E121"/>
      <c r="F121"/>
      <c r="G121"/>
      <c r="H121"/>
      <c r="I121"/>
      <c r="J121" s="58"/>
      <c r="K121" s="58"/>
      <c r="L121" s="59"/>
      <c r="M121"/>
      <c r="N121"/>
    </row>
    <row r="122" spans="1:14" ht="11.25" customHeight="1">
      <c r="A122"/>
      <c r="B122"/>
      <c r="C122"/>
      <c r="D122"/>
      <c r="E122"/>
      <c r="F122"/>
      <c r="G122"/>
      <c r="H122"/>
      <c r="I122"/>
      <c r="J122" s="58"/>
      <c r="K122" s="58"/>
      <c r="L122" s="58"/>
      <c r="M122"/>
      <c r="N122"/>
    </row>
    <row r="123" spans="1:14" ht="11.25" customHeight="1">
      <c r="A123"/>
      <c r="B123"/>
      <c r="C123"/>
      <c r="D123"/>
      <c r="E123"/>
      <c r="F123"/>
      <c r="G123"/>
      <c r="H123"/>
      <c r="I123"/>
      <c r="J123" s="58"/>
      <c r="K123" s="58"/>
      <c r="L123" s="58"/>
      <c r="M123"/>
      <c r="N123"/>
    </row>
    <row r="124" spans="1:14" ht="11.25" customHeight="1">
      <c r="A124"/>
      <c r="B124"/>
      <c r="C124"/>
      <c r="D124"/>
      <c r="E124"/>
      <c r="F124"/>
      <c r="G124"/>
      <c r="H124"/>
      <c r="I124"/>
      <c r="J124" s="58"/>
      <c r="K124" s="58"/>
      <c r="L124" s="58"/>
      <c r="M124"/>
      <c r="N124"/>
    </row>
    <row r="125" spans="1:14" ht="11.25" customHeight="1">
      <c r="A125"/>
      <c r="B125"/>
      <c r="C125"/>
      <c r="D125"/>
      <c r="E125"/>
      <c r="F125"/>
      <c r="G125"/>
      <c r="H125"/>
      <c r="I125"/>
      <c r="J125" s="58"/>
      <c r="K125" s="58"/>
      <c r="L125" s="58"/>
      <c r="M125"/>
      <c r="N125"/>
    </row>
    <row r="126" spans="1:14" ht="11.25" customHeight="1">
      <c r="A126"/>
      <c r="B126"/>
      <c r="C126"/>
      <c r="D126"/>
      <c r="E126"/>
      <c r="F126"/>
      <c r="G126"/>
      <c r="H126"/>
      <c r="I126"/>
      <c r="J126" s="58"/>
      <c r="K126" s="58"/>
      <c r="L126" s="58"/>
      <c r="M126"/>
      <c r="N126"/>
    </row>
    <row r="127" spans="1:14" ht="11.25" customHeight="1">
      <c r="A127"/>
      <c r="B127"/>
      <c r="C127"/>
      <c r="D127"/>
      <c r="E127"/>
      <c r="F127"/>
      <c r="G127"/>
      <c r="H127"/>
      <c r="I127"/>
      <c r="J127" s="58"/>
      <c r="K127" s="58"/>
      <c r="L127" s="58"/>
      <c r="M127"/>
      <c r="N127"/>
    </row>
    <row r="128" spans="1:14" ht="11.25" customHeight="1">
      <c r="A128"/>
      <c r="B128"/>
      <c r="C128"/>
      <c r="D128"/>
      <c r="E128"/>
      <c r="F128"/>
      <c r="G128"/>
      <c r="H128"/>
      <c r="I128"/>
      <c r="J128" s="58"/>
      <c r="K128" s="58"/>
      <c r="L128" s="58"/>
      <c r="M128"/>
      <c r="N128"/>
    </row>
    <row r="129" spans="1:14" ht="11.25" customHeight="1">
      <c r="A129"/>
      <c r="B129"/>
      <c r="C129"/>
      <c r="D129"/>
      <c r="E129"/>
      <c r="F129"/>
      <c r="G129"/>
      <c r="H129"/>
      <c r="I129"/>
      <c r="J129" s="58"/>
      <c r="K129" s="58"/>
      <c r="L129" s="58"/>
      <c r="M129"/>
      <c r="N129"/>
    </row>
    <row r="130" spans="1:14" ht="11.25" customHeight="1">
      <c r="A130"/>
      <c r="B130"/>
      <c r="C130"/>
      <c r="D130"/>
      <c r="E130"/>
      <c r="F130"/>
      <c r="G130"/>
      <c r="H130"/>
      <c r="I130"/>
      <c r="J130" s="58"/>
      <c r="K130" s="58"/>
      <c r="L130" s="58"/>
      <c r="M130"/>
      <c r="N130"/>
    </row>
    <row r="131" spans="1:14" ht="11.25" customHeight="1">
      <c r="A131"/>
      <c r="B131"/>
      <c r="C131"/>
      <c r="D131"/>
      <c r="E131"/>
      <c r="F131"/>
      <c r="G131"/>
      <c r="H131"/>
      <c r="I131"/>
      <c r="J131" s="58"/>
      <c r="K131" s="58"/>
      <c r="L131" s="58"/>
      <c r="M131"/>
      <c r="N131"/>
    </row>
    <row r="132" spans="1:14" ht="11.25" customHeight="1">
      <c r="A132"/>
      <c r="B132"/>
      <c r="C132"/>
      <c r="D132"/>
      <c r="E132"/>
      <c r="F132"/>
      <c r="G132"/>
      <c r="H132"/>
      <c r="I132"/>
      <c r="J132" s="58"/>
      <c r="K132" s="58"/>
      <c r="L132" s="58"/>
      <c r="M132"/>
      <c r="N132"/>
    </row>
    <row r="133" spans="1:14" ht="11.25" customHeight="1">
      <c r="A133"/>
      <c r="B133"/>
      <c r="C133"/>
      <c r="D133"/>
      <c r="E133"/>
      <c r="F133"/>
      <c r="G133"/>
      <c r="H133"/>
      <c r="I133"/>
      <c r="J133" s="58"/>
      <c r="K133" s="58"/>
      <c r="L133" s="58"/>
      <c r="M133"/>
      <c r="N133"/>
    </row>
    <row r="134" spans="1:14" ht="11.25" customHeight="1">
      <c r="A134"/>
      <c r="B134"/>
      <c r="C134"/>
      <c r="D134"/>
      <c r="E134"/>
      <c r="F134"/>
      <c r="G134"/>
      <c r="H134"/>
      <c r="I134"/>
      <c r="J134" s="58"/>
      <c r="K134" s="58"/>
      <c r="L134" s="58"/>
      <c r="M134"/>
      <c r="N134"/>
    </row>
    <row r="135" spans="1:14" ht="11.25" customHeight="1">
      <c r="A135"/>
      <c r="B135"/>
      <c r="C135"/>
      <c r="D135"/>
      <c r="E135"/>
      <c r="F135"/>
      <c r="G135"/>
      <c r="H135"/>
      <c r="I135"/>
      <c r="J135" s="58"/>
      <c r="K135" s="58"/>
      <c r="L135" s="58"/>
      <c r="M135"/>
      <c r="N135"/>
    </row>
    <row r="136" spans="1:14" ht="11.25" customHeight="1">
      <c r="A136"/>
      <c r="B136"/>
      <c r="C136"/>
      <c r="D136"/>
      <c r="E136"/>
      <c r="F136"/>
      <c r="G136"/>
      <c r="H136"/>
      <c r="I136"/>
      <c r="J136" s="58"/>
      <c r="K136" s="58"/>
      <c r="L136" s="58"/>
      <c r="M136"/>
      <c r="N136"/>
    </row>
    <row r="137" spans="1:14" ht="11.25" customHeight="1">
      <c r="A137"/>
      <c r="B137"/>
      <c r="C137"/>
      <c r="D137"/>
      <c r="E137"/>
      <c r="F137"/>
      <c r="G137"/>
      <c r="H137"/>
      <c r="I137"/>
      <c r="J137" s="58"/>
      <c r="K137" s="58"/>
      <c r="L137" s="58"/>
      <c r="M137"/>
      <c r="N137"/>
    </row>
    <row r="138" spans="1:14" ht="11.25" customHeight="1">
      <c r="A138"/>
      <c r="B138"/>
      <c r="C138"/>
      <c r="D138"/>
      <c r="E138"/>
      <c r="F138"/>
      <c r="G138"/>
      <c r="H138"/>
      <c r="I138"/>
      <c r="J138" s="58"/>
      <c r="K138" s="58"/>
      <c r="L138" s="58"/>
      <c r="M138"/>
      <c r="N138"/>
    </row>
    <row r="139" spans="1:14" ht="11.25" customHeight="1">
      <c r="A139"/>
      <c r="B139"/>
      <c r="C139"/>
      <c r="D139"/>
      <c r="E139"/>
      <c r="F139"/>
      <c r="G139"/>
      <c r="H139"/>
      <c r="I139"/>
      <c r="J139" s="58"/>
      <c r="K139" s="58"/>
      <c r="L139" s="58"/>
      <c r="M139"/>
      <c r="N139"/>
    </row>
    <row r="140" spans="1:14" ht="11.25" customHeight="1">
      <c r="A140"/>
      <c r="B140"/>
      <c r="C140"/>
      <c r="D140"/>
      <c r="E140"/>
      <c r="F140"/>
      <c r="G140"/>
      <c r="H140"/>
      <c r="I140"/>
      <c r="J140" s="58"/>
      <c r="K140" s="58"/>
      <c r="L140" s="58"/>
      <c r="M140"/>
      <c r="N140"/>
    </row>
    <row r="141" spans="1:14" ht="11.25" customHeight="1">
      <c r="A141"/>
      <c r="B141"/>
      <c r="C141"/>
      <c r="D141"/>
      <c r="E141"/>
      <c r="F141"/>
      <c r="G141"/>
      <c r="H141"/>
      <c r="I141"/>
      <c r="J141" s="58"/>
      <c r="K141" s="58"/>
      <c r="L141" s="58"/>
      <c r="M141"/>
      <c r="N141"/>
    </row>
    <row r="142" spans="1:14" ht="11.25" customHeight="1">
      <c r="A142"/>
      <c r="B142"/>
      <c r="C142"/>
      <c r="D142"/>
      <c r="E142"/>
      <c r="F142"/>
      <c r="G142"/>
      <c r="H142"/>
      <c r="I142"/>
      <c r="J142" s="58"/>
      <c r="K142" s="58"/>
      <c r="L142" s="58"/>
      <c r="M142"/>
      <c r="N142"/>
    </row>
    <row r="143" spans="1:14" ht="11.25" customHeight="1">
      <c r="A143"/>
      <c r="B143"/>
      <c r="C143"/>
      <c r="D143"/>
      <c r="E143"/>
      <c r="F143"/>
      <c r="G143"/>
      <c r="H143"/>
      <c r="I143"/>
      <c r="J143" s="58"/>
      <c r="K143" s="58"/>
      <c r="L143" s="58"/>
      <c r="M143"/>
      <c r="N143"/>
    </row>
    <row r="144" spans="1:14" ht="11.25" customHeight="1">
      <c r="A144"/>
      <c r="B144"/>
      <c r="C144"/>
      <c r="D144"/>
      <c r="E144"/>
      <c r="F144"/>
      <c r="G144"/>
      <c r="H144"/>
      <c r="I144"/>
      <c r="J144" s="58"/>
      <c r="K144" s="58"/>
      <c r="L144" s="58"/>
      <c r="M144"/>
      <c r="N144"/>
    </row>
    <row r="145" spans="1:14" ht="11.25" customHeight="1">
      <c r="A145"/>
      <c r="B145"/>
      <c r="C145"/>
      <c r="D145"/>
      <c r="E145"/>
      <c r="F145"/>
      <c r="G145"/>
      <c r="H145"/>
      <c r="I145"/>
      <c r="J145" s="58"/>
      <c r="K145" s="58"/>
      <c r="L145" s="58"/>
      <c r="M145"/>
      <c r="N145"/>
    </row>
    <row r="146" spans="1:14" ht="11.25" customHeight="1">
      <c r="A146"/>
      <c r="B146"/>
      <c r="C146"/>
      <c r="D146"/>
      <c r="E146"/>
      <c r="F146"/>
      <c r="G146"/>
      <c r="H146"/>
      <c r="I146"/>
      <c r="J146" s="58"/>
      <c r="K146" s="58"/>
      <c r="L146" s="58"/>
      <c r="M146"/>
      <c r="N146"/>
    </row>
    <row r="147" spans="1:14" ht="11.25" customHeight="1">
      <c r="A147"/>
      <c r="B147"/>
      <c r="C147"/>
      <c r="D147"/>
      <c r="E147"/>
      <c r="F147"/>
      <c r="G147"/>
      <c r="H147"/>
      <c r="I147"/>
      <c r="J147" s="58"/>
      <c r="K147" s="58"/>
      <c r="L147" s="58"/>
      <c r="M147"/>
      <c r="N147"/>
    </row>
    <row r="148" spans="1:14" ht="11.25" customHeight="1">
      <c r="A148"/>
      <c r="B148"/>
      <c r="C148"/>
      <c r="D148"/>
      <c r="E148"/>
      <c r="F148"/>
      <c r="G148"/>
      <c r="H148"/>
      <c r="I148"/>
      <c r="J148" s="58"/>
      <c r="K148" s="58"/>
      <c r="L148" s="58"/>
      <c r="M148"/>
      <c r="N148"/>
    </row>
    <row r="149" spans="1:14" ht="11.25" customHeight="1">
      <c r="A149"/>
      <c r="B149"/>
      <c r="C149"/>
      <c r="D149"/>
      <c r="E149"/>
      <c r="F149"/>
      <c r="G149"/>
      <c r="H149"/>
      <c r="I149"/>
      <c r="J149" s="58"/>
      <c r="K149" s="58"/>
      <c r="L149" s="58"/>
      <c r="M149"/>
      <c r="N149"/>
    </row>
    <row r="150" spans="1:14" ht="11.25" customHeight="1">
      <c r="A150"/>
      <c r="B150"/>
      <c r="C150"/>
      <c r="D150"/>
      <c r="E150"/>
      <c r="F150"/>
      <c r="G150"/>
      <c r="H150"/>
      <c r="I150"/>
      <c r="J150" s="58"/>
      <c r="K150" s="58"/>
      <c r="L150" s="58"/>
      <c r="M150"/>
      <c r="N150"/>
    </row>
    <row r="151" spans="1:14" ht="11.25" customHeight="1">
      <c r="A151"/>
      <c r="B151"/>
      <c r="C151"/>
      <c r="D151"/>
      <c r="E151"/>
      <c r="F151"/>
      <c r="G151"/>
      <c r="H151"/>
      <c r="I151"/>
      <c r="J151" s="58"/>
      <c r="K151" s="58"/>
      <c r="L151" s="58"/>
      <c r="M151"/>
      <c r="N151"/>
    </row>
    <row r="152" spans="1:14" ht="11.25" customHeight="1">
      <c r="A152"/>
      <c r="B152"/>
      <c r="C152"/>
      <c r="D152"/>
      <c r="E152"/>
      <c r="F152"/>
      <c r="G152"/>
      <c r="H152"/>
      <c r="I152"/>
      <c r="J152" s="58"/>
      <c r="K152" s="58"/>
      <c r="L152" s="58"/>
      <c r="M152"/>
      <c r="N152"/>
    </row>
    <row r="153" spans="1:14" ht="11.25" customHeight="1">
      <c r="A153"/>
      <c r="B153"/>
      <c r="C153"/>
      <c r="D153"/>
      <c r="E153"/>
      <c r="F153"/>
      <c r="G153"/>
      <c r="H153"/>
      <c r="I153"/>
      <c r="J153" s="58"/>
      <c r="K153" s="58"/>
      <c r="L153" s="58"/>
      <c r="M153"/>
      <c r="N153"/>
    </row>
    <row r="154" spans="1:14" ht="11.25" customHeight="1">
      <c r="A154"/>
      <c r="B154"/>
      <c r="C154"/>
      <c r="D154"/>
      <c r="E154"/>
      <c r="F154"/>
      <c r="G154"/>
      <c r="H154"/>
      <c r="I154"/>
      <c r="J154" s="58"/>
      <c r="K154" s="58"/>
      <c r="L154" s="58"/>
      <c r="M154"/>
      <c r="N154"/>
    </row>
    <row r="155" spans="1:14" ht="11.25" customHeight="1">
      <c r="A155"/>
      <c r="B155"/>
      <c r="C155"/>
      <c r="D155"/>
      <c r="E155"/>
      <c r="F155"/>
      <c r="G155"/>
      <c r="H155"/>
      <c r="I155"/>
      <c r="J155" s="58"/>
      <c r="K155" s="58"/>
      <c r="L155" s="58"/>
      <c r="M155"/>
      <c r="N155"/>
    </row>
    <row r="156" spans="1:14" ht="11.25" customHeight="1">
      <c r="A156"/>
      <c r="B156"/>
      <c r="C156"/>
      <c r="D156"/>
      <c r="E156"/>
      <c r="F156"/>
      <c r="G156"/>
      <c r="H156"/>
      <c r="I156"/>
      <c r="J156" s="58"/>
      <c r="K156" s="58"/>
      <c r="L156" s="58"/>
      <c r="M156"/>
      <c r="N156"/>
    </row>
    <row r="157" spans="1:14" ht="11.25" customHeight="1">
      <c r="A157"/>
      <c r="B157"/>
      <c r="C157"/>
      <c r="D157"/>
      <c r="E157"/>
      <c r="F157"/>
      <c r="G157"/>
      <c r="H157"/>
      <c r="I157"/>
      <c r="J157" s="58"/>
      <c r="K157" s="58"/>
      <c r="L157" s="58"/>
      <c r="M157"/>
      <c r="N157"/>
    </row>
    <row r="158" spans="1:14" ht="11.25" customHeight="1">
      <c r="A158"/>
      <c r="B158"/>
      <c r="C158"/>
      <c r="D158"/>
      <c r="E158"/>
      <c r="F158"/>
      <c r="G158"/>
      <c r="H158"/>
      <c r="I158"/>
      <c r="J158" s="58"/>
      <c r="K158" s="58"/>
      <c r="L158" s="58"/>
      <c r="M158"/>
      <c r="N158"/>
    </row>
    <row r="159" spans="1:14" ht="11.25" customHeight="1">
      <c r="A159"/>
      <c r="B159"/>
      <c r="C159"/>
      <c r="D159"/>
      <c r="E159"/>
      <c r="F159"/>
      <c r="G159"/>
      <c r="H159"/>
      <c r="I159"/>
      <c r="J159" s="58"/>
      <c r="K159" s="58"/>
      <c r="L159" s="58"/>
      <c r="M159"/>
      <c r="N159"/>
    </row>
    <row r="160" spans="1:14" ht="11.25" customHeight="1">
      <c r="A160"/>
      <c r="B160"/>
      <c r="C160"/>
      <c r="D160"/>
      <c r="E160"/>
      <c r="F160"/>
      <c r="G160"/>
      <c r="H160"/>
      <c r="I160"/>
      <c r="J160" s="58"/>
      <c r="K160" s="58"/>
      <c r="L160" s="58"/>
      <c r="M160"/>
      <c r="N160"/>
    </row>
    <row r="161" spans="1:14" ht="11.25" customHeight="1">
      <c r="A161"/>
      <c r="B161"/>
      <c r="C161"/>
      <c r="D161"/>
      <c r="E161"/>
      <c r="F161"/>
      <c r="G161"/>
      <c r="H161"/>
      <c r="I161"/>
      <c r="J161" s="58"/>
      <c r="K161" s="58"/>
      <c r="L161" s="58"/>
      <c r="M161"/>
      <c r="N161"/>
    </row>
    <row r="162" spans="1:14" ht="11.25" customHeight="1">
      <c r="A162"/>
      <c r="B162"/>
      <c r="C162"/>
      <c r="D162"/>
      <c r="E162"/>
      <c r="F162"/>
      <c r="G162"/>
      <c r="H162"/>
      <c r="I162"/>
      <c r="J162" s="58"/>
      <c r="K162" s="58"/>
      <c r="L162" s="58"/>
      <c r="M162"/>
      <c r="N162"/>
    </row>
    <row r="163" spans="1:14" ht="11.25" customHeight="1">
      <c r="A163"/>
      <c r="B163"/>
      <c r="C163"/>
      <c r="D163"/>
      <c r="E163"/>
      <c r="F163"/>
      <c r="G163"/>
      <c r="H163"/>
      <c r="I163"/>
      <c r="J163" s="58"/>
      <c r="K163" s="58"/>
      <c r="L163" s="58"/>
      <c r="M163"/>
      <c r="N163"/>
    </row>
    <row r="164" spans="1:14" ht="11.25" customHeight="1">
      <c r="A164"/>
      <c r="B164"/>
      <c r="C164"/>
      <c r="D164"/>
      <c r="E164"/>
      <c r="F164"/>
      <c r="G164"/>
      <c r="H164"/>
      <c r="I164"/>
      <c r="J164" s="58"/>
      <c r="K164" s="58"/>
      <c r="L164" s="58"/>
      <c r="M164"/>
      <c r="N164"/>
    </row>
    <row r="165" spans="1:14" ht="11.25" customHeight="1">
      <c r="A165"/>
      <c r="B165"/>
      <c r="C165"/>
      <c r="D165"/>
      <c r="E165"/>
      <c r="F165"/>
      <c r="G165"/>
      <c r="H165"/>
      <c r="I165"/>
      <c r="J165" s="58"/>
      <c r="K165" s="58"/>
      <c r="L165" s="58"/>
      <c r="M165"/>
      <c r="N165"/>
    </row>
    <row r="166" spans="1:14" ht="11.25" customHeight="1">
      <c r="A166"/>
      <c r="B166"/>
      <c r="C166"/>
      <c r="D166"/>
      <c r="E166"/>
      <c r="F166"/>
      <c r="G166"/>
      <c r="H166"/>
      <c r="I166"/>
      <c r="J166" s="58"/>
      <c r="K166" s="58"/>
      <c r="L166" s="58"/>
      <c r="M166"/>
      <c r="N166"/>
    </row>
    <row r="167" spans="1:14" ht="11.25" customHeight="1">
      <c r="A167"/>
      <c r="B167"/>
      <c r="C167"/>
      <c r="D167"/>
      <c r="E167"/>
      <c r="F167"/>
      <c r="G167"/>
      <c r="H167"/>
      <c r="I167"/>
      <c r="J167" s="58"/>
      <c r="K167" s="58"/>
      <c r="L167" s="58"/>
      <c r="M167"/>
      <c r="N167"/>
    </row>
    <row r="168" spans="1:14" ht="11.25" customHeight="1">
      <c r="A168"/>
      <c r="B168"/>
      <c r="C168"/>
      <c r="D168"/>
      <c r="E168"/>
      <c r="F168"/>
      <c r="G168"/>
      <c r="H168"/>
      <c r="I168"/>
      <c r="J168" s="58"/>
      <c r="K168" s="58"/>
      <c r="L168" s="58"/>
      <c r="M168"/>
      <c r="N168"/>
    </row>
    <row r="169" spans="1:14" ht="11.25" customHeight="1">
      <c r="A169"/>
      <c r="B169"/>
      <c r="C169"/>
      <c r="D169"/>
      <c r="E169"/>
      <c r="F169"/>
      <c r="G169"/>
      <c r="H169"/>
      <c r="I169"/>
      <c r="J169" s="58"/>
      <c r="K169" s="58"/>
      <c r="L169" s="58"/>
      <c r="M169"/>
      <c r="N169"/>
    </row>
    <row r="170" spans="1:14" ht="11.25" customHeight="1">
      <c r="A170"/>
      <c r="B170"/>
      <c r="C170"/>
      <c r="D170"/>
      <c r="E170"/>
      <c r="F170"/>
      <c r="G170"/>
      <c r="H170"/>
      <c r="I170"/>
      <c r="J170" s="58"/>
      <c r="K170" s="58"/>
      <c r="L170" s="58"/>
      <c r="M170"/>
      <c r="N170"/>
    </row>
    <row r="171" spans="1:14" ht="11.25" customHeight="1">
      <c r="A171"/>
      <c r="B171"/>
      <c r="C171"/>
      <c r="D171"/>
      <c r="E171"/>
      <c r="F171"/>
      <c r="G171"/>
      <c r="H171"/>
      <c r="I171"/>
      <c r="J171" s="58"/>
      <c r="K171" s="58"/>
      <c r="L171" s="58"/>
      <c r="M171"/>
      <c r="N171"/>
    </row>
    <row r="172" spans="1:14" ht="11.25" customHeight="1">
      <c r="A172"/>
      <c r="B172"/>
      <c r="C172"/>
      <c r="D172"/>
      <c r="E172"/>
      <c r="F172"/>
      <c r="G172"/>
      <c r="H172"/>
      <c r="I172"/>
      <c r="J172" s="58"/>
      <c r="K172" s="58"/>
      <c r="L172" s="58"/>
      <c r="M172"/>
      <c r="N172"/>
    </row>
    <row r="173" spans="1:14" ht="11.25" customHeight="1">
      <c r="A173"/>
      <c r="B173"/>
      <c r="C173"/>
      <c r="D173"/>
      <c r="E173"/>
      <c r="F173"/>
      <c r="G173"/>
      <c r="H173"/>
      <c r="I173"/>
      <c r="J173" s="58"/>
      <c r="K173" s="58"/>
      <c r="L173" s="58"/>
      <c r="M173"/>
      <c r="N173"/>
    </row>
    <row r="174" spans="1:14" ht="11.25" customHeight="1">
      <c r="A174"/>
      <c r="B174"/>
      <c r="C174"/>
      <c r="D174"/>
      <c r="E174"/>
      <c r="F174"/>
      <c r="G174"/>
      <c r="H174"/>
      <c r="I174"/>
      <c r="J174" s="58"/>
      <c r="K174" s="58"/>
      <c r="L174" s="58"/>
      <c r="M174"/>
      <c r="N174"/>
    </row>
    <row r="175" spans="1:14" ht="11.25" customHeight="1">
      <c r="A175"/>
      <c r="B175"/>
      <c r="C175"/>
      <c r="D175"/>
      <c r="E175"/>
      <c r="F175"/>
      <c r="G175"/>
      <c r="H175"/>
      <c r="I175"/>
      <c r="J175" s="58"/>
      <c r="K175" s="58"/>
      <c r="L175" s="58"/>
      <c r="M175"/>
      <c r="N175"/>
    </row>
    <row r="176" spans="1:14" ht="11.25" customHeight="1">
      <c r="A176"/>
      <c r="B176"/>
      <c r="C176"/>
      <c r="D176"/>
      <c r="E176"/>
      <c r="F176"/>
      <c r="G176"/>
      <c r="H176"/>
      <c r="I176"/>
      <c r="J176" s="58"/>
      <c r="K176" s="58"/>
      <c r="L176" s="58"/>
      <c r="M176"/>
      <c r="N176"/>
    </row>
    <row r="177" spans="1:14" ht="11.25" customHeight="1">
      <c r="A177"/>
      <c r="B177"/>
      <c r="C177"/>
      <c r="D177"/>
      <c r="E177"/>
      <c r="F177"/>
      <c r="G177"/>
      <c r="H177"/>
      <c r="I177"/>
      <c r="J177" s="58"/>
      <c r="K177" s="58"/>
      <c r="L177" s="58"/>
      <c r="M177"/>
      <c r="N177"/>
    </row>
    <row r="178" spans="1:14" ht="11.25" customHeight="1">
      <c r="A178"/>
      <c r="B178"/>
      <c r="C178"/>
      <c r="D178"/>
      <c r="E178"/>
      <c r="F178"/>
      <c r="G178"/>
      <c r="H178"/>
      <c r="I178"/>
      <c r="J178" s="58"/>
      <c r="K178" s="58"/>
      <c r="L178" s="58"/>
      <c r="M178"/>
      <c r="N178"/>
    </row>
    <row r="179" spans="1:14" ht="11.25" customHeight="1">
      <c r="A179"/>
      <c r="B179"/>
      <c r="C179"/>
      <c r="D179"/>
      <c r="E179"/>
      <c r="F179"/>
      <c r="G179"/>
      <c r="H179"/>
      <c r="I179"/>
      <c r="J179" s="58"/>
      <c r="K179" s="58"/>
      <c r="L179" s="58"/>
      <c r="M179"/>
      <c r="N179"/>
    </row>
    <row r="180" spans="1:14" ht="11.25" customHeight="1">
      <c r="A180"/>
      <c r="B180"/>
      <c r="C180"/>
      <c r="D180"/>
      <c r="E180"/>
      <c r="F180"/>
      <c r="G180"/>
      <c r="H180"/>
      <c r="I180"/>
      <c r="J180" s="58"/>
      <c r="K180" s="58"/>
      <c r="L180" s="58"/>
      <c r="M180"/>
      <c r="N180"/>
    </row>
    <row r="181" spans="1:14" ht="11.25" customHeight="1">
      <c r="A181"/>
      <c r="B181"/>
      <c r="C181"/>
      <c r="D181"/>
      <c r="E181"/>
      <c r="F181"/>
      <c r="G181"/>
      <c r="H181"/>
      <c r="I181"/>
      <c r="J181" s="58"/>
      <c r="K181" s="58"/>
      <c r="L181" s="58"/>
      <c r="M181"/>
      <c r="N181"/>
    </row>
    <row r="182" spans="1:14" ht="11.25" customHeight="1">
      <c r="A182"/>
      <c r="B182"/>
      <c r="C182"/>
      <c r="D182"/>
      <c r="E182"/>
      <c r="F182"/>
      <c r="G182"/>
      <c r="H182"/>
      <c r="I182"/>
      <c r="J182" s="58"/>
      <c r="K182" s="58"/>
      <c r="L182" s="58"/>
      <c r="M182"/>
      <c r="N182"/>
    </row>
    <row r="183" spans="1:14" ht="11.25" customHeight="1">
      <c r="A183"/>
      <c r="B183"/>
      <c r="C183"/>
      <c r="D183"/>
      <c r="E183"/>
      <c r="F183"/>
      <c r="G183"/>
      <c r="H183"/>
      <c r="I183"/>
      <c r="J183" s="58"/>
      <c r="K183" s="58"/>
      <c r="L183" s="58"/>
      <c r="M183"/>
      <c r="N183"/>
    </row>
    <row r="184" spans="1:14" ht="11.25" customHeight="1">
      <c r="A184"/>
      <c r="B184"/>
      <c r="C184"/>
      <c r="D184"/>
      <c r="E184"/>
      <c r="F184"/>
      <c r="G184"/>
      <c r="H184"/>
      <c r="I184"/>
      <c r="J184" s="58"/>
      <c r="K184" s="58"/>
      <c r="L184" s="58"/>
      <c r="M184"/>
      <c r="N184"/>
    </row>
    <row r="185" spans="1:14" ht="11.25" customHeight="1">
      <c r="A185"/>
      <c r="B185"/>
      <c r="C185"/>
      <c r="D185"/>
      <c r="E185"/>
      <c r="F185"/>
      <c r="G185"/>
      <c r="H185"/>
      <c r="I185"/>
      <c r="J185" s="58"/>
      <c r="K185" s="58"/>
      <c r="L185" s="58"/>
      <c r="M185"/>
      <c r="N185"/>
    </row>
    <row r="186" spans="1:14" ht="11.25" customHeight="1">
      <c r="A186"/>
      <c r="B186"/>
      <c r="C186"/>
      <c r="D186"/>
      <c r="E186"/>
      <c r="F186"/>
      <c r="G186"/>
      <c r="H186"/>
      <c r="I186"/>
      <c r="J186" s="58"/>
      <c r="K186" s="58"/>
      <c r="L186" s="58"/>
      <c r="M186"/>
      <c r="N186"/>
    </row>
    <row r="187" spans="1:14" ht="11.25" customHeight="1">
      <c r="A187"/>
      <c r="B187"/>
      <c r="C187"/>
      <c r="D187"/>
      <c r="E187"/>
      <c r="F187"/>
      <c r="G187"/>
      <c r="H187"/>
      <c r="I187"/>
      <c r="J187" s="58"/>
      <c r="K187" s="58"/>
      <c r="L187" s="58"/>
      <c r="M187"/>
      <c r="N187"/>
    </row>
    <row r="188" spans="1:14" ht="11.25" customHeight="1">
      <c r="A188"/>
      <c r="B188"/>
      <c r="C188"/>
      <c r="D188"/>
      <c r="E188"/>
      <c r="F188"/>
      <c r="G188"/>
      <c r="H188"/>
      <c r="I188"/>
      <c r="J188" s="58"/>
      <c r="K188" s="58"/>
      <c r="L188" s="58"/>
      <c r="M188"/>
      <c r="N188"/>
    </row>
    <row r="189" spans="1:14" ht="11.25" customHeight="1">
      <c r="A189"/>
      <c r="B189"/>
      <c r="C189"/>
      <c r="D189"/>
      <c r="E189"/>
      <c r="F189"/>
      <c r="G189"/>
      <c r="H189"/>
      <c r="I189"/>
      <c r="J189" s="58"/>
      <c r="K189" s="58"/>
      <c r="L189" s="58"/>
      <c r="M189"/>
      <c r="N189"/>
    </row>
    <row r="190" spans="1:14" ht="11.25" customHeight="1">
      <c r="A190"/>
      <c r="B190"/>
      <c r="C190"/>
      <c r="D190"/>
      <c r="E190"/>
      <c r="F190"/>
      <c r="G190"/>
      <c r="H190"/>
      <c r="I190"/>
      <c r="J190" s="58"/>
      <c r="K190" s="58"/>
      <c r="L190" s="58"/>
      <c r="M190"/>
      <c r="N190"/>
    </row>
    <row r="191" spans="1:14" ht="11.25" customHeight="1">
      <c r="A191"/>
      <c r="B191"/>
      <c r="C191"/>
      <c r="D191"/>
      <c r="E191"/>
      <c r="F191"/>
      <c r="G191"/>
      <c r="H191"/>
      <c r="I191"/>
      <c r="J191" s="58"/>
      <c r="K191" s="58"/>
      <c r="L191" s="58"/>
      <c r="M191"/>
      <c r="N191"/>
    </row>
    <row r="192" spans="1:14" ht="11.25" customHeight="1">
      <c r="A192"/>
      <c r="B192"/>
      <c r="C192"/>
      <c r="D192"/>
      <c r="E192"/>
      <c r="F192"/>
      <c r="G192"/>
      <c r="H192"/>
      <c r="I192"/>
      <c r="J192" s="58"/>
      <c r="K192" s="58"/>
      <c r="L192" s="58"/>
      <c r="M192"/>
      <c r="N192"/>
    </row>
    <row r="193" spans="1:14" ht="11.25" customHeight="1">
      <c r="A193"/>
      <c r="B193"/>
      <c r="C193"/>
      <c r="D193"/>
      <c r="E193"/>
      <c r="F193"/>
      <c r="G193"/>
      <c r="H193"/>
      <c r="I193"/>
      <c r="J193" s="58"/>
      <c r="K193" s="58"/>
      <c r="L193" s="58"/>
      <c r="M193"/>
      <c r="N193"/>
    </row>
    <row r="194" spans="1:14" ht="11.25" customHeight="1">
      <c r="A194"/>
      <c r="B194"/>
      <c r="C194"/>
      <c r="D194"/>
      <c r="E194"/>
      <c r="F194"/>
      <c r="G194"/>
      <c r="H194"/>
      <c r="I194"/>
      <c r="J194" s="58"/>
      <c r="K194" s="58"/>
      <c r="L194" s="58"/>
      <c r="M194"/>
      <c r="N194"/>
    </row>
    <row r="195" spans="1:14" ht="11.25" customHeight="1">
      <c r="A195"/>
      <c r="B195"/>
      <c r="C195"/>
      <c r="D195"/>
      <c r="E195"/>
      <c r="F195"/>
      <c r="G195"/>
      <c r="H195"/>
      <c r="I195"/>
      <c r="J195" s="58"/>
      <c r="K195" s="58"/>
      <c r="L195" s="58"/>
      <c r="M195"/>
      <c r="N195"/>
    </row>
    <row r="196" spans="1:14" ht="11.25" customHeight="1">
      <c r="A196"/>
      <c r="B196"/>
      <c r="C196"/>
      <c r="D196"/>
      <c r="E196"/>
      <c r="F196"/>
      <c r="G196"/>
      <c r="H196"/>
      <c r="I196"/>
      <c r="J196" s="58"/>
      <c r="K196" s="58"/>
      <c r="L196" s="58"/>
      <c r="M196"/>
      <c r="N196"/>
    </row>
    <row r="197" spans="1:14" ht="11.25" customHeight="1">
      <c r="A197"/>
      <c r="B197"/>
      <c r="C197"/>
      <c r="D197"/>
      <c r="E197"/>
      <c r="F197"/>
      <c r="G197"/>
      <c r="H197"/>
      <c r="I197"/>
      <c r="J197" s="58"/>
      <c r="K197" s="58"/>
      <c r="L197" s="58"/>
      <c r="M197"/>
      <c r="N197"/>
    </row>
    <row r="198" spans="1:14" ht="11.25" customHeight="1">
      <c r="A198"/>
      <c r="B198"/>
      <c r="C198"/>
      <c r="D198"/>
      <c r="E198"/>
      <c r="F198"/>
      <c r="G198"/>
      <c r="H198"/>
      <c r="I198"/>
      <c r="J198" s="58"/>
      <c r="K198" s="58"/>
      <c r="L198" s="58"/>
      <c r="M198"/>
      <c r="N198"/>
    </row>
    <row r="199" spans="1:14" ht="11.25" customHeight="1">
      <c r="A199"/>
      <c r="B199"/>
      <c r="C199"/>
      <c r="D199"/>
      <c r="E199"/>
      <c r="F199"/>
      <c r="G199"/>
      <c r="H199"/>
      <c r="I199"/>
      <c r="J199" s="58"/>
      <c r="K199" s="58"/>
      <c r="L199" s="58"/>
      <c r="M199"/>
      <c r="N199"/>
    </row>
    <row r="200" spans="1:14" ht="11.25" customHeight="1">
      <c r="A200"/>
      <c r="B200"/>
      <c r="C200"/>
      <c r="D200"/>
      <c r="E200"/>
      <c r="F200"/>
      <c r="G200"/>
      <c r="H200"/>
      <c r="I200"/>
      <c r="J200" s="58"/>
      <c r="K200" s="58"/>
      <c r="L200" s="58"/>
      <c r="M200"/>
      <c r="N200"/>
    </row>
    <row r="201" spans="1:14" ht="11.25" customHeight="1">
      <c r="A201"/>
      <c r="B201"/>
      <c r="C201"/>
      <c r="D201"/>
      <c r="E201"/>
      <c r="F201"/>
      <c r="G201"/>
      <c r="H201"/>
      <c r="I201"/>
      <c r="J201" s="58"/>
      <c r="K201" s="58"/>
      <c r="L201" s="58"/>
      <c r="M201"/>
      <c r="N201"/>
    </row>
    <row r="202" spans="1:14" ht="11.25" customHeight="1">
      <c r="A202"/>
      <c r="B202"/>
      <c r="C202"/>
      <c r="D202"/>
      <c r="E202"/>
      <c r="F202"/>
      <c r="G202"/>
      <c r="H202"/>
      <c r="I202"/>
      <c r="J202" s="58"/>
      <c r="K202" s="58"/>
      <c r="L202" s="58"/>
      <c r="M202"/>
      <c r="N202"/>
    </row>
    <row r="203" spans="1:14" ht="11.25" customHeight="1">
      <c r="A203"/>
      <c r="B203"/>
      <c r="C203"/>
      <c r="D203"/>
      <c r="E203"/>
      <c r="F203"/>
      <c r="G203"/>
      <c r="H203"/>
      <c r="I203"/>
      <c r="J203" s="58"/>
      <c r="K203" s="58"/>
      <c r="L203" s="58"/>
      <c r="M203"/>
      <c r="N203"/>
    </row>
    <row r="204" spans="1:14" ht="11.25" customHeight="1">
      <c r="A204"/>
      <c r="B204"/>
      <c r="C204"/>
      <c r="D204"/>
      <c r="E204"/>
      <c r="F204"/>
      <c r="G204"/>
      <c r="H204"/>
      <c r="I204"/>
      <c r="J204" s="58"/>
      <c r="K204" s="58"/>
      <c r="L204" s="58"/>
      <c r="M204"/>
      <c r="N204"/>
    </row>
    <row r="205" spans="1:14" ht="11.25" customHeight="1">
      <c r="A205"/>
      <c r="B205"/>
      <c r="C205"/>
      <c r="D205"/>
      <c r="E205"/>
      <c r="F205"/>
      <c r="G205"/>
      <c r="H205"/>
      <c r="I205"/>
      <c r="J205" s="58"/>
      <c r="K205" s="58"/>
      <c r="L205" s="58"/>
      <c r="M205"/>
      <c r="N205"/>
    </row>
    <row r="206" spans="1:14" ht="11.25" customHeight="1">
      <c r="A206"/>
      <c r="B206"/>
      <c r="C206"/>
      <c r="D206"/>
      <c r="E206"/>
      <c r="F206"/>
      <c r="G206"/>
      <c r="H206"/>
      <c r="I206"/>
      <c r="J206" s="58"/>
      <c r="K206" s="58"/>
      <c r="L206" s="58"/>
      <c r="M206"/>
      <c r="N206"/>
    </row>
    <row r="207" spans="1:14" ht="11.25" customHeight="1">
      <c r="A207"/>
      <c r="B207"/>
      <c r="C207"/>
      <c r="D207"/>
      <c r="E207"/>
      <c r="F207"/>
      <c r="G207"/>
      <c r="H207"/>
      <c r="I207"/>
      <c r="J207" s="58"/>
      <c r="K207" s="58"/>
      <c r="L207" s="58"/>
      <c r="M207"/>
      <c r="N207"/>
    </row>
    <row r="208" spans="1:14" ht="11.25" customHeight="1">
      <c r="A208"/>
      <c r="B208"/>
      <c r="C208"/>
      <c r="D208"/>
      <c r="E208"/>
      <c r="F208"/>
      <c r="G208"/>
      <c r="H208"/>
      <c r="I208"/>
      <c r="J208" s="58"/>
      <c r="K208" s="58"/>
      <c r="L208" s="58"/>
      <c r="M208"/>
      <c r="N208"/>
    </row>
    <row r="209" spans="1:14" ht="11.25" customHeight="1">
      <c r="A209"/>
      <c r="B209"/>
      <c r="C209"/>
      <c r="D209"/>
      <c r="E209"/>
      <c r="F209"/>
      <c r="G209"/>
      <c r="H209"/>
      <c r="I209"/>
      <c r="J209" s="58"/>
      <c r="K209" s="58"/>
      <c r="L209" s="58"/>
      <c r="M209"/>
      <c r="N209"/>
    </row>
    <row r="210" spans="1:14" ht="11.25" customHeight="1">
      <c r="A210"/>
      <c r="B210"/>
      <c r="C210"/>
      <c r="D210"/>
      <c r="E210"/>
      <c r="F210"/>
      <c r="G210"/>
      <c r="H210"/>
      <c r="I210"/>
      <c r="J210" s="58"/>
      <c r="K210" s="58"/>
      <c r="L210" s="58"/>
      <c r="M210"/>
      <c r="N210"/>
    </row>
    <row r="211" spans="1:14" ht="11.25" customHeight="1">
      <c r="A211"/>
      <c r="B211"/>
      <c r="C211"/>
      <c r="D211"/>
      <c r="E211"/>
      <c r="F211"/>
      <c r="G211"/>
      <c r="H211"/>
      <c r="I211"/>
      <c r="J211" s="58"/>
      <c r="K211" s="58"/>
      <c r="L211" s="58"/>
      <c r="M211"/>
      <c r="N211"/>
    </row>
    <row r="212" spans="1:14" ht="11.25" customHeight="1">
      <c r="A212"/>
      <c r="B212"/>
      <c r="C212"/>
      <c r="D212"/>
      <c r="E212"/>
      <c r="F212"/>
      <c r="G212"/>
      <c r="H212"/>
      <c r="I212"/>
      <c r="J212" s="58"/>
      <c r="K212" s="58"/>
      <c r="L212" s="58"/>
      <c r="M212"/>
      <c r="N212"/>
    </row>
    <row r="213" spans="1:14" ht="11.25" customHeight="1">
      <c r="A213"/>
      <c r="B213"/>
      <c r="C213"/>
      <c r="D213"/>
      <c r="E213"/>
      <c r="F213"/>
      <c r="G213"/>
      <c r="H213"/>
      <c r="I213"/>
      <c r="J213" s="58"/>
      <c r="K213" s="58"/>
      <c r="L213" s="58"/>
      <c r="M213"/>
      <c r="N213"/>
    </row>
    <row r="214" spans="1:14" ht="11.25" customHeight="1">
      <c r="A214"/>
      <c r="B214"/>
      <c r="C214"/>
      <c r="D214"/>
      <c r="E214"/>
      <c r="F214"/>
      <c r="G214"/>
      <c r="H214"/>
      <c r="I214"/>
      <c r="J214" s="58"/>
      <c r="K214" s="58"/>
      <c r="L214" s="58"/>
      <c r="M214"/>
      <c r="N214"/>
    </row>
    <row r="215" spans="1:14" ht="11.25" customHeight="1">
      <c r="A215"/>
      <c r="B215"/>
      <c r="C215"/>
      <c r="D215"/>
      <c r="E215"/>
      <c r="F215"/>
      <c r="G215"/>
      <c r="H215"/>
      <c r="I215"/>
      <c r="J215" s="58"/>
      <c r="K215" s="58"/>
      <c r="L215" s="58"/>
      <c r="M215"/>
      <c r="N215"/>
    </row>
    <row r="216" spans="1:14" ht="11.25" customHeight="1">
      <c r="A216"/>
      <c r="B216"/>
      <c r="C216"/>
      <c r="D216"/>
      <c r="E216"/>
      <c r="F216"/>
      <c r="G216"/>
      <c r="H216"/>
      <c r="I216"/>
      <c r="J216" s="58"/>
      <c r="K216" s="58"/>
      <c r="L216" s="58"/>
      <c r="M216"/>
      <c r="N216"/>
    </row>
    <row r="217" spans="1:14" ht="11.25" customHeight="1">
      <c r="A217"/>
      <c r="B217"/>
      <c r="C217"/>
      <c r="D217"/>
      <c r="E217"/>
      <c r="F217"/>
      <c r="G217"/>
      <c r="H217"/>
      <c r="I217"/>
      <c r="J217" s="58"/>
      <c r="K217" s="58"/>
      <c r="L217" s="58"/>
      <c r="M217"/>
      <c r="N217"/>
    </row>
    <row r="218" spans="1:14" ht="11.25" customHeight="1">
      <c r="A218"/>
      <c r="B218"/>
      <c r="C218"/>
      <c r="D218"/>
      <c r="E218"/>
      <c r="F218"/>
      <c r="G218"/>
      <c r="H218"/>
      <c r="I218"/>
      <c r="J218" s="58"/>
      <c r="K218" s="58"/>
      <c r="L218" s="58"/>
      <c r="M218"/>
      <c r="N218"/>
    </row>
    <row r="219" spans="1:14" ht="11.25" customHeight="1">
      <c r="A219"/>
      <c r="B219"/>
      <c r="C219"/>
      <c r="D219"/>
      <c r="E219"/>
      <c r="F219"/>
      <c r="G219"/>
      <c r="H219"/>
      <c r="I219"/>
      <c r="J219" s="58"/>
      <c r="K219" s="58"/>
      <c r="L219" s="58"/>
      <c r="M219"/>
      <c r="N219"/>
    </row>
    <row r="220" spans="1:14" ht="11.25" customHeight="1">
      <c r="A220"/>
      <c r="B220"/>
      <c r="C220"/>
      <c r="D220"/>
      <c r="E220"/>
      <c r="F220"/>
      <c r="G220"/>
      <c r="H220"/>
      <c r="I220"/>
      <c r="J220" s="58"/>
      <c r="K220" s="58"/>
      <c r="L220" s="58"/>
      <c r="M220"/>
      <c r="N220"/>
    </row>
    <row r="221" spans="1:14" ht="11.25" customHeight="1">
      <c r="A221"/>
      <c r="B221"/>
      <c r="C221"/>
      <c r="D221"/>
      <c r="E221"/>
      <c r="F221"/>
      <c r="G221"/>
      <c r="H221"/>
      <c r="I221"/>
      <c r="J221" s="58"/>
      <c r="K221" s="58"/>
      <c r="L221" s="58"/>
      <c r="M221"/>
      <c r="N221"/>
    </row>
    <row r="222" spans="1:14" ht="11.25" customHeight="1">
      <c r="A222"/>
      <c r="B222"/>
      <c r="C222"/>
      <c r="D222"/>
      <c r="E222"/>
      <c r="F222"/>
      <c r="G222"/>
      <c r="H222"/>
      <c r="I222"/>
      <c r="J222" s="58"/>
      <c r="K222" s="58"/>
      <c r="L222" s="58"/>
      <c r="M222"/>
      <c r="N222"/>
    </row>
    <row r="223" spans="1:14" ht="11.25" customHeight="1">
      <c r="A223"/>
      <c r="B223"/>
      <c r="C223"/>
      <c r="D223"/>
      <c r="E223"/>
      <c r="F223"/>
      <c r="G223"/>
      <c r="H223"/>
      <c r="I223"/>
      <c r="J223" s="58"/>
      <c r="K223" s="58"/>
      <c r="L223" s="58"/>
      <c r="M223"/>
      <c r="N223"/>
    </row>
    <row r="224" spans="1:14" ht="11.25" customHeight="1">
      <c r="A224"/>
      <c r="B224"/>
      <c r="C224"/>
      <c r="D224"/>
      <c r="E224"/>
      <c r="F224"/>
      <c r="G224"/>
      <c r="H224"/>
      <c r="I224"/>
      <c r="J224" s="58"/>
      <c r="K224" s="58"/>
      <c r="L224" s="58"/>
      <c r="M224"/>
      <c r="N224"/>
    </row>
    <row r="225" spans="1:14" ht="11.25" customHeight="1">
      <c r="A225"/>
      <c r="B225"/>
      <c r="C225"/>
      <c r="D225"/>
      <c r="E225"/>
      <c r="F225"/>
      <c r="G225"/>
      <c r="H225"/>
      <c r="I225"/>
      <c r="J225" s="58"/>
      <c r="K225" s="58"/>
      <c r="L225" s="58"/>
      <c r="M225"/>
      <c r="N225"/>
    </row>
    <row r="226" spans="1:14" ht="11.25" customHeight="1">
      <c r="A226"/>
      <c r="B226"/>
      <c r="C226"/>
      <c r="D226"/>
      <c r="E226"/>
      <c r="F226"/>
      <c r="G226"/>
      <c r="H226"/>
      <c r="I226"/>
      <c r="J226" s="58"/>
      <c r="K226" s="58"/>
      <c r="L226" s="58"/>
      <c r="M226"/>
      <c r="N226"/>
    </row>
    <row r="227" spans="1:14" ht="11.25" customHeight="1">
      <c r="A227"/>
      <c r="B227"/>
      <c r="C227"/>
      <c r="D227"/>
      <c r="E227"/>
      <c r="F227"/>
      <c r="G227"/>
      <c r="H227"/>
      <c r="I227"/>
      <c r="J227" s="58"/>
      <c r="K227" s="58"/>
      <c r="L227" s="58"/>
      <c r="M227"/>
      <c r="N227"/>
    </row>
    <row r="228" spans="1:14" ht="11.25" customHeight="1">
      <c r="A228"/>
      <c r="B228"/>
      <c r="C228"/>
      <c r="D228"/>
      <c r="E228"/>
      <c r="F228"/>
      <c r="G228"/>
      <c r="H228"/>
      <c r="I228"/>
      <c r="J228" s="58"/>
      <c r="K228" s="58"/>
      <c r="L228" s="58"/>
      <c r="M228"/>
      <c r="N228"/>
    </row>
    <row r="229" spans="1:14" ht="11.25" customHeight="1">
      <c r="A229"/>
      <c r="B229"/>
      <c r="C229"/>
      <c r="D229"/>
      <c r="E229"/>
      <c r="F229"/>
      <c r="G229"/>
      <c r="H229"/>
      <c r="I229"/>
      <c r="J229" s="58"/>
      <c r="K229" s="58"/>
      <c r="L229" s="58"/>
      <c r="M229"/>
      <c r="N229"/>
    </row>
    <row r="230" spans="1:14" ht="11.25" customHeight="1">
      <c r="A230"/>
      <c r="B230"/>
      <c r="C230"/>
      <c r="D230"/>
      <c r="E230"/>
      <c r="F230"/>
      <c r="G230"/>
      <c r="H230"/>
      <c r="I230"/>
      <c r="J230" s="58"/>
      <c r="K230" s="58"/>
      <c r="L230" s="58"/>
      <c r="M230"/>
      <c r="N230"/>
    </row>
    <row r="231" spans="1:14" ht="11.25" customHeight="1">
      <c r="A231"/>
      <c r="B231"/>
      <c r="C231"/>
      <c r="D231"/>
      <c r="E231"/>
      <c r="F231"/>
      <c r="G231"/>
      <c r="H231"/>
      <c r="I231"/>
      <c r="J231" s="58"/>
      <c r="K231" s="58"/>
      <c r="L231" s="58"/>
      <c r="M231"/>
      <c r="N231"/>
    </row>
    <row r="232" spans="1:14" ht="11.25" customHeight="1">
      <c r="A232"/>
      <c r="B232"/>
      <c r="C232"/>
      <c r="D232"/>
      <c r="E232"/>
      <c r="F232"/>
      <c r="G232"/>
      <c r="H232"/>
      <c r="I232"/>
      <c r="J232" s="58"/>
      <c r="K232" s="58"/>
      <c r="L232" s="58"/>
      <c r="M232"/>
      <c r="N232"/>
    </row>
    <row r="233" spans="1:14" ht="11.25" customHeight="1">
      <c r="A233"/>
      <c r="B233"/>
      <c r="C233"/>
      <c r="D233"/>
      <c r="E233"/>
      <c r="F233"/>
      <c r="G233"/>
      <c r="H233"/>
      <c r="I233"/>
      <c r="J233" s="58"/>
      <c r="K233" s="58"/>
      <c r="L233" s="58"/>
      <c r="M233"/>
      <c r="N233"/>
    </row>
    <row r="234" spans="1:14" ht="11.25" customHeight="1">
      <c r="A234"/>
      <c r="B234"/>
      <c r="C234"/>
      <c r="D234"/>
      <c r="E234"/>
      <c r="F234"/>
      <c r="G234"/>
      <c r="H234"/>
      <c r="I234"/>
      <c r="J234" s="58"/>
      <c r="K234" s="58"/>
      <c r="L234" s="58"/>
      <c r="M234"/>
      <c r="N234"/>
    </row>
    <row r="235" spans="1:14" ht="11.25" customHeight="1">
      <c r="A235"/>
      <c r="B235"/>
      <c r="C235"/>
      <c r="D235"/>
      <c r="E235"/>
      <c r="F235"/>
      <c r="G235"/>
      <c r="H235"/>
      <c r="I235"/>
      <c r="J235" s="58"/>
      <c r="K235" s="58"/>
      <c r="L235" s="58"/>
      <c r="M235"/>
      <c r="N235"/>
    </row>
    <row r="236" spans="1:14" ht="11.25" customHeight="1">
      <c r="A236"/>
      <c r="B236"/>
      <c r="C236"/>
      <c r="D236"/>
      <c r="E236"/>
      <c r="F236"/>
      <c r="G236"/>
      <c r="H236"/>
      <c r="I236"/>
      <c r="J236" s="58"/>
      <c r="K236" s="58"/>
      <c r="L236" s="58"/>
      <c r="M236"/>
      <c r="N236"/>
    </row>
    <row r="237" spans="1:14" ht="11.25" customHeight="1">
      <c r="A237"/>
      <c r="B237"/>
      <c r="C237"/>
      <c r="D237"/>
      <c r="E237"/>
      <c r="F237"/>
      <c r="G237"/>
      <c r="H237"/>
      <c r="I237"/>
      <c r="J237" s="58"/>
      <c r="K237" s="58"/>
      <c r="L237" s="58"/>
      <c r="M237"/>
      <c r="N237"/>
    </row>
    <row r="238" spans="1:14" ht="11.25" customHeight="1">
      <c r="A238"/>
      <c r="B238"/>
      <c r="C238"/>
      <c r="D238"/>
      <c r="E238"/>
      <c r="F238"/>
      <c r="G238"/>
      <c r="H238"/>
      <c r="I238"/>
      <c r="J238" s="58"/>
      <c r="K238" s="58"/>
      <c r="L238" s="58"/>
      <c r="M238"/>
      <c r="N238"/>
    </row>
    <row r="239" spans="1:14" ht="11.25" customHeight="1">
      <c r="A239"/>
      <c r="B239"/>
      <c r="C239"/>
      <c r="D239"/>
      <c r="E239"/>
      <c r="F239"/>
      <c r="G239"/>
      <c r="H239"/>
      <c r="I239"/>
      <c r="J239" s="58"/>
      <c r="K239" s="58"/>
      <c r="L239" s="58"/>
      <c r="M239"/>
      <c r="N239"/>
    </row>
    <row r="240" spans="1:14" ht="11.25" customHeight="1">
      <c r="A240"/>
      <c r="B240"/>
      <c r="C240"/>
      <c r="D240"/>
      <c r="E240"/>
      <c r="F240"/>
      <c r="G240"/>
      <c r="H240"/>
      <c r="I240"/>
      <c r="J240" s="58"/>
      <c r="K240" s="58"/>
      <c r="L240" s="58"/>
      <c r="M240"/>
      <c r="N240"/>
    </row>
    <row r="241" spans="1:14" ht="11.25" customHeight="1">
      <c r="A241"/>
      <c r="B241"/>
      <c r="C241"/>
      <c r="D241"/>
      <c r="E241"/>
      <c r="F241"/>
      <c r="G241"/>
      <c r="H241"/>
      <c r="I241"/>
      <c r="J241" s="58"/>
      <c r="K241" s="58"/>
      <c r="L241" s="58"/>
      <c r="M241"/>
      <c r="N241"/>
    </row>
    <row r="242" spans="1:14" ht="11.25" customHeight="1">
      <c r="A242"/>
      <c r="B242"/>
      <c r="C242"/>
      <c r="D242"/>
      <c r="E242"/>
      <c r="F242"/>
      <c r="G242"/>
      <c r="H242"/>
      <c r="I242"/>
      <c r="J242" s="58"/>
      <c r="K242" s="58"/>
      <c r="L242" s="58"/>
      <c r="M242"/>
      <c r="N242"/>
    </row>
    <row r="243" spans="1:14" ht="11.25" customHeight="1">
      <c r="A243"/>
      <c r="B243"/>
      <c r="C243"/>
      <c r="D243"/>
      <c r="E243"/>
      <c r="F243"/>
      <c r="G243"/>
      <c r="H243"/>
      <c r="I243"/>
      <c r="J243" s="58"/>
      <c r="K243" s="58"/>
      <c r="L243" s="58"/>
      <c r="M243"/>
      <c r="N243"/>
    </row>
    <row r="244" spans="1:14" ht="11.25" customHeight="1">
      <c r="A244"/>
      <c r="B244"/>
      <c r="C244"/>
      <c r="D244"/>
      <c r="E244"/>
      <c r="F244"/>
      <c r="G244"/>
      <c r="H244"/>
      <c r="I244"/>
      <c r="J244" s="58"/>
      <c r="K244" s="58"/>
      <c r="L244" s="58"/>
      <c r="M244"/>
      <c r="N244"/>
    </row>
    <row r="245" spans="1:14" ht="11.25" customHeight="1">
      <c r="A245"/>
      <c r="B245"/>
      <c r="C245"/>
      <c r="D245"/>
      <c r="E245"/>
      <c r="F245"/>
      <c r="G245"/>
      <c r="H245"/>
      <c r="I245"/>
      <c r="J245" s="58"/>
      <c r="K245" s="58"/>
      <c r="L245" s="58"/>
      <c r="M245"/>
      <c r="N245"/>
    </row>
    <row r="246" spans="1:14" ht="11.25" customHeight="1">
      <c r="A246"/>
      <c r="B246"/>
      <c r="C246"/>
      <c r="D246"/>
      <c r="E246"/>
      <c r="F246"/>
      <c r="G246"/>
      <c r="H246"/>
      <c r="I246"/>
      <c r="J246" s="58"/>
      <c r="K246" s="58"/>
      <c r="L246" s="58"/>
      <c r="M246"/>
      <c r="N246"/>
    </row>
    <row r="247" spans="1:14" ht="11.25" customHeight="1">
      <c r="A247"/>
      <c r="B247"/>
      <c r="C247"/>
      <c r="D247"/>
      <c r="E247"/>
      <c r="F247"/>
      <c r="G247"/>
      <c r="H247"/>
      <c r="I247"/>
      <c r="J247" s="58"/>
      <c r="K247" s="58"/>
      <c r="L247" s="58"/>
      <c r="M247"/>
      <c r="N247"/>
    </row>
    <row r="248" spans="1:14" ht="11.25" customHeight="1">
      <c r="A248"/>
      <c r="B248"/>
      <c r="C248"/>
      <c r="D248"/>
      <c r="E248"/>
      <c r="F248"/>
      <c r="G248"/>
      <c r="H248"/>
      <c r="I248"/>
      <c r="J248" s="58"/>
      <c r="K248" s="58"/>
      <c r="L248" s="58"/>
      <c r="M248"/>
      <c r="N248"/>
    </row>
    <row r="249" spans="1:14" ht="11.25" customHeight="1">
      <c r="A249"/>
      <c r="B249"/>
      <c r="C249"/>
      <c r="D249"/>
      <c r="E249"/>
      <c r="F249"/>
      <c r="G249"/>
      <c r="H249"/>
      <c r="I249"/>
      <c r="J249" s="58"/>
      <c r="K249" s="58"/>
      <c r="L249" s="58"/>
      <c r="M249"/>
      <c r="N249"/>
    </row>
    <row r="250" spans="1:14" ht="11.25" customHeight="1">
      <c r="A250"/>
      <c r="B250"/>
      <c r="C250"/>
      <c r="D250"/>
      <c r="E250"/>
      <c r="F250"/>
      <c r="G250"/>
      <c r="H250"/>
      <c r="I250"/>
      <c r="J250" s="58"/>
      <c r="K250" s="58"/>
      <c r="L250" s="58"/>
      <c r="M250"/>
      <c r="N250"/>
    </row>
    <row r="251" spans="1:14" ht="11.25" customHeight="1">
      <c r="A251"/>
      <c r="B251"/>
      <c r="C251"/>
      <c r="D251"/>
      <c r="E251"/>
      <c r="F251"/>
      <c r="G251"/>
      <c r="H251"/>
      <c r="I251"/>
      <c r="J251" s="58"/>
      <c r="K251" s="58"/>
      <c r="L251" s="58"/>
      <c r="M251"/>
      <c r="N251"/>
    </row>
    <row r="252" spans="1:14" ht="11.25" customHeight="1">
      <c r="A252"/>
      <c r="B252"/>
      <c r="C252"/>
      <c r="D252"/>
      <c r="E252"/>
      <c r="F252"/>
      <c r="G252"/>
      <c r="H252"/>
      <c r="I252"/>
      <c r="J252" s="58"/>
      <c r="K252" s="58"/>
      <c r="L252" s="58"/>
      <c r="M252"/>
      <c r="N252"/>
    </row>
    <row r="253" spans="1:14" ht="11.25" customHeight="1">
      <c r="A253"/>
      <c r="B253"/>
      <c r="C253"/>
      <c r="D253"/>
      <c r="E253"/>
      <c r="F253"/>
      <c r="G253"/>
      <c r="H253"/>
      <c r="I253"/>
      <c r="J253" s="58"/>
      <c r="K253" s="58"/>
      <c r="L253" s="58"/>
      <c r="M253"/>
      <c r="N253"/>
    </row>
    <row r="254" spans="1:14" ht="11.25" customHeight="1">
      <c r="A254"/>
      <c r="B254"/>
      <c r="C254"/>
      <c r="D254"/>
      <c r="E254"/>
      <c r="F254"/>
      <c r="G254"/>
      <c r="H254"/>
      <c r="I254"/>
      <c r="J254" s="58"/>
      <c r="K254" s="58"/>
      <c r="L254" s="58"/>
      <c r="M254"/>
      <c r="N254"/>
    </row>
    <row r="255" spans="1:14" ht="11.25" customHeight="1">
      <c r="A255"/>
      <c r="B255"/>
      <c r="C255"/>
      <c r="D255"/>
      <c r="E255"/>
      <c r="F255"/>
      <c r="G255"/>
      <c r="H255"/>
      <c r="I255"/>
      <c r="J255" s="58"/>
      <c r="K255" s="58"/>
      <c r="L255" s="58"/>
      <c r="M255"/>
      <c r="N255"/>
    </row>
    <row r="256" spans="1:14" ht="11.25" customHeight="1">
      <c r="A256"/>
      <c r="B256"/>
      <c r="C256"/>
      <c r="D256"/>
      <c r="E256"/>
      <c r="F256"/>
      <c r="G256"/>
      <c r="H256"/>
      <c r="I256"/>
      <c r="J256" s="58"/>
      <c r="K256" s="58"/>
      <c r="L256" s="58"/>
      <c r="M256"/>
      <c r="N256"/>
    </row>
    <row r="257" spans="1:14" ht="11.25" customHeight="1">
      <c r="A257"/>
      <c r="B257"/>
      <c r="C257"/>
      <c r="D257"/>
      <c r="E257"/>
      <c r="F257"/>
      <c r="G257"/>
      <c r="H257"/>
      <c r="I257"/>
      <c r="J257" s="58"/>
      <c r="K257" s="58"/>
      <c r="L257" s="58"/>
      <c r="M257"/>
      <c r="N257"/>
    </row>
    <row r="258" spans="1:14" ht="11.25" customHeight="1">
      <c r="A258"/>
      <c r="B258"/>
      <c r="C258"/>
      <c r="D258"/>
      <c r="E258"/>
      <c r="F258"/>
      <c r="G258"/>
      <c r="H258"/>
      <c r="I258"/>
      <c r="J258" s="58"/>
      <c r="K258" s="58"/>
      <c r="L258" s="58"/>
      <c r="M258"/>
      <c r="N258"/>
    </row>
    <row r="259" spans="1:14" ht="11.25" customHeight="1">
      <c r="A259"/>
      <c r="B259"/>
      <c r="C259"/>
      <c r="D259"/>
      <c r="E259"/>
      <c r="F259"/>
      <c r="G259"/>
      <c r="H259"/>
      <c r="I259"/>
      <c r="J259" s="58"/>
      <c r="K259" s="58"/>
      <c r="L259" s="58"/>
      <c r="M259"/>
      <c r="N259"/>
    </row>
    <row r="260" spans="1:14" ht="11.25" customHeight="1">
      <c r="A260"/>
      <c r="B260"/>
      <c r="C260"/>
      <c r="D260"/>
      <c r="E260"/>
      <c r="F260"/>
      <c r="G260"/>
      <c r="H260"/>
      <c r="I260"/>
      <c r="J260" s="58"/>
      <c r="K260" s="58"/>
      <c r="L260" s="58"/>
      <c r="M260"/>
      <c r="N260"/>
    </row>
    <row r="261" spans="1:14" ht="11.25" customHeight="1">
      <c r="A261"/>
      <c r="B261"/>
      <c r="C261"/>
      <c r="D261"/>
      <c r="E261"/>
      <c r="F261"/>
      <c r="G261"/>
      <c r="H261"/>
      <c r="I261"/>
      <c r="J261" s="58"/>
      <c r="K261" s="58"/>
      <c r="L261" s="58"/>
      <c r="M261"/>
      <c r="N261"/>
    </row>
    <row r="262" spans="1:14" ht="11.25" customHeight="1">
      <c r="A262"/>
      <c r="B262"/>
      <c r="C262"/>
      <c r="D262"/>
      <c r="E262"/>
      <c r="F262"/>
      <c r="G262"/>
      <c r="H262"/>
      <c r="I262"/>
      <c r="J262" s="58"/>
      <c r="K262" s="58"/>
      <c r="L262" s="58"/>
      <c r="M262"/>
      <c r="N262"/>
    </row>
    <row r="263" spans="1:14" ht="11.25" customHeight="1">
      <c r="A263"/>
      <c r="B263"/>
      <c r="C263"/>
      <c r="D263"/>
      <c r="E263"/>
      <c r="F263"/>
      <c r="G263"/>
      <c r="H263"/>
      <c r="I263"/>
      <c r="J263" s="58"/>
      <c r="K263" s="58"/>
      <c r="L263" s="58"/>
      <c r="M263"/>
      <c r="N263"/>
    </row>
    <row r="264" spans="1:14" ht="11.25" customHeight="1">
      <c r="A264"/>
      <c r="B264"/>
      <c r="C264"/>
      <c r="D264"/>
      <c r="E264"/>
      <c r="F264"/>
      <c r="G264"/>
      <c r="H264"/>
      <c r="I264"/>
      <c r="J264" s="58"/>
      <c r="K264" s="58"/>
      <c r="L264" s="58"/>
      <c r="M264"/>
      <c r="N264"/>
    </row>
    <row r="265" spans="1:14" ht="11.25" customHeight="1">
      <c r="A265"/>
      <c r="B265"/>
      <c r="C265"/>
      <c r="D265"/>
      <c r="E265"/>
      <c r="F265"/>
      <c r="G265"/>
      <c r="H265"/>
      <c r="I265"/>
      <c r="J265" s="58"/>
      <c r="K265" s="58"/>
      <c r="L265" s="58"/>
      <c r="M265"/>
      <c r="N265"/>
    </row>
    <row r="266" spans="1:14" ht="11.25" customHeight="1">
      <c r="A266"/>
      <c r="B266"/>
      <c r="C266"/>
      <c r="D266"/>
      <c r="E266"/>
      <c r="F266"/>
      <c r="G266"/>
      <c r="H266"/>
      <c r="I266"/>
      <c r="J266" s="58"/>
      <c r="K266" s="58"/>
      <c r="L266" s="58"/>
      <c r="M266"/>
      <c r="N266"/>
    </row>
    <row r="267" spans="1:14" ht="11.25" customHeight="1">
      <c r="A267"/>
      <c r="B267"/>
      <c r="C267"/>
      <c r="D267"/>
      <c r="E267"/>
      <c r="F267"/>
      <c r="G267"/>
      <c r="H267"/>
      <c r="I267"/>
      <c r="J267" s="58"/>
      <c r="K267" s="58"/>
      <c r="L267" s="58"/>
      <c r="M267"/>
      <c r="N267"/>
    </row>
    <row r="268" spans="1:14" ht="11.25" customHeight="1">
      <c r="A268"/>
      <c r="B268"/>
      <c r="C268"/>
      <c r="D268"/>
      <c r="E268"/>
      <c r="F268"/>
      <c r="G268"/>
      <c r="H268"/>
      <c r="I268"/>
      <c r="J268" s="58"/>
      <c r="K268" s="58"/>
      <c r="L268" s="58"/>
      <c r="M268"/>
      <c r="N268"/>
    </row>
    <row r="269" spans="1:14" ht="11.25" customHeight="1">
      <c r="A269"/>
      <c r="B269"/>
      <c r="C269"/>
      <c r="D269"/>
      <c r="E269"/>
      <c r="F269"/>
      <c r="G269"/>
      <c r="H269"/>
      <c r="I269"/>
      <c r="J269" s="58"/>
      <c r="K269" s="58"/>
      <c r="L269" s="58"/>
      <c r="M269"/>
      <c r="N269"/>
    </row>
    <row r="270" spans="1:14" ht="11.25" customHeight="1">
      <c r="A270"/>
      <c r="B270"/>
      <c r="C270"/>
      <c r="D270"/>
      <c r="E270"/>
      <c r="F270"/>
      <c r="G270"/>
      <c r="H270"/>
      <c r="I270"/>
      <c r="J270" s="58"/>
      <c r="K270" s="58"/>
      <c r="L270" s="58"/>
      <c r="M270"/>
      <c r="N270"/>
    </row>
    <row r="271" spans="1:14" ht="11.25" customHeight="1">
      <c r="A271"/>
      <c r="B271"/>
      <c r="C271"/>
      <c r="D271"/>
      <c r="E271"/>
      <c r="F271"/>
      <c r="G271"/>
      <c r="H271"/>
      <c r="I271"/>
      <c r="J271" s="58"/>
      <c r="K271" s="58"/>
      <c r="L271" s="58"/>
      <c r="M271"/>
      <c r="N271"/>
    </row>
    <row r="272" spans="1:14" ht="11.25" customHeight="1">
      <c r="A272"/>
      <c r="B272"/>
      <c r="C272"/>
      <c r="D272"/>
      <c r="E272"/>
      <c r="F272"/>
      <c r="G272"/>
      <c r="H272"/>
      <c r="I272"/>
      <c r="J272" s="58"/>
      <c r="K272" s="58"/>
      <c r="L272" s="58"/>
      <c r="M272"/>
      <c r="N272"/>
    </row>
    <row r="273" spans="1:14" ht="11.25" customHeight="1">
      <c r="A273"/>
      <c r="B273"/>
      <c r="C273"/>
      <c r="D273"/>
      <c r="E273"/>
      <c r="F273"/>
      <c r="G273"/>
      <c r="H273"/>
      <c r="I273"/>
      <c r="J273" s="58"/>
      <c r="K273" s="58"/>
      <c r="L273" s="58"/>
      <c r="M273"/>
      <c r="N273"/>
    </row>
    <row r="274" spans="1:14" ht="11.25" customHeight="1">
      <c r="A274"/>
      <c r="B274"/>
      <c r="C274"/>
      <c r="D274"/>
      <c r="E274"/>
      <c r="F274"/>
      <c r="G274"/>
      <c r="H274"/>
      <c r="I274"/>
      <c r="J274" s="58"/>
      <c r="K274" s="58"/>
      <c r="L274" s="58"/>
      <c r="M274"/>
      <c r="N274"/>
    </row>
    <row r="275" spans="1:14" ht="11.25" customHeight="1">
      <c r="A275"/>
      <c r="B275"/>
      <c r="C275"/>
      <c r="D275"/>
      <c r="E275"/>
      <c r="F275"/>
      <c r="G275"/>
      <c r="H275"/>
      <c r="I275"/>
      <c r="J275" s="58"/>
      <c r="K275" s="58"/>
      <c r="L275" s="58"/>
      <c r="M275"/>
      <c r="N275"/>
    </row>
    <row r="276" spans="1:14" ht="11.25" customHeight="1">
      <c r="A276"/>
      <c r="B276"/>
      <c r="C276"/>
      <c r="D276"/>
      <c r="E276"/>
      <c r="F276"/>
      <c r="G276"/>
      <c r="H276"/>
      <c r="I276"/>
      <c r="J276" s="58"/>
      <c r="K276" s="58"/>
      <c r="L276" s="58"/>
      <c r="M276"/>
      <c r="N276"/>
    </row>
    <row r="277" spans="1:14" ht="11.25" customHeight="1">
      <c r="A277"/>
      <c r="B277"/>
      <c r="C277"/>
      <c r="D277"/>
      <c r="E277"/>
      <c r="F277"/>
      <c r="G277"/>
      <c r="H277"/>
      <c r="I277"/>
      <c r="J277" s="58"/>
      <c r="K277" s="58"/>
      <c r="L277" s="58"/>
      <c r="M277"/>
      <c r="N277"/>
    </row>
    <row r="278" spans="1:14" ht="11.25" customHeight="1">
      <c r="A278"/>
      <c r="B278"/>
      <c r="C278"/>
      <c r="D278"/>
      <c r="E278"/>
      <c r="F278"/>
      <c r="G278"/>
      <c r="H278"/>
      <c r="I278"/>
      <c r="J278" s="58"/>
      <c r="K278" s="58"/>
      <c r="L278" s="58"/>
      <c r="M278"/>
      <c r="N278"/>
    </row>
    <row r="279" spans="1:14" ht="11.25" customHeight="1">
      <c r="A279"/>
      <c r="B279"/>
      <c r="C279"/>
      <c r="D279"/>
      <c r="E279"/>
      <c r="F279"/>
      <c r="G279"/>
      <c r="H279"/>
      <c r="I279"/>
      <c r="J279" s="58"/>
      <c r="K279" s="58"/>
      <c r="L279" s="58"/>
      <c r="M279"/>
      <c r="N279"/>
    </row>
    <row r="280" spans="1:14" ht="11.25" customHeight="1">
      <c r="A280"/>
      <c r="B280"/>
      <c r="C280"/>
      <c r="D280"/>
      <c r="E280"/>
      <c r="F280"/>
      <c r="G280"/>
      <c r="H280"/>
      <c r="I280"/>
      <c r="J280" s="58"/>
      <c r="K280" s="58"/>
      <c r="L280" s="58"/>
      <c r="M280"/>
      <c r="N280"/>
    </row>
    <row r="281" spans="1:14" ht="11.25" customHeight="1">
      <c r="A281"/>
      <c r="B281"/>
      <c r="C281"/>
      <c r="D281"/>
      <c r="E281"/>
      <c r="F281"/>
      <c r="G281"/>
      <c r="H281"/>
      <c r="I281"/>
      <c r="J281" s="58"/>
      <c r="K281" s="58"/>
      <c r="L281" s="58"/>
      <c r="M281"/>
      <c r="N281"/>
    </row>
    <row r="282" spans="1:14" ht="11.25" customHeight="1">
      <c r="A282"/>
      <c r="B282"/>
      <c r="C282"/>
      <c r="D282"/>
      <c r="E282"/>
      <c r="F282"/>
      <c r="G282"/>
      <c r="H282"/>
      <c r="I282"/>
      <c r="J282" s="58"/>
      <c r="K282" s="58"/>
      <c r="L282" s="58"/>
      <c r="M282"/>
      <c r="N282"/>
    </row>
    <row r="283" spans="1:14" ht="11.25" customHeight="1">
      <c r="A283"/>
      <c r="B283"/>
      <c r="C283"/>
      <c r="D283"/>
      <c r="E283"/>
      <c r="F283"/>
      <c r="G283"/>
      <c r="H283"/>
      <c r="I283"/>
      <c r="J283" s="58"/>
      <c r="K283" s="58"/>
      <c r="L283" s="58"/>
      <c r="M283"/>
      <c r="N283"/>
    </row>
    <row r="284" spans="1:14" ht="11.25" customHeight="1">
      <c r="A284"/>
      <c r="B284"/>
      <c r="C284"/>
      <c r="D284"/>
      <c r="E284"/>
      <c r="F284"/>
      <c r="G284"/>
      <c r="H284"/>
      <c r="I284"/>
      <c r="J284" s="58"/>
      <c r="K284" s="58"/>
      <c r="L284" s="58"/>
      <c r="M284"/>
      <c r="N284"/>
    </row>
    <row r="285" spans="1:14" ht="11.25" customHeight="1">
      <c r="A285"/>
      <c r="B285"/>
      <c r="C285"/>
      <c r="D285"/>
      <c r="E285"/>
      <c r="F285"/>
      <c r="G285"/>
      <c r="H285"/>
      <c r="I285"/>
      <c r="J285" s="58"/>
      <c r="K285" s="58"/>
      <c r="L285" s="58"/>
      <c r="M285"/>
      <c r="N285"/>
    </row>
    <row r="286" spans="1:14" ht="11.25" customHeight="1">
      <c r="A286"/>
      <c r="B286"/>
      <c r="C286"/>
      <c r="D286"/>
      <c r="E286"/>
      <c r="F286"/>
      <c r="G286"/>
      <c r="H286"/>
      <c r="I286"/>
      <c r="J286" s="58"/>
      <c r="K286" s="58"/>
      <c r="L286" s="58"/>
      <c r="M286"/>
      <c r="N286"/>
    </row>
    <row r="287" spans="1:14" ht="11.25" customHeight="1">
      <c r="A287"/>
      <c r="B287"/>
      <c r="C287"/>
      <c r="D287"/>
      <c r="E287"/>
      <c r="F287"/>
      <c r="G287"/>
      <c r="H287"/>
      <c r="I287"/>
      <c r="J287" s="58"/>
      <c r="K287" s="58"/>
      <c r="L287" s="58"/>
      <c r="M287"/>
      <c r="N287"/>
    </row>
    <row r="288" spans="1:14" ht="11.25" customHeight="1">
      <c r="A288"/>
      <c r="B288"/>
      <c r="C288"/>
      <c r="D288"/>
      <c r="E288"/>
      <c r="F288"/>
      <c r="G288"/>
      <c r="H288"/>
      <c r="I288"/>
      <c r="J288" s="58"/>
      <c r="K288" s="58"/>
      <c r="L288" s="58"/>
      <c r="M288"/>
      <c r="N288"/>
    </row>
    <row r="289" spans="1:14" ht="11.25" customHeight="1">
      <c r="A289"/>
      <c r="B289"/>
      <c r="C289"/>
      <c r="D289"/>
      <c r="E289"/>
      <c r="F289"/>
      <c r="G289"/>
      <c r="H289"/>
      <c r="I289"/>
      <c r="J289" s="58"/>
      <c r="K289" s="58"/>
      <c r="L289" s="58"/>
      <c r="M289"/>
      <c r="N289"/>
    </row>
    <row r="290" spans="1:14" ht="11.25" customHeight="1">
      <c r="A290"/>
      <c r="B290"/>
      <c r="C290"/>
      <c r="D290"/>
      <c r="E290"/>
      <c r="F290"/>
      <c r="G290"/>
      <c r="H290"/>
      <c r="I290"/>
      <c r="J290" s="58"/>
      <c r="K290" s="58"/>
      <c r="L290" s="58"/>
      <c r="M290"/>
      <c r="N290"/>
    </row>
    <row r="291" spans="1:14" ht="11.25" customHeight="1">
      <c r="A291"/>
      <c r="B291"/>
      <c r="C291"/>
      <c r="D291"/>
      <c r="E291"/>
      <c r="F291"/>
      <c r="G291"/>
      <c r="H291"/>
      <c r="I291"/>
      <c r="J291" s="58"/>
      <c r="K291" s="58"/>
      <c r="L291" s="58"/>
      <c r="M291"/>
      <c r="N291"/>
    </row>
    <row r="292" spans="1:14" ht="11.25" customHeight="1">
      <c r="A292"/>
      <c r="B292"/>
      <c r="C292"/>
      <c r="D292"/>
      <c r="E292"/>
      <c r="F292"/>
      <c r="G292"/>
      <c r="H292"/>
      <c r="I292"/>
      <c r="J292" s="58"/>
      <c r="K292" s="58"/>
      <c r="L292" s="58"/>
      <c r="M292"/>
      <c r="N292"/>
    </row>
    <row r="293" spans="1:14" ht="11.25" customHeight="1">
      <c r="A293"/>
      <c r="B293"/>
      <c r="C293"/>
      <c r="D293"/>
      <c r="E293"/>
      <c r="F293"/>
      <c r="G293"/>
      <c r="H293"/>
      <c r="I293"/>
      <c r="J293" s="58"/>
      <c r="K293" s="58"/>
      <c r="L293" s="58"/>
      <c r="M293"/>
      <c r="N293"/>
    </row>
    <row r="294" spans="1:14" ht="11.25" customHeight="1">
      <c r="A294"/>
      <c r="B294"/>
      <c r="C294"/>
      <c r="D294"/>
      <c r="E294"/>
      <c r="F294"/>
      <c r="G294"/>
      <c r="H294"/>
      <c r="I294"/>
      <c r="J294" s="58"/>
      <c r="K294" s="58"/>
      <c r="L294" s="58"/>
      <c r="M294"/>
      <c r="N294"/>
    </row>
    <row r="295" spans="1:14" ht="11.25" customHeight="1">
      <c r="A295"/>
      <c r="B295"/>
      <c r="C295"/>
      <c r="D295"/>
      <c r="E295"/>
      <c r="F295"/>
      <c r="G295"/>
      <c r="H295"/>
      <c r="I295"/>
      <c r="J295" s="58"/>
      <c r="K295" s="58"/>
      <c r="L295" s="58"/>
      <c r="M295"/>
      <c r="N295"/>
    </row>
    <row r="296" spans="1:14" ht="11.25" customHeight="1">
      <c r="A296"/>
      <c r="B296"/>
      <c r="C296"/>
      <c r="D296"/>
      <c r="E296"/>
      <c r="F296"/>
      <c r="G296"/>
      <c r="H296"/>
      <c r="I296"/>
      <c r="J296" s="58"/>
      <c r="K296" s="58"/>
      <c r="L296" s="58"/>
      <c r="M296"/>
      <c r="N296"/>
    </row>
    <row r="297" spans="1:14" ht="11.25" customHeight="1">
      <c r="A297"/>
      <c r="B297"/>
      <c r="C297"/>
      <c r="D297"/>
      <c r="E297"/>
      <c r="F297"/>
      <c r="G297"/>
      <c r="H297"/>
      <c r="I297"/>
      <c r="J297" s="58"/>
      <c r="K297" s="58"/>
      <c r="L297" s="58"/>
      <c r="M297"/>
      <c r="N297"/>
    </row>
    <row r="298" spans="1:14" ht="11.25" customHeight="1">
      <c r="A298"/>
      <c r="B298"/>
      <c r="C298"/>
      <c r="D298"/>
      <c r="E298"/>
      <c r="F298"/>
      <c r="G298"/>
      <c r="H298"/>
      <c r="I298"/>
      <c r="J298" s="58"/>
      <c r="K298" s="58"/>
      <c r="L298" s="58"/>
      <c r="M298"/>
      <c r="N298"/>
    </row>
    <row r="299" spans="1:14" ht="11.25" customHeight="1">
      <c r="A299"/>
      <c r="B299"/>
      <c r="C299"/>
      <c r="D299"/>
      <c r="E299"/>
      <c r="F299"/>
      <c r="G299"/>
      <c r="H299"/>
      <c r="I299"/>
      <c r="J299" s="58"/>
      <c r="K299" s="58"/>
      <c r="L299" s="58"/>
      <c r="M299"/>
      <c r="N299"/>
    </row>
    <row r="300" spans="1:14" ht="11.25" customHeight="1">
      <c r="A300"/>
      <c r="B300"/>
      <c r="C300"/>
      <c r="D300"/>
      <c r="E300"/>
      <c r="F300"/>
      <c r="G300"/>
      <c r="H300"/>
      <c r="I300"/>
      <c r="J300" s="58"/>
      <c r="K300" s="58"/>
      <c r="L300" s="58"/>
      <c r="M300"/>
      <c r="N300"/>
    </row>
    <row r="301" spans="1:14" ht="11.25" customHeight="1">
      <c r="A301"/>
      <c r="B301"/>
      <c r="C301"/>
      <c r="D301"/>
      <c r="E301"/>
      <c r="F301"/>
      <c r="G301"/>
      <c r="H301"/>
      <c r="I301"/>
      <c r="J301" s="58"/>
      <c r="K301" s="58"/>
      <c r="L301" s="58"/>
      <c r="M301"/>
      <c r="N301"/>
    </row>
    <row r="302" spans="1:14" ht="11.25" customHeight="1">
      <c r="A302"/>
      <c r="B302"/>
      <c r="C302"/>
      <c r="D302"/>
      <c r="E302"/>
      <c r="F302"/>
      <c r="G302"/>
      <c r="H302"/>
      <c r="I302"/>
      <c r="J302" s="58"/>
      <c r="K302" s="58"/>
      <c r="L302" s="58"/>
      <c r="M302"/>
      <c r="N302"/>
    </row>
    <row r="303" spans="1:14" ht="11.25" customHeight="1">
      <c r="A303"/>
      <c r="B303"/>
      <c r="C303"/>
      <c r="D303"/>
      <c r="E303"/>
      <c r="F303"/>
      <c r="G303"/>
      <c r="H303"/>
      <c r="I303"/>
      <c r="J303" s="58"/>
      <c r="K303" s="58"/>
      <c r="L303" s="58"/>
      <c r="M303"/>
      <c r="N303"/>
    </row>
    <row r="304" spans="1:14" ht="11.25" customHeight="1">
      <c r="A304"/>
      <c r="B304"/>
      <c r="C304"/>
      <c r="D304"/>
      <c r="E304"/>
      <c r="F304"/>
      <c r="G304"/>
      <c r="H304"/>
      <c r="I304"/>
      <c r="J304" s="58"/>
      <c r="K304" s="58"/>
      <c r="L304" s="58"/>
      <c r="M304"/>
      <c r="N304"/>
    </row>
    <row r="305" spans="1:14" ht="11.25" customHeight="1">
      <c r="A305"/>
      <c r="B305"/>
      <c r="C305"/>
      <c r="D305"/>
      <c r="E305"/>
      <c r="F305"/>
      <c r="G305"/>
      <c r="H305"/>
      <c r="I305"/>
      <c r="J305" s="58"/>
      <c r="K305" s="58"/>
      <c r="L305" s="58"/>
      <c r="M305"/>
      <c r="N305"/>
    </row>
    <row r="306" spans="1:14" ht="11.25" customHeight="1">
      <c r="A306"/>
      <c r="B306"/>
      <c r="C306"/>
      <c r="D306"/>
      <c r="E306"/>
      <c r="F306"/>
      <c r="G306"/>
      <c r="H306"/>
      <c r="I306"/>
      <c r="J306" s="58"/>
      <c r="K306" s="58"/>
      <c r="L306" s="58"/>
      <c r="M306"/>
      <c r="N306"/>
    </row>
    <row r="307" spans="1:14" ht="11.25" customHeight="1">
      <c r="A307"/>
      <c r="B307"/>
      <c r="C307"/>
      <c r="D307"/>
      <c r="E307"/>
      <c r="F307"/>
      <c r="G307"/>
      <c r="H307"/>
      <c r="I307"/>
      <c r="J307" s="58"/>
      <c r="K307" s="58"/>
      <c r="L307" s="58"/>
      <c r="M307"/>
      <c r="N307"/>
    </row>
    <row r="308" spans="1:14" ht="11.25" customHeight="1">
      <c r="A308"/>
      <c r="B308"/>
      <c r="C308"/>
      <c r="D308"/>
      <c r="E308"/>
      <c r="F308"/>
      <c r="G308"/>
      <c r="H308"/>
      <c r="I308"/>
      <c r="J308" s="58"/>
      <c r="K308" s="58"/>
      <c r="L308" s="58"/>
      <c r="M308"/>
      <c r="N308"/>
    </row>
    <row r="309" spans="1:14" ht="11.25" customHeight="1">
      <c r="A309"/>
      <c r="B309"/>
      <c r="C309"/>
      <c r="D309"/>
      <c r="E309"/>
      <c r="F309"/>
      <c r="G309"/>
      <c r="H309"/>
      <c r="I309"/>
      <c r="J309" s="58"/>
      <c r="K309" s="58"/>
      <c r="L309" s="58"/>
      <c r="M309"/>
      <c r="N309"/>
    </row>
    <row r="310" spans="1:14" ht="11.25" customHeight="1">
      <c r="A310"/>
      <c r="B310"/>
      <c r="C310"/>
      <c r="D310"/>
      <c r="E310"/>
      <c r="F310"/>
      <c r="G310"/>
      <c r="H310"/>
      <c r="I310"/>
      <c r="J310" s="58"/>
      <c r="K310" s="58"/>
      <c r="L310" s="58"/>
      <c r="M310"/>
      <c r="N310"/>
    </row>
    <row r="311" spans="1:14" ht="11.25" customHeight="1">
      <c r="A311"/>
      <c r="B311"/>
      <c r="C311"/>
      <c r="D311"/>
      <c r="E311"/>
      <c r="F311"/>
      <c r="G311"/>
      <c r="H311"/>
      <c r="I311"/>
      <c r="J311" s="58"/>
      <c r="K311" s="58"/>
      <c r="L311" s="58"/>
      <c r="M311"/>
      <c r="N311"/>
    </row>
    <row r="312" spans="1:14" ht="11.25" customHeight="1">
      <c r="A312"/>
      <c r="B312"/>
      <c r="C312"/>
      <c r="D312"/>
      <c r="E312"/>
      <c r="F312"/>
      <c r="G312"/>
      <c r="H312"/>
      <c r="I312"/>
      <c r="J312" s="58"/>
      <c r="K312" s="58"/>
      <c r="L312" s="58"/>
      <c r="M312"/>
      <c r="N312"/>
    </row>
    <row r="313" spans="1:14" ht="11.25" customHeight="1">
      <c r="A313"/>
      <c r="B313"/>
      <c r="C313"/>
      <c r="D313"/>
      <c r="E313"/>
      <c r="F313"/>
      <c r="G313"/>
      <c r="H313"/>
      <c r="I313"/>
      <c r="J313" s="58"/>
      <c r="K313" s="58"/>
      <c r="L313" s="58"/>
      <c r="M313"/>
      <c r="N313"/>
    </row>
    <row r="314" spans="1:14" ht="11.25" customHeight="1">
      <c r="A314"/>
      <c r="B314"/>
      <c r="C314"/>
      <c r="D314"/>
      <c r="E314"/>
      <c r="F314"/>
      <c r="G314"/>
      <c r="H314"/>
      <c r="I314"/>
      <c r="J314" s="58"/>
      <c r="K314" s="58"/>
      <c r="L314" s="58"/>
      <c r="M314"/>
      <c r="N314"/>
    </row>
    <row r="315" spans="1:14" ht="11.25" customHeight="1">
      <c r="A315"/>
      <c r="B315"/>
      <c r="C315"/>
      <c r="D315"/>
      <c r="E315"/>
      <c r="F315"/>
      <c r="G315"/>
      <c r="H315"/>
      <c r="I315"/>
      <c r="J315" s="58"/>
      <c r="K315" s="58"/>
      <c r="L315" s="58"/>
      <c r="M315"/>
      <c r="N315"/>
    </row>
    <row r="316" spans="1:14" ht="11.25" customHeight="1">
      <c r="A316"/>
      <c r="B316"/>
      <c r="C316"/>
      <c r="D316"/>
      <c r="E316"/>
      <c r="F316"/>
      <c r="G316"/>
      <c r="H316"/>
      <c r="I316"/>
      <c r="J316" s="58"/>
      <c r="K316" s="58"/>
      <c r="L316" s="58"/>
      <c r="M316"/>
      <c r="N316"/>
    </row>
    <row r="317" spans="1:14" ht="11.25" customHeight="1">
      <c r="A317"/>
      <c r="B317"/>
      <c r="C317"/>
      <c r="D317"/>
      <c r="E317"/>
      <c r="F317"/>
      <c r="G317"/>
      <c r="H317"/>
      <c r="I317"/>
      <c r="J317" s="58"/>
      <c r="K317" s="58"/>
      <c r="L317" s="58"/>
      <c r="M317"/>
      <c r="N317"/>
    </row>
    <row r="318" spans="1:14" ht="11.25" customHeight="1">
      <c r="A318"/>
      <c r="B318"/>
      <c r="C318"/>
      <c r="D318"/>
      <c r="E318"/>
      <c r="F318"/>
      <c r="G318"/>
      <c r="H318"/>
      <c r="I318"/>
      <c r="J318" s="58"/>
      <c r="K318" s="58"/>
      <c r="L318" s="58"/>
      <c r="M318"/>
      <c r="N318"/>
    </row>
    <row r="319" spans="1:14" ht="11.25" customHeight="1">
      <c r="A319"/>
      <c r="B319"/>
      <c r="C319"/>
      <c r="D319"/>
      <c r="E319"/>
      <c r="F319"/>
      <c r="G319"/>
      <c r="H319"/>
      <c r="I319"/>
      <c r="J319" s="58"/>
      <c r="K319" s="58"/>
      <c r="L319" s="58"/>
      <c r="M319"/>
      <c r="N319"/>
    </row>
    <row r="320" spans="1:14" ht="11.25" customHeight="1">
      <c r="A320"/>
      <c r="B320"/>
      <c r="C320"/>
      <c r="D320"/>
      <c r="E320"/>
      <c r="F320"/>
      <c r="G320"/>
      <c r="H320"/>
      <c r="I320"/>
      <c r="J320" s="58"/>
      <c r="K320" s="58"/>
      <c r="L320" s="58"/>
      <c r="M320"/>
      <c r="N320"/>
    </row>
    <row r="321" spans="1:14" ht="11.25" customHeight="1">
      <c r="A321"/>
      <c r="B321"/>
      <c r="C321"/>
      <c r="D321"/>
      <c r="E321"/>
      <c r="F321"/>
      <c r="G321"/>
      <c r="H321"/>
      <c r="I321"/>
      <c r="J321" s="58"/>
      <c r="K321" s="58"/>
      <c r="L321" s="58"/>
      <c r="M321"/>
      <c r="N321"/>
    </row>
    <row r="322" spans="1:14" ht="11.25" customHeight="1">
      <c r="A322"/>
      <c r="B322"/>
      <c r="C322"/>
      <c r="D322"/>
      <c r="E322"/>
      <c r="F322"/>
      <c r="G322"/>
      <c r="H322"/>
      <c r="I322"/>
      <c r="J322" s="58"/>
      <c r="K322" s="58"/>
      <c r="L322" s="58"/>
      <c r="M322"/>
      <c r="N322"/>
    </row>
    <row r="323" spans="1:14" ht="11.25" customHeight="1">
      <c r="A323"/>
      <c r="B323"/>
      <c r="C323"/>
      <c r="D323"/>
      <c r="E323"/>
      <c r="F323"/>
      <c r="G323"/>
      <c r="H323"/>
      <c r="I323"/>
      <c r="J323" s="58"/>
      <c r="K323" s="58"/>
      <c r="L323" s="58"/>
      <c r="M323"/>
      <c r="N323"/>
    </row>
    <row r="324" spans="1:14" ht="11.25" customHeight="1">
      <c r="A324"/>
      <c r="B324"/>
      <c r="C324"/>
      <c r="D324"/>
      <c r="E324"/>
      <c r="F324"/>
      <c r="G324"/>
      <c r="H324"/>
      <c r="I324"/>
      <c r="J324" s="58"/>
      <c r="K324" s="58"/>
      <c r="L324" s="58"/>
      <c r="M324"/>
      <c r="N324"/>
    </row>
    <row r="325" spans="1:14" ht="11.25" customHeight="1">
      <c r="A325"/>
      <c r="B325"/>
      <c r="C325"/>
      <c r="D325"/>
      <c r="E325"/>
      <c r="F325"/>
      <c r="G325"/>
      <c r="H325"/>
      <c r="I325"/>
      <c r="J325" s="58"/>
      <c r="K325" s="58"/>
      <c r="L325" s="58"/>
      <c r="M325"/>
      <c r="N325"/>
    </row>
    <row r="326" spans="1:14" ht="11.25" customHeight="1">
      <c r="A326"/>
      <c r="B326"/>
      <c r="C326"/>
      <c r="D326"/>
      <c r="E326"/>
      <c r="F326"/>
      <c r="G326"/>
      <c r="H326"/>
      <c r="I326"/>
      <c r="J326" s="58"/>
      <c r="K326" s="58"/>
      <c r="L326" s="58"/>
      <c r="M326"/>
      <c r="N326"/>
    </row>
    <row r="327" spans="1:14" ht="11.25" customHeight="1">
      <c r="A327"/>
      <c r="B327"/>
      <c r="C327"/>
      <c r="D327"/>
      <c r="E327"/>
      <c r="F327"/>
      <c r="G327"/>
      <c r="H327"/>
      <c r="I327"/>
      <c r="J327" s="58"/>
      <c r="K327" s="58"/>
      <c r="L327" s="58"/>
      <c r="M327"/>
      <c r="N327"/>
    </row>
    <row r="328" spans="1:14" ht="11.25" customHeight="1">
      <c r="A328"/>
      <c r="B328"/>
      <c r="C328"/>
      <c r="D328"/>
      <c r="E328"/>
      <c r="F328"/>
      <c r="G328"/>
      <c r="H328"/>
      <c r="I328"/>
      <c r="J328" s="58"/>
      <c r="K328" s="58"/>
      <c r="L328" s="58"/>
      <c r="M328"/>
      <c r="N328"/>
    </row>
    <row r="329" spans="1:14" ht="11.25" customHeight="1">
      <c r="A329"/>
      <c r="B329"/>
      <c r="C329"/>
      <c r="D329"/>
      <c r="E329"/>
      <c r="F329"/>
      <c r="G329"/>
      <c r="H329"/>
      <c r="I329"/>
      <c r="J329" s="58"/>
      <c r="K329" s="58"/>
      <c r="L329" s="58"/>
      <c r="M329"/>
      <c r="N329"/>
    </row>
    <row r="330" spans="1:14" ht="11.25" customHeight="1">
      <c r="A330"/>
      <c r="B330"/>
      <c r="C330"/>
      <c r="D330"/>
      <c r="E330"/>
      <c r="F330"/>
      <c r="G330"/>
      <c r="H330"/>
      <c r="I330"/>
      <c r="J330" s="58"/>
      <c r="K330" s="58"/>
      <c r="L330" s="58"/>
      <c r="M330"/>
      <c r="N330"/>
    </row>
    <row r="331" spans="1:14" ht="11.25" customHeight="1">
      <c r="A331"/>
      <c r="B331"/>
      <c r="C331"/>
      <c r="D331"/>
      <c r="E331"/>
      <c r="F331"/>
      <c r="G331"/>
      <c r="H331"/>
      <c r="I331"/>
      <c r="J331" s="58"/>
      <c r="K331" s="58"/>
      <c r="L331" s="58"/>
      <c r="M331"/>
      <c r="N331"/>
    </row>
    <row r="332" spans="1:14" ht="11.25" customHeight="1">
      <c r="A332"/>
      <c r="B332"/>
      <c r="C332"/>
      <c r="D332"/>
      <c r="E332"/>
      <c r="F332"/>
      <c r="G332"/>
      <c r="H332"/>
      <c r="I332"/>
      <c r="J332" s="58"/>
      <c r="K332" s="58"/>
      <c r="L332" s="58"/>
      <c r="M332"/>
      <c r="N332"/>
    </row>
    <row r="333" spans="1:14" ht="11.25" customHeight="1">
      <c r="A333"/>
      <c r="B333"/>
      <c r="C333"/>
      <c r="D333"/>
      <c r="E333"/>
      <c r="F333"/>
      <c r="G333"/>
      <c r="H333"/>
      <c r="I333"/>
      <c r="J333" s="58"/>
      <c r="K333" s="58"/>
      <c r="L333" s="58"/>
      <c r="M333"/>
      <c r="N333"/>
    </row>
    <row r="334" spans="1:14" ht="11.25" customHeight="1">
      <c r="A334"/>
      <c r="B334"/>
      <c r="C334"/>
      <c r="D334"/>
      <c r="E334"/>
      <c r="F334"/>
      <c r="G334"/>
      <c r="H334"/>
      <c r="I334"/>
      <c r="J334" s="58"/>
      <c r="K334" s="58"/>
      <c r="L334" s="58"/>
      <c r="M334"/>
      <c r="N334"/>
    </row>
    <row r="335" spans="1:14" ht="11.25" customHeight="1">
      <c r="A335"/>
      <c r="B335"/>
      <c r="C335"/>
      <c r="D335"/>
      <c r="E335"/>
      <c r="F335"/>
      <c r="G335"/>
      <c r="H335"/>
      <c r="I335"/>
      <c r="J335" s="58"/>
      <c r="K335" s="58"/>
      <c r="L335" s="58"/>
      <c r="M335"/>
      <c r="N335"/>
    </row>
    <row r="336" spans="1:14" ht="11.25" customHeight="1">
      <c r="A336"/>
      <c r="B336"/>
      <c r="C336"/>
      <c r="D336"/>
      <c r="E336"/>
      <c r="F336"/>
      <c r="G336"/>
      <c r="H336"/>
      <c r="I336"/>
      <c r="J336" s="58"/>
      <c r="K336" s="58"/>
      <c r="L336" s="58"/>
      <c r="M336"/>
      <c r="N336"/>
    </row>
    <row r="337" spans="1:14" ht="11.25" customHeight="1">
      <c r="A337"/>
      <c r="B337"/>
      <c r="C337"/>
      <c r="D337"/>
      <c r="E337"/>
      <c r="F337"/>
      <c r="G337"/>
      <c r="H337"/>
      <c r="I337"/>
      <c r="J337" s="58"/>
      <c r="K337" s="58"/>
      <c r="L337" s="58"/>
      <c r="M337"/>
      <c r="N337"/>
    </row>
    <row r="338" spans="1:14" ht="11.25" customHeight="1">
      <c r="A338"/>
      <c r="B338"/>
      <c r="C338"/>
      <c r="D338"/>
      <c r="E338"/>
      <c r="F338"/>
      <c r="G338"/>
      <c r="H338"/>
      <c r="I338"/>
      <c r="J338" s="58"/>
      <c r="K338" s="58"/>
      <c r="L338" s="58"/>
      <c r="M338"/>
      <c r="N338"/>
    </row>
    <row r="339" spans="1:14" ht="11.25" customHeight="1">
      <c r="A339"/>
      <c r="B339"/>
      <c r="C339"/>
      <c r="D339"/>
      <c r="E339"/>
      <c r="F339"/>
      <c r="G339"/>
      <c r="H339"/>
      <c r="I339"/>
      <c r="J339" s="58"/>
      <c r="K339" s="58"/>
      <c r="L339" s="58"/>
      <c r="M339"/>
      <c r="N339"/>
    </row>
    <row r="340" spans="1:14" ht="11.25" customHeight="1">
      <c r="A340"/>
      <c r="B340"/>
      <c r="C340"/>
      <c r="D340"/>
      <c r="E340"/>
      <c r="F340"/>
      <c r="G340"/>
      <c r="H340"/>
      <c r="I340"/>
      <c r="J340" s="58"/>
      <c r="K340" s="58"/>
      <c r="L340" s="58"/>
      <c r="M340"/>
      <c r="N340"/>
    </row>
    <row r="341" spans="1:14" ht="11.25" customHeight="1">
      <c r="A341"/>
      <c r="B341"/>
      <c r="C341"/>
      <c r="D341"/>
      <c r="E341"/>
      <c r="F341"/>
      <c r="G341"/>
      <c r="H341"/>
      <c r="I341"/>
      <c r="J341" s="58"/>
      <c r="K341" s="58"/>
      <c r="L341" s="58"/>
      <c r="M341"/>
      <c r="N341"/>
    </row>
    <row r="342" spans="1:14" ht="11.25" customHeight="1">
      <c r="A342"/>
      <c r="B342"/>
      <c r="C342"/>
      <c r="D342"/>
      <c r="E342"/>
      <c r="F342"/>
      <c r="G342"/>
      <c r="H342"/>
      <c r="I342"/>
      <c r="J342" s="58"/>
      <c r="K342" s="58"/>
      <c r="L342" s="58"/>
      <c r="M342"/>
      <c r="N342"/>
    </row>
    <row r="343" spans="1:14" ht="11.25" customHeight="1">
      <c r="A343"/>
      <c r="B343"/>
      <c r="C343"/>
      <c r="D343"/>
      <c r="E343"/>
      <c r="F343"/>
      <c r="G343"/>
      <c r="H343"/>
      <c r="I343"/>
      <c r="J343" s="58"/>
      <c r="K343" s="58"/>
      <c r="L343" s="58"/>
      <c r="M343"/>
      <c r="N343"/>
    </row>
    <row r="344" spans="1:14" ht="11.25" customHeight="1">
      <c r="A344"/>
      <c r="B344"/>
      <c r="C344"/>
      <c r="D344"/>
      <c r="E344"/>
      <c r="F344"/>
      <c r="G344"/>
      <c r="H344"/>
      <c r="I344"/>
      <c r="J344" s="58"/>
      <c r="K344" s="58"/>
      <c r="L344" s="58"/>
      <c r="M344"/>
      <c r="N344"/>
    </row>
    <row r="345" spans="1:14" ht="11.25" customHeight="1">
      <c r="A345"/>
      <c r="B345"/>
      <c r="C345"/>
      <c r="D345"/>
      <c r="E345"/>
      <c r="F345"/>
      <c r="G345"/>
      <c r="H345"/>
      <c r="I345"/>
      <c r="J345" s="58"/>
      <c r="K345" s="58"/>
      <c r="L345" s="58"/>
      <c r="M345"/>
      <c r="N345"/>
    </row>
    <row r="346" spans="1:14" ht="11.25" customHeight="1">
      <c r="A346"/>
      <c r="B346"/>
      <c r="C346"/>
      <c r="D346"/>
      <c r="E346"/>
      <c r="F346"/>
      <c r="G346"/>
      <c r="H346"/>
      <c r="I346"/>
      <c r="J346" s="58"/>
      <c r="K346" s="58"/>
      <c r="L346" s="58"/>
      <c r="M346"/>
      <c r="N346"/>
    </row>
    <row r="347" spans="1:14" ht="11.25" customHeight="1">
      <c r="A347"/>
      <c r="B347"/>
      <c r="C347"/>
      <c r="D347"/>
      <c r="E347"/>
      <c r="F347"/>
      <c r="G347"/>
      <c r="H347"/>
      <c r="I347"/>
      <c r="J347" s="58"/>
      <c r="K347" s="58"/>
      <c r="L347" s="58"/>
      <c r="M347"/>
      <c r="N347"/>
    </row>
    <row r="348" spans="1:14" ht="11.25" customHeight="1">
      <c r="A348"/>
      <c r="B348"/>
      <c r="C348"/>
      <c r="D348"/>
      <c r="E348"/>
      <c r="F348"/>
      <c r="G348"/>
      <c r="H348"/>
      <c r="I348"/>
      <c r="J348" s="58"/>
      <c r="K348" s="58"/>
      <c r="L348" s="58"/>
      <c r="M348"/>
      <c r="N348"/>
    </row>
    <row r="349" spans="1:14" ht="11.25" customHeight="1">
      <c r="A349"/>
      <c r="B349"/>
      <c r="C349"/>
      <c r="D349"/>
      <c r="E349"/>
      <c r="F349"/>
      <c r="G349"/>
      <c r="H349"/>
      <c r="I349"/>
      <c r="J349" s="58"/>
      <c r="K349" s="58"/>
      <c r="L349" s="58"/>
      <c r="M349"/>
      <c r="N349"/>
    </row>
    <row r="350" spans="1:14" ht="11.25" customHeight="1">
      <c r="A350"/>
      <c r="B350"/>
      <c r="C350"/>
      <c r="D350"/>
      <c r="E350"/>
      <c r="F350"/>
      <c r="G350"/>
      <c r="H350"/>
      <c r="I350"/>
      <c r="J350" s="58"/>
      <c r="K350" s="58"/>
      <c r="L350" s="58"/>
      <c r="M350"/>
      <c r="N350"/>
    </row>
    <row r="351" spans="1:14" ht="11.25" customHeight="1">
      <c r="A351"/>
      <c r="B351"/>
      <c r="C351"/>
      <c r="D351"/>
      <c r="E351"/>
      <c r="F351"/>
      <c r="G351"/>
      <c r="H351"/>
      <c r="I351"/>
      <c r="J351" s="58"/>
      <c r="K351" s="58"/>
      <c r="L351" s="58"/>
      <c r="M351"/>
      <c r="N351"/>
    </row>
    <row r="352" spans="1:14" ht="11.25" customHeight="1">
      <c r="A352"/>
      <c r="B352"/>
      <c r="C352"/>
      <c r="D352"/>
      <c r="E352"/>
      <c r="F352"/>
      <c r="G352"/>
      <c r="H352"/>
      <c r="I352"/>
      <c r="J352" s="58"/>
      <c r="K352" s="58"/>
      <c r="L352" s="58"/>
      <c r="M352"/>
      <c r="N352"/>
    </row>
    <row r="353" spans="1:14" ht="11.25" customHeight="1">
      <c r="A353"/>
      <c r="B353"/>
      <c r="C353"/>
      <c r="D353"/>
      <c r="E353"/>
      <c r="F353"/>
      <c r="G353"/>
      <c r="H353"/>
      <c r="I353"/>
      <c r="J353" s="58"/>
      <c r="K353" s="58"/>
      <c r="L353" s="58"/>
      <c r="M353"/>
      <c r="N353"/>
    </row>
    <row r="354" spans="1:14" ht="11.25" customHeight="1">
      <c r="A354"/>
      <c r="B354"/>
      <c r="C354"/>
      <c r="D354"/>
      <c r="E354"/>
      <c r="F354"/>
      <c r="G354"/>
      <c r="H354"/>
      <c r="I354"/>
      <c r="J354" s="58"/>
      <c r="K354" s="58"/>
      <c r="L354" s="58"/>
      <c r="M354"/>
      <c r="N354"/>
    </row>
    <row r="355" spans="1:14" ht="11.25" customHeight="1">
      <c r="A355"/>
      <c r="B355"/>
      <c r="C355"/>
      <c r="D355"/>
      <c r="E355"/>
      <c r="F355"/>
      <c r="G355"/>
      <c r="H355"/>
      <c r="I355"/>
      <c r="J355" s="58"/>
      <c r="K355" s="58"/>
      <c r="L355" s="58"/>
      <c r="M355"/>
      <c r="N355"/>
    </row>
    <row r="356" spans="1:14" ht="11.25" customHeight="1">
      <c r="A356"/>
      <c r="B356"/>
      <c r="C356"/>
      <c r="D356"/>
      <c r="E356"/>
      <c r="F356"/>
      <c r="G356"/>
      <c r="H356"/>
      <c r="I356"/>
      <c r="J356" s="58"/>
      <c r="K356" s="58"/>
      <c r="L356" s="58"/>
      <c r="M356"/>
      <c r="N356"/>
    </row>
    <row r="357" spans="1:14" ht="11.25" customHeight="1">
      <c r="A357"/>
      <c r="B357"/>
      <c r="C357"/>
      <c r="D357"/>
      <c r="E357"/>
      <c r="F357"/>
      <c r="G357"/>
      <c r="H357"/>
      <c r="I357"/>
      <c r="J357" s="58"/>
      <c r="K357" s="58"/>
      <c r="L357" s="58"/>
      <c r="M357"/>
      <c r="N357"/>
    </row>
    <row r="358" spans="1:14" ht="11.25" customHeight="1">
      <c r="A358"/>
      <c r="B358"/>
      <c r="C358"/>
      <c r="D358"/>
      <c r="E358"/>
      <c r="F358"/>
      <c r="G358"/>
      <c r="H358"/>
      <c r="I358"/>
      <c r="J358" s="58"/>
      <c r="K358" s="58"/>
      <c r="L358" s="58"/>
      <c r="M358"/>
      <c r="N358"/>
    </row>
    <row r="359" spans="1:14" ht="11.25" customHeight="1">
      <c r="A359"/>
      <c r="B359"/>
      <c r="C359"/>
      <c r="D359"/>
      <c r="E359"/>
      <c r="F359"/>
      <c r="G359"/>
      <c r="H359"/>
      <c r="I359"/>
      <c r="J359" s="58"/>
      <c r="K359" s="58"/>
      <c r="L359" s="58"/>
      <c r="M359"/>
      <c r="N359"/>
    </row>
    <row r="360" spans="1:14" ht="11.25" customHeight="1">
      <c r="A360"/>
      <c r="B360"/>
      <c r="C360"/>
      <c r="D360"/>
      <c r="E360"/>
      <c r="F360"/>
      <c r="G360"/>
      <c r="H360"/>
      <c r="I360"/>
      <c r="J360" s="58"/>
      <c r="K360" s="58"/>
      <c r="L360" s="58"/>
      <c r="M360"/>
      <c r="N360"/>
    </row>
    <row r="361" spans="1:14" ht="11.25" customHeight="1">
      <c r="A361"/>
      <c r="B361"/>
      <c r="C361"/>
      <c r="D361"/>
      <c r="E361"/>
      <c r="F361"/>
      <c r="G361"/>
      <c r="H361"/>
      <c r="I361"/>
      <c r="J361" s="58"/>
      <c r="K361" s="58"/>
      <c r="L361" s="58"/>
      <c r="M361"/>
      <c r="N361"/>
    </row>
    <row r="362" spans="1:14" ht="11.25" customHeight="1">
      <c r="A362"/>
      <c r="B362"/>
      <c r="C362"/>
      <c r="D362"/>
      <c r="E362"/>
      <c r="F362"/>
      <c r="G362"/>
      <c r="H362"/>
      <c r="I362"/>
      <c r="J362" s="58"/>
      <c r="K362" s="58"/>
      <c r="L362" s="58"/>
      <c r="M362"/>
      <c r="N362"/>
    </row>
    <row r="363" spans="1:14" ht="11.25" customHeight="1">
      <c r="A363"/>
      <c r="B363"/>
      <c r="C363"/>
      <c r="D363"/>
      <c r="E363"/>
      <c r="F363"/>
      <c r="G363"/>
      <c r="H363"/>
      <c r="I363"/>
      <c r="J363" s="58"/>
      <c r="K363" s="58"/>
      <c r="L363" s="58"/>
      <c r="M363"/>
      <c r="N363"/>
    </row>
    <row r="364" spans="1:14" ht="11.25" customHeight="1">
      <c r="A364"/>
      <c r="B364"/>
      <c r="C364"/>
      <c r="D364"/>
      <c r="E364"/>
      <c r="F364"/>
      <c r="G364"/>
      <c r="H364"/>
      <c r="I364"/>
      <c r="J364" s="58"/>
      <c r="K364" s="58"/>
      <c r="L364" s="58"/>
      <c r="M364"/>
      <c r="N364"/>
    </row>
    <row r="365" spans="1:14" ht="11.25" customHeight="1">
      <c r="A365"/>
      <c r="B365"/>
      <c r="C365"/>
      <c r="D365"/>
      <c r="E365"/>
      <c r="F365"/>
      <c r="G365"/>
      <c r="H365"/>
      <c r="I365"/>
      <c r="J365" s="58"/>
      <c r="K365" s="58"/>
      <c r="L365" s="58"/>
      <c r="M365"/>
      <c r="N365"/>
    </row>
    <row r="366" spans="1:14" ht="11.25" customHeight="1">
      <c r="A366"/>
      <c r="B366"/>
      <c r="C366"/>
      <c r="D366"/>
      <c r="E366"/>
      <c r="F366"/>
      <c r="G366"/>
      <c r="H366"/>
      <c r="I366"/>
      <c r="J366" s="58"/>
      <c r="K366" s="58"/>
      <c r="L366" s="58"/>
      <c r="M366"/>
      <c r="N366"/>
    </row>
    <row r="367" spans="1:14" ht="11.25" customHeight="1">
      <c r="A367"/>
      <c r="B367"/>
      <c r="C367"/>
      <c r="D367"/>
      <c r="E367"/>
      <c r="F367"/>
      <c r="G367"/>
      <c r="H367"/>
      <c r="I367"/>
      <c r="J367" s="58"/>
      <c r="K367" s="58"/>
      <c r="L367" s="58"/>
      <c r="M367"/>
      <c r="N367"/>
    </row>
    <row r="368" spans="1:14" ht="11.25" customHeight="1">
      <c r="A368"/>
      <c r="B368"/>
      <c r="C368"/>
      <c r="D368"/>
      <c r="E368"/>
      <c r="F368"/>
      <c r="G368"/>
      <c r="H368"/>
      <c r="I368"/>
      <c r="J368" s="58"/>
      <c r="K368" s="58"/>
      <c r="L368" s="58"/>
      <c r="M368"/>
      <c r="N368"/>
    </row>
    <row r="369" spans="1:14" ht="11.25" customHeight="1">
      <c r="A369"/>
      <c r="B369"/>
      <c r="C369"/>
      <c r="D369"/>
      <c r="E369"/>
      <c r="F369"/>
      <c r="G369"/>
      <c r="H369"/>
      <c r="I369"/>
      <c r="J369" s="58"/>
      <c r="K369" s="58"/>
      <c r="L369" s="58"/>
      <c r="M369"/>
      <c r="N369"/>
    </row>
    <row r="370" spans="1:14" ht="11.25" customHeight="1">
      <c r="A370"/>
      <c r="B370"/>
      <c r="C370"/>
      <c r="D370"/>
      <c r="E370"/>
      <c r="F370"/>
      <c r="G370"/>
      <c r="H370"/>
      <c r="I370"/>
      <c r="J370" s="58"/>
      <c r="K370" s="58"/>
      <c r="L370" s="58"/>
      <c r="M370"/>
      <c r="N370"/>
    </row>
    <row r="371" spans="1:14" ht="11.25" customHeight="1">
      <c r="A371"/>
      <c r="B371"/>
      <c r="C371"/>
      <c r="D371"/>
      <c r="E371"/>
      <c r="F371"/>
      <c r="G371"/>
      <c r="H371"/>
      <c r="I371"/>
      <c r="J371" s="58"/>
      <c r="K371" s="58"/>
      <c r="L371" s="58"/>
      <c r="M371"/>
      <c r="N371"/>
    </row>
    <row r="372" spans="1:14" ht="11.25" customHeight="1">
      <c r="A372"/>
      <c r="B372"/>
      <c r="C372"/>
      <c r="D372"/>
      <c r="E372"/>
      <c r="F372"/>
      <c r="G372"/>
      <c r="H372"/>
      <c r="I372"/>
      <c r="J372" s="58"/>
      <c r="K372" s="58"/>
      <c r="L372" s="58"/>
      <c r="M372"/>
      <c r="N372"/>
    </row>
    <row r="373" spans="1:14" ht="11.25" customHeight="1">
      <c r="A373"/>
      <c r="B373"/>
      <c r="C373"/>
      <c r="D373"/>
      <c r="E373"/>
      <c r="F373"/>
      <c r="G373"/>
      <c r="H373"/>
      <c r="I373"/>
      <c r="J373" s="58"/>
      <c r="K373" s="58"/>
      <c r="L373" s="58"/>
      <c r="M373"/>
      <c r="N373"/>
    </row>
    <row r="374" spans="1:14" ht="11.25" customHeight="1">
      <c r="A374"/>
      <c r="B374"/>
      <c r="C374"/>
      <c r="D374"/>
      <c r="E374"/>
      <c r="F374"/>
      <c r="G374"/>
      <c r="H374"/>
      <c r="I374"/>
      <c r="J374" s="58"/>
      <c r="K374" s="58"/>
      <c r="L374" s="58"/>
      <c r="M374"/>
      <c r="N374"/>
    </row>
    <row r="375" spans="1:14" ht="11.25" customHeight="1">
      <c r="A375"/>
      <c r="B375"/>
      <c r="C375"/>
      <c r="D375"/>
      <c r="E375"/>
      <c r="F375"/>
      <c r="G375"/>
      <c r="H375"/>
      <c r="I375"/>
      <c r="J375" s="58"/>
      <c r="K375" s="58"/>
      <c r="L375" s="58"/>
      <c r="M375"/>
      <c r="N375"/>
    </row>
    <row r="376" spans="1:14" ht="11.25" customHeight="1">
      <c r="A376"/>
      <c r="B376"/>
      <c r="C376"/>
      <c r="D376"/>
      <c r="E376"/>
      <c r="F376"/>
      <c r="G376"/>
      <c r="H376"/>
      <c r="I376"/>
      <c r="J376" s="58"/>
      <c r="K376" s="58"/>
      <c r="L376" s="58"/>
      <c r="M376"/>
      <c r="N376"/>
    </row>
    <row r="377" spans="1:14" ht="11.25" customHeight="1">
      <c r="A377"/>
      <c r="B377"/>
      <c r="C377"/>
      <c r="D377"/>
      <c r="E377"/>
      <c r="F377"/>
      <c r="G377"/>
      <c r="H377"/>
      <c r="I377"/>
      <c r="J377" s="58"/>
      <c r="K377" s="58"/>
      <c r="L377" s="58"/>
      <c r="M377"/>
      <c r="N377"/>
    </row>
    <row r="378" spans="1:14" ht="11.25" customHeight="1">
      <c r="A378"/>
      <c r="B378"/>
      <c r="C378"/>
      <c r="D378"/>
      <c r="E378"/>
      <c r="F378"/>
      <c r="G378"/>
      <c r="H378"/>
      <c r="I378"/>
      <c r="J378" s="58"/>
      <c r="K378" s="58"/>
      <c r="L378" s="58"/>
      <c r="M378"/>
      <c r="N378"/>
    </row>
    <row r="379" spans="1:14" ht="11.25" customHeight="1">
      <c r="A379"/>
      <c r="B379"/>
      <c r="C379"/>
      <c r="D379"/>
      <c r="E379"/>
      <c r="F379"/>
      <c r="G379"/>
      <c r="H379"/>
      <c r="I379"/>
      <c r="J379" s="58"/>
      <c r="K379" s="58"/>
      <c r="L379" s="58"/>
      <c r="M379"/>
      <c r="N379"/>
    </row>
    <row r="380" spans="1:14" ht="11.25" customHeight="1">
      <c r="A380"/>
      <c r="B380"/>
      <c r="C380"/>
      <c r="D380"/>
      <c r="E380"/>
      <c r="F380"/>
      <c r="G380"/>
      <c r="H380"/>
      <c r="I380"/>
      <c r="J380" s="58"/>
      <c r="K380" s="58"/>
      <c r="L380" s="58"/>
      <c r="M380"/>
      <c r="N380"/>
    </row>
    <row r="381" spans="1:14" ht="11.25" customHeight="1">
      <c r="A381"/>
      <c r="B381"/>
      <c r="C381"/>
      <c r="D381"/>
      <c r="E381"/>
      <c r="F381"/>
      <c r="G381"/>
      <c r="H381"/>
      <c r="I381"/>
      <c r="J381" s="58"/>
      <c r="K381" s="58"/>
      <c r="L381" s="58"/>
      <c r="M381"/>
      <c r="N381"/>
    </row>
    <row r="382" spans="1:14" ht="11.25" customHeight="1">
      <c r="A382"/>
      <c r="B382"/>
      <c r="C382"/>
      <c r="D382"/>
      <c r="E382"/>
      <c r="F382"/>
      <c r="G382"/>
      <c r="H382"/>
      <c r="I382"/>
      <c r="J382" s="58"/>
      <c r="K382" s="58"/>
      <c r="L382" s="58"/>
      <c r="M382"/>
      <c r="N382"/>
    </row>
    <row r="383" spans="1:14" ht="11.25" customHeight="1">
      <c r="A383"/>
      <c r="B383"/>
      <c r="C383"/>
      <c r="D383"/>
      <c r="E383"/>
      <c r="F383"/>
      <c r="G383"/>
      <c r="H383"/>
      <c r="I383"/>
      <c r="J383" s="58"/>
      <c r="K383" s="58"/>
      <c r="L383" s="58"/>
      <c r="M383"/>
      <c r="N383"/>
    </row>
    <row r="384" spans="1:14" ht="11.25" customHeight="1">
      <c r="A384"/>
      <c r="B384"/>
      <c r="C384"/>
      <c r="D384"/>
      <c r="E384"/>
      <c r="F384"/>
      <c r="G384"/>
      <c r="H384"/>
      <c r="I384"/>
      <c r="J384" s="58"/>
      <c r="K384" s="58"/>
      <c r="L384" s="58"/>
      <c r="M384"/>
      <c r="N384"/>
    </row>
    <row r="385" spans="1:14" ht="11.25" customHeight="1">
      <c r="A385"/>
      <c r="B385"/>
      <c r="C385"/>
      <c r="D385"/>
      <c r="E385"/>
      <c r="F385"/>
      <c r="G385"/>
      <c r="H385"/>
      <c r="I385"/>
      <c r="J385" s="58"/>
      <c r="K385" s="58"/>
      <c r="L385" s="58"/>
      <c r="M385"/>
      <c r="N385"/>
    </row>
    <row r="386" spans="1:14" ht="11.25" customHeight="1">
      <c r="A386"/>
      <c r="B386"/>
      <c r="C386"/>
      <c r="D386"/>
      <c r="E386"/>
      <c r="F386"/>
      <c r="G386"/>
      <c r="H386"/>
      <c r="I386"/>
      <c r="J386" s="58"/>
      <c r="K386" s="58"/>
      <c r="L386" s="58"/>
      <c r="M386"/>
      <c r="N386"/>
    </row>
    <row r="387" spans="1:14" ht="11.25" customHeight="1">
      <c r="A387"/>
      <c r="B387"/>
      <c r="C387"/>
      <c r="D387"/>
      <c r="E387"/>
      <c r="F387"/>
      <c r="G387"/>
      <c r="H387"/>
      <c r="I387"/>
      <c r="J387" s="58"/>
      <c r="K387" s="58"/>
      <c r="L387" s="58"/>
      <c r="M387"/>
      <c r="N387"/>
    </row>
    <row r="388" spans="1:14" ht="11.25" customHeight="1">
      <c r="A388"/>
      <c r="B388"/>
      <c r="C388"/>
      <c r="D388"/>
      <c r="E388"/>
      <c r="F388"/>
      <c r="G388"/>
      <c r="H388"/>
      <c r="I388"/>
      <c r="J388" s="58"/>
      <c r="K388" s="58"/>
      <c r="L388" s="58"/>
      <c r="M388"/>
      <c r="N388"/>
    </row>
    <row r="389" spans="1:14" ht="11.25" customHeight="1">
      <c r="A389"/>
      <c r="B389"/>
      <c r="C389"/>
      <c r="D389"/>
      <c r="E389"/>
      <c r="F389"/>
      <c r="G389"/>
      <c r="H389"/>
      <c r="I389"/>
      <c r="J389" s="58"/>
      <c r="K389" s="58"/>
      <c r="L389" s="58"/>
      <c r="M389"/>
      <c r="N389"/>
    </row>
    <row r="390" spans="1:14" ht="11.25" customHeight="1">
      <c r="A390"/>
      <c r="B390"/>
      <c r="C390"/>
      <c r="D390"/>
      <c r="E390"/>
      <c r="F390"/>
      <c r="G390"/>
      <c r="H390"/>
      <c r="I390"/>
      <c r="J390" s="58"/>
      <c r="K390" s="58"/>
      <c r="L390" s="58"/>
      <c r="M390"/>
      <c r="N390"/>
    </row>
    <row r="391" spans="1:14" ht="11.25" customHeight="1">
      <c r="A391"/>
      <c r="B391"/>
      <c r="C391"/>
      <c r="D391"/>
      <c r="E391"/>
      <c r="F391"/>
      <c r="G391"/>
      <c r="H391"/>
      <c r="I391"/>
      <c r="J391" s="58"/>
      <c r="K391" s="58"/>
      <c r="L391" s="58"/>
      <c r="M391"/>
      <c r="N391"/>
    </row>
    <row r="392" spans="1:14" ht="11.25" customHeight="1">
      <c r="A392"/>
      <c r="B392"/>
      <c r="C392"/>
      <c r="D392"/>
      <c r="E392"/>
      <c r="F392"/>
      <c r="G392"/>
      <c r="H392"/>
      <c r="I392"/>
      <c r="J392" s="58"/>
      <c r="K392" s="58"/>
      <c r="L392" s="58"/>
      <c r="M392"/>
      <c r="N392"/>
    </row>
    <row r="393" spans="1:14" ht="11.25" customHeight="1">
      <c r="A393"/>
      <c r="B393"/>
      <c r="C393"/>
      <c r="D393"/>
      <c r="E393"/>
      <c r="F393"/>
      <c r="G393"/>
      <c r="H393"/>
      <c r="I393"/>
      <c r="J393" s="58"/>
      <c r="K393" s="58"/>
      <c r="L393" s="58"/>
      <c r="M393"/>
      <c r="N393"/>
    </row>
    <row r="394" spans="1:14" ht="11.25" customHeight="1">
      <c r="A394"/>
      <c r="B394"/>
      <c r="C394"/>
      <c r="D394"/>
      <c r="E394"/>
      <c r="F394"/>
      <c r="G394"/>
      <c r="H394"/>
      <c r="I394"/>
      <c r="J394" s="58"/>
      <c r="K394" s="58"/>
      <c r="L394" s="58"/>
      <c r="M394"/>
      <c r="N394"/>
    </row>
    <row r="395" spans="1:14" ht="11.25" customHeight="1">
      <c r="A395"/>
      <c r="B395"/>
      <c r="C395"/>
      <c r="D395"/>
      <c r="E395"/>
      <c r="F395"/>
      <c r="G395"/>
      <c r="H395"/>
      <c r="I395"/>
      <c r="J395" s="58"/>
      <c r="K395" s="58"/>
      <c r="L395" s="58"/>
      <c r="M395"/>
      <c r="N395"/>
    </row>
    <row r="396" spans="1:14" ht="11.25" customHeight="1">
      <c r="A396"/>
      <c r="B396"/>
      <c r="C396"/>
      <c r="D396"/>
      <c r="E396"/>
      <c r="F396"/>
      <c r="G396"/>
      <c r="H396"/>
      <c r="I396"/>
      <c r="J396" s="58"/>
      <c r="K396" s="58"/>
      <c r="L396" s="58"/>
      <c r="M396"/>
      <c r="N396"/>
    </row>
    <row r="397" spans="1:14" ht="11.25" customHeight="1">
      <c r="A397"/>
      <c r="B397"/>
      <c r="C397"/>
      <c r="D397"/>
      <c r="E397"/>
      <c r="F397"/>
      <c r="G397"/>
      <c r="H397"/>
      <c r="I397"/>
      <c r="J397" s="58"/>
      <c r="K397" s="58"/>
      <c r="L397" s="58"/>
      <c r="M397"/>
      <c r="N397"/>
    </row>
    <row r="398" spans="1:14" ht="11.25" customHeight="1">
      <c r="A398"/>
      <c r="B398"/>
      <c r="C398"/>
      <c r="D398"/>
      <c r="E398"/>
      <c r="F398"/>
      <c r="G398"/>
      <c r="H398"/>
      <c r="I398"/>
      <c r="J398" s="58"/>
      <c r="K398" s="58"/>
      <c r="L398" s="58"/>
      <c r="M398"/>
      <c r="N398"/>
    </row>
    <row r="399" spans="1:14" ht="11.25" customHeight="1">
      <c r="A399"/>
      <c r="B399"/>
      <c r="C399"/>
      <c r="D399"/>
      <c r="E399"/>
      <c r="F399"/>
      <c r="G399"/>
      <c r="H399"/>
      <c r="I399"/>
      <c r="J399" s="58"/>
      <c r="K399" s="58"/>
      <c r="L399" s="58"/>
      <c r="M399"/>
      <c r="N399"/>
    </row>
    <row r="400" spans="1:14" ht="11.25" customHeight="1">
      <c r="A400"/>
      <c r="B400"/>
      <c r="C400"/>
      <c r="D400"/>
      <c r="E400"/>
      <c r="F400"/>
      <c r="G400"/>
      <c r="H400"/>
      <c r="I400"/>
      <c r="J400" s="58"/>
      <c r="K400" s="58"/>
      <c r="L400" s="58"/>
      <c r="M400"/>
      <c r="N400"/>
    </row>
    <row r="401" spans="1:14" ht="11.25" customHeight="1">
      <c r="A401"/>
      <c r="B401"/>
      <c r="C401"/>
      <c r="D401"/>
      <c r="E401"/>
      <c r="F401"/>
      <c r="G401"/>
      <c r="H401"/>
      <c r="I401"/>
      <c r="J401" s="58"/>
      <c r="K401" s="58"/>
      <c r="L401" s="58"/>
      <c r="M401"/>
      <c r="N401"/>
    </row>
    <row r="402" spans="1:14" ht="11.25" customHeight="1">
      <c r="A402"/>
      <c r="B402"/>
      <c r="C402"/>
      <c r="D402"/>
      <c r="E402"/>
      <c r="F402"/>
      <c r="G402"/>
      <c r="H402"/>
      <c r="I402"/>
      <c r="J402" s="58"/>
      <c r="K402" s="58"/>
      <c r="L402" s="58"/>
      <c r="M402"/>
      <c r="N402"/>
    </row>
    <row r="403" spans="1:14" ht="11.25" customHeight="1">
      <c r="A403"/>
      <c r="B403"/>
      <c r="C403"/>
      <c r="D403"/>
      <c r="E403"/>
      <c r="F403"/>
      <c r="G403"/>
      <c r="H403"/>
      <c r="I403"/>
      <c r="J403" s="58"/>
      <c r="K403" s="58"/>
      <c r="L403" s="58"/>
      <c r="M403"/>
      <c r="N403"/>
    </row>
    <row r="404" spans="1:14" ht="11.25" customHeight="1">
      <c r="A404"/>
      <c r="B404"/>
      <c r="C404"/>
      <c r="D404"/>
      <c r="E404"/>
      <c r="F404"/>
      <c r="G404"/>
      <c r="H404"/>
      <c r="I404"/>
      <c r="J404" s="58"/>
      <c r="K404" s="58"/>
      <c r="L404" s="58"/>
      <c r="M404"/>
      <c r="N404"/>
    </row>
    <row r="405" spans="1:14" ht="11.25" customHeight="1">
      <c r="A405"/>
      <c r="B405"/>
      <c r="C405"/>
      <c r="D405"/>
      <c r="E405"/>
      <c r="F405"/>
      <c r="G405"/>
      <c r="H405"/>
      <c r="I405"/>
      <c r="J405" s="58"/>
      <c r="K405" s="58"/>
      <c r="L405" s="58"/>
      <c r="M405"/>
      <c r="N405"/>
    </row>
    <row r="406" spans="1:14" ht="11.25" customHeight="1">
      <c r="A406"/>
      <c r="B406"/>
      <c r="C406"/>
      <c r="D406"/>
      <c r="E406"/>
      <c r="F406"/>
      <c r="G406"/>
      <c r="H406"/>
      <c r="I406"/>
      <c r="J406" s="58"/>
      <c r="K406" s="58"/>
      <c r="L406" s="58"/>
      <c r="M406"/>
      <c r="N406"/>
    </row>
    <row r="407" spans="1:14" ht="11.25" customHeight="1">
      <c r="A407"/>
      <c r="B407"/>
      <c r="C407"/>
      <c r="D407"/>
      <c r="E407"/>
      <c r="F407"/>
      <c r="G407"/>
      <c r="H407"/>
      <c r="I407"/>
      <c r="J407" s="58"/>
      <c r="K407" s="58"/>
      <c r="L407" s="58"/>
      <c r="M407"/>
      <c r="N407"/>
    </row>
    <row r="408" spans="1:14" ht="11.25" customHeight="1">
      <c r="A408"/>
      <c r="B408"/>
      <c r="C408"/>
      <c r="D408"/>
      <c r="E408"/>
      <c r="F408"/>
      <c r="G408"/>
      <c r="H408"/>
      <c r="I408"/>
      <c r="J408" s="58"/>
      <c r="K408" s="58"/>
      <c r="L408" s="58"/>
      <c r="M408"/>
      <c r="N408"/>
    </row>
    <row r="409" spans="1:14" ht="11.25" customHeight="1">
      <c r="A409"/>
      <c r="B409"/>
      <c r="C409"/>
      <c r="D409"/>
      <c r="E409"/>
      <c r="F409"/>
      <c r="G409"/>
      <c r="H409"/>
      <c r="I409"/>
      <c r="J409" s="58"/>
      <c r="K409" s="58"/>
      <c r="L409" s="58"/>
      <c r="M409"/>
      <c r="N409"/>
    </row>
    <row r="410" spans="1:14" ht="11.25" customHeight="1">
      <c r="A410"/>
      <c r="B410"/>
      <c r="C410"/>
      <c r="D410"/>
      <c r="E410"/>
      <c r="F410"/>
      <c r="G410"/>
      <c r="H410"/>
      <c r="I410"/>
      <c r="J410" s="58"/>
      <c r="K410" s="58"/>
      <c r="L410" s="58"/>
      <c r="M410"/>
      <c r="N410"/>
    </row>
    <row r="411" spans="1:14" ht="11.25" customHeight="1">
      <c r="A411"/>
      <c r="B411"/>
      <c r="C411"/>
      <c r="D411"/>
      <c r="E411"/>
      <c r="F411"/>
      <c r="G411"/>
      <c r="H411"/>
      <c r="I411"/>
      <c r="J411" s="58"/>
      <c r="K411" s="58"/>
      <c r="L411" s="58"/>
      <c r="M411"/>
      <c r="N411"/>
    </row>
    <row r="412" spans="1:14" ht="11.25" customHeight="1">
      <c r="A412"/>
      <c r="B412"/>
      <c r="C412"/>
      <c r="D412"/>
      <c r="E412"/>
      <c r="F412"/>
      <c r="G412"/>
      <c r="H412"/>
      <c r="I412"/>
      <c r="J412" s="58"/>
      <c r="K412" s="58"/>
      <c r="L412" s="58"/>
      <c r="M412"/>
      <c r="N412"/>
    </row>
    <row r="413" spans="1:14" ht="11.25" customHeight="1">
      <c r="A413"/>
      <c r="B413"/>
      <c r="C413"/>
      <c r="D413"/>
      <c r="E413"/>
      <c r="F413"/>
      <c r="G413"/>
      <c r="H413"/>
      <c r="I413"/>
      <c r="J413" s="58"/>
      <c r="K413" s="58"/>
      <c r="L413" s="58"/>
      <c r="M413"/>
      <c r="N413"/>
    </row>
    <row r="414" spans="1:14" ht="11.25" customHeight="1">
      <c r="A414"/>
      <c r="B414"/>
      <c r="C414"/>
      <c r="D414"/>
      <c r="E414"/>
      <c r="F414"/>
      <c r="G414"/>
      <c r="H414"/>
      <c r="I414"/>
      <c r="J414" s="58"/>
      <c r="K414" s="58"/>
      <c r="L414" s="58"/>
      <c r="M414"/>
      <c r="N414"/>
    </row>
    <row r="415" spans="1:14" ht="11.25" customHeight="1">
      <c r="A415"/>
      <c r="B415"/>
      <c r="C415"/>
      <c r="D415"/>
      <c r="E415"/>
      <c r="F415"/>
      <c r="G415"/>
      <c r="H415"/>
      <c r="I415"/>
      <c r="J415" s="58"/>
      <c r="K415" s="58"/>
      <c r="L415" s="58"/>
      <c r="M415"/>
      <c r="N415"/>
    </row>
    <row r="416" spans="1:14" ht="11.25" customHeight="1">
      <c r="A416"/>
      <c r="B416"/>
      <c r="C416"/>
      <c r="D416"/>
      <c r="E416"/>
      <c r="F416"/>
      <c r="G416"/>
      <c r="H416"/>
      <c r="I416"/>
      <c r="J416" s="58"/>
      <c r="K416" s="58"/>
      <c r="L416" s="58"/>
      <c r="M416"/>
      <c r="N416"/>
    </row>
    <row r="417" spans="1:14" ht="11.25" customHeight="1">
      <c r="A417"/>
      <c r="B417"/>
      <c r="C417"/>
      <c r="D417"/>
      <c r="E417"/>
      <c r="F417"/>
      <c r="G417"/>
      <c r="H417"/>
      <c r="I417"/>
      <c r="J417" s="58"/>
      <c r="K417" s="58"/>
      <c r="L417" s="58"/>
      <c r="M417"/>
      <c r="N417"/>
    </row>
    <row r="418" spans="1:14" ht="11.25" customHeight="1">
      <c r="A418"/>
      <c r="B418"/>
      <c r="C418"/>
      <c r="D418"/>
      <c r="E418"/>
      <c r="F418"/>
      <c r="G418"/>
      <c r="H418"/>
      <c r="I418"/>
      <c r="J418" s="58"/>
      <c r="K418" s="58"/>
      <c r="L418" s="58"/>
      <c r="M418"/>
      <c r="N418"/>
    </row>
    <row r="419" spans="1:14" ht="11.25" customHeight="1">
      <c r="A419"/>
      <c r="B419"/>
      <c r="C419"/>
      <c r="D419"/>
      <c r="E419"/>
      <c r="F419"/>
      <c r="G419"/>
      <c r="H419"/>
      <c r="I419"/>
      <c r="J419" s="58"/>
      <c r="K419" s="58"/>
      <c r="L419" s="58"/>
      <c r="M419"/>
      <c r="N419"/>
    </row>
    <row r="420" spans="1:14" ht="11.25" customHeight="1">
      <c r="A420"/>
      <c r="B420"/>
      <c r="C420"/>
      <c r="D420"/>
      <c r="E420"/>
      <c r="F420"/>
      <c r="G420"/>
      <c r="H420"/>
      <c r="I420"/>
      <c r="J420" s="58"/>
      <c r="K420" s="58"/>
      <c r="L420" s="58"/>
      <c r="M420"/>
      <c r="N420"/>
    </row>
    <row r="421" spans="1:14" ht="11.25" customHeight="1">
      <c r="A421"/>
      <c r="B421"/>
      <c r="C421"/>
      <c r="D421"/>
      <c r="E421"/>
      <c r="F421"/>
      <c r="G421"/>
      <c r="H421"/>
      <c r="I421"/>
      <c r="J421" s="58"/>
      <c r="K421" s="58"/>
      <c r="L421" s="58"/>
      <c r="M421"/>
      <c r="N421"/>
    </row>
    <row r="422" spans="1:14" ht="11.25" customHeight="1">
      <c r="A422"/>
      <c r="B422"/>
      <c r="C422"/>
      <c r="D422"/>
      <c r="E422"/>
      <c r="F422"/>
      <c r="G422"/>
      <c r="H422"/>
      <c r="I422"/>
      <c r="J422" s="58"/>
      <c r="K422" s="58"/>
      <c r="L422" s="58"/>
      <c r="M422"/>
      <c r="N422"/>
    </row>
    <row r="423" spans="1:14" ht="11.25" customHeight="1">
      <c r="A423"/>
      <c r="B423"/>
      <c r="C423"/>
      <c r="D423"/>
      <c r="E423"/>
      <c r="F423"/>
      <c r="G423"/>
      <c r="H423"/>
      <c r="I423"/>
      <c r="J423" s="58"/>
      <c r="K423" s="58"/>
      <c r="L423" s="58"/>
      <c r="M423"/>
      <c r="N423"/>
    </row>
    <row r="424" spans="1:14" ht="11.25" customHeight="1">
      <c r="A424"/>
      <c r="B424"/>
      <c r="C424"/>
      <c r="D424"/>
      <c r="E424"/>
      <c r="F424"/>
      <c r="G424"/>
      <c r="H424"/>
      <c r="I424"/>
      <c r="J424" s="58"/>
      <c r="K424" s="58"/>
      <c r="L424" s="58"/>
      <c r="M424"/>
      <c r="N424"/>
    </row>
    <row r="425" spans="1:14" ht="11.25" customHeight="1">
      <c r="A425"/>
      <c r="B425"/>
      <c r="C425"/>
      <c r="D425"/>
      <c r="E425"/>
      <c r="F425"/>
      <c r="G425"/>
      <c r="H425"/>
      <c r="I425"/>
      <c r="J425" s="58"/>
      <c r="K425" s="58"/>
      <c r="L425" s="58"/>
      <c r="M425"/>
      <c r="N425"/>
    </row>
    <row r="426" spans="1:14" ht="11.25" customHeight="1">
      <c r="A426"/>
      <c r="B426"/>
      <c r="C426"/>
      <c r="D426"/>
      <c r="E426"/>
      <c r="F426"/>
      <c r="G426"/>
      <c r="H426"/>
      <c r="I426"/>
      <c r="J426" s="58"/>
      <c r="K426" s="58"/>
      <c r="L426" s="58"/>
      <c r="M426"/>
      <c r="N426"/>
    </row>
    <row r="427" spans="1:14" ht="11.25" customHeight="1">
      <c r="A427"/>
      <c r="B427"/>
      <c r="C427"/>
      <c r="D427"/>
      <c r="E427"/>
      <c r="F427"/>
      <c r="G427"/>
      <c r="H427"/>
      <c r="I427"/>
      <c r="J427" s="58"/>
      <c r="K427" s="58"/>
      <c r="L427" s="58"/>
      <c r="M427"/>
      <c r="N427"/>
    </row>
    <row r="428" spans="1:14" ht="11.25" customHeight="1">
      <c r="A428"/>
      <c r="B428"/>
      <c r="C428"/>
      <c r="D428"/>
      <c r="E428"/>
      <c r="F428"/>
      <c r="G428"/>
      <c r="H428"/>
      <c r="I428"/>
      <c r="J428" s="58"/>
      <c r="K428" s="58"/>
      <c r="L428" s="58"/>
      <c r="M428"/>
      <c r="N428"/>
    </row>
    <row r="429" spans="1:14" ht="11.25" customHeight="1">
      <c r="A429"/>
      <c r="B429"/>
      <c r="C429"/>
      <c r="D429"/>
      <c r="E429"/>
      <c r="F429"/>
      <c r="G429"/>
      <c r="H429"/>
      <c r="I429"/>
      <c r="J429" s="58"/>
      <c r="K429" s="58"/>
      <c r="L429" s="58"/>
      <c r="M429"/>
      <c r="N429"/>
    </row>
    <row r="430" spans="1:14" ht="11.25" customHeight="1">
      <c r="A430"/>
      <c r="B430"/>
      <c r="C430"/>
      <c r="D430"/>
      <c r="E430"/>
      <c r="F430"/>
      <c r="G430"/>
      <c r="H430"/>
      <c r="I430"/>
      <c r="J430" s="58"/>
      <c r="K430" s="58"/>
      <c r="L430" s="58"/>
      <c r="M430"/>
      <c r="N430"/>
    </row>
    <row r="431" spans="1:14" ht="11.25" customHeight="1">
      <c r="A431"/>
      <c r="B431"/>
      <c r="C431"/>
      <c r="D431"/>
      <c r="E431"/>
      <c r="F431"/>
      <c r="G431"/>
      <c r="H431"/>
      <c r="I431"/>
      <c r="J431" s="58"/>
      <c r="K431" s="58"/>
      <c r="L431" s="58"/>
      <c r="M431"/>
      <c r="N431"/>
    </row>
    <row r="432" spans="1:14" ht="11.25" customHeight="1">
      <c r="A432"/>
      <c r="B432"/>
      <c r="C432"/>
      <c r="D432"/>
      <c r="E432"/>
      <c r="F432"/>
      <c r="G432"/>
      <c r="H432"/>
      <c r="I432"/>
      <c r="J432" s="58"/>
      <c r="K432" s="58"/>
      <c r="L432" s="58"/>
      <c r="M432"/>
      <c r="N432"/>
    </row>
    <row r="433" spans="1:14" ht="11.25" customHeight="1">
      <c r="A433"/>
      <c r="B433"/>
      <c r="C433"/>
      <c r="D433"/>
      <c r="E433"/>
      <c r="F433"/>
      <c r="G433"/>
      <c r="H433"/>
      <c r="I433"/>
      <c r="J433" s="58"/>
      <c r="K433" s="58"/>
      <c r="L433" s="58"/>
      <c r="M433"/>
      <c r="N433"/>
    </row>
    <row r="434" spans="1:14" ht="11.25" customHeight="1">
      <c r="A434"/>
      <c r="B434"/>
      <c r="C434"/>
      <c r="D434"/>
      <c r="E434"/>
      <c r="F434"/>
      <c r="G434"/>
      <c r="H434"/>
      <c r="I434"/>
      <c r="J434" s="58"/>
      <c r="K434" s="58"/>
      <c r="L434" s="58"/>
      <c r="M434"/>
      <c r="N434"/>
    </row>
    <row r="435" spans="1:14" ht="11.25" customHeight="1">
      <c r="A435"/>
      <c r="B435"/>
      <c r="C435"/>
      <c r="D435"/>
      <c r="E435"/>
      <c r="F435"/>
      <c r="G435"/>
      <c r="H435"/>
      <c r="I435"/>
      <c r="J435" s="58"/>
      <c r="K435" s="58"/>
      <c r="L435" s="58"/>
      <c r="M435"/>
      <c r="N435"/>
    </row>
    <row r="436" spans="1:14" ht="11.25" customHeight="1">
      <c r="A436"/>
      <c r="B436"/>
      <c r="C436"/>
      <c r="D436"/>
      <c r="E436"/>
      <c r="F436"/>
      <c r="G436"/>
      <c r="H436"/>
      <c r="I436"/>
      <c r="J436" s="58"/>
      <c r="K436" s="58"/>
      <c r="L436" s="58"/>
      <c r="M436"/>
      <c r="N436"/>
    </row>
    <row r="437" spans="1:14" ht="11.25" customHeight="1">
      <c r="A437"/>
      <c r="B437"/>
      <c r="C437"/>
      <c r="D437"/>
      <c r="E437"/>
      <c r="F437"/>
      <c r="G437"/>
      <c r="H437"/>
      <c r="I437"/>
      <c r="J437" s="58"/>
      <c r="K437" s="58"/>
      <c r="L437" s="58"/>
      <c r="M437"/>
      <c r="N437"/>
    </row>
    <row r="438" spans="1:14" ht="11.25" customHeight="1">
      <c r="A438"/>
      <c r="B438"/>
      <c r="C438"/>
      <c r="D438"/>
      <c r="E438"/>
      <c r="F438"/>
      <c r="G438"/>
      <c r="H438"/>
      <c r="I438"/>
      <c r="J438" s="58"/>
      <c r="K438" s="58"/>
      <c r="L438" s="58"/>
      <c r="M438"/>
      <c r="N438"/>
    </row>
    <row r="439" spans="1:14" ht="11.25" customHeight="1">
      <c r="A439"/>
      <c r="B439"/>
      <c r="C439"/>
      <c r="D439"/>
      <c r="E439"/>
      <c r="F439"/>
      <c r="G439"/>
      <c r="H439"/>
      <c r="I439"/>
      <c r="J439" s="58"/>
      <c r="K439" s="58"/>
      <c r="L439" s="58"/>
      <c r="M439"/>
      <c r="N439"/>
    </row>
    <row r="440" spans="1:14" ht="11.25" customHeight="1">
      <c r="A440"/>
      <c r="B440"/>
      <c r="C440"/>
      <c r="D440"/>
      <c r="E440"/>
      <c r="F440"/>
      <c r="G440"/>
      <c r="H440"/>
      <c r="I440"/>
      <c r="J440" s="58"/>
      <c r="K440" s="58"/>
      <c r="L440" s="58"/>
      <c r="M440"/>
      <c r="N440"/>
    </row>
    <row r="441" spans="1:14" ht="11.25" customHeight="1">
      <c r="A441"/>
      <c r="B441"/>
      <c r="C441"/>
      <c r="D441"/>
      <c r="E441"/>
      <c r="F441"/>
      <c r="G441"/>
      <c r="H441"/>
      <c r="I441"/>
      <c r="J441" s="58"/>
      <c r="K441" s="58"/>
      <c r="L441" s="58"/>
      <c r="M441"/>
      <c r="N441"/>
    </row>
    <row r="442" spans="1:14" ht="11.25" customHeight="1">
      <c r="A442"/>
      <c r="B442"/>
      <c r="C442"/>
      <c r="D442"/>
      <c r="E442"/>
      <c r="F442"/>
      <c r="G442"/>
      <c r="H442"/>
      <c r="I442"/>
      <c r="J442" s="58"/>
      <c r="K442" s="58"/>
      <c r="L442" s="58"/>
      <c r="M442"/>
      <c r="N442"/>
    </row>
    <row r="443" spans="1:14" ht="11.25" customHeight="1">
      <c r="A443"/>
      <c r="B443"/>
      <c r="C443"/>
      <c r="D443"/>
      <c r="E443"/>
      <c r="F443"/>
      <c r="G443"/>
      <c r="H443"/>
      <c r="I443"/>
      <c r="J443" s="58"/>
      <c r="K443" s="58"/>
      <c r="L443" s="58"/>
      <c r="M443"/>
      <c r="N443"/>
    </row>
    <row r="444" spans="1:14" ht="11.25" customHeight="1">
      <c r="A444"/>
      <c r="B444"/>
      <c r="C444"/>
      <c r="D444"/>
      <c r="E444"/>
      <c r="F444"/>
      <c r="G444"/>
      <c r="H444"/>
      <c r="I444"/>
      <c r="J444" s="58"/>
      <c r="K444" s="58"/>
      <c r="L444" s="58"/>
      <c r="M444"/>
      <c r="N444"/>
    </row>
    <row r="445" spans="1:14" ht="11.25" customHeight="1">
      <c r="A445"/>
      <c r="B445"/>
      <c r="C445"/>
      <c r="D445"/>
      <c r="E445"/>
      <c r="F445"/>
      <c r="G445"/>
      <c r="H445"/>
      <c r="I445"/>
      <c r="J445" s="58"/>
      <c r="K445" s="58"/>
      <c r="L445" s="58"/>
      <c r="M445"/>
      <c r="N445"/>
    </row>
    <row r="446" spans="1:14" ht="11.25" customHeight="1">
      <c r="A446"/>
      <c r="B446"/>
      <c r="C446"/>
      <c r="D446"/>
      <c r="E446"/>
      <c r="F446"/>
      <c r="G446"/>
      <c r="H446"/>
      <c r="I446"/>
      <c r="J446" s="58"/>
      <c r="K446" s="58"/>
      <c r="L446" s="58"/>
      <c r="M446"/>
      <c r="N446"/>
    </row>
    <row r="447" spans="1:14" ht="11.25" customHeight="1">
      <c r="A447"/>
      <c r="B447"/>
      <c r="C447"/>
      <c r="D447"/>
      <c r="E447"/>
      <c r="F447"/>
      <c r="G447"/>
      <c r="H447"/>
      <c r="I447"/>
      <c r="J447" s="58"/>
      <c r="K447" s="58"/>
      <c r="L447" s="58"/>
      <c r="M447"/>
      <c r="N447"/>
    </row>
    <row r="448" spans="1:14" ht="11.25" customHeight="1">
      <c r="A448"/>
      <c r="B448"/>
      <c r="C448"/>
      <c r="D448"/>
      <c r="E448"/>
      <c r="F448"/>
      <c r="G448"/>
      <c r="H448"/>
      <c r="I448"/>
      <c r="J448" s="58"/>
      <c r="K448" s="58"/>
      <c r="L448" s="58"/>
      <c r="M448"/>
      <c r="N448"/>
    </row>
    <row r="449" spans="1:14" ht="11.25" customHeight="1">
      <c r="A449"/>
      <c r="B449"/>
      <c r="C449"/>
      <c r="D449"/>
      <c r="E449"/>
      <c r="F449"/>
      <c r="G449"/>
      <c r="H449"/>
      <c r="I449"/>
      <c r="J449" s="58"/>
      <c r="K449" s="58"/>
      <c r="L449" s="58"/>
      <c r="M449"/>
      <c r="N449"/>
    </row>
    <row r="450" spans="1:14" ht="11.25" customHeight="1">
      <c r="A450"/>
      <c r="B450"/>
      <c r="C450"/>
      <c r="D450"/>
      <c r="E450"/>
      <c r="F450"/>
      <c r="G450"/>
      <c r="H450"/>
      <c r="I450"/>
      <c r="J450" s="58"/>
      <c r="K450" s="58"/>
      <c r="L450" s="58"/>
      <c r="M450"/>
      <c r="N450"/>
    </row>
    <row r="451" spans="1:14" ht="11.25" customHeight="1">
      <c r="A451"/>
      <c r="B451"/>
      <c r="C451"/>
      <c r="D451"/>
      <c r="E451"/>
      <c r="F451"/>
      <c r="G451"/>
      <c r="H451"/>
      <c r="I451"/>
      <c r="J451" s="58"/>
      <c r="K451" s="58"/>
      <c r="L451" s="58"/>
      <c r="M451"/>
      <c r="N451"/>
    </row>
    <row r="452" spans="1:14" ht="11.25" customHeight="1">
      <c r="A452"/>
      <c r="B452"/>
      <c r="C452"/>
      <c r="D452"/>
      <c r="E452"/>
      <c r="F452"/>
      <c r="G452"/>
      <c r="H452"/>
      <c r="I452"/>
      <c r="J452" s="58"/>
      <c r="K452" s="58"/>
      <c r="L452" s="58"/>
      <c r="M452"/>
      <c r="N452"/>
    </row>
    <row r="453" spans="1:14" ht="11.25" customHeight="1">
      <c r="A453"/>
      <c r="B453"/>
      <c r="C453"/>
      <c r="D453"/>
      <c r="E453"/>
      <c r="F453"/>
      <c r="G453"/>
      <c r="H453"/>
      <c r="I453"/>
      <c r="J453" s="58"/>
      <c r="K453" s="58"/>
      <c r="L453" s="58"/>
      <c r="M453"/>
      <c r="N453"/>
    </row>
    <row r="454" spans="1:14" ht="11.25" customHeight="1">
      <c r="A454"/>
      <c r="B454"/>
      <c r="C454"/>
      <c r="D454"/>
      <c r="E454"/>
      <c r="F454"/>
      <c r="G454"/>
      <c r="H454"/>
      <c r="I454"/>
      <c r="J454" s="58"/>
      <c r="K454" s="58"/>
      <c r="L454" s="58"/>
      <c r="M454"/>
      <c r="N454"/>
    </row>
    <row r="455" spans="1:14" ht="11.25" customHeight="1">
      <c r="A455"/>
      <c r="B455"/>
      <c r="C455"/>
      <c r="D455"/>
      <c r="E455"/>
      <c r="F455"/>
      <c r="G455"/>
      <c r="H455"/>
      <c r="I455"/>
      <c r="J455" s="58"/>
      <c r="K455" s="58"/>
      <c r="L455" s="58"/>
      <c r="M455"/>
      <c r="N455"/>
    </row>
    <row r="456" spans="1:14" ht="11.25" customHeight="1">
      <c r="A456"/>
      <c r="B456"/>
      <c r="C456"/>
      <c r="D456"/>
      <c r="E456"/>
      <c r="F456"/>
      <c r="G456"/>
      <c r="H456"/>
      <c r="I456"/>
      <c r="J456" s="58"/>
      <c r="K456" s="58"/>
      <c r="L456" s="58"/>
      <c r="M456"/>
      <c r="N456"/>
    </row>
    <row r="457" spans="1:14" ht="11.25" customHeight="1">
      <c r="A457"/>
      <c r="B457"/>
      <c r="C457"/>
      <c r="D457"/>
      <c r="E457"/>
      <c r="F457"/>
      <c r="G457"/>
      <c r="H457"/>
      <c r="I457"/>
      <c r="J457" s="58"/>
      <c r="K457" s="58"/>
      <c r="L457" s="58"/>
      <c r="M457"/>
      <c r="N457"/>
    </row>
    <row r="458" spans="1:14" ht="11.25" customHeight="1">
      <c r="A458"/>
      <c r="B458"/>
      <c r="C458"/>
      <c r="D458"/>
      <c r="E458"/>
      <c r="F458"/>
      <c r="G458"/>
      <c r="H458"/>
      <c r="I458"/>
      <c r="J458" s="58"/>
      <c r="K458" s="58"/>
      <c r="L458" s="58"/>
      <c r="M458"/>
      <c r="N458"/>
    </row>
    <row r="459" spans="1:14" ht="11.25" customHeight="1">
      <c r="A459"/>
      <c r="B459"/>
      <c r="C459"/>
      <c r="D459"/>
      <c r="E459"/>
      <c r="F459"/>
      <c r="G459"/>
      <c r="H459"/>
      <c r="I459"/>
      <c r="J459" s="58"/>
      <c r="K459" s="58"/>
      <c r="L459" s="58"/>
      <c r="M459"/>
      <c r="N459"/>
    </row>
    <row r="460" spans="1:14" ht="11.25" customHeight="1">
      <c r="A460"/>
      <c r="B460"/>
      <c r="C460"/>
      <c r="D460"/>
      <c r="E460"/>
      <c r="F460"/>
      <c r="G460"/>
      <c r="H460"/>
      <c r="I460"/>
      <c r="J460" s="58"/>
      <c r="K460" s="58"/>
      <c r="L460" s="58"/>
      <c r="M460"/>
      <c r="N460"/>
    </row>
    <row r="461" spans="1:14" ht="11.25" customHeight="1">
      <c r="A461"/>
      <c r="B461"/>
      <c r="C461"/>
      <c r="D461"/>
      <c r="E461"/>
      <c r="F461"/>
      <c r="G461"/>
      <c r="H461"/>
      <c r="I461"/>
      <c r="J461" s="58"/>
      <c r="K461" s="58"/>
      <c r="L461" s="58"/>
      <c r="M461"/>
      <c r="N461"/>
    </row>
    <row r="462" spans="1:14" ht="11.25" customHeight="1">
      <c r="A462"/>
      <c r="B462"/>
      <c r="C462"/>
      <c r="D462"/>
      <c r="E462"/>
      <c r="F462"/>
      <c r="G462"/>
      <c r="H462"/>
      <c r="I462"/>
      <c r="J462" s="58"/>
      <c r="K462" s="58"/>
      <c r="L462" s="58"/>
      <c r="M462"/>
      <c r="N462"/>
    </row>
    <row r="463" spans="1:14" ht="11.25" customHeight="1">
      <c r="A463"/>
      <c r="B463"/>
      <c r="C463"/>
      <c r="D463"/>
      <c r="E463"/>
      <c r="F463"/>
      <c r="G463"/>
      <c r="H463"/>
      <c r="I463"/>
      <c r="J463" s="58"/>
      <c r="K463" s="58"/>
      <c r="L463" s="58"/>
      <c r="M463"/>
      <c r="N463"/>
    </row>
    <row r="464" spans="1:14" ht="11.25" customHeight="1">
      <c r="A464"/>
      <c r="B464"/>
      <c r="C464"/>
      <c r="D464"/>
      <c r="E464"/>
      <c r="F464"/>
      <c r="G464"/>
      <c r="H464"/>
      <c r="I464"/>
      <c r="J464" s="58"/>
      <c r="K464" s="58"/>
      <c r="L464" s="58"/>
      <c r="M464"/>
      <c r="N464"/>
    </row>
    <row r="465" spans="1:14" ht="11.25" customHeight="1">
      <c r="A465"/>
      <c r="B465"/>
      <c r="C465"/>
      <c r="D465"/>
      <c r="E465"/>
      <c r="F465"/>
      <c r="G465"/>
      <c r="H465"/>
      <c r="I465"/>
      <c r="J465" s="58"/>
      <c r="K465" s="58"/>
      <c r="L465" s="58"/>
      <c r="M465"/>
      <c r="N465"/>
    </row>
    <row r="466" spans="1:14" ht="11.25" customHeight="1">
      <c r="A466"/>
      <c r="B466"/>
      <c r="C466"/>
      <c r="D466"/>
      <c r="E466"/>
      <c r="F466"/>
      <c r="G466"/>
      <c r="H466"/>
      <c r="I466"/>
      <c r="J466" s="58"/>
      <c r="K466" s="58"/>
      <c r="L466" s="58"/>
      <c r="M466"/>
      <c r="N466"/>
    </row>
    <row r="467" spans="1:14" ht="11.25" customHeight="1">
      <c r="A467"/>
      <c r="B467"/>
      <c r="C467"/>
      <c r="D467"/>
      <c r="E467"/>
      <c r="F467"/>
      <c r="G467"/>
      <c r="H467"/>
      <c r="I467"/>
      <c r="J467" s="58"/>
      <c r="K467" s="58"/>
      <c r="L467" s="58"/>
      <c r="M467"/>
      <c r="N467"/>
    </row>
    <row r="468" spans="1:14" ht="11.25" customHeight="1">
      <c r="A468"/>
      <c r="B468"/>
      <c r="C468"/>
      <c r="D468"/>
      <c r="E468"/>
      <c r="F468"/>
      <c r="G468"/>
      <c r="H468"/>
      <c r="I468"/>
      <c r="J468" s="58"/>
      <c r="K468" s="58"/>
      <c r="L468" s="58"/>
      <c r="M468"/>
      <c r="N468"/>
    </row>
    <row r="469" spans="1:14" ht="11.25" customHeight="1">
      <c r="A469"/>
      <c r="B469"/>
      <c r="C469"/>
      <c r="D469"/>
      <c r="E469"/>
      <c r="F469"/>
      <c r="G469"/>
      <c r="H469"/>
      <c r="I469"/>
      <c r="J469" s="58"/>
      <c r="K469" s="58"/>
      <c r="L469" s="58"/>
      <c r="M469"/>
      <c r="N469"/>
    </row>
    <row r="470" spans="1:14" ht="11.25" customHeight="1">
      <c r="A470"/>
      <c r="B470"/>
      <c r="C470"/>
      <c r="D470"/>
      <c r="E470"/>
      <c r="F470"/>
      <c r="G470"/>
      <c r="H470"/>
      <c r="I470"/>
      <c r="J470" s="58"/>
      <c r="K470" s="58"/>
      <c r="L470" s="58"/>
      <c r="M470"/>
      <c r="N470"/>
    </row>
    <row r="471" spans="1:14" ht="11.25" customHeight="1">
      <c r="A471"/>
      <c r="B471"/>
      <c r="C471"/>
      <c r="D471"/>
      <c r="E471"/>
      <c r="F471"/>
      <c r="G471"/>
      <c r="H471"/>
      <c r="I471"/>
      <c r="J471" s="58"/>
      <c r="K471" s="58"/>
      <c r="L471" s="58"/>
      <c r="M471"/>
      <c r="N471"/>
    </row>
    <row r="472" spans="1:14" ht="11.25" customHeight="1">
      <c r="A472"/>
      <c r="B472"/>
      <c r="C472"/>
      <c r="D472"/>
      <c r="E472"/>
      <c r="F472"/>
      <c r="G472"/>
      <c r="H472"/>
      <c r="I472"/>
      <c r="J472" s="58"/>
      <c r="K472" s="58"/>
      <c r="L472" s="58"/>
      <c r="M472"/>
      <c r="N472"/>
    </row>
    <row r="473" spans="1:14" ht="11.25" customHeight="1">
      <c r="A473"/>
      <c r="B473"/>
      <c r="C473"/>
      <c r="D473"/>
      <c r="E473"/>
      <c r="F473"/>
      <c r="G473"/>
      <c r="H473"/>
      <c r="I473"/>
      <c r="J473" s="58"/>
      <c r="K473" s="58"/>
      <c r="L473" s="58"/>
      <c r="M473"/>
      <c r="N473"/>
    </row>
    <row r="474" spans="1:14" ht="11.25" customHeight="1">
      <c r="A474"/>
      <c r="B474"/>
      <c r="C474"/>
      <c r="D474"/>
      <c r="E474"/>
      <c r="F474"/>
      <c r="G474"/>
      <c r="H474"/>
      <c r="I474"/>
      <c r="J474" s="58"/>
      <c r="K474" s="58"/>
      <c r="L474" s="58"/>
      <c r="M474"/>
      <c r="N474"/>
    </row>
    <row r="475" spans="1:14" ht="11.25" customHeight="1">
      <c r="A475"/>
      <c r="B475"/>
      <c r="C475"/>
      <c r="D475"/>
      <c r="E475"/>
      <c r="F475"/>
      <c r="G475"/>
      <c r="H475"/>
      <c r="I475"/>
      <c r="J475" s="58"/>
      <c r="K475" s="58"/>
      <c r="L475" s="58"/>
      <c r="M475"/>
      <c r="N475"/>
    </row>
    <row r="476" spans="1:14" ht="11.25" customHeight="1">
      <c r="A476"/>
      <c r="B476"/>
      <c r="C476"/>
      <c r="D476"/>
      <c r="E476"/>
      <c r="F476"/>
      <c r="G476"/>
      <c r="H476"/>
      <c r="I476"/>
      <c r="J476" s="58"/>
      <c r="K476" s="58"/>
      <c r="L476" s="58"/>
      <c r="M476"/>
      <c r="N476"/>
    </row>
    <row r="477" spans="1:14" ht="11.25" customHeight="1">
      <c r="A477"/>
      <c r="B477"/>
      <c r="C477"/>
      <c r="D477"/>
      <c r="E477"/>
      <c r="F477"/>
      <c r="G477"/>
      <c r="H477"/>
      <c r="I477"/>
      <c r="J477" s="58"/>
      <c r="K477" s="58"/>
      <c r="L477" s="58"/>
      <c r="M477"/>
      <c r="N477"/>
    </row>
    <row r="478" spans="1:14" ht="11.25" customHeight="1">
      <c r="A478"/>
      <c r="B478"/>
      <c r="C478"/>
      <c r="D478"/>
      <c r="E478"/>
      <c r="F478"/>
      <c r="G478"/>
      <c r="H478"/>
      <c r="I478"/>
      <c r="J478" s="58"/>
      <c r="K478" s="58"/>
      <c r="L478" s="58"/>
      <c r="M478"/>
      <c r="N478"/>
    </row>
    <row r="479" spans="1:14" ht="11.25" customHeight="1">
      <c r="A479"/>
      <c r="B479"/>
      <c r="C479"/>
      <c r="D479"/>
      <c r="E479"/>
      <c r="F479"/>
      <c r="G479"/>
      <c r="H479"/>
      <c r="I479"/>
      <c r="J479" s="58"/>
      <c r="K479" s="58"/>
      <c r="L479" s="58"/>
      <c r="M479"/>
      <c r="N479"/>
    </row>
    <row r="480" spans="1:14" ht="11.25" customHeight="1">
      <c r="A480"/>
      <c r="B480"/>
      <c r="C480"/>
      <c r="D480"/>
      <c r="E480"/>
      <c r="F480"/>
      <c r="G480"/>
      <c r="H480"/>
      <c r="I480"/>
      <c r="J480" s="58"/>
      <c r="K480" s="58"/>
      <c r="L480" s="58"/>
      <c r="M480"/>
      <c r="N480"/>
    </row>
    <row r="481" spans="1:14" ht="11.25" customHeight="1">
      <c r="A481"/>
      <c r="B481"/>
      <c r="C481"/>
      <c r="D481"/>
      <c r="E481"/>
      <c r="F481"/>
      <c r="G481"/>
      <c r="H481"/>
      <c r="I481"/>
      <c r="J481" s="58"/>
      <c r="K481" s="58"/>
      <c r="L481" s="58"/>
      <c r="M481"/>
      <c r="N481"/>
    </row>
    <row r="482" spans="1:14" ht="11.25" customHeight="1">
      <c r="A482"/>
      <c r="B482"/>
      <c r="C482"/>
      <c r="D482"/>
      <c r="E482"/>
      <c r="F482"/>
      <c r="G482"/>
      <c r="H482"/>
      <c r="I482"/>
      <c r="J482" s="58"/>
      <c r="K482" s="58"/>
      <c r="L482" s="58"/>
      <c r="M482"/>
      <c r="N482"/>
    </row>
    <row r="483" spans="1:14" ht="11.25" customHeight="1">
      <c r="A483"/>
      <c r="B483"/>
      <c r="C483"/>
      <c r="D483"/>
      <c r="E483"/>
      <c r="F483"/>
      <c r="G483"/>
      <c r="H483"/>
      <c r="I483"/>
      <c r="J483" s="58"/>
      <c r="K483" s="58"/>
      <c r="L483" s="58"/>
      <c r="M483"/>
      <c r="N483"/>
    </row>
    <row r="484" spans="1:14" ht="11.25" customHeight="1">
      <c r="A484"/>
      <c r="B484"/>
      <c r="C484"/>
      <c r="D484"/>
      <c r="E484"/>
      <c r="F484"/>
      <c r="G484"/>
      <c r="H484"/>
      <c r="I484"/>
      <c r="J484" s="58"/>
      <c r="K484" s="58"/>
      <c r="L484" s="58"/>
      <c r="M484"/>
      <c r="N484"/>
    </row>
    <row r="485" spans="1:14" ht="11.25" customHeight="1">
      <c r="A485"/>
      <c r="B485"/>
      <c r="C485"/>
      <c r="D485"/>
      <c r="E485"/>
      <c r="F485"/>
      <c r="G485"/>
      <c r="H485"/>
      <c r="I485"/>
      <c r="J485" s="58"/>
      <c r="K485" s="58"/>
      <c r="L485" s="58"/>
      <c r="M485"/>
      <c r="N485"/>
    </row>
    <row r="486" spans="1:14" ht="11.25" customHeight="1">
      <c r="A486"/>
      <c r="B486"/>
      <c r="C486"/>
      <c r="D486"/>
      <c r="E486"/>
      <c r="F486"/>
      <c r="G486"/>
      <c r="H486"/>
      <c r="I486"/>
      <c r="J486" s="58"/>
      <c r="K486" s="58"/>
      <c r="L486" s="58"/>
      <c r="M486"/>
      <c r="N486"/>
    </row>
    <row r="487" spans="1:14" ht="11.25" customHeight="1">
      <c r="A487"/>
      <c r="B487"/>
      <c r="C487"/>
      <c r="D487"/>
      <c r="E487"/>
      <c r="F487"/>
      <c r="G487"/>
      <c r="H487"/>
      <c r="I487"/>
      <c r="J487" s="58"/>
      <c r="K487" s="58"/>
      <c r="L487" s="58"/>
      <c r="M487"/>
      <c r="N487"/>
    </row>
    <row r="488" spans="1:14" ht="11.25" customHeight="1">
      <c r="A488"/>
      <c r="B488"/>
      <c r="C488"/>
      <c r="D488"/>
      <c r="E488"/>
      <c r="F488"/>
      <c r="G488"/>
      <c r="H488"/>
      <c r="I488"/>
      <c r="J488" s="58"/>
      <c r="K488" s="58"/>
      <c r="L488" s="58"/>
      <c r="M488"/>
      <c r="N488"/>
    </row>
    <row r="489" spans="1:14" ht="11.25" customHeight="1">
      <c r="A489"/>
      <c r="B489"/>
      <c r="C489"/>
      <c r="D489"/>
      <c r="E489"/>
      <c r="F489"/>
      <c r="G489"/>
      <c r="H489"/>
      <c r="I489"/>
      <c r="J489" s="58"/>
      <c r="K489" s="58"/>
      <c r="L489" s="58"/>
      <c r="M489"/>
      <c r="N489"/>
    </row>
    <row r="490" spans="1:14" ht="11.25" customHeight="1">
      <c r="A490"/>
      <c r="B490"/>
      <c r="C490"/>
      <c r="D490"/>
      <c r="E490"/>
      <c r="F490"/>
      <c r="G490"/>
      <c r="H490"/>
      <c r="I490"/>
      <c r="J490" s="58"/>
      <c r="K490" s="58"/>
      <c r="L490" s="58"/>
      <c r="M490"/>
      <c r="N490"/>
    </row>
    <row r="491" spans="1:14" ht="11.25" customHeight="1">
      <c r="A491"/>
      <c r="B491"/>
      <c r="C491"/>
      <c r="D491"/>
      <c r="E491"/>
      <c r="F491"/>
      <c r="G491"/>
      <c r="H491"/>
      <c r="I491"/>
      <c r="J491" s="58"/>
      <c r="K491" s="58"/>
      <c r="L491" s="58"/>
      <c r="M491"/>
      <c r="N491"/>
    </row>
    <row r="492" spans="1:14" ht="11.25" customHeight="1">
      <c r="A492"/>
      <c r="B492"/>
      <c r="C492"/>
      <c r="D492"/>
      <c r="E492"/>
      <c r="F492"/>
      <c r="G492"/>
      <c r="H492"/>
      <c r="I492"/>
      <c r="J492" s="58"/>
      <c r="K492" s="58"/>
      <c r="L492" s="58"/>
      <c r="M492"/>
      <c r="N492"/>
    </row>
    <row r="493" spans="1:14" ht="11.25" customHeight="1">
      <c r="A493"/>
      <c r="B493"/>
      <c r="C493"/>
      <c r="D493"/>
      <c r="E493"/>
      <c r="F493"/>
      <c r="G493"/>
      <c r="H493"/>
      <c r="I493"/>
      <c r="J493" s="58"/>
      <c r="K493" s="58"/>
      <c r="L493" s="58"/>
      <c r="M493"/>
      <c r="N493"/>
    </row>
    <row r="494" spans="1:14" ht="11.25" customHeight="1">
      <c r="A494"/>
      <c r="B494"/>
      <c r="C494"/>
      <c r="D494"/>
      <c r="E494"/>
      <c r="F494"/>
      <c r="G494"/>
      <c r="H494"/>
      <c r="I494"/>
      <c r="J494" s="58"/>
      <c r="K494" s="58"/>
      <c r="L494" s="58"/>
      <c r="M494"/>
      <c r="N494"/>
    </row>
    <row r="495" spans="1:14" ht="11.25" customHeight="1">
      <c r="A495"/>
      <c r="B495"/>
      <c r="C495"/>
      <c r="D495"/>
      <c r="E495"/>
      <c r="F495"/>
      <c r="G495"/>
      <c r="H495"/>
      <c r="I495"/>
      <c r="J495" s="58"/>
      <c r="K495" s="58"/>
      <c r="L495" s="58"/>
      <c r="M495"/>
      <c r="N495"/>
    </row>
    <row r="496" spans="1:14" ht="11.25" customHeight="1">
      <c r="A496"/>
      <c r="B496"/>
      <c r="C496"/>
      <c r="D496"/>
      <c r="E496"/>
      <c r="F496"/>
      <c r="G496"/>
      <c r="H496"/>
      <c r="I496"/>
      <c r="J496" s="58"/>
      <c r="K496" s="58"/>
      <c r="L496" s="58"/>
      <c r="M496"/>
      <c r="N496"/>
    </row>
    <row r="497" spans="1:14" ht="11.25" customHeight="1">
      <c r="A497"/>
      <c r="B497"/>
      <c r="C497"/>
      <c r="D497"/>
      <c r="E497"/>
      <c r="F497"/>
      <c r="G497"/>
      <c r="H497"/>
      <c r="I497"/>
      <c r="J497" s="58"/>
      <c r="K497" s="58"/>
      <c r="L497" s="58"/>
      <c r="M497"/>
      <c r="N497"/>
    </row>
    <row r="498" spans="1:14" ht="11.25" customHeight="1">
      <c r="A498"/>
      <c r="B498"/>
      <c r="C498"/>
      <c r="D498"/>
      <c r="E498"/>
      <c r="F498"/>
      <c r="G498"/>
      <c r="H498"/>
      <c r="I498"/>
      <c r="J498" s="58"/>
      <c r="K498" s="58"/>
      <c r="L498" s="58"/>
      <c r="M498"/>
      <c r="N498"/>
    </row>
    <row r="499" spans="1:14" ht="11.25" customHeight="1">
      <c r="A499"/>
      <c r="B499"/>
      <c r="C499"/>
      <c r="D499"/>
      <c r="E499"/>
      <c r="F499"/>
      <c r="G499"/>
      <c r="H499"/>
      <c r="I499"/>
      <c r="J499" s="58"/>
      <c r="K499" s="58"/>
      <c r="L499" s="58"/>
      <c r="M499"/>
      <c r="N499"/>
    </row>
    <row r="500" spans="1:14" ht="11.25" customHeight="1">
      <c r="A500"/>
      <c r="B500"/>
      <c r="C500"/>
      <c r="D500"/>
      <c r="E500"/>
      <c r="F500"/>
      <c r="G500"/>
      <c r="H500"/>
      <c r="I500"/>
      <c r="J500" s="58"/>
      <c r="K500" s="58"/>
      <c r="L500" s="58"/>
      <c r="M500"/>
      <c r="N500"/>
    </row>
    <row r="501" spans="1:14" ht="11.25" customHeight="1">
      <c r="A501"/>
      <c r="B501"/>
      <c r="C501"/>
      <c r="D501"/>
      <c r="E501"/>
      <c r="F501"/>
      <c r="G501"/>
      <c r="H501"/>
      <c r="I501"/>
      <c r="J501" s="58"/>
      <c r="K501" s="58"/>
      <c r="L501" s="58"/>
      <c r="M501"/>
      <c r="N501"/>
    </row>
    <row r="502" spans="1:14" ht="11.25" customHeight="1">
      <c r="A502"/>
      <c r="B502"/>
      <c r="C502"/>
      <c r="D502"/>
      <c r="E502"/>
      <c r="F502"/>
      <c r="G502"/>
      <c r="H502"/>
      <c r="I502"/>
      <c r="J502" s="58"/>
      <c r="K502" s="58"/>
      <c r="L502" s="58"/>
      <c r="M502"/>
      <c r="N502"/>
    </row>
    <row r="503" spans="1:14" ht="11.25" customHeight="1">
      <c r="A503"/>
      <c r="B503"/>
      <c r="C503"/>
      <c r="D503"/>
      <c r="E503"/>
      <c r="F503"/>
      <c r="G503"/>
      <c r="H503"/>
      <c r="I503"/>
      <c r="J503" s="58"/>
      <c r="K503" s="58"/>
      <c r="L503" s="58"/>
      <c r="M503"/>
      <c r="N503"/>
    </row>
    <row r="504" spans="1:14" ht="11.25" customHeight="1">
      <c r="A504"/>
      <c r="B504"/>
      <c r="C504"/>
      <c r="D504"/>
      <c r="E504"/>
      <c r="F504"/>
      <c r="G504"/>
      <c r="H504"/>
      <c r="I504"/>
      <c r="J504" s="58"/>
      <c r="K504" s="58"/>
      <c r="L504" s="58"/>
      <c r="M504"/>
      <c r="N504"/>
    </row>
    <row r="505" spans="1:14" ht="11.25" customHeight="1">
      <c r="A505"/>
      <c r="B505"/>
      <c r="C505"/>
      <c r="D505"/>
      <c r="E505"/>
      <c r="F505"/>
      <c r="G505"/>
      <c r="H505"/>
      <c r="I505"/>
      <c r="J505" s="58"/>
      <c r="K505" s="58"/>
      <c r="L505" s="58"/>
      <c r="M505"/>
      <c r="N505"/>
    </row>
    <row r="506" spans="1:14" ht="11.25" customHeight="1">
      <c r="A506"/>
      <c r="B506"/>
      <c r="C506"/>
      <c r="D506"/>
      <c r="E506"/>
      <c r="F506"/>
      <c r="G506"/>
      <c r="H506"/>
      <c r="I506"/>
      <c r="J506" s="58"/>
      <c r="K506" s="58"/>
      <c r="L506" s="58"/>
      <c r="M506"/>
      <c r="N506"/>
    </row>
    <row r="507" spans="1:14" ht="11.25" customHeight="1">
      <c r="A507"/>
      <c r="B507"/>
      <c r="C507"/>
      <c r="D507"/>
      <c r="E507"/>
      <c r="F507"/>
      <c r="G507"/>
      <c r="H507"/>
      <c r="I507"/>
      <c r="J507" s="58"/>
      <c r="K507" s="58"/>
      <c r="L507" s="58"/>
      <c r="M507"/>
      <c r="N507"/>
    </row>
    <row r="508" spans="1:14" ht="11.25" customHeight="1">
      <c r="A508"/>
      <c r="B508"/>
      <c r="C508"/>
      <c r="D508"/>
      <c r="E508"/>
      <c r="F508"/>
      <c r="G508"/>
      <c r="H508"/>
      <c r="I508"/>
      <c r="J508" s="58"/>
      <c r="K508" s="58"/>
      <c r="L508" s="58"/>
      <c r="M508"/>
      <c r="N508"/>
    </row>
    <row r="509" spans="1:14" ht="11.25" customHeight="1">
      <c r="A509"/>
      <c r="B509"/>
      <c r="C509"/>
      <c r="D509"/>
      <c r="E509"/>
      <c r="F509"/>
      <c r="G509"/>
      <c r="H509"/>
      <c r="I509"/>
      <c r="J509" s="58"/>
      <c r="K509" s="58"/>
      <c r="L509" s="58"/>
      <c r="M509"/>
      <c r="N509"/>
    </row>
    <row r="510" spans="1:14" ht="11.25" customHeight="1">
      <c r="A510"/>
      <c r="B510"/>
      <c r="C510"/>
      <c r="D510"/>
      <c r="E510"/>
      <c r="F510"/>
      <c r="G510"/>
      <c r="H510"/>
      <c r="I510"/>
      <c r="J510" s="58"/>
      <c r="K510" s="58"/>
      <c r="L510" s="58"/>
      <c r="M510"/>
      <c r="N510"/>
    </row>
    <row r="511" spans="1:14" ht="11.25" customHeight="1">
      <c r="A511"/>
      <c r="B511"/>
      <c r="C511"/>
      <c r="D511"/>
      <c r="E511"/>
      <c r="F511"/>
      <c r="G511"/>
      <c r="H511"/>
      <c r="I511"/>
      <c r="J511" s="58"/>
      <c r="K511" s="58"/>
      <c r="L511" s="58"/>
      <c r="M511"/>
      <c r="N511"/>
    </row>
    <row r="512" spans="1:14" ht="11.25" customHeight="1">
      <c r="A512"/>
      <c r="B512"/>
      <c r="C512"/>
      <c r="D512"/>
      <c r="E512"/>
      <c r="F512"/>
      <c r="G512"/>
      <c r="H512"/>
      <c r="I512"/>
      <c r="J512" s="58"/>
      <c r="K512" s="58"/>
      <c r="L512" s="58"/>
      <c r="M512"/>
      <c r="N512"/>
    </row>
    <row r="513" spans="1:14" ht="11.25" customHeight="1">
      <c r="A513"/>
      <c r="B513"/>
      <c r="C513"/>
      <c r="D513"/>
      <c r="E513"/>
      <c r="F513"/>
      <c r="G513"/>
      <c r="H513"/>
      <c r="I513"/>
      <c r="J513" s="58"/>
      <c r="K513" s="58"/>
      <c r="L513" s="58"/>
      <c r="M513"/>
      <c r="N513"/>
    </row>
    <row r="514" spans="1:14" ht="11.25" customHeight="1">
      <c r="A514"/>
      <c r="B514"/>
      <c r="C514"/>
      <c r="D514"/>
      <c r="E514"/>
      <c r="F514"/>
      <c r="G514"/>
      <c r="H514"/>
      <c r="I514"/>
      <c r="J514" s="58"/>
      <c r="K514" s="58"/>
      <c r="L514" s="58"/>
      <c r="M514"/>
      <c r="N514"/>
    </row>
    <row r="515" spans="1:14" ht="11.25" customHeight="1">
      <c r="A515"/>
      <c r="B515"/>
      <c r="C515"/>
      <c r="D515"/>
      <c r="E515"/>
      <c r="F515"/>
      <c r="G515"/>
      <c r="H515"/>
      <c r="I515"/>
      <c r="J515" s="58"/>
      <c r="K515" s="58"/>
      <c r="L515" s="58"/>
      <c r="M515"/>
      <c r="N515"/>
    </row>
    <row r="516" spans="1:14" ht="11.25" customHeight="1">
      <c r="A516"/>
      <c r="B516"/>
      <c r="C516"/>
      <c r="D516"/>
      <c r="E516"/>
      <c r="F516"/>
      <c r="G516"/>
      <c r="H516"/>
      <c r="I516"/>
      <c r="J516" s="58"/>
      <c r="K516" s="58"/>
      <c r="L516" s="58"/>
      <c r="M516"/>
      <c r="N516"/>
    </row>
    <row r="517" spans="1:14" ht="11.25" customHeight="1">
      <c r="A517"/>
      <c r="B517"/>
      <c r="C517"/>
      <c r="D517"/>
      <c r="E517"/>
      <c r="F517"/>
      <c r="G517"/>
      <c r="H517"/>
      <c r="I517"/>
      <c r="J517" s="58"/>
      <c r="K517" s="58"/>
      <c r="L517" s="58"/>
      <c r="M517"/>
      <c r="N517"/>
    </row>
    <row r="518" spans="1:14" ht="11.25" customHeight="1">
      <c r="A518"/>
      <c r="B518"/>
      <c r="C518"/>
      <c r="D518"/>
      <c r="E518"/>
      <c r="F518"/>
      <c r="G518"/>
      <c r="H518"/>
      <c r="I518"/>
      <c r="J518" s="58"/>
      <c r="K518" s="58"/>
      <c r="L518" s="58"/>
      <c r="M518"/>
      <c r="N518"/>
    </row>
    <row r="519" spans="1:14" ht="11.25" customHeight="1">
      <c r="A519"/>
      <c r="B519"/>
      <c r="C519"/>
      <c r="D519"/>
      <c r="E519"/>
      <c r="F519"/>
      <c r="G519"/>
      <c r="H519"/>
      <c r="I519"/>
      <c r="J519" s="58"/>
      <c r="K519" s="58"/>
      <c r="L519" s="58"/>
      <c r="M519"/>
      <c r="N519"/>
    </row>
    <row r="520" spans="1:14" ht="11.25" customHeight="1">
      <c r="A520"/>
      <c r="B520"/>
      <c r="C520"/>
      <c r="D520"/>
      <c r="E520"/>
      <c r="F520"/>
      <c r="G520"/>
      <c r="H520"/>
      <c r="I520"/>
      <c r="J520" s="58"/>
      <c r="K520" s="58"/>
      <c r="L520" s="58"/>
      <c r="M520"/>
      <c r="N520"/>
    </row>
    <row r="521" spans="1:14" ht="11.25" customHeight="1">
      <c r="A521"/>
      <c r="B521"/>
      <c r="C521"/>
      <c r="D521"/>
      <c r="E521"/>
      <c r="F521"/>
      <c r="G521"/>
      <c r="H521"/>
      <c r="I521"/>
      <c r="J521" s="58"/>
      <c r="K521" s="58"/>
      <c r="L521" s="58"/>
      <c r="M521"/>
      <c r="N521"/>
    </row>
    <row r="522" spans="1:14" ht="11.25" customHeight="1">
      <c r="A522"/>
      <c r="B522"/>
      <c r="C522"/>
      <c r="D522"/>
      <c r="E522"/>
      <c r="F522"/>
      <c r="G522"/>
      <c r="H522"/>
      <c r="I522"/>
      <c r="J522" s="58"/>
      <c r="K522" s="58"/>
      <c r="L522" s="58"/>
      <c r="M522"/>
      <c r="N522"/>
    </row>
    <row r="523" spans="1:14" ht="11.25" customHeight="1">
      <c r="A523"/>
      <c r="B523"/>
      <c r="C523"/>
      <c r="D523"/>
      <c r="E523"/>
      <c r="F523"/>
      <c r="G523"/>
      <c r="H523"/>
      <c r="I523"/>
      <c r="J523" s="58"/>
      <c r="K523" s="58"/>
      <c r="L523" s="58"/>
      <c r="M523"/>
      <c r="N523"/>
    </row>
    <row r="524" spans="1:14" ht="11.25" customHeight="1">
      <c r="A524"/>
      <c r="B524"/>
      <c r="C524"/>
      <c r="D524"/>
      <c r="E524"/>
      <c r="F524"/>
      <c r="G524"/>
      <c r="H524"/>
      <c r="I524"/>
      <c r="J524" s="58"/>
      <c r="K524" s="58"/>
      <c r="L524" s="58"/>
      <c r="M524"/>
      <c r="N524"/>
    </row>
    <row r="525" spans="1:14" ht="11.25" customHeight="1">
      <c r="A525"/>
      <c r="B525"/>
      <c r="C525"/>
      <c r="D525"/>
      <c r="E525"/>
      <c r="F525"/>
      <c r="G525"/>
      <c r="H525"/>
      <c r="I525"/>
      <c r="J525" s="58"/>
      <c r="K525" s="58"/>
      <c r="L525" s="58"/>
      <c r="M525"/>
      <c r="N525"/>
    </row>
    <row r="526" spans="1:14" ht="11.25" customHeight="1">
      <c r="A526"/>
      <c r="B526"/>
      <c r="C526"/>
      <c r="D526"/>
      <c r="E526"/>
      <c r="F526"/>
      <c r="G526"/>
      <c r="H526"/>
      <c r="I526"/>
      <c r="J526" s="58"/>
      <c r="K526" s="58"/>
      <c r="L526" s="58"/>
      <c r="M526"/>
      <c r="N526"/>
    </row>
    <row r="527" spans="1:14" ht="11.25" customHeight="1">
      <c r="A527"/>
      <c r="B527"/>
      <c r="C527"/>
      <c r="D527"/>
      <c r="E527"/>
      <c r="F527"/>
      <c r="G527"/>
      <c r="H527"/>
      <c r="I527"/>
      <c r="J527" s="58"/>
      <c r="K527" s="58"/>
      <c r="L527" s="58"/>
      <c r="M527"/>
      <c r="N527"/>
    </row>
    <row r="528" spans="1:14" ht="11.25" customHeight="1">
      <c r="A528"/>
      <c r="B528"/>
      <c r="C528"/>
      <c r="D528"/>
      <c r="E528"/>
      <c r="F528"/>
      <c r="G528"/>
      <c r="H528"/>
      <c r="I528"/>
      <c r="J528" s="58"/>
      <c r="K528" s="58"/>
      <c r="L528" s="58"/>
      <c r="M528"/>
      <c r="N528"/>
    </row>
    <row r="529" spans="1:14" ht="11.25" customHeight="1">
      <c r="A529"/>
      <c r="B529"/>
      <c r="C529"/>
      <c r="D529"/>
      <c r="E529"/>
      <c r="F529"/>
      <c r="G529"/>
      <c r="H529"/>
      <c r="I529"/>
      <c r="J529" s="58"/>
      <c r="K529" s="58"/>
      <c r="L529" s="58"/>
      <c r="M529"/>
      <c r="N529"/>
    </row>
    <row r="530" spans="1:14" ht="11.25" customHeight="1">
      <c r="A530"/>
      <c r="B530"/>
      <c r="C530"/>
      <c r="D530"/>
      <c r="E530"/>
      <c r="F530"/>
      <c r="G530"/>
      <c r="H530"/>
      <c r="I530"/>
      <c r="J530" s="58"/>
      <c r="K530" s="58"/>
      <c r="L530" s="58"/>
      <c r="M530"/>
      <c r="N530"/>
    </row>
    <row r="531" spans="1:14" ht="11.25" customHeight="1">
      <c r="A531"/>
      <c r="B531"/>
      <c r="C531"/>
      <c r="D531"/>
      <c r="E531"/>
      <c r="F531"/>
      <c r="G531"/>
      <c r="H531"/>
      <c r="I531"/>
      <c r="J531" s="58"/>
      <c r="K531" s="58"/>
      <c r="L531" s="58"/>
      <c r="M531"/>
      <c r="N531"/>
    </row>
    <row r="532" spans="1:14" ht="11.25" customHeight="1">
      <c r="A532"/>
      <c r="B532"/>
      <c r="C532"/>
      <c r="D532"/>
      <c r="E532"/>
      <c r="F532"/>
      <c r="G532"/>
      <c r="H532"/>
      <c r="I532"/>
      <c r="J532" s="58"/>
      <c r="K532" s="58"/>
      <c r="L532" s="58"/>
      <c r="M532"/>
      <c r="N532"/>
    </row>
    <row r="533" spans="1:14" ht="11.25" customHeight="1">
      <c r="A533"/>
      <c r="B533"/>
      <c r="C533"/>
      <c r="D533"/>
      <c r="E533"/>
      <c r="F533"/>
      <c r="G533"/>
      <c r="H533"/>
      <c r="I533"/>
      <c r="J533" s="58"/>
      <c r="K533" s="58"/>
      <c r="L533" s="58"/>
      <c r="M533"/>
      <c r="N533"/>
    </row>
    <row r="534" spans="1:14" ht="11.25" customHeight="1">
      <c r="A534"/>
      <c r="B534"/>
      <c r="C534"/>
      <c r="D534"/>
      <c r="E534"/>
      <c r="F534"/>
      <c r="G534"/>
      <c r="H534"/>
      <c r="I534"/>
      <c r="J534" s="58"/>
      <c r="K534" s="58"/>
      <c r="L534" s="58"/>
      <c r="M534"/>
      <c r="N534"/>
    </row>
    <row r="535" spans="1:14" ht="11.25" customHeight="1">
      <c r="A535"/>
      <c r="B535"/>
      <c r="C535"/>
      <c r="D535"/>
      <c r="E535"/>
      <c r="F535"/>
      <c r="G535"/>
      <c r="H535"/>
      <c r="I535"/>
      <c r="J535" s="58"/>
      <c r="K535" s="58"/>
      <c r="L535" s="58"/>
      <c r="M535"/>
      <c r="N535"/>
    </row>
    <row r="536" spans="1:14" ht="11.25" customHeight="1">
      <c r="A536"/>
      <c r="B536"/>
      <c r="C536"/>
      <c r="D536"/>
      <c r="E536"/>
      <c r="F536"/>
      <c r="G536"/>
      <c r="H536"/>
      <c r="I536"/>
      <c r="J536" s="58"/>
      <c r="K536" s="58"/>
      <c r="L536" s="58"/>
      <c r="M536"/>
      <c r="N536"/>
    </row>
    <row r="537" spans="1:14" ht="11.25" customHeight="1">
      <c r="A537"/>
      <c r="B537"/>
      <c r="C537"/>
      <c r="D537"/>
      <c r="E537"/>
      <c r="F537"/>
      <c r="G537"/>
      <c r="H537"/>
      <c r="I537"/>
      <c r="J537" s="58"/>
      <c r="K537" s="58"/>
      <c r="L537" s="58"/>
      <c r="M537"/>
      <c r="N537"/>
    </row>
    <row r="538" spans="1:14" ht="11.25" customHeight="1">
      <c r="A538"/>
      <c r="B538"/>
      <c r="C538"/>
      <c r="D538"/>
      <c r="E538"/>
      <c r="F538"/>
      <c r="G538"/>
      <c r="H538"/>
      <c r="I538"/>
      <c r="J538" s="58"/>
      <c r="K538" s="58"/>
      <c r="L538" s="58"/>
      <c r="M538"/>
      <c r="N538"/>
    </row>
    <row r="539" spans="1:14" ht="11.25" customHeight="1">
      <c r="A539"/>
      <c r="B539"/>
      <c r="C539"/>
      <c r="D539"/>
      <c r="E539"/>
      <c r="F539"/>
      <c r="G539"/>
      <c r="H539"/>
      <c r="I539"/>
      <c r="J539" s="58"/>
      <c r="K539" s="58"/>
      <c r="L539" s="58"/>
      <c r="M539"/>
      <c r="N539"/>
    </row>
    <row r="540" spans="1:14" ht="11.25" customHeight="1">
      <c r="A540"/>
      <c r="B540"/>
      <c r="C540"/>
      <c r="D540"/>
      <c r="E540"/>
      <c r="F540"/>
      <c r="G540"/>
      <c r="H540"/>
      <c r="I540"/>
      <c r="J540" s="58"/>
      <c r="K540" s="58"/>
      <c r="L540" s="58"/>
      <c r="M540"/>
      <c r="N540"/>
    </row>
    <row r="541" spans="1:14" ht="11.25" customHeight="1">
      <c r="A541"/>
      <c r="B541"/>
      <c r="C541"/>
      <c r="D541"/>
      <c r="E541"/>
      <c r="F541"/>
      <c r="G541"/>
      <c r="H541"/>
      <c r="I541"/>
      <c r="J541" s="58"/>
      <c r="K541" s="58"/>
      <c r="L541" s="58"/>
      <c r="M541"/>
      <c r="N541"/>
    </row>
    <row r="542" spans="1:14" ht="11.25" customHeight="1">
      <c r="A542"/>
      <c r="B542"/>
      <c r="C542"/>
      <c r="D542"/>
      <c r="E542"/>
      <c r="F542"/>
      <c r="G542"/>
      <c r="H542"/>
      <c r="I542"/>
      <c r="J542" s="58"/>
      <c r="K542" s="58"/>
      <c r="L542" s="58"/>
      <c r="M542"/>
      <c r="N542"/>
    </row>
    <row r="543" spans="1:14" ht="11.25" customHeight="1">
      <c r="A543"/>
      <c r="B543"/>
      <c r="C543"/>
      <c r="D543"/>
      <c r="E543"/>
      <c r="F543"/>
      <c r="G543"/>
      <c r="H543"/>
      <c r="I543"/>
      <c r="J543" s="58"/>
      <c r="K543" s="58"/>
      <c r="L543" s="58"/>
      <c r="M543"/>
      <c r="N543"/>
    </row>
    <row r="544" spans="1:14" ht="11.25" customHeight="1">
      <c r="A544"/>
      <c r="B544"/>
      <c r="C544"/>
      <c r="D544"/>
      <c r="E544"/>
      <c r="F544"/>
      <c r="G544"/>
      <c r="H544"/>
      <c r="I544"/>
      <c r="J544" s="58"/>
      <c r="K544" s="58"/>
      <c r="L544" s="58"/>
      <c r="M544"/>
      <c r="N544"/>
    </row>
    <row r="545" spans="1:14" ht="11.25" customHeight="1">
      <c r="A545"/>
      <c r="B545"/>
      <c r="C545"/>
      <c r="D545"/>
      <c r="E545"/>
      <c r="F545"/>
      <c r="G545"/>
      <c r="H545"/>
      <c r="I545"/>
      <c r="J545" s="58"/>
      <c r="K545" s="58"/>
      <c r="L545" s="58"/>
      <c r="M545"/>
      <c r="N545"/>
    </row>
    <row r="546" spans="1:14" ht="11.25" customHeight="1">
      <c r="A546"/>
      <c r="B546"/>
      <c r="C546"/>
      <c r="D546"/>
      <c r="E546"/>
      <c r="F546"/>
      <c r="G546"/>
      <c r="H546"/>
      <c r="I546"/>
      <c r="J546" s="58"/>
      <c r="K546" s="58"/>
      <c r="L546" s="58"/>
      <c r="M546"/>
      <c r="N546"/>
    </row>
    <row r="547" spans="1:14" ht="11.25" customHeight="1">
      <c r="A547"/>
      <c r="B547"/>
      <c r="C547"/>
      <c r="D547"/>
      <c r="E547"/>
      <c r="F547"/>
      <c r="G547"/>
      <c r="H547"/>
      <c r="I547"/>
      <c r="J547" s="58"/>
      <c r="K547" s="58"/>
      <c r="L547" s="58"/>
      <c r="M547"/>
      <c r="N547"/>
    </row>
    <row r="548" spans="1:14" ht="11.25" customHeight="1">
      <c r="A548"/>
      <c r="B548"/>
      <c r="C548"/>
      <c r="D548"/>
      <c r="E548"/>
      <c r="F548"/>
      <c r="G548"/>
      <c r="H548"/>
      <c r="I548"/>
      <c r="J548"/>
      <c r="K548" s="58"/>
      <c r="L548" s="58"/>
      <c r="M548"/>
      <c r="N548"/>
    </row>
    <row r="549" spans="1:14" ht="11.25" customHeight="1">
      <c r="A549"/>
      <c r="B549"/>
      <c r="C549"/>
      <c r="D549"/>
      <c r="E549"/>
      <c r="F549"/>
      <c r="G549"/>
      <c r="H549"/>
      <c r="I549"/>
      <c r="J549"/>
      <c r="K549" s="58"/>
      <c r="L549" s="58"/>
      <c r="M549"/>
      <c r="N549"/>
    </row>
    <row r="550" spans="1:14" ht="11.25" customHeight="1">
      <c r="A550"/>
      <c r="B550"/>
      <c r="C550"/>
      <c r="D550"/>
      <c r="E550"/>
      <c r="F550"/>
      <c r="G550"/>
      <c r="H550"/>
      <c r="I550"/>
      <c r="J550"/>
      <c r="K550" s="58"/>
      <c r="L550" s="58"/>
      <c r="M550"/>
      <c r="N550"/>
    </row>
    <row r="551" spans="1:14" ht="11.25" customHeight="1">
      <c r="A551"/>
      <c r="B551"/>
      <c r="C551"/>
      <c r="D551"/>
      <c r="E551"/>
      <c r="F551"/>
      <c r="G551"/>
      <c r="H551"/>
      <c r="I551"/>
      <c r="J551"/>
      <c r="K551" s="58"/>
      <c r="L551" s="58"/>
      <c r="M551"/>
      <c r="N551"/>
    </row>
    <row r="552" spans="1:14" ht="11.25" customHeight="1">
      <c r="A552"/>
      <c r="B552"/>
      <c r="C552"/>
      <c r="D552"/>
      <c r="E552"/>
      <c r="F552"/>
      <c r="G552"/>
      <c r="H552"/>
      <c r="I552"/>
      <c r="J552"/>
      <c r="K552" s="58"/>
      <c r="L552" s="58"/>
      <c r="M552"/>
      <c r="N552"/>
    </row>
    <row r="553" spans="1:14" ht="11.25" customHeight="1">
      <c r="A553"/>
      <c r="B553"/>
      <c r="C553"/>
      <c r="D553"/>
      <c r="E553"/>
      <c r="F553"/>
      <c r="G553"/>
      <c r="H553"/>
      <c r="I553"/>
      <c r="J553"/>
      <c r="K553" s="58"/>
      <c r="L553" s="58"/>
      <c r="M553"/>
      <c r="N553"/>
    </row>
    <row r="554" spans="1:14" ht="11.25" customHeight="1">
      <c r="A554"/>
      <c r="B554"/>
      <c r="C554"/>
      <c r="D554"/>
      <c r="E554"/>
      <c r="F554"/>
      <c r="G554"/>
      <c r="H554"/>
      <c r="I554"/>
      <c r="J554"/>
      <c r="K554" s="58"/>
      <c r="L554" s="58"/>
      <c r="M554"/>
      <c r="N554"/>
    </row>
    <row r="555" spans="1:14" ht="11.25" customHeight="1">
      <c r="A555"/>
      <c r="B555"/>
      <c r="C555"/>
      <c r="D555"/>
      <c r="E555"/>
      <c r="F555"/>
      <c r="G555"/>
      <c r="H555"/>
      <c r="I555"/>
      <c r="J555"/>
      <c r="K555" s="58"/>
      <c r="L555" s="58"/>
      <c r="M555"/>
      <c r="N555"/>
    </row>
    <row r="556" spans="1:14" ht="11.25" customHeight="1">
      <c r="A556"/>
      <c r="B556"/>
      <c r="C556"/>
      <c r="D556"/>
      <c r="E556"/>
      <c r="F556"/>
      <c r="G556"/>
      <c r="H556"/>
      <c r="I556"/>
      <c r="J556"/>
      <c r="K556" s="58"/>
      <c r="L556" s="58"/>
      <c r="M556"/>
      <c r="N556"/>
    </row>
    <row r="557" spans="1:14" ht="11.25" customHeight="1">
      <c r="A557"/>
      <c r="B557"/>
      <c r="C557"/>
      <c r="D557"/>
      <c r="E557"/>
      <c r="F557"/>
      <c r="G557"/>
      <c r="H557"/>
      <c r="I557"/>
      <c r="J557"/>
      <c r="K557" s="58"/>
      <c r="L557" s="58"/>
      <c r="M557"/>
      <c r="N557"/>
    </row>
    <row r="558" spans="1:14" ht="11.25" customHeight="1">
      <c r="A558"/>
      <c r="B558"/>
      <c r="C558"/>
      <c r="D558"/>
      <c r="E558"/>
      <c r="F558"/>
      <c r="G558"/>
      <c r="H558"/>
      <c r="I558"/>
      <c r="J558"/>
      <c r="K558" s="58"/>
      <c r="L558" s="58"/>
      <c r="M558"/>
      <c r="N558"/>
    </row>
    <row r="559" spans="1:14" ht="11.25" customHeight="1">
      <c r="A559"/>
      <c r="B559"/>
      <c r="C559"/>
      <c r="D559"/>
      <c r="E559"/>
      <c r="F559"/>
      <c r="G559"/>
      <c r="H559"/>
      <c r="I559"/>
      <c r="J559"/>
      <c r="K559" s="58"/>
      <c r="L559" s="58"/>
      <c r="M559"/>
      <c r="N559"/>
    </row>
    <row r="560" spans="1:14" ht="11.25" customHeight="1">
      <c r="A560"/>
      <c r="B560"/>
      <c r="C560"/>
      <c r="D560"/>
      <c r="E560"/>
      <c r="F560"/>
      <c r="G560"/>
      <c r="H560"/>
      <c r="I560"/>
      <c r="J560"/>
      <c r="K560" s="58"/>
      <c r="L560" s="58"/>
      <c r="M560"/>
      <c r="N560"/>
    </row>
    <row r="561" spans="1:14" ht="11.25" customHeight="1">
      <c r="A561"/>
      <c r="B561"/>
      <c r="C561"/>
      <c r="D561"/>
      <c r="E561"/>
      <c r="F561"/>
      <c r="G561"/>
      <c r="H561"/>
      <c r="I561"/>
      <c r="J561"/>
      <c r="K561" s="58"/>
      <c r="L561" s="58"/>
      <c r="M561"/>
      <c r="N561"/>
    </row>
    <row r="562" spans="1:14" ht="11.25" customHeight="1">
      <c r="A562"/>
      <c r="B562"/>
      <c r="C562"/>
      <c r="D562"/>
      <c r="E562"/>
      <c r="F562"/>
      <c r="G562"/>
      <c r="H562"/>
      <c r="I562"/>
      <c r="J562"/>
      <c r="K562" s="58"/>
      <c r="L562" s="58"/>
      <c r="M562"/>
      <c r="N562"/>
    </row>
    <row r="563" spans="1:14" ht="11.25" customHeight="1">
      <c r="A563"/>
      <c r="B563"/>
      <c r="C563"/>
      <c r="D563"/>
      <c r="E563"/>
      <c r="F563"/>
      <c r="G563"/>
      <c r="H563"/>
      <c r="I563"/>
      <c r="J563"/>
      <c r="K563" s="58"/>
      <c r="L563" s="58"/>
      <c r="M563"/>
      <c r="N563"/>
    </row>
    <row r="564" spans="1:14" ht="11.25" customHeight="1">
      <c r="A564"/>
      <c r="B564"/>
      <c r="C564"/>
      <c r="D564"/>
      <c r="E564"/>
      <c r="F564"/>
      <c r="G564"/>
      <c r="H564"/>
      <c r="I564"/>
      <c r="J564"/>
      <c r="K564" s="58"/>
      <c r="L564" s="58"/>
      <c r="M564"/>
      <c r="N564"/>
    </row>
    <row r="565" spans="1:14" ht="11.25" customHeight="1">
      <c r="A565"/>
      <c r="B565"/>
      <c r="C565"/>
      <c r="D565"/>
      <c r="E565"/>
      <c r="F565"/>
      <c r="G565"/>
      <c r="H565"/>
      <c r="I565"/>
      <c r="J565"/>
      <c r="K565" s="58"/>
      <c r="L565" s="58"/>
      <c r="M565"/>
      <c r="N565"/>
    </row>
    <row r="566" spans="1:14" ht="11.25" customHeight="1">
      <c r="A566"/>
      <c r="B566"/>
      <c r="C566"/>
      <c r="D566"/>
      <c r="E566"/>
      <c r="F566"/>
      <c r="G566"/>
      <c r="H566"/>
      <c r="I566"/>
      <c r="J566"/>
      <c r="K566" s="58"/>
      <c r="L566" s="58"/>
      <c r="M566"/>
      <c r="N566"/>
    </row>
    <row r="567" spans="1:14" ht="11.25" customHeight="1">
      <c r="A567"/>
      <c r="B567"/>
      <c r="C567"/>
      <c r="D567"/>
      <c r="E567"/>
      <c r="F567"/>
      <c r="G567"/>
      <c r="H567"/>
      <c r="I567"/>
      <c r="J567"/>
      <c r="K567" s="58"/>
      <c r="L567" s="58"/>
      <c r="M567"/>
      <c r="N567"/>
    </row>
    <row r="568" spans="1:14" ht="11.25" customHeight="1">
      <c r="A568"/>
      <c r="B568"/>
      <c r="C568"/>
      <c r="D568"/>
      <c r="E568"/>
      <c r="F568"/>
      <c r="G568"/>
      <c r="H568"/>
      <c r="I568"/>
      <c r="J568"/>
      <c r="K568" s="58"/>
      <c r="L568" s="58"/>
      <c r="M568"/>
      <c r="N568"/>
    </row>
    <row r="569" spans="1:14" ht="11.25" customHeight="1">
      <c r="A569"/>
      <c r="B569"/>
      <c r="C569"/>
      <c r="D569"/>
      <c r="E569"/>
      <c r="F569"/>
      <c r="G569"/>
      <c r="H569"/>
      <c r="I569"/>
      <c r="J569"/>
      <c r="K569" s="58"/>
      <c r="L569" s="58"/>
      <c r="M569"/>
      <c r="N569"/>
    </row>
    <row r="570" spans="1:14" ht="11.25" customHeight="1">
      <c r="A570"/>
      <c r="B570"/>
      <c r="C570"/>
      <c r="D570"/>
      <c r="E570"/>
      <c r="F570"/>
      <c r="G570"/>
      <c r="H570"/>
      <c r="I570"/>
      <c r="J570"/>
      <c r="K570" s="58"/>
      <c r="L570" s="58"/>
      <c r="M570"/>
      <c r="N570"/>
    </row>
    <row r="571" spans="1:14" ht="11.25" customHeight="1">
      <c r="A571"/>
      <c r="B571"/>
      <c r="C571"/>
      <c r="D571"/>
      <c r="E571"/>
      <c r="F571"/>
      <c r="G571"/>
      <c r="H571"/>
      <c r="I571"/>
      <c r="J571"/>
      <c r="K571" s="58"/>
      <c r="L571" s="58"/>
      <c r="M571"/>
      <c r="N571"/>
    </row>
    <row r="572" spans="1:14" ht="11.25" customHeight="1">
      <c r="A572"/>
      <c r="B572"/>
      <c r="C572"/>
      <c r="D572"/>
      <c r="E572"/>
      <c r="F572"/>
      <c r="G572"/>
      <c r="H572"/>
      <c r="I572"/>
      <c r="J572"/>
      <c r="K572" s="58"/>
      <c r="L572" s="58"/>
      <c r="M572"/>
      <c r="N572"/>
    </row>
    <row r="573" spans="1:14" ht="11.25" customHeight="1">
      <c r="A573"/>
      <c r="B573"/>
      <c r="C573"/>
      <c r="D573"/>
      <c r="E573"/>
      <c r="F573"/>
      <c r="G573"/>
      <c r="H573"/>
      <c r="I573"/>
      <c r="J573"/>
      <c r="K573" s="58"/>
      <c r="L573" s="58"/>
      <c r="M573"/>
      <c r="N573"/>
    </row>
    <row r="574" spans="1:14" ht="11.25" customHeight="1">
      <c r="A574"/>
      <c r="B574"/>
      <c r="C574"/>
      <c r="D574"/>
      <c r="E574"/>
      <c r="F574"/>
      <c r="G574"/>
      <c r="H574"/>
      <c r="I574"/>
      <c r="J574"/>
      <c r="K574" s="58"/>
      <c r="L574" s="58"/>
      <c r="M574"/>
      <c r="N574"/>
    </row>
    <row r="575" spans="1:14" ht="11.25" customHeight="1">
      <c r="A575"/>
      <c r="B575"/>
      <c r="C575"/>
      <c r="D575"/>
      <c r="E575"/>
      <c r="F575"/>
      <c r="G575"/>
      <c r="H575"/>
      <c r="I575"/>
      <c r="J575"/>
      <c r="K575" s="58"/>
      <c r="L575" s="58"/>
      <c r="M575"/>
      <c r="N575"/>
    </row>
    <row r="576" spans="1:14" ht="11.25" customHeight="1">
      <c r="A576"/>
      <c r="B576"/>
      <c r="C576"/>
      <c r="D576"/>
      <c r="E576"/>
      <c r="F576"/>
      <c r="G576"/>
      <c r="H576"/>
      <c r="I576"/>
      <c r="J576"/>
      <c r="K576" s="58"/>
      <c r="L576" s="58"/>
      <c r="M576"/>
      <c r="N576"/>
    </row>
    <row r="577" spans="1:14" ht="11.25" customHeight="1">
      <c r="A577"/>
      <c r="B577"/>
      <c r="C577"/>
      <c r="D577"/>
      <c r="E577"/>
      <c r="F577"/>
      <c r="G577"/>
      <c r="H577"/>
      <c r="I577"/>
      <c r="J577"/>
      <c r="K577" s="58"/>
      <c r="L577" s="58"/>
      <c r="M577"/>
      <c r="N577"/>
    </row>
    <row r="578" spans="1:14" ht="11.25" customHeight="1">
      <c r="A578"/>
      <c r="B578"/>
      <c r="C578"/>
      <c r="D578"/>
      <c r="E578"/>
      <c r="F578"/>
      <c r="G578"/>
      <c r="H578"/>
      <c r="I578"/>
      <c r="J578"/>
      <c r="K578" s="58"/>
      <c r="L578" s="58"/>
      <c r="M578"/>
      <c r="N578"/>
    </row>
    <row r="579" spans="1:14" ht="11.25" customHeight="1">
      <c r="A579"/>
      <c r="B579"/>
      <c r="C579"/>
      <c r="D579"/>
      <c r="E579"/>
      <c r="F579"/>
      <c r="G579"/>
      <c r="H579"/>
      <c r="I579"/>
      <c r="J579"/>
      <c r="K579" s="58"/>
      <c r="L579" s="58"/>
      <c r="M579"/>
      <c r="N579"/>
    </row>
    <row r="580" spans="1:14" ht="11.25" customHeight="1">
      <c r="A580"/>
      <c r="B580"/>
      <c r="C580"/>
      <c r="D580"/>
      <c r="E580"/>
      <c r="F580"/>
      <c r="G580"/>
      <c r="H580"/>
      <c r="I580"/>
      <c r="J580"/>
      <c r="K580" s="58"/>
      <c r="L580" s="58"/>
      <c r="M580"/>
      <c r="N580"/>
    </row>
    <row r="581" spans="1:14" ht="11.25" customHeight="1">
      <c r="A581"/>
      <c r="B581"/>
      <c r="C581"/>
      <c r="D581"/>
      <c r="E581"/>
      <c r="F581"/>
      <c r="G581"/>
      <c r="H581"/>
      <c r="I581"/>
      <c r="J581"/>
      <c r="K581" s="58"/>
      <c r="L581" s="58"/>
      <c r="M581"/>
      <c r="N581"/>
    </row>
    <row r="582" spans="1:14" ht="11.25" customHeight="1">
      <c r="A582"/>
      <c r="B582"/>
      <c r="C582"/>
      <c r="D582"/>
      <c r="E582"/>
      <c r="F582"/>
      <c r="G582"/>
      <c r="H582"/>
      <c r="I582"/>
      <c r="J582"/>
      <c r="K582" s="58"/>
      <c r="L582" s="58"/>
      <c r="M582"/>
      <c r="N582"/>
    </row>
    <row r="583" spans="1:14" ht="11.25" customHeight="1">
      <c r="A583"/>
      <c r="B583"/>
      <c r="C583"/>
      <c r="D583"/>
      <c r="E583"/>
      <c r="F583"/>
      <c r="G583"/>
      <c r="H583"/>
      <c r="I583"/>
      <c r="J583"/>
      <c r="K583" s="58"/>
      <c r="L583" s="58"/>
      <c r="M583"/>
      <c r="N583"/>
    </row>
    <row r="584" spans="1:14" ht="11.25" customHeight="1">
      <c r="A584"/>
      <c r="B584"/>
      <c r="C584"/>
      <c r="D584"/>
      <c r="E584"/>
      <c r="F584"/>
      <c r="G584"/>
      <c r="H584"/>
      <c r="I584"/>
      <c r="J584"/>
      <c r="K584" s="58"/>
      <c r="L584" s="58"/>
      <c r="M584"/>
      <c r="N584"/>
    </row>
    <row r="585" spans="1:14" ht="11.25" customHeight="1">
      <c r="A585"/>
      <c r="B585"/>
      <c r="C585"/>
      <c r="D585"/>
      <c r="E585"/>
      <c r="F585"/>
      <c r="G585"/>
      <c r="H585"/>
      <c r="I585"/>
      <c r="J585"/>
      <c r="K585" s="58"/>
      <c r="L585" s="58"/>
      <c r="M585"/>
      <c r="N585"/>
    </row>
    <row r="586" spans="1:14" ht="11.25" customHeight="1">
      <c r="A586"/>
      <c r="B586"/>
      <c r="C586"/>
      <c r="D586"/>
      <c r="E586"/>
      <c r="F586"/>
      <c r="G586"/>
      <c r="H586"/>
      <c r="I586"/>
      <c r="J586"/>
      <c r="K586" s="58"/>
      <c r="L586" s="58"/>
      <c r="M586"/>
      <c r="N586"/>
    </row>
    <row r="587" spans="1:14" ht="11.25" customHeight="1">
      <c r="A587"/>
      <c r="B587"/>
      <c r="C587"/>
      <c r="D587"/>
      <c r="E587"/>
      <c r="F587"/>
      <c r="G587"/>
      <c r="H587"/>
      <c r="I587"/>
      <c r="J587"/>
      <c r="K587" s="58"/>
      <c r="L587" s="58"/>
      <c r="M587"/>
      <c r="N587"/>
    </row>
    <row r="588" spans="1:14" ht="11.25" customHeight="1">
      <c r="A588"/>
      <c r="B588"/>
      <c r="C588"/>
      <c r="D588"/>
      <c r="E588"/>
      <c r="F588"/>
      <c r="G588"/>
      <c r="H588"/>
      <c r="I588"/>
      <c r="J588"/>
      <c r="K588" s="58"/>
      <c r="L588" s="58"/>
      <c r="M588"/>
      <c r="N588"/>
    </row>
    <row r="589" spans="1:14" ht="11.25" customHeight="1">
      <c r="A589"/>
      <c r="B589"/>
      <c r="C589"/>
      <c r="D589"/>
      <c r="E589"/>
      <c r="F589"/>
      <c r="G589"/>
      <c r="H589"/>
      <c r="I589"/>
      <c r="J589"/>
      <c r="K589" s="58"/>
      <c r="L589" s="58"/>
      <c r="M589"/>
      <c r="N589"/>
    </row>
    <row r="590" spans="1:14" ht="11.25" customHeight="1">
      <c r="A590"/>
      <c r="B590"/>
      <c r="C590"/>
      <c r="D590"/>
      <c r="E590"/>
      <c r="F590"/>
      <c r="G590"/>
      <c r="H590"/>
      <c r="I590"/>
      <c r="J590"/>
      <c r="K590" s="58"/>
      <c r="L590" s="58"/>
      <c r="M590"/>
      <c r="N590"/>
    </row>
    <row r="591" spans="1:14" ht="11.25" customHeight="1">
      <c r="A591"/>
      <c r="B591"/>
      <c r="C591"/>
      <c r="D591"/>
      <c r="E591"/>
      <c r="F591"/>
      <c r="G591"/>
      <c r="H591"/>
      <c r="I591"/>
      <c r="J591"/>
      <c r="K591" s="58"/>
      <c r="L591" s="58"/>
      <c r="M591"/>
      <c r="N591"/>
    </row>
    <row r="592" spans="1:14" ht="11.25" customHeight="1">
      <c r="A592"/>
      <c r="B592"/>
      <c r="C592"/>
      <c r="D592"/>
      <c r="E592"/>
      <c r="F592"/>
      <c r="G592"/>
      <c r="H592"/>
      <c r="I592"/>
      <c r="J592"/>
      <c r="K592" s="58"/>
      <c r="L592" s="58"/>
      <c r="M592"/>
      <c r="N592"/>
    </row>
    <row r="593" spans="1:14" ht="11.25" customHeight="1">
      <c r="A593"/>
      <c r="B593"/>
      <c r="C593"/>
      <c r="D593"/>
      <c r="E593"/>
      <c r="F593"/>
      <c r="G593"/>
      <c r="H593"/>
      <c r="I593"/>
      <c r="J593"/>
      <c r="K593" s="58"/>
      <c r="L593" s="58"/>
      <c r="M593"/>
      <c r="N593"/>
    </row>
    <row r="594" spans="1:14" ht="11.25" customHeight="1">
      <c r="A594"/>
      <c r="B594"/>
      <c r="C594"/>
      <c r="D594"/>
      <c r="E594"/>
      <c r="F594"/>
      <c r="G594"/>
      <c r="H594"/>
      <c r="I594"/>
      <c r="J594"/>
      <c r="K594" s="58"/>
      <c r="L594" s="58"/>
      <c r="M594"/>
      <c r="N594"/>
    </row>
    <row r="595" spans="1:14" ht="11.25" customHeight="1">
      <c r="A595"/>
      <c r="B595"/>
      <c r="C595"/>
      <c r="D595"/>
      <c r="E595"/>
      <c r="F595"/>
      <c r="G595"/>
      <c r="H595"/>
      <c r="I595"/>
      <c r="J595"/>
      <c r="K595" s="58"/>
      <c r="L595" s="58"/>
      <c r="M595"/>
      <c r="N595"/>
    </row>
    <row r="596" spans="1:14" ht="11.25" customHeight="1">
      <c r="A596"/>
      <c r="B596"/>
      <c r="C596"/>
      <c r="D596"/>
      <c r="E596"/>
      <c r="F596"/>
      <c r="G596"/>
      <c r="H596"/>
      <c r="I596"/>
      <c r="J596"/>
      <c r="K596" s="58"/>
      <c r="L596" s="58"/>
      <c r="M596"/>
      <c r="N596"/>
    </row>
    <row r="597" spans="1:14" ht="11.25" customHeight="1">
      <c r="A597"/>
      <c r="B597"/>
      <c r="C597"/>
      <c r="D597"/>
      <c r="E597"/>
      <c r="F597"/>
      <c r="G597"/>
      <c r="H597"/>
      <c r="I597"/>
      <c r="J597"/>
      <c r="K597" s="58"/>
      <c r="L597" s="58"/>
      <c r="M597"/>
      <c r="N597"/>
    </row>
    <row r="598" spans="1:14" ht="11.25" customHeight="1">
      <c r="A598"/>
      <c r="B598"/>
      <c r="C598"/>
      <c r="D598"/>
      <c r="E598"/>
      <c r="F598"/>
      <c r="G598"/>
      <c r="H598"/>
      <c r="I598"/>
      <c r="J598"/>
      <c r="K598" s="58"/>
      <c r="L598" s="58"/>
      <c r="M598"/>
      <c r="N598"/>
    </row>
    <row r="599" spans="1:14" ht="11.25" customHeight="1">
      <c r="A599"/>
      <c r="B599"/>
      <c r="C599"/>
      <c r="D599"/>
      <c r="E599"/>
      <c r="F599"/>
      <c r="G599"/>
      <c r="H599"/>
      <c r="I599"/>
      <c r="J599"/>
      <c r="K599" s="58"/>
      <c r="L599" s="58"/>
      <c r="M599"/>
      <c r="N599"/>
    </row>
    <row r="600" spans="1:14" ht="11.25" customHeight="1">
      <c r="A600"/>
      <c r="B600"/>
      <c r="C600"/>
      <c r="D600"/>
      <c r="E600"/>
      <c r="F600"/>
      <c r="G600"/>
      <c r="H600"/>
      <c r="I600"/>
      <c r="J600"/>
      <c r="K600" s="58"/>
      <c r="L600" s="58"/>
      <c r="M600"/>
      <c r="N600"/>
    </row>
    <row r="601" spans="1:14" ht="11.25" customHeight="1">
      <c r="A601"/>
      <c r="B601"/>
      <c r="C601"/>
      <c r="D601"/>
      <c r="E601"/>
      <c r="F601"/>
      <c r="G601"/>
      <c r="H601"/>
      <c r="I601"/>
      <c r="J601"/>
      <c r="K601" s="58"/>
      <c r="L601" s="58"/>
      <c r="M601"/>
      <c r="N601"/>
    </row>
    <row r="602" spans="1:14" ht="11.25" customHeight="1">
      <c r="A602"/>
      <c r="B602"/>
      <c r="C602"/>
      <c r="D602"/>
      <c r="E602"/>
      <c r="F602"/>
      <c r="G602"/>
      <c r="H602"/>
      <c r="I602"/>
      <c r="J602"/>
      <c r="K602" s="58"/>
      <c r="L602" s="58"/>
      <c r="M602"/>
      <c r="N602"/>
    </row>
    <row r="603" spans="1:14" ht="11.25" customHeight="1">
      <c r="A603"/>
      <c r="B603"/>
      <c r="C603"/>
      <c r="D603"/>
      <c r="E603"/>
      <c r="F603"/>
      <c r="G603"/>
      <c r="H603"/>
      <c r="I603"/>
      <c r="J603"/>
      <c r="K603" s="58"/>
      <c r="L603" s="58"/>
      <c r="M603"/>
      <c r="N603"/>
    </row>
    <row r="604" spans="1:14" ht="11.25" customHeight="1">
      <c r="A604"/>
      <c r="B604"/>
      <c r="C604"/>
      <c r="D604"/>
      <c r="E604"/>
      <c r="F604"/>
      <c r="G604"/>
      <c r="H604"/>
      <c r="I604"/>
      <c r="J604"/>
      <c r="K604" s="58"/>
      <c r="L604" s="58"/>
      <c r="M604"/>
      <c r="N604"/>
    </row>
    <row r="605" spans="1:14" ht="11.25" customHeight="1">
      <c r="A605"/>
      <c r="B605"/>
      <c r="C605"/>
      <c r="D605"/>
      <c r="E605"/>
      <c r="F605"/>
      <c r="G605"/>
      <c r="H605"/>
      <c r="I605"/>
      <c r="J605"/>
      <c r="K605" s="58"/>
      <c r="L605" s="58"/>
      <c r="M605"/>
      <c r="N605"/>
    </row>
    <row r="606" spans="1:14" ht="11.25" customHeight="1">
      <c r="A606"/>
      <c r="B606"/>
      <c r="C606"/>
      <c r="D606"/>
      <c r="E606"/>
      <c r="F606"/>
      <c r="G606"/>
      <c r="H606"/>
      <c r="I606"/>
      <c r="J606"/>
      <c r="K606" s="58"/>
      <c r="L606" s="58"/>
      <c r="M606"/>
      <c r="N606"/>
    </row>
    <row r="607" spans="1:14" ht="11.25" customHeight="1">
      <c r="A607"/>
      <c r="B607"/>
      <c r="C607"/>
      <c r="D607"/>
      <c r="E607"/>
      <c r="F607"/>
      <c r="G607"/>
      <c r="H607"/>
      <c r="I607"/>
      <c r="J607"/>
      <c r="K607" s="58"/>
      <c r="L607" s="58"/>
      <c r="M607"/>
      <c r="N607"/>
    </row>
    <row r="608" spans="1:14" ht="11.25" customHeight="1">
      <c r="A608"/>
      <c r="B608"/>
      <c r="C608"/>
      <c r="D608"/>
      <c r="E608"/>
      <c r="F608"/>
      <c r="G608"/>
      <c r="H608"/>
      <c r="I608"/>
      <c r="J608"/>
      <c r="K608" s="58"/>
      <c r="L608" s="58"/>
      <c r="M608"/>
      <c r="N608"/>
    </row>
    <row r="609" spans="1:14" ht="11.25" customHeight="1">
      <c r="A609"/>
      <c r="B609"/>
      <c r="C609"/>
      <c r="D609"/>
      <c r="E609"/>
      <c r="F609"/>
      <c r="G609"/>
      <c r="H609"/>
      <c r="I609"/>
      <c r="J609"/>
      <c r="K609" s="58"/>
      <c r="L609" s="58"/>
      <c r="M609"/>
      <c r="N609"/>
    </row>
    <row r="610" spans="1:14" ht="11.25" customHeight="1">
      <c r="A610"/>
      <c r="B610"/>
      <c r="C610"/>
      <c r="D610"/>
      <c r="E610"/>
      <c r="F610"/>
      <c r="G610"/>
      <c r="H610"/>
      <c r="I610"/>
      <c r="J610"/>
      <c r="K610" s="58"/>
      <c r="L610" s="58"/>
      <c r="M610"/>
      <c r="N610"/>
    </row>
    <row r="611" spans="1:14" ht="11.25" customHeight="1">
      <c r="A611"/>
      <c r="B611"/>
      <c r="C611"/>
      <c r="D611"/>
      <c r="E611"/>
      <c r="F611"/>
      <c r="G611"/>
      <c r="H611"/>
      <c r="I611"/>
      <c r="J611"/>
      <c r="K611" s="58"/>
      <c r="L611" s="58"/>
      <c r="M611"/>
      <c r="N611"/>
    </row>
    <row r="612" spans="1:14" ht="11.25" customHeight="1">
      <c r="A612"/>
      <c r="B612"/>
      <c r="C612"/>
      <c r="D612"/>
      <c r="E612"/>
      <c r="F612"/>
      <c r="G612"/>
      <c r="H612"/>
      <c r="I612"/>
      <c r="J612"/>
      <c r="K612" s="58"/>
      <c r="L612" s="58"/>
      <c r="M612"/>
      <c r="N612"/>
    </row>
    <row r="613" spans="1:14" ht="11.25" customHeight="1">
      <c r="A613"/>
      <c r="B613"/>
      <c r="C613"/>
      <c r="D613"/>
      <c r="E613"/>
      <c r="F613"/>
      <c r="G613"/>
      <c r="H613"/>
      <c r="I613"/>
      <c r="J613"/>
      <c r="K613" s="58"/>
      <c r="L613" s="58"/>
      <c r="M613"/>
      <c r="N613"/>
    </row>
    <row r="614" spans="1:14" ht="11.25" customHeight="1">
      <c r="A614"/>
      <c r="B614"/>
      <c r="C614"/>
      <c r="D614"/>
      <c r="E614"/>
      <c r="F614"/>
      <c r="G614"/>
      <c r="H614"/>
      <c r="I614"/>
      <c r="J614"/>
      <c r="K614" s="58"/>
      <c r="L614" s="58"/>
      <c r="M614"/>
      <c r="N614"/>
    </row>
    <row r="615" spans="1:14" ht="11.25" customHeight="1">
      <c r="A615"/>
      <c r="B615"/>
      <c r="C615"/>
      <c r="D615"/>
      <c r="E615"/>
      <c r="F615"/>
      <c r="G615"/>
      <c r="H615"/>
      <c r="I615"/>
      <c r="J615"/>
      <c r="K615" s="58"/>
      <c r="L615" s="58"/>
      <c r="M615"/>
      <c r="N615"/>
    </row>
    <row r="616" spans="1:14" ht="11.25" customHeight="1">
      <c r="A616"/>
      <c r="B616"/>
      <c r="C616"/>
      <c r="D616"/>
      <c r="E616"/>
      <c r="F616"/>
      <c r="G616"/>
      <c r="H616"/>
      <c r="I616"/>
      <c r="J616"/>
      <c r="K616" s="58"/>
      <c r="L616" s="58"/>
      <c r="M616"/>
      <c r="N616"/>
    </row>
    <row r="617" spans="1:14" ht="11.25" customHeight="1">
      <c r="A617"/>
      <c r="B617"/>
      <c r="C617"/>
      <c r="D617"/>
      <c r="E617"/>
      <c r="F617"/>
      <c r="G617"/>
      <c r="H617"/>
      <c r="I617"/>
      <c r="J617"/>
      <c r="K617" s="58"/>
      <c r="L617" s="58"/>
      <c r="M617"/>
      <c r="N617"/>
    </row>
    <row r="618" spans="1:14" ht="11.25" customHeight="1">
      <c r="A618"/>
      <c r="B618"/>
      <c r="C618"/>
      <c r="D618"/>
      <c r="E618"/>
      <c r="F618"/>
      <c r="G618"/>
      <c r="H618"/>
      <c r="I618"/>
      <c r="J618"/>
      <c r="K618" s="58"/>
      <c r="L618" s="58"/>
      <c r="M618"/>
      <c r="N618"/>
    </row>
    <row r="619" spans="1:14" ht="11.25" customHeight="1">
      <c r="A619"/>
      <c r="B619"/>
      <c r="C619"/>
      <c r="D619"/>
      <c r="E619"/>
      <c r="F619"/>
      <c r="G619"/>
      <c r="H619"/>
      <c r="I619"/>
      <c r="J619"/>
      <c r="K619" s="58"/>
      <c r="L619" s="58"/>
      <c r="M619"/>
      <c r="N619"/>
    </row>
    <row r="620" spans="1:14" ht="11.25" customHeight="1">
      <c r="A620"/>
      <c r="B620"/>
      <c r="C620"/>
      <c r="D620"/>
      <c r="E620"/>
      <c r="F620"/>
      <c r="G620"/>
      <c r="H620"/>
      <c r="I620"/>
      <c r="J620"/>
      <c r="K620" s="58"/>
      <c r="L620" s="58"/>
      <c r="M620"/>
      <c r="N620"/>
    </row>
    <row r="621" spans="1:14" ht="11.25" customHeight="1">
      <c r="A621"/>
      <c r="B621"/>
      <c r="C621"/>
      <c r="D621"/>
      <c r="E621"/>
      <c r="F621"/>
      <c r="G621"/>
      <c r="H621"/>
      <c r="I621"/>
      <c r="J621"/>
      <c r="K621" s="58"/>
      <c r="L621" s="58"/>
      <c r="M621"/>
      <c r="N621"/>
    </row>
    <row r="622" spans="1:14" ht="11.25" customHeight="1">
      <c r="A622"/>
      <c r="B622"/>
      <c r="C622"/>
      <c r="D622"/>
      <c r="E622"/>
      <c r="F622"/>
      <c r="G622"/>
      <c r="H622"/>
      <c r="I622"/>
      <c r="J622"/>
      <c r="K622" s="58"/>
      <c r="L622" s="58"/>
      <c r="M622"/>
      <c r="N622"/>
    </row>
    <row r="623" spans="1:14" ht="11.25" customHeight="1">
      <c r="A623"/>
      <c r="B623"/>
      <c r="C623"/>
      <c r="D623"/>
      <c r="E623"/>
      <c r="F623"/>
      <c r="G623"/>
      <c r="H623"/>
      <c r="I623"/>
      <c r="J623"/>
      <c r="K623" s="58"/>
      <c r="L623" s="58"/>
      <c r="M623"/>
      <c r="N623"/>
    </row>
    <row r="624" spans="1:14" ht="11.25" customHeight="1">
      <c r="A624"/>
      <c r="B624"/>
      <c r="C624"/>
      <c r="D624"/>
      <c r="E624"/>
      <c r="F624"/>
      <c r="G624"/>
      <c r="H624"/>
      <c r="I624"/>
      <c r="J624"/>
      <c r="K624" s="58"/>
      <c r="L624" s="58"/>
      <c r="M624"/>
      <c r="N624"/>
    </row>
    <row r="625" spans="1:14" ht="11.25" customHeight="1">
      <c r="A625"/>
      <c r="B625"/>
      <c r="C625"/>
      <c r="D625"/>
      <c r="E625"/>
      <c r="F625"/>
      <c r="G625"/>
      <c r="H625"/>
      <c r="I625"/>
      <c r="J625"/>
      <c r="K625" s="58"/>
      <c r="L625" s="58"/>
      <c r="M625"/>
      <c r="N625"/>
    </row>
    <row r="626" spans="1:14" ht="11.25" customHeight="1">
      <c r="A626"/>
      <c r="B626"/>
      <c r="C626"/>
      <c r="D626"/>
      <c r="E626"/>
      <c r="F626"/>
      <c r="G626"/>
      <c r="H626"/>
      <c r="I626"/>
      <c r="J626"/>
      <c r="K626" s="58"/>
      <c r="L626" s="58"/>
      <c r="M626"/>
      <c r="N626"/>
    </row>
    <row r="627" spans="1:14" ht="11.25" customHeight="1">
      <c r="A627"/>
      <c r="B627"/>
      <c r="C627"/>
      <c r="D627"/>
      <c r="E627"/>
      <c r="F627"/>
      <c r="G627"/>
      <c r="H627"/>
      <c r="I627"/>
      <c r="J627"/>
      <c r="K627" s="58"/>
      <c r="L627" s="58"/>
      <c r="M627"/>
      <c r="N627"/>
    </row>
    <row r="628" spans="1:14" ht="11.25" customHeight="1">
      <c r="A628"/>
      <c r="B628"/>
      <c r="C628"/>
      <c r="D628"/>
      <c r="E628"/>
      <c r="F628"/>
      <c r="G628"/>
      <c r="H628"/>
      <c r="I628"/>
      <c r="J628"/>
      <c r="K628" s="58"/>
      <c r="L628" s="58"/>
      <c r="M628"/>
      <c r="N628"/>
    </row>
    <row r="629" spans="1:14" ht="11.25" customHeight="1">
      <c r="A629"/>
      <c r="B629"/>
      <c r="C629"/>
      <c r="D629"/>
      <c r="E629"/>
      <c r="F629"/>
      <c r="G629"/>
      <c r="H629"/>
      <c r="I629"/>
      <c r="J629"/>
      <c r="K629" s="58"/>
      <c r="L629" s="58"/>
      <c r="M629"/>
      <c r="N629"/>
    </row>
    <row r="630" spans="1:14" ht="11.25" customHeight="1">
      <c r="A630"/>
      <c r="B630"/>
      <c r="C630"/>
      <c r="D630"/>
      <c r="E630"/>
      <c r="F630"/>
      <c r="G630"/>
      <c r="H630"/>
      <c r="I630"/>
      <c r="J630"/>
      <c r="K630" s="58"/>
      <c r="L630" s="58"/>
      <c r="M630"/>
      <c r="N630"/>
    </row>
    <row r="631" spans="1:14" ht="11.25" customHeight="1">
      <c r="A631"/>
      <c r="B631"/>
      <c r="C631"/>
      <c r="D631"/>
      <c r="E631"/>
      <c r="F631"/>
      <c r="G631"/>
      <c r="H631"/>
      <c r="I631"/>
      <c r="J631"/>
      <c r="K631" s="58"/>
      <c r="L631" s="58"/>
      <c r="M631"/>
      <c r="N631"/>
    </row>
    <row r="632" spans="1:14" ht="11.25" customHeight="1">
      <c r="A632"/>
      <c r="B632"/>
      <c r="C632"/>
      <c r="D632"/>
      <c r="E632"/>
      <c r="F632"/>
      <c r="G632"/>
      <c r="H632"/>
      <c r="I632"/>
      <c r="J632"/>
      <c r="K632" s="58"/>
      <c r="L632" s="58"/>
      <c r="M632"/>
      <c r="N632"/>
    </row>
    <row r="633" spans="1:14" ht="11.25" customHeight="1">
      <c r="A633"/>
      <c r="B633"/>
      <c r="C633"/>
      <c r="D633"/>
      <c r="E633"/>
      <c r="F633"/>
      <c r="G633"/>
      <c r="H633"/>
      <c r="I633"/>
      <c r="J633"/>
      <c r="K633" s="58"/>
      <c r="L633" s="58"/>
      <c r="M633"/>
      <c r="N633"/>
    </row>
    <row r="634" spans="1:14" ht="11.25" customHeight="1">
      <c r="A634"/>
      <c r="B634"/>
      <c r="C634"/>
      <c r="D634"/>
      <c r="E634"/>
      <c r="F634"/>
      <c r="G634"/>
      <c r="H634"/>
      <c r="I634"/>
      <c r="J634"/>
      <c r="K634" s="58"/>
      <c r="L634" s="58"/>
      <c r="M634"/>
      <c r="N634"/>
    </row>
    <row r="635" spans="1:14" ht="11.25" customHeight="1">
      <c r="A635"/>
      <c r="B635"/>
      <c r="C635"/>
      <c r="D635"/>
      <c r="E635"/>
      <c r="F635"/>
      <c r="G635"/>
      <c r="H635"/>
      <c r="I635"/>
      <c r="J635"/>
      <c r="K635" s="58"/>
      <c r="L635" s="58"/>
      <c r="M635"/>
      <c r="N635"/>
    </row>
    <row r="636" spans="1:14" ht="11.25" customHeight="1">
      <c r="A636"/>
      <c r="B636"/>
      <c r="C636"/>
      <c r="D636"/>
      <c r="E636"/>
      <c r="F636"/>
      <c r="G636"/>
      <c r="H636"/>
      <c r="I636"/>
      <c r="J636"/>
      <c r="K636" s="58"/>
      <c r="L636" s="58"/>
      <c r="M636"/>
      <c r="N636"/>
    </row>
    <row r="637" spans="1:14" ht="11.25" customHeight="1">
      <c r="A637"/>
      <c r="B637"/>
      <c r="C637"/>
      <c r="D637"/>
      <c r="E637"/>
      <c r="F637"/>
      <c r="G637"/>
      <c r="H637"/>
      <c r="I637"/>
      <c r="J637"/>
      <c r="K637" s="58"/>
      <c r="L637" s="58"/>
      <c r="M637"/>
      <c r="N637"/>
    </row>
    <row r="638" spans="1:14" ht="11.25" customHeight="1">
      <c r="A638"/>
      <c r="B638"/>
      <c r="C638"/>
      <c r="D638"/>
      <c r="E638"/>
      <c r="F638"/>
      <c r="G638"/>
      <c r="H638"/>
      <c r="I638"/>
      <c r="J638"/>
      <c r="K638" s="58"/>
      <c r="L638" s="58"/>
      <c r="M638"/>
      <c r="N638"/>
    </row>
    <row r="639" spans="1:14" ht="11.25" customHeight="1">
      <c r="A639"/>
      <c r="B639"/>
      <c r="C639"/>
      <c r="D639"/>
      <c r="E639"/>
      <c r="F639"/>
      <c r="G639"/>
      <c r="H639"/>
      <c r="I639"/>
      <c r="J639"/>
      <c r="K639" s="58"/>
      <c r="L639" s="58"/>
      <c r="M639"/>
      <c r="N639"/>
    </row>
    <row r="640" spans="1:14" ht="11.25" customHeight="1">
      <c r="A640"/>
      <c r="B640"/>
      <c r="C640"/>
      <c r="D640"/>
      <c r="E640"/>
      <c r="F640"/>
      <c r="G640"/>
      <c r="H640"/>
      <c r="I640"/>
      <c r="J640"/>
      <c r="K640" s="58"/>
      <c r="L640" s="58"/>
      <c r="M640"/>
      <c r="N640"/>
    </row>
    <row r="641" spans="1:14" ht="11.25" customHeight="1">
      <c r="A641"/>
      <c r="B641"/>
      <c r="C641"/>
      <c r="D641"/>
      <c r="E641"/>
      <c r="F641"/>
      <c r="G641"/>
      <c r="H641"/>
      <c r="I641"/>
      <c r="J641"/>
      <c r="K641" s="58"/>
      <c r="L641" s="58"/>
      <c r="M641"/>
      <c r="N641"/>
    </row>
    <row r="642" spans="1:14" ht="11.25" customHeight="1">
      <c r="A642"/>
      <c r="B642"/>
      <c r="C642"/>
      <c r="D642"/>
      <c r="E642"/>
      <c r="F642"/>
      <c r="G642"/>
      <c r="H642"/>
      <c r="I642"/>
      <c r="J642"/>
      <c r="K642" s="58"/>
      <c r="L642" s="58"/>
      <c r="M642"/>
      <c r="N642"/>
    </row>
    <row r="643" spans="1:14" ht="11.25" customHeight="1">
      <c r="A643"/>
      <c r="B643"/>
      <c r="C643"/>
      <c r="D643"/>
      <c r="E643"/>
      <c r="F643"/>
      <c r="G643"/>
      <c r="H643"/>
      <c r="I643"/>
      <c r="J643"/>
      <c r="K643" s="58"/>
      <c r="L643" s="58"/>
      <c r="M643"/>
      <c r="N643"/>
    </row>
    <row r="644" spans="1:14" ht="11.25" customHeight="1">
      <c r="A644"/>
      <c r="B644"/>
      <c r="C644"/>
      <c r="D644"/>
      <c r="E644"/>
      <c r="F644"/>
      <c r="G644"/>
      <c r="H644"/>
      <c r="I644"/>
      <c r="J644"/>
      <c r="K644" s="58"/>
      <c r="L644" s="58"/>
      <c r="M644"/>
      <c r="N644"/>
    </row>
    <row r="645" spans="1:14" ht="11.25" customHeight="1">
      <c r="A645"/>
      <c r="B645"/>
      <c r="C645"/>
      <c r="D645"/>
      <c r="E645"/>
      <c r="F645"/>
      <c r="G645"/>
      <c r="H645"/>
      <c r="I645"/>
      <c r="J645"/>
      <c r="K645" s="58"/>
      <c r="L645" s="58"/>
      <c r="M645"/>
      <c r="N645"/>
    </row>
    <row r="646" spans="1:14" ht="11.25" customHeight="1">
      <c r="A646"/>
      <c r="B646"/>
      <c r="C646"/>
      <c r="D646"/>
      <c r="E646"/>
      <c r="F646"/>
      <c r="G646"/>
      <c r="H646"/>
      <c r="I646"/>
      <c r="J646"/>
      <c r="K646" s="58"/>
      <c r="L646" s="58"/>
      <c r="M646"/>
      <c r="N646"/>
    </row>
    <row r="647" spans="1:14" ht="11.25" customHeight="1">
      <c r="A647"/>
      <c r="B647"/>
      <c r="C647"/>
      <c r="D647"/>
      <c r="E647"/>
      <c r="F647"/>
      <c r="G647"/>
      <c r="H647"/>
      <c r="I647"/>
      <c r="J647"/>
      <c r="K647" s="58"/>
      <c r="L647" s="58"/>
      <c r="M647"/>
      <c r="N647"/>
    </row>
    <row r="648" spans="1:14" ht="11.25" customHeight="1">
      <c r="A648"/>
      <c r="B648"/>
      <c r="C648"/>
      <c r="D648"/>
      <c r="E648"/>
      <c r="F648"/>
      <c r="G648"/>
      <c r="H648"/>
      <c r="I648"/>
      <c r="J648"/>
      <c r="K648" s="58"/>
      <c r="L648" s="58"/>
      <c r="M648"/>
      <c r="N648"/>
    </row>
    <row r="649" spans="1:14" ht="11.25" customHeight="1">
      <c r="A649"/>
      <c r="B649"/>
      <c r="C649"/>
      <c r="D649"/>
      <c r="E649"/>
      <c r="F649"/>
      <c r="G649"/>
      <c r="H649"/>
      <c r="I649"/>
      <c r="J649"/>
      <c r="K649" s="58"/>
      <c r="L649" s="58"/>
      <c r="M649"/>
      <c r="N649"/>
    </row>
    <row r="650" spans="1:14" ht="11.25" customHeight="1">
      <c r="A650"/>
      <c r="B650"/>
      <c r="C650"/>
      <c r="D650"/>
      <c r="E650"/>
      <c r="F650"/>
      <c r="G650"/>
      <c r="H650"/>
      <c r="I650"/>
      <c r="J650"/>
      <c r="K650" s="58"/>
      <c r="L650" s="58"/>
      <c r="M650"/>
      <c r="N650"/>
    </row>
    <row r="651" spans="1:14" ht="11.25" customHeight="1">
      <c r="A651"/>
      <c r="B651"/>
      <c r="C651"/>
      <c r="D651"/>
      <c r="E651"/>
      <c r="F651"/>
      <c r="G651"/>
      <c r="H651"/>
      <c r="I651"/>
      <c r="J651"/>
      <c r="K651" s="58"/>
      <c r="L651" s="58"/>
      <c r="M651"/>
      <c r="N651"/>
    </row>
    <row r="652" spans="1:14" ht="11.25" customHeight="1">
      <c r="A652"/>
      <c r="B652"/>
      <c r="C652"/>
      <c r="D652"/>
      <c r="E652"/>
      <c r="F652"/>
      <c r="G652"/>
      <c r="H652"/>
      <c r="I652"/>
      <c r="J652"/>
      <c r="K652" s="58"/>
      <c r="L652" s="58"/>
      <c r="M652"/>
      <c r="N652"/>
    </row>
    <row r="653" spans="1:14" ht="11.25" customHeight="1">
      <c r="A653"/>
      <c r="B653"/>
      <c r="C653"/>
      <c r="D653"/>
      <c r="E653"/>
      <c r="F653"/>
      <c r="G653"/>
      <c r="H653"/>
      <c r="I653"/>
      <c r="J653"/>
      <c r="K653" s="58"/>
      <c r="L653" s="58"/>
      <c r="M653"/>
      <c r="N653"/>
    </row>
    <row r="654" spans="1:14" ht="11.25" customHeight="1">
      <c r="A654"/>
      <c r="B654"/>
      <c r="C654"/>
      <c r="D654"/>
      <c r="E654"/>
      <c r="F654"/>
      <c r="G654"/>
      <c r="H654"/>
      <c r="I654"/>
      <c r="J654"/>
      <c r="K654" s="58"/>
      <c r="L654" s="58"/>
      <c r="M654"/>
      <c r="N654"/>
    </row>
    <row r="655" spans="1:14" ht="11.25" customHeight="1">
      <c r="A655"/>
      <c r="B655"/>
      <c r="C655"/>
      <c r="D655"/>
      <c r="E655"/>
      <c r="F655"/>
      <c r="G655"/>
      <c r="H655"/>
      <c r="I655"/>
      <c r="J655"/>
      <c r="K655" s="58"/>
      <c r="L655" s="58"/>
      <c r="M655"/>
      <c r="N655"/>
    </row>
    <row r="656" spans="1:14" ht="11.25" customHeight="1">
      <c r="A656"/>
      <c r="B656"/>
      <c r="C656"/>
      <c r="D656"/>
      <c r="E656"/>
      <c r="F656"/>
      <c r="G656"/>
      <c r="H656"/>
      <c r="I656"/>
      <c r="J656"/>
      <c r="K656" s="58"/>
      <c r="L656" s="58"/>
      <c r="M656"/>
      <c r="N656"/>
    </row>
    <row r="657" spans="1:14" ht="11.25" customHeight="1">
      <c r="A657"/>
      <c r="B657"/>
      <c r="C657"/>
      <c r="D657"/>
      <c r="E657"/>
      <c r="F657"/>
      <c r="G657"/>
      <c r="H657"/>
      <c r="I657"/>
      <c r="J657"/>
      <c r="K657" s="58"/>
      <c r="L657" s="58"/>
      <c r="M657"/>
      <c r="N657"/>
    </row>
    <row r="658" spans="1:14" ht="11.25" customHeight="1">
      <c r="A658"/>
      <c r="B658"/>
      <c r="C658"/>
      <c r="D658"/>
      <c r="E658"/>
      <c r="F658"/>
      <c r="G658"/>
      <c r="H658"/>
      <c r="I658"/>
      <c r="J658"/>
      <c r="K658" s="58"/>
      <c r="L658" s="58"/>
      <c r="M658"/>
      <c r="N658"/>
    </row>
    <row r="659" spans="1:14" ht="11.25" customHeight="1">
      <c r="A659"/>
      <c r="B659"/>
      <c r="C659"/>
      <c r="D659"/>
      <c r="E659"/>
      <c r="F659"/>
      <c r="G659"/>
      <c r="H659"/>
      <c r="I659"/>
      <c r="J659"/>
      <c r="K659" s="58"/>
      <c r="L659" s="58"/>
      <c r="M659"/>
      <c r="N659"/>
    </row>
    <row r="660" spans="1:14" ht="11.25" customHeight="1">
      <c r="A660"/>
      <c r="B660"/>
      <c r="C660"/>
      <c r="D660"/>
      <c r="E660"/>
      <c r="F660"/>
      <c r="G660"/>
      <c r="H660"/>
      <c r="I660"/>
      <c r="J660"/>
      <c r="K660" s="58"/>
      <c r="L660" s="58"/>
      <c r="M660"/>
      <c r="N660"/>
    </row>
    <row r="661" spans="1:14" ht="11.25" customHeight="1">
      <c r="A661"/>
      <c r="B661"/>
      <c r="C661"/>
      <c r="D661"/>
      <c r="E661"/>
      <c r="F661"/>
      <c r="G661"/>
      <c r="H661"/>
      <c r="I661"/>
      <c r="J661"/>
      <c r="K661" s="58"/>
      <c r="L661" s="58"/>
      <c r="M661"/>
      <c r="N661"/>
    </row>
    <row r="662" spans="1:14" ht="11.25" customHeight="1">
      <c r="A662"/>
      <c r="B662"/>
      <c r="C662"/>
      <c r="D662"/>
      <c r="E662"/>
      <c r="F662"/>
      <c r="G662"/>
      <c r="H662"/>
      <c r="I662"/>
      <c r="J662"/>
      <c r="K662" s="58"/>
      <c r="L662" s="58"/>
      <c r="M662"/>
      <c r="N662"/>
    </row>
    <row r="663" spans="1:14" ht="11.25" customHeight="1">
      <c r="A663"/>
      <c r="B663"/>
      <c r="C663"/>
      <c r="D663"/>
      <c r="E663"/>
      <c r="F663"/>
      <c r="G663"/>
      <c r="H663"/>
      <c r="I663"/>
      <c r="J663"/>
      <c r="K663" s="58"/>
      <c r="L663" s="58"/>
      <c r="M663"/>
      <c r="N663"/>
    </row>
    <row r="664" spans="1:14" ht="11.25" customHeight="1">
      <c r="A664"/>
      <c r="B664"/>
      <c r="C664"/>
      <c r="D664"/>
      <c r="E664"/>
      <c r="F664"/>
      <c r="G664"/>
      <c r="H664"/>
      <c r="I664"/>
      <c r="J664"/>
      <c r="K664" s="58"/>
      <c r="L664" s="58"/>
      <c r="M664"/>
      <c r="N664"/>
    </row>
    <row r="665" spans="1:14" ht="11.25" customHeight="1">
      <c r="A665"/>
      <c r="B665"/>
      <c r="C665"/>
      <c r="D665"/>
      <c r="E665"/>
      <c r="F665"/>
      <c r="G665"/>
      <c r="H665"/>
      <c r="I665"/>
      <c r="J665"/>
      <c r="K665" s="58"/>
      <c r="L665" s="58"/>
      <c r="M665"/>
      <c r="N665"/>
    </row>
    <row r="666" spans="1:14" ht="11.25" customHeight="1">
      <c r="A666"/>
      <c r="B666"/>
      <c r="C666"/>
      <c r="D666"/>
      <c r="E666"/>
      <c r="F666"/>
      <c r="G666"/>
      <c r="H666"/>
      <c r="I666"/>
      <c r="J666"/>
      <c r="K666" s="58"/>
      <c r="L666" s="58"/>
      <c r="M666"/>
      <c r="N666"/>
    </row>
    <row r="667" spans="1:14" ht="11.25" customHeight="1">
      <c r="A667"/>
      <c r="B667"/>
      <c r="C667"/>
      <c r="D667"/>
      <c r="E667"/>
      <c r="F667"/>
      <c r="G667"/>
      <c r="H667"/>
      <c r="I667"/>
      <c r="J667"/>
      <c r="K667" s="58"/>
      <c r="L667" s="58"/>
      <c r="M667"/>
      <c r="N667"/>
    </row>
    <row r="668" spans="1:14" ht="11.25" customHeight="1">
      <c r="A668"/>
      <c r="B668"/>
      <c r="C668"/>
      <c r="D668"/>
      <c r="E668"/>
      <c r="F668"/>
      <c r="G668"/>
      <c r="H668"/>
      <c r="I668"/>
      <c r="J668"/>
      <c r="K668" s="58"/>
      <c r="L668" s="58"/>
      <c r="M668"/>
      <c r="N668"/>
    </row>
    <row r="669" spans="1:14" ht="11.25" customHeight="1">
      <c r="A669"/>
      <c r="B669"/>
      <c r="C669"/>
      <c r="D669"/>
      <c r="E669"/>
      <c r="F669"/>
      <c r="G669"/>
      <c r="H669"/>
      <c r="I669"/>
      <c r="J669"/>
      <c r="K669" s="58"/>
      <c r="L669" s="58"/>
      <c r="M669"/>
      <c r="N669"/>
    </row>
    <row r="670" spans="1:14" ht="11.25" customHeight="1">
      <c r="A670"/>
      <c r="B670"/>
      <c r="C670"/>
      <c r="D670"/>
      <c r="E670"/>
      <c r="F670"/>
      <c r="G670"/>
      <c r="H670"/>
      <c r="I670"/>
      <c r="J670"/>
      <c r="K670" s="58"/>
      <c r="L670" s="58"/>
      <c r="M670"/>
      <c r="N670"/>
    </row>
    <row r="671" spans="1:14" ht="11.25" customHeight="1">
      <c r="A671"/>
      <c r="B671"/>
      <c r="C671"/>
      <c r="D671"/>
      <c r="E671"/>
      <c r="F671"/>
      <c r="G671"/>
      <c r="H671"/>
      <c r="I671"/>
      <c r="J671"/>
      <c r="K671" s="58"/>
      <c r="L671" s="58"/>
      <c r="M671"/>
      <c r="N671"/>
    </row>
    <row r="672" spans="1:14" ht="11.25" customHeight="1">
      <c r="A672"/>
      <c r="B672"/>
      <c r="C672"/>
      <c r="D672"/>
      <c r="E672"/>
      <c r="F672"/>
      <c r="G672"/>
      <c r="H672"/>
      <c r="I672"/>
      <c r="J672"/>
      <c r="K672" s="58"/>
      <c r="L672" s="58"/>
      <c r="M672"/>
      <c r="N672"/>
    </row>
    <row r="673" spans="1:14" ht="11.25" customHeight="1">
      <c r="A673"/>
      <c r="B673"/>
      <c r="C673"/>
      <c r="D673"/>
      <c r="E673"/>
      <c r="F673"/>
      <c r="G673"/>
      <c r="H673"/>
      <c r="I673"/>
      <c r="J673"/>
      <c r="K673" s="58"/>
      <c r="L673" s="58"/>
      <c r="M673"/>
      <c r="N673"/>
    </row>
    <row r="674" spans="1:14" ht="11.25" customHeight="1">
      <c r="A674"/>
      <c r="B674"/>
      <c r="C674"/>
      <c r="D674"/>
      <c r="E674"/>
      <c r="F674"/>
      <c r="G674"/>
      <c r="H674"/>
      <c r="I674"/>
      <c r="J674"/>
      <c r="K674" s="58"/>
      <c r="L674" s="58"/>
      <c r="M674"/>
      <c r="N674"/>
    </row>
    <row r="675" spans="1:14" ht="11.25" customHeight="1">
      <c r="A675"/>
      <c r="B675"/>
      <c r="C675"/>
      <c r="D675"/>
      <c r="E675"/>
      <c r="F675"/>
      <c r="G675"/>
      <c r="H675"/>
      <c r="I675"/>
      <c r="J675"/>
      <c r="K675" s="58"/>
      <c r="L675" s="58"/>
      <c r="M675"/>
      <c r="N675"/>
    </row>
    <row r="676" spans="1:14" ht="11.25" customHeight="1">
      <c r="A676"/>
      <c r="B676"/>
      <c r="C676"/>
      <c r="D676"/>
      <c r="E676"/>
      <c r="F676"/>
      <c r="G676"/>
      <c r="H676"/>
      <c r="I676"/>
      <c r="J676"/>
      <c r="K676" s="58"/>
      <c r="L676" s="58"/>
      <c r="M676"/>
      <c r="N676"/>
    </row>
    <row r="677" spans="1:14" ht="11.25" customHeight="1">
      <c r="A677"/>
      <c r="B677"/>
      <c r="C677"/>
      <c r="D677"/>
      <c r="E677"/>
      <c r="F677"/>
      <c r="G677"/>
      <c r="H677"/>
      <c r="I677"/>
      <c r="J677"/>
      <c r="K677" s="58"/>
      <c r="L677" s="58"/>
      <c r="M677"/>
      <c r="N677"/>
    </row>
    <row r="678" spans="1:14" ht="11.25" customHeight="1">
      <c r="A678"/>
      <c r="B678"/>
      <c r="C678"/>
      <c r="D678"/>
      <c r="E678"/>
      <c r="F678"/>
      <c r="G678"/>
      <c r="H678"/>
      <c r="I678"/>
      <c r="J678"/>
      <c r="K678" s="58"/>
      <c r="L678" s="58"/>
      <c r="M678"/>
      <c r="N678"/>
    </row>
    <row r="679" spans="1:14" ht="11.25" customHeight="1">
      <c r="A679"/>
      <c r="B679"/>
      <c r="C679"/>
      <c r="D679"/>
      <c r="E679"/>
      <c r="F679"/>
      <c r="G679"/>
      <c r="H679"/>
      <c r="I679"/>
      <c r="J679"/>
      <c r="K679" s="58"/>
      <c r="L679" s="58"/>
      <c r="M679"/>
      <c r="N679"/>
    </row>
    <row r="680" spans="1:14" ht="11.25" customHeight="1">
      <c r="A680"/>
      <c r="B680"/>
      <c r="C680"/>
      <c r="D680"/>
      <c r="E680"/>
      <c r="F680"/>
      <c r="G680"/>
      <c r="H680"/>
      <c r="I680"/>
      <c r="J680"/>
      <c r="K680" s="58"/>
      <c r="L680" s="58"/>
      <c r="M680"/>
      <c r="N680"/>
    </row>
    <row r="681" spans="1:14" ht="11.25" customHeight="1">
      <c r="A681"/>
      <c r="B681"/>
      <c r="C681"/>
      <c r="D681"/>
      <c r="E681"/>
      <c r="F681"/>
      <c r="G681"/>
      <c r="H681"/>
      <c r="I681"/>
      <c r="J681"/>
      <c r="K681" s="58"/>
      <c r="L681" s="58"/>
      <c r="M681"/>
      <c r="N681"/>
    </row>
    <row r="682" spans="1:14" ht="11.25" customHeight="1">
      <c r="A682"/>
      <c r="B682"/>
      <c r="C682"/>
      <c r="D682"/>
      <c r="E682"/>
      <c r="F682"/>
      <c r="G682"/>
      <c r="H682"/>
      <c r="I682"/>
      <c r="J682"/>
      <c r="K682" s="58"/>
      <c r="L682" s="58"/>
      <c r="M682"/>
      <c r="N682"/>
    </row>
    <row r="683" spans="1:14" ht="11.25" customHeight="1">
      <c r="A683"/>
      <c r="B683"/>
      <c r="C683"/>
      <c r="D683"/>
      <c r="E683"/>
      <c r="F683"/>
      <c r="G683"/>
      <c r="H683"/>
      <c r="I683"/>
      <c r="J683"/>
      <c r="K683" s="58"/>
      <c r="L683" s="58"/>
      <c r="M683"/>
      <c r="N683"/>
    </row>
    <row r="684" spans="1:14" ht="11.25" customHeight="1">
      <c r="A684"/>
      <c r="B684"/>
      <c r="C684"/>
      <c r="D684"/>
      <c r="E684"/>
      <c r="F684"/>
      <c r="G684"/>
      <c r="H684"/>
      <c r="I684"/>
      <c r="J684"/>
      <c r="K684" s="58"/>
      <c r="L684" s="58"/>
      <c r="M684"/>
      <c r="N684"/>
    </row>
    <row r="685" spans="1:14" ht="11.25" customHeight="1">
      <c r="A685"/>
      <c r="B685"/>
      <c r="C685"/>
      <c r="D685"/>
      <c r="E685"/>
      <c r="F685"/>
      <c r="G685"/>
      <c r="H685"/>
      <c r="I685"/>
      <c r="J685"/>
      <c r="K685" s="58"/>
      <c r="L685" s="58"/>
      <c r="M685"/>
      <c r="N685"/>
    </row>
    <row r="686" spans="1:14" ht="11.25" customHeight="1">
      <c r="A686"/>
      <c r="B686"/>
      <c r="C686"/>
      <c r="D686"/>
      <c r="E686"/>
      <c r="F686"/>
      <c r="G686"/>
      <c r="H686"/>
      <c r="I686"/>
      <c r="J686"/>
      <c r="K686" s="58"/>
      <c r="L686" s="58"/>
      <c r="M686"/>
      <c r="N686"/>
    </row>
    <row r="687" spans="1:14" ht="11.25" customHeight="1">
      <c r="A687"/>
      <c r="B687"/>
      <c r="C687"/>
      <c r="D687"/>
      <c r="E687"/>
      <c r="F687"/>
      <c r="G687"/>
      <c r="H687"/>
      <c r="I687"/>
      <c r="J687"/>
      <c r="K687" s="58"/>
      <c r="L687" s="58"/>
      <c r="M687"/>
      <c r="N687"/>
    </row>
    <row r="688" spans="1:14" ht="11.25" customHeight="1">
      <c r="A688"/>
      <c r="B688"/>
      <c r="C688"/>
      <c r="D688"/>
      <c r="E688"/>
      <c r="F688"/>
      <c r="G688"/>
      <c r="H688"/>
      <c r="I688"/>
      <c r="J688"/>
      <c r="K688" s="58"/>
      <c r="L688" s="58"/>
      <c r="M688"/>
      <c r="N688"/>
    </row>
    <row r="689" spans="1:14" ht="11.25" customHeight="1">
      <c r="A689"/>
      <c r="B689"/>
      <c r="C689"/>
      <c r="D689"/>
      <c r="E689"/>
      <c r="F689"/>
      <c r="G689"/>
      <c r="H689"/>
      <c r="I689"/>
      <c r="J689"/>
      <c r="K689" s="58"/>
      <c r="L689" s="58"/>
      <c r="M689"/>
      <c r="N689"/>
    </row>
    <row r="690" spans="1:14" ht="11.25" customHeight="1">
      <c r="A690"/>
      <c r="B690"/>
      <c r="C690"/>
      <c r="D690"/>
      <c r="E690"/>
      <c r="F690"/>
      <c r="G690"/>
      <c r="H690"/>
      <c r="I690"/>
      <c r="J690"/>
      <c r="K690" s="58"/>
      <c r="L690" s="58"/>
      <c r="M690"/>
      <c r="N690"/>
    </row>
    <row r="691" spans="1:14" ht="11.25" customHeight="1">
      <c r="A691"/>
      <c r="B691"/>
      <c r="C691"/>
      <c r="D691"/>
      <c r="E691"/>
      <c r="F691"/>
      <c r="G691"/>
      <c r="H691"/>
      <c r="I691"/>
      <c r="J691"/>
      <c r="K691" s="58"/>
      <c r="L691" s="58"/>
      <c r="M691"/>
      <c r="N691"/>
    </row>
    <row r="692" spans="1:14" ht="11.25" customHeight="1">
      <c r="A692"/>
      <c r="B692"/>
      <c r="C692"/>
      <c r="D692"/>
      <c r="E692"/>
      <c r="F692"/>
      <c r="G692"/>
      <c r="H692"/>
      <c r="I692"/>
      <c r="J692"/>
      <c r="K692" s="58"/>
      <c r="L692" s="58"/>
      <c r="M692"/>
      <c r="N692"/>
    </row>
    <row r="693" spans="1:14" ht="11.25" customHeight="1">
      <c r="A693"/>
      <c r="B693"/>
      <c r="C693"/>
      <c r="D693"/>
      <c r="E693"/>
      <c r="F693"/>
      <c r="G693"/>
      <c r="H693"/>
      <c r="I693"/>
      <c r="J693"/>
      <c r="K693" s="58"/>
      <c r="L693" s="58"/>
      <c r="M693"/>
      <c r="N693"/>
    </row>
    <row r="694" spans="1:14" ht="11.25" customHeight="1">
      <c r="A694"/>
      <c r="B694"/>
      <c r="C694"/>
      <c r="D694"/>
      <c r="E694"/>
      <c r="F694"/>
      <c r="G694"/>
      <c r="H694"/>
      <c r="I694"/>
      <c r="J694"/>
      <c r="K694" s="58"/>
      <c r="L694" s="58"/>
      <c r="M694"/>
      <c r="N694"/>
    </row>
    <row r="695" spans="1:14" ht="11.25" customHeight="1">
      <c r="A695"/>
      <c r="B695"/>
      <c r="C695"/>
      <c r="D695"/>
      <c r="E695"/>
      <c r="F695"/>
      <c r="G695"/>
      <c r="H695"/>
      <c r="I695"/>
      <c r="J695"/>
      <c r="K695" s="58"/>
      <c r="L695" s="58"/>
      <c r="M695"/>
      <c r="N695"/>
    </row>
    <row r="696" spans="1:14" ht="11.25" customHeight="1">
      <c r="A696"/>
      <c r="B696"/>
      <c r="C696"/>
      <c r="D696"/>
      <c r="E696"/>
      <c r="F696"/>
      <c r="G696"/>
      <c r="H696"/>
      <c r="I696"/>
      <c r="J696"/>
      <c r="K696" s="58"/>
      <c r="L696" s="58"/>
      <c r="M696"/>
      <c r="N696"/>
    </row>
    <row r="697" spans="1:14" ht="11.25" customHeight="1">
      <c r="A697"/>
      <c r="B697"/>
      <c r="C697"/>
      <c r="D697"/>
      <c r="E697"/>
      <c r="F697"/>
      <c r="G697"/>
      <c r="H697"/>
      <c r="I697"/>
      <c r="J697"/>
      <c r="K697" s="58"/>
      <c r="L697" s="58"/>
      <c r="M697"/>
      <c r="N697"/>
    </row>
    <row r="698" spans="1:14" ht="11.25" customHeight="1">
      <c r="A698"/>
      <c r="B698"/>
      <c r="C698"/>
      <c r="D698"/>
      <c r="E698"/>
      <c r="F698"/>
      <c r="G698"/>
      <c r="H698"/>
      <c r="I698"/>
      <c r="J698"/>
      <c r="K698" s="58"/>
      <c r="L698" s="58"/>
      <c r="M698"/>
      <c r="N698"/>
    </row>
    <row r="699" spans="1:14" ht="11.25" customHeight="1">
      <c r="A699"/>
      <c r="B699"/>
      <c r="C699"/>
      <c r="D699"/>
      <c r="E699"/>
      <c r="F699"/>
      <c r="G699"/>
      <c r="H699"/>
      <c r="I699"/>
      <c r="J699"/>
      <c r="K699" s="58"/>
      <c r="L699" s="58"/>
      <c r="M699"/>
      <c r="N699"/>
    </row>
    <row r="700" spans="1:14" ht="11.25" customHeight="1">
      <c r="A700"/>
      <c r="B700"/>
      <c r="C700"/>
      <c r="D700"/>
      <c r="E700"/>
      <c r="F700"/>
      <c r="G700"/>
      <c r="H700"/>
      <c r="I700"/>
      <c r="J700"/>
      <c r="K700" s="58"/>
      <c r="L700" s="58"/>
      <c r="M700"/>
      <c r="N700"/>
    </row>
    <row r="701" spans="1:14" ht="11.25" customHeight="1">
      <c r="A701"/>
      <c r="B701"/>
      <c r="C701"/>
      <c r="D701"/>
      <c r="E701"/>
      <c r="F701"/>
      <c r="G701"/>
      <c r="H701"/>
      <c r="I701"/>
      <c r="J701"/>
      <c r="K701" s="58"/>
      <c r="L701" s="58"/>
      <c r="M701"/>
      <c r="N701"/>
    </row>
    <row r="702" spans="1:14" ht="11.25" customHeight="1">
      <c r="A702"/>
      <c r="B702"/>
      <c r="C702"/>
      <c r="D702"/>
      <c r="E702"/>
      <c r="F702"/>
      <c r="G702"/>
      <c r="H702"/>
      <c r="I702"/>
      <c r="J702"/>
      <c r="K702" s="58"/>
      <c r="L702" s="58"/>
      <c r="M702"/>
      <c r="N702"/>
    </row>
    <row r="703" spans="1:14" ht="11.25" customHeight="1">
      <c r="A703"/>
      <c r="B703"/>
      <c r="C703"/>
      <c r="D703"/>
      <c r="E703"/>
      <c r="F703"/>
      <c r="G703"/>
      <c r="H703"/>
      <c r="I703"/>
      <c r="J703"/>
      <c r="K703" s="58"/>
      <c r="L703" s="58"/>
      <c r="M703"/>
      <c r="N703"/>
    </row>
    <row r="704" spans="1:14" ht="11.25" customHeight="1">
      <c r="A704"/>
      <c r="B704"/>
      <c r="C704"/>
      <c r="D704"/>
      <c r="E704"/>
      <c r="F704"/>
      <c r="G704"/>
      <c r="H704"/>
      <c r="I704"/>
      <c r="J704"/>
      <c r="K704" s="58"/>
      <c r="L704" s="58"/>
      <c r="M704"/>
      <c r="N704"/>
    </row>
    <row r="705" spans="1:14" ht="11.25" customHeight="1">
      <c r="A705"/>
      <c r="B705"/>
      <c r="C705"/>
      <c r="D705"/>
      <c r="E705"/>
      <c r="F705"/>
      <c r="G705"/>
      <c r="H705"/>
      <c r="I705"/>
      <c r="J705"/>
      <c r="K705" s="58"/>
      <c r="L705" s="58"/>
      <c r="M705"/>
      <c r="N705"/>
    </row>
    <row r="706" spans="1:14" ht="11.25" customHeight="1">
      <c r="A706"/>
      <c r="B706"/>
      <c r="C706"/>
      <c r="D706"/>
      <c r="E706"/>
      <c r="F706"/>
      <c r="G706"/>
      <c r="H706"/>
      <c r="I706"/>
      <c r="J706"/>
      <c r="K706" s="58"/>
      <c r="L706" s="58"/>
      <c r="M706"/>
      <c r="N706"/>
    </row>
    <row r="707" spans="1:14" ht="11.25" customHeight="1">
      <c r="A707"/>
      <c r="B707"/>
      <c r="C707"/>
      <c r="D707"/>
      <c r="E707"/>
      <c r="F707"/>
      <c r="G707"/>
      <c r="H707"/>
      <c r="I707"/>
      <c r="J707"/>
      <c r="K707" s="58"/>
      <c r="L707" s="58"/>
      <c r="M707"/>
      <c r="N707"/>
    </row>
    <row r="708" spans="1:14" ht="11.25" customHeight="1">
      <c r="A708"/>
      <c r="B708"/>
      <c r="C708"/>
      <c r="D708"/>
      <c r="E708"/>
      <c r="F708"/>
      <c r="G708"/>
      <c r="H708"/>
      <c r="I708"/>
      <c r="J708"/>
      <c r="K708" s="58"/>
      <c r="L708" s="58"/>
      <c r="M708"/>
      <c r="N708"/>
    </row>
    <row r="709" spans="1:14" ht="11.25" customHeight="1">
      <c r="A709"/>
      <c r="B709"/>
      <c r="C709"/>
      <c r="D709"/>
      <c r="E709"/>
      <c r="F709"/>
      <c r="G709"/>
      <c r="H709"/>
      <c r="I709"/>
      <c r="J709"/>
      <c r="K709" s="58"/>
      <c r="L709" s="58"/>
      <c r="M709"/>
      <c r="N709"/>
    </row>
    <row r="710" spans="1:14" ht="11.25" customHeight="1">
      <c r="A710"/>
      <c r="B710"/>
      <c r="C710"/>
      <c r="D710"/>
      <c r="E710"/>
      <c r="F710"/>
      <c r="G710"/>
      <c r="H710"/>
      <c r="I710"/>
      <c r="J710"/>
      <c r="K710" s="58"/>
      <c r="L710" s="58"/>
      <c r="M710"/>
      <c r="N710"/>
    </row>
    <row r="711" spans="1:14" ht="11.25" customHeight="1">
      <c r="A711"/>
      <c r="B711"/>
      <c r="C711"/>
      <c r="D711"/>
      <c r="E711"/>
      <c r="F711"/>
      <c r="G711"/>
      <c r="H711"/>
      <c r="I711"/>
      <c r="J711"/>
      <c r="K711" s="58"/>
      <c r="L711" s="58"/>
      <c r="M711"/>
      <c r="N711"/>
    </row>
    <row r="712" spans="1:14" ht="11.25" customHeight="1">
      <c r="A712"/>
      <c r="B712"/>
      <c r="C712"/>
      <c r="D712"/>
      <c r="E712"/>
      <c r="F712"/>
      <c r="G712"/>
      <c r="H712"/>
      <c r="I712"/>
      <c r="J712"/>
      <c r="K712" s="58"/>
      <c r="L712" s="58"/>
      <c r="M712"/>
      <c r="N712"/>
    </row>
    <row r="713" spans="1:14" ht="11.25" customHeight="1">
      <c r="A713"/>
      <c r="B713"/>
      <c r="C713"/>
      <c r="D713"/>
      <c r="E713"/>
      <c r="F713"/>
      <c r="G713"/>
      <c r="H713"/>
      <c r="I713"/>
      <c r="J713"/>
      <c r="K713" s="58"/>
      <c r="L713" s="58"/>
      <c r="M713"/>
      <c r="N713"/>
    </row>
    <row r="714" spans="1:14" ht="11.25" customHeight="1">
      <c r="A714"/>
      <c r="B714"/>
      <c r="C714"/>
      <c r="D714"/>
      <c r="E714"/>
      <c r="F714"/>
      <c r="G714"/>
      <c r="H714"/>
      <c r="I714"/>
      <c r="J714"/>
      <c r="K714" s="58"/>
      <c r="L714" s="58"/>
      <c r="M714"/>
      <c r="N714"/>
    </row>
    <row r="715" spans="1:14" ht="11.25" customHeight="1">
      <c r="A715"/>
      <c r="B715"/>
      <c r="C715"/>
      <c r="D715"/>
      <c r="E715"/>
      <c r="F715"/>
      <c r="G715"/>
      <c r="H715"/>
      <c r="I715"/>
      <c r="J715"/>
      <c r="K715" s="58"/>
      <c r="L715" s="58"/>
      <c r="M715"/>
      <c r="N715"/>
    </row>
    <row r="716" spans="1:14" ht="11.25" customHeight="1">
      <c r="A716"/>
      <c r="B716"/>
      <c r="C716"/>
      <c r="D716"/>
      <c r="E716"/>
      <c r="F716"/>
      <c r="G716"/>
      <c r="H716"/>
      <c r="I716"/>
      <c r="J716"/>
      <c r="K716" s="58"/>
      <c r="L716" s="58"/>
      <c r="M716"/>
      <c r="N716"/>
    </row>
    <row r="717" spans="1:14" ht="11.25" customHeight="1">
      <c r="A717"/>
      <c r="B717"/>
      <c r="C717"/>
      <c r="D717"/>
      <c r="E717"/>
      <c r="F717"/>
      <c r="G717"/>
      <c r="H717"/>
      <c r="I717"/>
      <c r="J717"/>
      <c r="K717" s="58"/>
      <c r="L717" s="58"/>
      <c r="M717"/>
      <c r="N717"/>
    </row>
    <row r="718" spans="1:14" ht="11.25" customHeight="1">
      <c r="A718"/>
      <c r="B718"/>
      <c r="C718"/>
      <c r="D718"/>
      <c r="E718"/>
      <c r="F718"/>
      <c r="G718"/>
      <c r="H718"/>
      <c r="I718"/>
      <c r="J718"/>
      <c r="K718" s="58"/>
      <c r="L718" s="58"/>
      <c r="M718"/>
      <c r="N718"/>
    </row>
    <row r="719" spans="1:14" ht="11.25" customHeight="1">
      <c r="A719"/>
      <c r="B719"/>
      <c r="C719"/>
      <c r="D719"/>
      <c r="E719"/>
      <c r="F719"/>
      <c r="G719"/>
      <c r="H719"/>
      <c r="I719"/>
      <c r="J719"/>
      <c r="K719" s="58"/>
      <c r="L719" s="58"/>
      <c r="M719"/>
      <c r="N719"/>
    </row>
    <row r="720" spans="1:14" ht="11.25" customHeight="1">
      <c r="A720"/>
      <c r="B720"/>
      <c r="C720"/>
      <c r="D720"/>
      <c r="E720"/>
      <c r="F720"/>
      <c r="G720"/>
      <c r="H720"/>
      <c r="I720"/>
      <c r="J720"/>
      <c r="K720" s="58"/>
      <c r="L720" s="58"/>
      <c r="M720"/>
      <c r="N720"/>
    </row>
    <row r="721" spans="1:14" ht="11.25" customHeight="1">
      <c r="A721"/>
      <c r="B721"/>
      <c r="C721"/>
      <c r="D721"/>
      <c r="E721"/>
      <c r="F721"/>
      <c r="G721"/>
      <c r="H721"/>
      <c r="I721"/>
      <c r="J721"/>
      <c r="K721" s="58"/>
      <c r="L721" s="58"/>
      <c r="M721"/>
      <c r="N721"/>
    </row>
    <row r="722" spans="1:14" ht="11.25" customHeight="1">
      <c r="A722"/>
      <c r="B722"/>
      <c r="C722"/>
      <c r="D722"/>
      <c r="E722"/>
      <c r="F722"/>
      <c r="G722"/>
      <c r="H722"/>
      <c r="I722"/>
      <c r="J722"/>
      <c r="K722" s="58"/>
      <c r="L722" s="58"/>
      <c r="M722"/>
      <c r="N722"/>
    </row>
    <row r="723" spans="1:14" ht="11.25" customHeight="1">
      <c r="A723"/>
      <c r="B723"/>
      <c r="C723"/>
      <c r="D723"/>
      <c r="E723"/>
      <c r="F723"/>
      <c r="G723"/>
      <c r="H723"/>
      <c r="I723"/>
      <c r="J723"/>
      <c r="K723" s="58"/>
      <c r="L723" s="58"/>
      <c r="M723"/>
      <c r="N723"/>
    </row>
    <row r="724" spans="1:14" ht="11.25" customHeight="1">
      <c r="A724"/>
      <c r="B724"/>
      <c r="C724"/>
      <c r="D724"/>
      <c r="E724"/>
      <c r="F724"/>
      <c r="G724"/>
      <c r="H724"/>
      <c r="I724"/>
      <c r="J724"/>
      <c r="K724" s="58"/>
      <c r="L724" s="58"/>
      <c r="M724"/>
      <c r="N724"/>
    </row>
    <row r="725" spans="1:14" ht="11.25" customHeight="1">
      <c r="A725"/>
      <c r="B725"/>
      <c r="C725"/>
      <c r="D725"/>
      <c r="E725"/>
      <c r="F725"/>
      <c r="G725"/>
      <c r="H725"/>
      <c r="I725"/>
      <c r="J725"/>
      <c r="K725" s="58"/>
      <c r="L725" s="58"/>
      <c r="M725"/>
      <c r="N725"/>
    </row>
    <row r="726" spans="1:14" ht="11.25" customHeight="1">
      <c r="A726"/>
      <c r="B726"/>
      <c r="C726"/>
      <c r="D726"/>
      <c r="E726"/>
      <c r="F726"/>
      <c r="G726"/>
      <c r="H726"/>
      <c r="I726"/>
      <c r="J726"/>
      <c r="K726" s="58"/>
      <c r="L726" s="58"/>
      <c r="M726"/>
      <c r="N726"/>
    </row>
    <row r="727" spans="1:14" ht="11.25" customHeight="1">
      <c r="A727"/>
      <c r="B727"/>
      <c r="C727"/>
      <c r="D727"/>
      <c r="E727"/>
      <c r="F727"/>
      <c r="G727"/>
      <c r="H727"/>
      <c r="I727"/>
      <c r="J727"/>
      <c r="K727" s="58"/>
      <c r="L727" s="58"/>
      <c r="M727"/>
      <c r="N727"/>
    </row>
    <row r="728" spans="1:14" ht="11.25" customHeight="1">
      <c r="A728"/>
      <c r="B728"/>
      <c r="C728"/>
      <c r="D728"/>
      <c r="E728"/>
      <c r="F728"/>
      <c r="G728"/>
      <c r="H728"/>
      <c r="I728"/>
      <c r="J728"/>
      <c r="K728" s="58"/>
      <c r="L728" s="58"/>
      <c r="M728"/>
      <c r="N728"/>
    </row>
    <row r="729" spans="1:14" ht="11.25" customHeight="1">
      <c r="A729"/>
      <c r="B729"/>
      <c r="C729"/>
      <c r="D729"/>
      <c r="E729"/>
      <c r="F729"/>
      <c r="G729"/>
      <c r="H729"/>
      <c r="I729"/>
      <c r="J729"/>
      <c r="K729" s="58"/>
      <c r="L729" s="58"/>
      <c r="M729"/>
      <c r="N729"/>
    </row>
    <row r="730" spans="1:14" ht="11.25" customHeight="1">
      <c r="A730"/>
      <c r="B730"/>
      <c r="C730"/>
      <c r="D730"/>
      <c r="E730"/>
      <c r="F730"/>
      <c r="G730"/>
      <c r="H730"/>
      <c r="I730"/>
      <c r="J730"/>
      <c r="K730" s="58"/>
      <c r="L730" s="58"/>
      <c r="M730"/>
      <c r="N730"/>
    </row>
    <row r="731" spans="1:14" ht="11.25" customHeight="1">
      <c r="A731"/>
      <c r="B731"/>
      <c r="C731"/>
      <c r="D731"/>
      <c r="E731"/>
      <c r="F731"/>
      <c r="G731"/>
      <c r="H731"/>
      <c r="I731"/>
      <c r="J731"/>
      <c r="K731" s="58"/>
      <c r="L731" s="58"/>
      <c r="M731"/>
      <c r="N731"/>
    </row>
    <row r="732" spans="1:14" ht="11.25" customHeight="1">
      <c r="A732"/>
      <c r="B732"/>
      <c r="C732"/>
      <c r="D732"/>
      <c r="E732"/>
      <c r="F732"/>
      <c r="G732"/>
      <c r="H732"/>
      <c r="I732"/>
      <c r="J732"/>
      <c r="K732" s="58"/>
      <c r="L732" s="58"/>
      <c r="M732"/>
      <c r="N732"/>
    </row>
    <row r="733" spans="1:14" ht="11.25" customHeight="1">
      <c r="A733"/>
      <c r="B733"/>
      <c r="C733"/>
      <c r="D733"/>
      <c r="E733"/>
      <c r="F733"/>
      <c r="G733"/>
      <c r="H733"/>
      <c r="I733"/>
      <c r="J733"/>
      <c r="K733" s="58"/>
      <c r="L733" s="58"/>
      <c r="M733"/>
      <c r="N733"/>
    </row>
    <row r="734" spans="1:14" ht="11.25" customHeight="1">
      <c r="A734"/>
      <c r="B734"/>
      <c r="C734"/>
      <c r="D734"/>
      <c r="E734"/>
      <c r="F734"/>
      <c r="G734"/>
      <c r="H734"/>
      <c r="I734"/>
      <c r="J734"/>
      <c r="K734" s="58"/>
      <c r="L734" s="58"/>
      <c r="M734"/>
      <c r="N734"/>
    </row>
    <row r="735" spans="1:14" ht="11.25" customHeight="1">
      <c r="A735"/>
      <c r="B735"/>
      <c r="C735"/>
      <c r="D735"/>
      <c r="E735"/>
      <c r="F735"/>
      <c r="G735"/>
      <c r="H735"/>
      <c r="I735"/>
      <c r="J735"/>
      <c r="K735" s="58"/>
      <c r="L735" s="58"/>
      <c r="M735"/>
      <c r="N735"/>
    </row>
    <row r="736" spans="1:14" ht="11.25" customHeight="1">
      <c r="A736"/>
      <c r="B736"/>
      <c r="C736"/>
      <c r="D736"/>
      <c r="E736"/>
      <c r="F736"/>
      <c r="G736"/>
      <c r="H736"/>
      <c r="I736"/>
      <c r="J736"/>
      <c r="K736" s="58"/>
      <c r="L736" s="58"/>
      <c r="M736"/>
      <c r="N736"/>
    </row>
    <row r="737" spans="1:14" ht="11.25" customHeight="1">
      <c r="A737"/>
      <c r="B737"/>
      <c r="C737"/>
      <c r="D737"/>
      <c r="E737"/>
      <c r="F737"/>
      <c r="G737"/>
      <c r="H737"/>
      <c r="I737"/>
      <c r="J737"/>
      <c r="K737" s="58"/>
      <c r="L737" s="58"/>
      <c r="M737"/>
      <c r="N737"/>
    </row>
    <row r="738" spans="1:14" ht="11.25" customHeight="1">
      <c r="A738"/>
      <c r="B738"/>
      <c r="C738"/>
      <c r="D738"/>
      <c r="E738"/>
      <c r="F738"/>
      <c r="G738"/>
      <c r="H738"/>
      <c r="I738"/>
      <c r="J738"/>
      <c r="K738" s="58"/>
      <c r="L738" s="58"/>
      <c r="M738"/>
      <c r="N738"/>
    </row>
    <row r="739" spans="1:14" ht="11.25" customHeight="1">
      <c r="A739"/>
      <c r="B739"/>
      <c r="C739"/>
      <c r="D739"/>
      <c r="E739"/>
      <c r="F739"/>
      <c r="G739"/>
      <c r="H739"/>
      <c r="I739"/>
      <c r="J739"/>
      <c r="K739" s="58"/>
      <c r="L739" s="58"/>
      <c r="M739"/>
      <c r="N739"/>
    </row>
    <row r="740" spans="1:14" ht="11.25" customHeight="1">
      <c r="A740"/>
      <c r="B740"/>
      <c r="C740"/>
      <c r="D740"/>
      <c r="E740"/>
      <c r="F740"/>
      <c r="G740"/>
      <c r="H740"/>
      <c r="I740"/>
      <c r="J740"/>
      <c r="K740" s="58"/>
      <c r="L740" s="58"/>
      <c r="M740"/>
      <c r="N740"/>
    </row>
    <row r="741" spans="1:14" ht="11.25" customHeight="1">
      <c r="A741"/>
      <c r="B741"/>
      <c r="C741"/>
      <c r="D741"/>
      <c r="E741"/>
      <c r="F741"/>
      <c r="G741"/>
      <c r="H741"/>
      <c r="I741"/>
      <c r="J741"/>
      <c r="K741" s="58"/>
      <c r="L741" s="58"/>
      <c r="M741"/>
      <c r="N741"/>
    </row>
    <row r="742" spans="1:14" ht="11.25" customHeight="1">
      <c r="A742"/>
      <c r="B742"/>
      <c r="C742"/>
      <c r="D742"/>
      <c r="E742"/>
      <c r="F742"/>
      <c r="G742"/>
      <c r="H742"/>
      <c r="I742"/>
      <c r="J742"/>
      <c r="K742" s="58"/>
      <c r="L742" s="58"/>
      <c r="M742"/>
      <c r="N742"/>
    </row>
    <row r="743" spans="1:14" ht="11.25" customHeight="1">
      <c r="A743"/>
      <c r="B743"/>
      <c r="C743"/>
      <c r="D743"/>
      <c r="E743"/>
      <c r="F743"/>
      <c r="G743"/>
      <c r="H743"/>
      <c r="I743"/>
      <c r="J743"/>
      <c r="K743" s="58"/>
      <c r="L743" s="58"/>
      <c r="M743"/>
      <c r="N743"/>
    </row>
    <row r="744" spans="1:14" ht="11.25" customHeight="1">
      <c r="A744"/>
      <c r="B744"/>
      <c r="C744"/>
      <c r="D744"/>
      <c r="E744"/>
      <c r="F744"/>
      <c r="G744"/>
      <c r="H744"/>
      <c r="I744"/>
      <c r="J744"/>
      <c r="K744" s="58"/>
      <c r="L744" s="58"/>
      <c r="M744"/>
      <c r="N744"/>
    </row>
    <row r="745" spans="1:14" ht="11.25" customHeight="1">
      <c r="A745"/>
      <c r="B745"/>
      <c r="C745"/>
      <c r="D745"/>
      <c r="E745"/>
      <c r="F745"/>
      <c r="G745"/>
      <c r="H745"/>
      <c r="I745"/>
      <c r="J745"/>
      <c r="K745" s="58"/>
      <c r="L745" s="58"/>
      <c r="M745"/>
      <c r="N745"/>
    </row>
    <row r="746" spans="1:14" ht="11.25" customHeight="1">
      <c r="A746"/>
      <c r="B746"/>
      <c r="C746"/>
      <c r="D746"/>
      <c r="E746"/>
      <c r="F746"/>
      <c r="G746"/>
      <c r="H746"/>
      <c r="I746"/>
      <c r="J746"/>
      <c r="K746" s="58"/>
      <c r="L746" s="58"/>
      <c r="M746"/>
      <c r="N746"/>
    </row>
    <row r="747" spans="1:14" ht="11.25" customHeight="1">
      <c r="A747"/>
      <c r="B747"/>
      <c r="C747"/>
      <c r="D747"/>
      <c r="E747"/>
      <c r="F747"/>
      <c r="G747"/>
      <c r="H747"/>
      <c r="I747"/>
      <c r="J747"/>
      <c r="K747" s="58"/>
      <c r="L747" s="58"/>
      <c r="M747"/>
      <c r="N747"/>
    </row>
    <row r="748" spans="1:14" ht="11.25" customHeight="1">
      <c r="A748"/>
      <c r="B748"/>
      <c r="C748"/>
      <c r="D748"/>
      <c r="E748"/>
      <c r="F748"/>
      <c r="G748"/>
      <c r="H748"/>
      <c r="I748"/>
      <c r="J748"/>
      <c r="K748" s="58"/>
      <c r="L748" s="58"/>
      <c r="M748"/>
      <c r="N748"/>
    </row>
    <row r="749" spans="1:14" ht="11.25" customHeight="1">
      <c r="A749"/>
      <c r="B749"/>
      <c r="C749"/>
      <c r="D749"/>
      <c r="E749"/>
      <c r="F749"/>
      <c r="G749"/>
      <c r="H749"/>
      <c r="I749"/>
      <c r="J749"/>
      <c r="K749" s="58"/>
      <c r="L749" s="58"/>
      <c r="M749"/>
      <c r="N749"/>
    </row>
    <row r="750" spans="1:14" ht="11.25" customHeight="1">
      <c r="A750"/>
      <c r="B750"/>
      <c r="C750"/>
      <c r="D750"/>
      <c r="E750"/>
      <c r="F750"/>
      <c r="G750"/>
      <c r="H750"/>
      <c r="I750"/>
      <c r="J750"/>
      <c r="K750" s="58"/>
      <c r="L750" s="58"/>
      <c r="M750"/>
      <c r="N750"/>
    </row>
    <row r="751" spans="1:14" ht="11.25" customHeight="1">
      <c r="A751"/>
      <c r="B751"/>
      <c r="C751"/>
      <c r="D751"/>
      <c r="E751"/>
      <c r="F751"/>
      <c r="G751"/>
      <c r="H751"/>
      <c r="I751"/>
      <c r="J751"/>
      <c r="K751" s="58"/>
      <c r="L751" s="58"/>
      <c r="M751"/>
      <c r="N751"/>
    </row>
    <row r="752" spans="1:14" ht="11.25" customHeight="1">
      <c r="A752"/>
      <c r="B752"/>
      <c r="C752"/>
      <c r="D752"/>
      <c r="E752"/>
      <c r="F752"/>
      <c r="G752"/>
      <c r="H752"/>
      <c r="I752"/>
      <c r="J752"/>
      <c r="K752" s="58"/>
      <c r="L752" s="58"/>
      <c r="M752"/>
      <c r="N752"/>
    </row>
    <row r="753" spans="1:14" ht="11.25" customHeight="1">
      <c r="A753"/>
      <c r="B753"/>
      <c r="C753"/>
      <c r="D753"/>
      <c r="E753"/>
      <c r="F753"/>
      <c r="G753"/>
      <c r="H753"/>
      <c r="I753"/>
      <c r="J753"/>
      <c r="K753" s="58"/>
      <c r="L753" s="58"/>
      <c r="M753"/>
      <c r="N753"/>
    </row>
    <row r="754" spans="1:14" ht="11.25" customHeight="1">
      <c r="A754"/>
      <c r="B754"/>
      <c r="C754"/>
      <c r="D754"/>
      <c r="E754"/>
      <c r="F754"/>
      <c r="G754"/>
      <c r="H754"/>
      <c r="I754"/>
      <c r="J754"/>
      <c r="K754" s="58"/>
      <c r="L754" s="58"/>
      <c r="M754"/>
      <c r="N754"/>
    </row>
    <row r="755" spans="1:14" ht="11.25" customHeight="1">
      <c r="A755"/>
      <c r="B755"/>
      <c r="C755"/>
      <c r="D755"/>
      <c r="E755"/>
      <c r="F755"/>
      <c r="G755"/>
      <c r="H755"/>
      <c r="I755"/>
      <c r="J755"/>
      <c r="K755" s="58"/>
      <c r="L755" s="58"/>
      <c r="M755"/>
      <c r="N755"/>
    </row>
    <row r="756" spans="1:14" ht="11.25" customHeight="1">
      <c r="A756"/>
      <c r="B756"/>
      <c r="C756"/>
      <c r="D756"/>
      <c r="E756"/>
      <c r="F756"/>
      <c r="G756"/>
      <c r="H756"/>
      <c r="I756"/>
      <c r="J756"/>
      <c r="K756" s="58"/>
      <c r="L756" s="58"/>
      <c r="M756"/>
      <c r="N756"/>
    </row>
    <row r="757" spans="1:14" ht="11.25" customHeight="1">
      <c r="A757"/>
      <c r="B757"/>
      <c r="C757"/>
      <c r="D757"/>
      <c r="E757"/>
      <c r="F757"/>
      <c r="G757"/>
      <c r="H757"/>
      <c r="I757"/>
      <c r="J757"/>
      <c r="K757" s="58"/>
      <c r="L757" s="58"/>
      <c r="M757"/>
      <c r="N757"/>
    </row>
    <row r="758" spans="1:14" ht="11.25" customHeight="1">
      <c r="A758"/>
      <c r="B758"/>
      <c r="C758"/>
      <c r="D758"/>
      <c r="E758"/>
      <c r="F758"/>
      <c r="G758"/>
      <c r="H758"/>
      <c r="I758"/>
      <c r="J758"/>
      <c r="K758" s="58"/>
      <c r="L758" s="58"/>
      <c r="M758"/>
      <c r="N758"/>
    </row>
    <row r="759" spans="1:14" ht="11.25" customHeight="1">
      <c r="A759"/>
      <c r="B759"/>
      <c r="C759"/>
      <c r="D759"/>
      <c r="E759"/>
      <c r="F759"/>
      <c r="G759"/>
      <c r="H759"/>
      <c r="I759"/>
      <c r="J759"/>
      <c r="K759" s="58"/>
      <c r="L759" s="58"/>
      <c r="M759"/>
      <c r="N759"/>
    </row>
    <row r="760" spans="1:14" ht="11.25" customHeight="1">
      <c r="A760"/>
      <c r="B760"/>
      <c r="C760"/>
      <c r="D760"/>
      <c r="E760"/>
      <c r="F760"/>
      <c r="G760"/>
      <c r="H760"/>
      <c r="I760"/>
      <c r="J760"/>
      <c r="K760" s="58"/>
      <c r="L760" s="58"/>
      <c r="M760"/>
      <c r="N760"/>
    </row>
    <row r="761" spans="1:14" ht="11.25" customHeight="1">
      <c r="A761"/>
      <c r="B761"/>
      <c r="C761"/>
      <c r="D761"/>
      <c r="E761"/>
      <c r="F761"/>
      <c r="G761"/>
      <c r="H761"/>
      <c r="I761"/>
      <c r="J761"/>
      <c r="K761" s="58"/>
      <c r="L761" s="58"/>
      <c r="M761"/>
      <c r="N761"/>
    </row>
    <row r="762" spans="1:14" ht="11.25" customHeight="1">
      <c r="A762"/>
      <c r="B762"/>
      <c r="C762"/>
      <c r="D762"/>
      <c r="E762"/>
      <c r="F762"/>
      <c r="G762"/>
      <c r="H762"/>
      <c r="I762"/>
      <c r="J762"/>
      <c r="K762" s="58"/>
      <c r="L762" s="58"/>
      <c r="M762"/>
      <c r="N762"/>
    </row>
    <row r="763" spans="1:14" ht="11.25" customHeight="1">
      <c r="A763"/>
      <c r="B763"/>
      <c r="C763"/>
      <c r="D763"/>
      <c r="E763"/>
      <c r="F763"/>
      <c r="G763"/>
      <c r="H763"/>
      <c r="I763"/>
      <c r="J763"/>
      <c r="K763" s="58"/>
      <c r="L763" s="58"/>
      <c r="M763"/>
      <c r="N763"/>
    </row>
    <row r="764" spans="1:14" ht="11.25" customHeight="1">
      <c r="A764"/>
      <c r="B764"/>
      <c r="C764"/>
      <c r="D764"/>
      <c r="E764"/>
      <c r="F764"/>
      <c r="G764"/>
      <c r="H764"/>
      <c r="I764"/>
      <c r="J764"/>
      <c r="K764" s="58"/>
      <c r="L764" s="58"/>
      <c r="M764"/>
      <c r="N764"/>
    </row>
    <row r="765" spans="1:14" ht="11.25" customHeight="1">
      <c r="A765"/>
      <c r="B765"/>
      <c r="C765"/>
      <c r="D765"/>
      <c r="E765"/>
      <c r="F765"/>
      <c r="G765"/>
      <c r="H765"/>
      <c r="I765"/>
      <c r="J765"/>
      <c r="K765" s="58"/>
      <c r="L765" s="58"/>
      <c r="M765"/>
      <c r="N765"/>
    </row>
    <row r="766" spans="1:14" ht="11.25" customHeight="1">
      <c r="A766"/>
      <c r="B766"/>
      <c r="C766"/>
      <c r="D766"/>
      <c r="E766"/>
      <c r="F766"/>
      <c r="G766"/>
      <c r="H766"/>
      <c r="I766"/>
      <c r="J766"/>
      <c r="K766" s="58"/>
      <c r="L766" s="58"/>
      <c r="M766"/>
      <c r="N766"/>
    </row>
    <row r="767" spans="1:14" ht="11.25" customHeight="1">
      <c r="A767"/>
      <c r="B767"/>
      <c r="C767"/>
      <c r="D767"/>
      <c r="E767"/>
      <c r="F767"/>
      <c r="G767"/>
      <c r="H767"/>
      <c r="I767"/>
      <c r="J767"/>
      <c r="K767" s="58"/>
      <c r="L767" s="58"/>
      <c r="M767"/>
      <c r="N767"/>
    </row>
    <row r="768" spans="1:14" ht="11.25" customHeight="1">
      <c r="A768"/>
      <c r="B768"/>
      <c r="C768"/>
      <c r="D768"/>
      <c r="E768"/>
      <c r="F768"/>
      <c r="G768"/>
      <c r="H768"/>
      <c r="I768"/>
      <c r="J768"/>
      <c r="K768" s="58"/>
      <c r="L768" s="58"/>
      <c r="M768"/>
      <c r="N768"/>
    </row>
    <row r="769" spans="1:14" ht="11.25" customHeight="1">
      <c r="A769"/>
      <c r="B769"/>
      <c r="C769"/>
      <c r="D769"/>
      <c r="E769"/>
      <c r="F769"/>
      <c r="G769"/>
      <c r="H769"/>
      <c r="I769"/>
      <c r="J769"/>
      <c r="K769" s="58"/>
      <c r="L769" s="58"/>
      <c r="M769"/>
      <c r="N769"/>
    </row>
    <row r="770" spans="1:14" ht="11.25" customHeight="1">
      <c r="A770"/>
      <c r="B770"/>
      <c r="C770"/>
      <c r="D770"/>
      <c r="E770"/>
      <c r="F770"/>
      <c r="G770"/>
      <c r="H770"/>
      <c r="I770"/>
      <c r="J770"/>
      <c r="K770" s="58"/>
      <c r="L770" s="58"/>
      <c r="M770"/>
      <c r="N770"/>
    </row>
    <row r="771" spans="1:14" ht="11.25" customHeight="1">
      <c r="A771"/>
      <c r="B771"/>
      <c r="C771"/>
      <c r="D771"/>
      <c r="E771"/>
      <c r="F771"/>
      <c r="G771"/>
      <c r="H771"/>
      <c r="I771"/>
      <c r="J771"/>
      <c r="K771" s="58"/>
      <c r="L771" s="58"/>
      <c r="M771"/>
      <c r="N771"/>
    </row>
    <row r="772" spans="1:14" ht="11.25" customHeight="1">
      <c r="A772"/>
      <c r="B772"/>
      <c r="C772"/>
      <c r="D772"/>
      <c r="E772"/>
      <c r="F772"/>
      <c r="G772"/>
      <c r="H772"/>
      <c r="I772"/>
      <c r="J772"/>
      <c r="K772" s="58"/>
      <c r="L772" s="58"/>
      <c r="M772"/>
      <c r="N772"/>
    </row>
    <row r="773" spans="1:14" ht="11.25" customHeight="1">
      <c r="A773"/>
      <c r="B773"/>
      <c r="C773"/>
      <c r="D773"/>
      <c r="E773"/>
      <c r="F773"/>
      <c r="G773"/>
      <c r="H773"/>
      <c r="I773"/>
      <c r="J773"/>
      <c r="K773" s="58"/>
      <c r="L773" s="58"/>
      <c r="M773"/>
      <c r="N773"/>
    </row>
    <row r="774" spans="1:14" ht="11.25" customHeight="1">
      <c r="A774"/>
      <c r="B774"/>
      <c r="C774"/>
      <c r="D774"/>
      <c r="E774"/>
      <c r="F774"/>
      <c r="G774"/>
      <c r="H774"/>
      <c r="I774"/>
      <c r="J774"/>
      <c r="K774" s="58"/>
      <c r="L774" s="58"/>
      <c r="M774"/>
      <c r="N774"/>
    </row>
    <row r="775" spans="1:14" ht="11.25" customHeight="1">
      <c r="A775"/>
      <c r="B775"/>
      <c r="C775"/>
      <c r="D775"/>
      <c r="E775"/>
      <c r="F775"/>
      <c r="G775"/>
      <c r="H775"/>
      <c r="I775"/>
      <c r="J775"/>
      <c r="K775" s="58"/>
      <c r="L775" s="58"/>
      <c r="M775"/>
      <c r="N775"/>
    </row>
    <row r="776" spans="1:14" ht="11.25" customHeight="1">
      <c r="A776"/>
      <c r="B776"/>
      <c r="C776"/>
      <c r="D776"/>
      <c r="E776"/>
      <c r="F776"/>
      <c r="G776"/>
      <c r="H776"/>
      <c r="I776"/>
      <c r="J776"/>
      <c r="K776" s="58"/>
      <c r="L776" s="58"/>
      <c r="M776"/>
      <c r="N776"/>
    </row>
    <row r="777" spans="1:14" ht="11.25" customHeight="1">
      <c r="A777"/>
      <c r="B777"/>
      <c r="C777"/>
      <c r="D777"/>
      <c r="E777"/>
      <c r="F777"/>
      <c r="G777"/>
      <c r="H777"/>
      <c r="I777"/>
      <c r="J777"/>
      <c r="K777" s="58"/>
      <c r="L777" s="58"/>
      <c r="M777"/>
      <c r="N777"/>
    </row>
    <row r="778" spans="1:14" ht="11.25" customHeight="1">
      <c r="A778"/>
      <c r="B778"/>
      <c r="C778"/>
      <c r="D778"/>
      <c r="E778"/>
      <c r="F778"/>
      <c r="G778"/>
      <c r="H778"/>
      <c r="I778"/>
      <c r="J778"/>
      <c r="K778" s="58"/>
      <c r="L778" s="58"/>
      <c r="M778"/>
      <c r="N778"/>
    </row>
    <row r="779" spans="1:14" ht="11.25" customHeight="1">
      <c r="A779"/>
      <c r="B779"/>
      <c r="C779"/>
      <c r="D779"/>
      <c r="E779"/>
      <c r="F779"/>
      <c r="G779"/>
      <c r="H779"/>
      <c r="I779"/>
      <c r="J779"/>
      <c r="K779" s="58"/>
      <c r="L779" s="58"/>
      <c r="M779"/>
      <c r="N779"/>
    </row>
    <row r="780" spans="1:14" ht="11.25" customHeight="1">
      <c r="A780"/>
      <c r="B780"/>
      <c r="C780"/>
      <c r="D780"/>
      <c r="E780"/>
      <c r="F780"/>
      <c r="G780"/>
      <c r="H780"/>
      <c r="I780"/>
      <c r="J780"/>
      <c r="K780" s="58"/>
      <c r="L780" s="58"/>
      <c r="M780"/>
      <c r="N780"/>
    </row>
    <row r="781" spans="1:14" ht="11.25" customHeight="1">
      <c r="A781"/>
      <c r="B781"/>
      <c r="C781"/>
      <c r="D781"/>
      <c r="E781"/>
      <c r="F781"/>
      <c r="G781"/>
      <c r="H781"/>
      <c r="I781"/>
      <c r="J781"/>
      <c r="K781" s="58"/>
      <c r="L781" s="58"/>
      <c r="M781"/>
      <c r="N781"/>
    </row>
    <row r="782" spans="1:14" ht="11.25" customHeight="1">
      <c r="A782"/>
      <c r="B782"/>
      <c r="C782"/>
      <c r="D782"/>
      <c r="E782"/>
      <c r="F782"/>
      <c r="G782"/>
      <c r="H782"/>
      <c r="I782"/>
      <c r="J782"/>
      <c r="K782" s="58"/>
      <c r="L782" s="58"/>
      <c r="M782"/>
      <c r="N782"/>
    </row>
    <row r="783" spans="1:14" ht="11.25" customHeight="1">
      <c r="A783"/>
      <c r="B783"/>
      <c r="C783"/>
      <c r="D783"/>
      <c r="E783"/>
      <c r="F783"/>
      <c r="G783"/>
      <c r="H783"/>
      <c r="I783"/>
      <c r="J783"/>
      <c r="K783" s="58"/>
      <c r="L783" s="58"/>
      <c r="M783"/>
      <c r="N783"/>
    </row>
    <row r="784" spans="1:14" ht="11.25" customHeight="1">
      <c r="A784"/>
      <c r="B784"/>
      <c r="C784"/>
      <c r="D784"/>
      <c r="E784"/>
      <c r="F784"/>
      <c r="G784"/>
      <c r="H784"/>
      <c r="I784"/>
      <c r="J784"/>
      <c r="K784" s="58"/>
      <c r="L784" s="58"/>
      <c r="M784"/>
      <c r="N784"/>
    </row>
    <row r="785" spans="1:14" ht="11.25" customHeight="1">
      <c r="A785"/>
      <c r="B785"/>
      <c r="C785"/>
      <c r="D785"/>
      <c r="E785"/>
      <c r="F785"/>
      <c r="G785"/>
      <c r="H785"/>
      <c r="I785"/>
      <c r="J785"/>
      <c r="K785" s="58"/>
      <c r="L785" s="58"/>
      <c r="M785"/>
      <c r="N785"/>
    </row>
    <row r="786" spans="1:14" ht="11.25" customHeight="1">
      <c r="A786"/>
      <c r="B786"/>
      <c r="C786"/>
      <c r="D786"/>
      <c r="E786"/>
      <c r="F786"/>
      <c r="G786"/>
      <c r="H786"/>
      <c r="I786"/>
      <c r="J786"/>
      <c r="K786" s="58"/>
      <c r="L786" s="58"/>
      <c r="M786"/>
      <c r="N786"/>
    </row>
    <row r="787" spans="1:14" ht="11.25" customHeight="1">
      <c r="A787"/>
      <c r="B787"/>
      <c r="C787"/>
      <c r="D787"/>
      <c r="E787"/>
      <c r="F787"/>
      <c r="G787"/>
      <c r="H787"/>
      <c r="I787"/>
      <c r="J787"/>
      <c r="K787" s="58"/>
      <c r="L787" s="58"/>
      <c r="M787"/>
      <c r="N787"/>
    </row>
    <row r="788" spans="1:14" ht="11.25" customHeight="1">
      <c r="A788"/>
      <c r="B788"/>
      <c r="C788"/>
      <c r="D788"/>
      <c r="E788"/>
      <c r="F788"/>
      <c r="G788"/>
      <c r="H788"/>
      <c r="I788"/>
      <c r="J788"/>
      <c r="K788" s="58"/>
      <c r="L788" s="58"/>
      <c r="M788"/>
      <c r="N788"/>
    </row>
    <row r="789" spans="1:14" ht="11.25" customHeight="1">
      <c r="A789"/>
      <c r="B789"/>
      <c r="C789"/>
      <c r="D789"/>
      <c r="E789"/>
      <c r="F789"/>
      <c r="G789"/>
      <c r="H789"/>
      <c r="I789"/>
      <c r="J789"/>
      <c r="K789" s="58"/>
      <c r="L789" s="58"/>
      <c r="M789"/>
      <c r="N789"/>
    </row>
    <row r="790" spans="1:14" ht="11.25" customHeight="1">
      <c r="A790"/>
      <c r="B790"/>
      <c r="C790"/>
      <c r="D790"/>
      <c r="E790"/>
      <c r="F790"/>
      <c r="G790"/>
      <c r="H790"/>
      <c r="I790"/>
      <c r="J790"/>
      <c r="K790" s="58"/>
      <c r="L790" s="58"/>
      <c r="M790"/>
      <c r="N790"/>
    </row>
    <row r="791" spans="1:14" ht="11.25" customHeight="1">
      <c r="A791"/>
      <c r="B791"/>
      <c r="C791"/>
      <c r="D791"/>
      <c r="E791"/>
      <c r="F791"/>
      <c r="G791"/>
      <c r="H791"/>
      <c r="I791"/>
      <c r="J791"/>
      <c r="K791" s="58"/>
      <c r="L791" s="58"/>
      <c r="M791"/>
      <c r="N791"/>
    </row>
    <row r="792" spans="1:14" ht="11.25" customHeight="1">
      <c r="A792"/>
      <c r="B792"/>
      <c r="C792"/>
      <c r="D792"/>
      <c r="E792"/>
      <c r="F792"/>
      <c r="G792"/>
      <c r="H792"/>
      <c r="I792"/>
      <c r="J792"/>
      <c r="K792" s="58"/>
      <c r="L792" s="58"/>
      <c r="M792"/>
      <c r="N792"/>
    </row>
    <row r="793" spans="1:14" ht="11.25" customHeight="1">
      <c r="A793"/>
      <c r="B793"/>
      <c r="C793"/>
      <c r="D793"/>
      <c r="E793"/>
      <c r="F793"/>
      <c r="G793"/>
      <c r="H793"/>
      <c r="I793"/>
      <c r="J793"/>
      <c r="K793" s="58"/>
      <c r="L793" s="58"/>
      <c r="M793"/>
      <c r="N793"/>
    </row>
    <row r="794" spans="1:14" ht="11.25" customHeight="1">
      <c r="A794"/>
      <c r="B794"/>
      <c r="C794"/>
      <c r="D794"/>
      <c r="E794"/>
      <c r="F794"/>
      <c r="G794"/>
      <c r="H794"/>
      <c r="I794"/>
      <c r="J794"/>
      <c r="K794" s="58"/>
      <c r="L794" s="58"/>
      <c r="M794"/>
      <c r="N794"/>
    </row>
    <row r="795" spans="1:14" ht="11.25" customHeight="1">
      <c r="A795"/>
      <c r="B795"/>
      <c r="C795"/>
      <c r="D795"/>
      <c r="E795"/>
      <c r="F795"/>
      <c r="G795"/>
      <c r="H795"/>
      <c r="I795"/>
      <c r="J795"/>
      <c r="K795" s="58"/>
      <c r="L795" s="58"/>
      <c r="M795"/>
      <c r="N795"/>
    </row>
    <row r="796" spans="1:14" ht="11.25" customHeight="1">
      <c r="A796"/>
      <c r="B796"/>
      <c r="C796"/>
      <c r="D796"/>
      <c r="E796"/>
      <c r="F796"/>
      <c r="G796"/>
      <c r="H796"/>
      <c r="I796"/>
      <c r="J796"/>
      <c r="K796" s="58"/>
      <c r="L796" s="58"/>
      <c r="M796"/>
      <c r="N796"/>
    </row>
    <row r="797" spans="1:14" ht="11.25" customHeight="1">
      <c r="A797"/>
      <c r="B797"/>
      <c r="C797"/>
      <c r="D797"/>
      <c r="E797"/>
      <c r="F797"/>
      <c r="G797"/>
      <c r="H797"/>
      <c r="I797"/>
      <c r="J797"/>
      <c r="K797" s="58"/>
      <c r="L797" s="58"/>
      <c r="M797"/>
      <c r="N797"/>
    </row>
    <row r="798" spans="1:14" ht="11.25" customHeight="1">
      <c r="A798"/>
      <c r="B798"/>
      <c r="C798"/>
      <c r="D798"/>
      <c r="E798"/>
      <c r="F798"/>
      <c r="G798"/>
      <c r="H798"/>
      <c r="I798"/>
      <c r="J798"/>
      <c r="K798" s="58"/>
      <c r="L798" s="58"/>
      <c r="M798"/>
      <c r="N798"/>
    </row>
    <row r="799" spans="1:14" ht="11.25" customHeight="1">
      <c r="A799"/>
      <c r="B799"/>
      <c r="C799"/>
      <c r="D799"/>
      <c r="E799"/>
      <c r="F799"/>
      <c r="G799"/>
      <c r="H799"/>
      <c r="I799"/>
      <c r="J799"/>
      <c r="K799" s="58"/>
      <c r="L799" s="58"/>
      <c r="M799"/>
      <c r="N799"/>
    </row>
    <row r="800" spans="1:14" ht="11.25" customHeight="1">
      <c r="A800"/>
      <c r="B800"/>
      <c r="C800"/>
      <c r="D800"/>
      <c r="E800"/>
      <c r="F800"/>
      <c r="G800"/>
      <c r="H800"/>
      <c r="I800"/>
      <c r="J800"/>
      <c r="K800" s="58"/>
      <c r="L800" s="58"/>
      <c r="M800"/>
      <c r="N800"/>
    </row>
    <row r="801" spans="1:14" ht="11.25" customHeight="1">
      <c r="A801"/>
      <c r="B801"/>
      <c r="C801"/>
      <c r="D801"/>
      <c r="E801"/>
      <c r="F801"/>
      <c r="G801"/>
      <c r="H801"/>
      <c r="I801"/>
      <c r="J801"/>
      <c r="K801" s="58"/>
      <c r="L801" s="58"/>
      <c r="M801"/>
      <c r="N801"/>
    </row>
    <row r="802" spans="1:14" ht="11.25" customHeight="1">
      <c r="A802"/>
      <c r="B802"/>
      <c r="C802"/>
      <c r="D802"/>
      <c r="E802"/>
      <c r="F802"/>
      <c r="G802"/>
      <c r="H802"/>
      <c r="I802"/>
      <c r="J802"/>
      <c r="K802" s="58"/>
      <c r="L802" s="58"/>
      <c r="M802"/>
      <c r="N802"/>
    </row>
    <row r="803" spans="1:14" ht="11.25" customHeight="1">
      <c r="A803"/>
      <c r="B803"/>
      <c r="C803"/>
      <c r="D803"/>
      <c r="E803"/>
      <c r="F803"/>
      <c r="G803"/>
      <c r="H803"/>
      <c r="I803"/>
      <c r="J803"/>
      <c r="K803" s="58"/>
      <c r="L803" s="58"/>
      <c r="M803"/>
      <c r="N803"/>
    </row>
    <row r="804" spans="1:14" ht="11.25" customHeight="1">
      <c r="A804"/>
      <c r="B804"/>
      <c r="C804"/>
      <c r="D804"/>
      <c r="E804"/>
      <c r="F804"/>
      <c r="G804"/>
      <c r="H804"/>
      <c r="I804"/>
      <c r="J804"/>
      <c r="K804" s="58"/>
      <c r="L804" s="58"/>
      <c r="M804"/>
      <c r="N804"/>
    </row>
    <row r="805" spans="1:14" ht="11.25" customHeight="1">
      <c r="A805"/>
      <c r="B805"/>
      <c r="C805"/>
      <c r="D805"/>
      <c r="E805"/>
      <c r="F805"/>
      <c r="G805"/>
      <c r="H805"/>
      <c r="I805"/>
      <c r="J805"/>
      <c r="K805" s="58"/>
      <c r="L805" s="58"/>
      <c r="M805"/>
      <c r="N805"/>
    </row>
    <row r="806" spans="1:14" ht="11.25" customHeight="1">
      <c r="A806"/>
      <c r="B806"/>
      <c r="C806"/>
      <c r="D806"/>
      <c r="E806"/>
      <c r="F806"/>
      <c r="G806"/>
      <c r="H806"/>
      <c r="I806"/>
      <c r="J806"/>
      <c r="K806" s="58"/>
      <c r="L806" s="58"/>
      <c r="M806"/>
      <c r="N806"/>
    </row>
    <row r="807" spans="1:14" ht="11.25" customHeight="1">
      <c r="A807"/>
      <c r="B807"/>
      <c r="C807"/>
      <c r="D807"/>
      <c r="E807"/>
      <c r="F807"/>
      <c r="G807"/>
      <c r="H807"/>
      <c r="I807"/>
      <c r="J807"/>
      <c r="K807" s="58"/>
      <c r="L807" s="58"/>
      <c r="M807"/>
      <c r="N807"/>
    </row>
    <row r="808" spans="1:14" ht="11.25" customHeight="1">
      <c r="A808"/>
      <c r="B808"/>
      <c r="C808"/>
      <c r="D808"/>
      <c r="E808"/>
      <c r="F808"/>
      <c r="G808"/>
      <c r="H808"/>
      <c r="I808"/>
      <c r="J808"/>
      <c r="K808" s="58"/>
      <c r="L808" s="58"/>
      <c r="M808"/>
      <c r="N808"/>
    </row>
    <row r="809" spans="1:14" ht="11.25" customHeight="1">
      <c r="A809"/>
      <c r="B809"/>
      <c r="C809"/>
      <c r="D809"/>
      <c r="E809"/>
      <c r="F809"/>
      <c r="G809"/>
      <c r="H809"/>
      <c r="I809"/>
      <c r="J809"/>
      <c r="K809" s="58"/>
      <c r="L809" s="58"/>
      <c r="M809"/>
      <c r="N809"/>
    </row>
    <row r="810" spans="1:14" ht="11.25" customHeight="1">
      <c r="A810"/>
      <c r="B810"/>
      <c r="C810"/>
      <c r="D810"/>
      <c r="E810"/>
      <c r="F810"/>
      <c r="G810"/>
      <c r="H810"/>
      <c r="I810"/>
      <c r="J810"/>
      <c r="K810" s="58"/>
      <c r="L810" s="58"/>
      <c r="M810"/>
      <c r="N810"/>
    </row>
    <row r="811" spans="1:14" ht="11.25" customHeight="1">
      <c r="A811"/>
      <c r="B811"/>
      <c r="C811"/>
      <c r="D811"/>
      <c r="E811"/>
      <c r="F811"/>
      <c r="G811"/>
      <c r="H811"/>
      <c r="I811"/>
      <c r="J811"/>
      <c r="K811" s="58"/>
      <c r="L811" s="58"/>
      <c r="M811"/>
      <c r="N811"/>
    </row>
    <row r="812" spans="1:14" ht="11.25" customHeight="1">
      <c r="A812"/>
      <c r="B812"/>
      <c r="C812"/>
      <c r="D812"/>
      <c r="E812"/>
      <c r="F812"/>
      <c r="G812"/>
      <c r="H812"/>
      <c r="I812"/>
      <c r="J812"/>
      <c r="K812" s="58"/>
      <c r="L812" s="58"/>
      <c r="M812"/>
      <c r="N812"/>
    </row>
    <row r="813" spans="1:14" ht="11.25" customHeight="1">
      <c r="A813"/>
      <c r="B813"/>
      <c r="C813"/>
      <c r="D813"/>
      <c r="E813"/>
      <c r="F813"/>
      <c r="G813"/>
      <c r="H813"/>
      <c r="I813"/>
      <c r="J813"/>
      <c r="K813" s="58"/>
      <c r="L813" s="58"/>
      <c r="M813"/>
      <c r="N813"/>
    </row>
    <row r="814" spans="1:14" ht="11.25" customHeight="1">
      <c r="A814"/>
      <c r="B814"/>
      <c r="C814"/>
      <c r="D814"/>
      <c r="E814"/>
      <c r="F814"/>
      <c r="G814"/>
      <c r="H814"/>
      <c r="I814"/>
      <c r="J814"/>
      <c r="K814" s="58"/>
      <c r="L814" s="58"/>
      <c r="M814"/>
      <c r="N814"/>
    </row>
    <row r="815" spans="1:14" ht="11.25" customHeight="1">
      <c r="A815"/>
      <c r="B815"/>
      <c r="C815"/>
      <c r="D815"/>
      <c r="E815"/>
      <c r="F815"/>
      <c r="G815"/>
      <c r="H815"/>
      <c r="I815"/>
      <c r="J815"/>
      <c r="K815" s="58"/>
      <c r="L815" s="58"/>
      <c r="M815"/>
      <c r="N815"/>
    </row>
    <row r="816" spans="1:14" ht="11.25" customHeight="1">
      <c r="A816"/>
      <c r="B816"/>
      <c r="C816"/>
      <c r="D816"/>
      <c r="E816"/>
      <c r="F816"/>
      <c r="G816"/>
      <c r="H816"/>
      <c r="I816"/>
      <c r="J816"/>
      <c r="K816" s="58"/>
      <c r="L816" s="58"/>
      <c r="M816"/>
      <c r="N816"/>
    </row>
    <row r="817" spans="1:14" ht="11.25" customHeight="1">
      <c r="A817"/>
      <c r="B817"/>
      <c r="C817"/>
      <c r="D817"/>
      <c r="E817"/>
      <c r="F817"/>
      <c r="G817"/>
      <c r="H817"/>
      <c r="I817"/>
      <c r="J817"/>
      <c r="K817" s="58"/>
      <c r="L817" s="58"/>
      <c r="M817"/>
      <c r="N817"/>
    </row>
    <row r="818" spans="1:14" ht="11.25" customHeight="1">
      <c r="A818"/>
      <c r="B818"/>
      <c r="C818"/>
      <c r="D818"/>
      <c r="E818"/>
      <c r="F818"/>
      <c r="G818"/>
      <c r="H818"/>
      <c r="I818"/>
      <c r="J818"/>
      <c r="K818" s="58"/>
      <c r="L818" s="58"/>
      <c r="M818"/>
      <c r="N818"/>
    </row>
    <row r="819" spans="1:14" ht="11.25" customHeight="1">
      <c r="A819"/>
      <c r="B819"/>
      <c r="C819"/>
      <c r="D819"/>
      <c r="E819"/>
      <c r="F819"/>
      <c r="G819"/>
      <c r="H819"/>
      <c r="I819"/>
      <c r="J819"/>
      <c r="K819" s="58"/>
      <c r="L819" s="58"/>
      <c r="M819"/>
      <c r="N819"/>
    </row>
    <row r="820" spans="1:14" ht="11.25" customHeight="1">
      <c r="A820"/>
      <c r="B820"/>
      <c r="C820"/>
      <c r="D820"/>
      <c r="E820"/>
      <c r="F820"/>
      <c r="G820"/>
      <c r="H820"/>
      <c r="I820"/>
      <c r="J820"/>
      <c r="K820" s="58"/>
      <c r="L820" s="58"/>
      <c r="M820"/>
      <c r="N820"/>
    </row>
    <row r="821" spans="1:14" ht="11.25" customHeight="1">
      <c r="A821"/>
      <c r="B821"/>
      <c r="C821"/>
      <c r="D821"/>
      <c r="E821"/>
      <c r="F821"/>
      <c r="G821"/>
      <c r="H821"/>
      <c r="I821"/>
      <c r="J821"/>
      <c r="K821" s="58"/>
      <c r="L821" s="58"/>
      <c r="M821"/>
      <c r="N821"/>
    </row>
    <row r="822" spans="1:14" ht="11.25" customHeight="1">
      <c r="A822"/>
      <c r="B822"/>
      <c r="C822"/>
      <c r="D822"/>
      <c r="E822"/>
      <c r="F822"/>
      <c r="G822"/>
      <c r="H822"/>
      <c r="I822"/>
      <c r="J822"/>
      <c r="K822" s="58"/>
      <c r="L822" s="58"/>
      <c r="M822"/>
      <c r="N822"/>
    </row>
    <row r="823" spans="1:14" ht="11.25" customHeight="1">
      <c r="A823"/>
      <c r="B823"/>
      <c r="C823"/>
      <c r="D823"/>
      <c r="E823"/>
      <c r="F823"/>
      <c r="G823"/>
      <c r="H823"/>
      <c r="I823"/>
      <c r="J823"/>
      <c r="K823" s="58"/>
      <c r="L823" s="58"/>
      <c r="M823"/>
      <c r="N823"/>
    </row>
    <row r="824" spans="1:14" ht="11.25" customHeight="1">
      <c r="A824"/>
      <c r="B824"/>
      <c r="C824"/>
      <c r="D824"/>
      <c r="E824"/>
      <c r="F824"/>
      <c r="G824"/>
      <c r="H824"/>
      <c r="I824"/>
      <c r="J824"/>
      <c r="K824" s="58"/>
      <c r="L824" s="58"/>
      <c r="M824"/>
      <c r="N824"/>
    </row>
    <row r="825" spans="1:14" ht="11.25" customHeight="1">
      <c r="A825"/>
      <c r="B825"/>
      <c r="C825"/>
      <c r="D825"/>
      <c r="E825"/>
      <c r="F825"/>
      <c r="G825"/>
      <c r="H825"/>
      <c r="I825"/>
      <c r="J825"/>
      <c r="K825" s="58"/>
      <c r="L825" s="58"/>
      <c r="M825"/>
      <c r="N825"/>
    </row>
    <row r="826" spans="1:14" ht="11.25" customHeight="1">
      <c r="A826"/>
      <c r="B826"/>
      <c r="C826"/>
      <c r="D826"/>
      <c r="E826"/>
      <c r="F826"/>
      <c r="G826"/>
      <c r="H826"/>
      <c r="I826"/>
      <c r="J826"/>
      <c r="K826" s="58"/>
      <c r="L826" s="58"/>
      <c r="M826"/>
      <c r="N826"/>
    </row>
    <row r="827" spans="1:14" ht="11.25" customHeight="1">
      <c r="A827"/>
      <c r="B827"/>
      <c r="C827"/>
      <c r="D827"/>
      <c r="E827"/>
      <c r="F827"/>
      <c r="G827"/>
      <c r="H827"/>
      <c r="I827"/>
      <c r="J827"/>
      <c r="K827" s="58"/>
      <c r="L827" s="58"/>
      <c r="M827"/>
      <c r="N827"/>
    </row>
    <row r="828" spans="1:14" ht="11.25" customHeight="1">
      <c r="A828"/>
      <c r="B828"/>
      <c r="C828"/>
      <c r="D828"/>
      <c r="E828"/>
      <c r="F828"/>
      <c r="G828"/>
      <c r="H828"/>
      <c r="I828"/>
      <c r="J828"/>
      <c r="K828" s="58"/>
      <c r="L828" s="58"/>
      <c r="M828"/>
      <c r="N828"/>
    </row>
    <row r="829" spans="1:14" ht="11.25" customHeight="1">
      <c r="A829"/>
      <c r="B829"/>
      <c r="C829"/>
      <c r="D829"/>
      <c r="E829"/>
      <c r="F829"/>
      <c r="G829"/>
      <c r="H829"/>
      <c r="I829"/>
      <c r="J829"/>
      <c r="K829" s="58"/>
      <c r="L829" s="58"/>
      <c r="M829"/>
      <c r="N829"/>
    </row>
    <row r="830" spans="1:14" ht="11.25" customHeight="1">
      <c r="A830"/>
      <c r="B830"/>
      <c r="C830"/>
      <c r="D830"/>
      <c r="E830"/>
      <c r="F830"/>
      <c r="G830"/>
      <c r="H830"/>
      <c r="I830"/>
      <c r="J830"/>
      <c r="K830" s="58"/>
      <c r="L830" s="58"/>
      <c r="M830"/>
      <c r="N830"/>
    </row>
    <row r="831" spans="1:14" ht="11.25" customHeight="1">
      <c r="A831"/>
      <c r="B831"/>
      <c r="C831"/>
      <c r="D831"/>
      <c r="E831"/>
      <c r="F831"/>
      <c r="G831"/>
      <c r="H831"/>
      <c r="I831"/>
      <c r="J831"/>
      <c r="K831" s="58"/>
      <c r="L831" s="58"/>
      <c r="M831"/>
      <c r="N831"/>
    </row>
    <row r="832" spans="1:14" ht="11.25" customHeight="1">
      <c r="A832"/>
      <c r="B832"/>
      <c r="C832"/>
      <c r="D832"/>
      <c r="E832"/>
      <c r="F832"/>
      <c r="G832"/>
      <c r="H832"/>
      <c r="I832"/>
      <c r="J832"/>
      <c r="K832" s="58"/>
      <c r="L832" s="58"/>
      <c r="M832"/>
      <c r="N832"/>
    </row>
    <row r="833" spans="1:14" ht="11.25" customHeight="1">
      <c r="A833"/>
      <c r="B833"/>
      <c r="C833"/>
      <c r="D833"/>
      <c r="E833"/>
      <c r="F833"/>
      <c r="G833"/>
      <c r="H833"/>
      <c r="I833"/>
      <c r="J833"/>
      <c r="K833" s="58"/>
      <c r="L833" s="58"/>
      <c r="M833"/>
      <c r="N833"/>
    </row>
    <row r="834" spans="1:14" ht="11.25" customHeight="1">
      <c r="A834"/>
      <c r="B834"/>
      <c r="C834"/>
      <c r="D834"/>
      <c r="E834"/>
      <c r="F834"/>
      <c r="G834"/>
      <c r="H834"/>
      <c r="I834"/>
      <c r="J834"/>
      <c r="K834" s="58"/>
      <c r="L834" s="58"/>
      <c r="M834"/>
      <c r="N834"/>
    </row>
    <row r="835" spans="1:14" ht="11.25" customHeight="1">
      <c r="A835"/>
      <c r="B835"/>
      <c r="C835"/>
      <c r="D835"/>
      <c r="E835"/>
      <c r="F835"/>
      <c r="G835"/>
      <c r="H835"/>
      <c r="I835"/>
      <c r="J835"/>
      <c r="K835" s="58"/>
      <c r="L835" s="58"/>
      <c r="M835"/>
      <c r="N835"/>
    </row>
    <row r="836" spans="1:14" ht="11.25" customHeight="1">
      <c r="A836"/>
      <c r="B836"/>
      <c r="C836"/>
      <c r="D836"/>
      <c r="E836"/>
      <c r="F836"/>
      <c r="G836"/>
      <c r="H836"/>
      <c r="I836"/>
      <c r="J836"/>
      <c r="K836" s="58"/>
      <c r="L836" s="58"/>
      <c r="M836"/>
      <c r="N836"/>
    </row>
    <row r="837" spans="1:14" ht="11.25" customHeight="1">
      <c r="A837"/>
      <c r="B837"/>
      <c r="C837"/>
      <c r="D837"/>
      <c r="E837"/>
      <c r="F837"/>
      <c r="G837"/>
      <c r="H837"/>
      <c r="I837"/>
      <c r="J837"/>
      <c r="K837" s="58"/>
      <c r="L837" s="58"/>
      <c r="M837"/>
      <c r="N837"/>
    </row>
    <row r="838" spans="1:14" ht="11.25" customHeight="1">
      <c r="A838"/>
      <c r="B838"/>
      <c r="C838"/>
      <c r="D838"/>
      <c r="E838"/>
      <c r="F838"/>
      <c r="G838"/>
      <c r="H838"/>
      <c r="I838"/>
      <c r="J838"/>
      <c r="K838" s="58"/>
      <c r="L838" s="58"/>
      <c r="M838"/>
      <c r="N838"/>
    </row>
    <row r="839" spans="1:14" ht="11.25" customHeight="1">
      <c r="A839"/>
      <c r="B839"/>
      <c r="C839"/>
      <c r="D839"/>
      <c r="E839"/>
      <c r="F839"/>
      <c r="G839"/>
      <c r="H839"/>
      <c r="I839"/>
      <c r="J839"/>
      <c r="K839" s="58"/>
      <c r="L839" s="58"/>
      <c r="M839"/>
      <c r="N839"/>
    </row>
    <row r="840" spans="1:14" ht="11.25" customHeight="1">
      <c r="A840"/>
      <c r="B840"/>
      <c r="C840"/>
      <c r="D840"/>
      <c r="E840"/>
      <c r="F840"/>
      <c r="G840"/>
      <c r="H840"/>
      <c r="I840"/>
      <c r="J840"/>
      <c r="K840" s="58"/>
      <c r="L840" s="58"/>
      <c r="M840"/>
      <c r="N840"/>
    </row>
    <row r="841" spans="1:14" ht="11.25" customHeight="1">
      <c r="A841"/>
      <c r="B841"/>
      <c r="C841"/>
      <c r="D841"/>
      <c r="E841"/>
      <c r="F841"/>
      <c r="G841"/>
      <c r="H841"/>
      <c r="I841"/>
      <c r="J841"/>
      <c r="K841" s="58"/>
      <c r="L841" s="58"/>
      <c r="M841"/>
      <c r="N841"/>
    </row>
    <row r="842" spans="1:14" ht="11.25" customHeight="1">
      <c r="A842"/>
      <c r="B842"/>
      <c r="C842"/>
      <c r="D842"/>
      <c r="E842"/>
      <c r="F842"/>
      <c r="G842"/>
      <c r="H842"/>
      <c r="I842"/>
      <c r="J842"/>
      <c r="K842" s="58"/>
      <c r="L842" s="58"/>
      <c r="M842"/>
      <c r="N842"/>
    </row>
    <row r="843" spans="1:14" ht="11.25" customHeight="1">
      <c r="A843"/>
      <c r="B843"/>
      <c r="C843"/>
      <c r="D843"/>
      <c r="E843"/>
      <c r="F843"/>
      <c r="G843"/>
      <c r="H843"/>
      <c r="I843"/>
      <c r="J843"/>
      <c r="K843" s="58"/>
      <c r="L843" s="58"/>
      <c r="M843"/>
      <c r="N843"/>
    </row>
    <row r="844" spans="1:14" ht="11.25" customHeight="1">
      <c r="A844"/>
      <c r="B844"/>
      <c r="C844"/>
      <c r="D844"/>
      <c r="E844"/>
      <c r="F844"/>
      <c r="G844"/>
      <c r="H844"/>
      <c r="I844"/>
      <c r="J844"/>
      <c r="K844" s="58"/>
      <c r="L844" s="58"/>
      <c r="M844"/>
      <c r="N844"/>
    </row>
    <row r="845" spans="1:14" ht="11.25" customHeight="1">
      <c r="A845"/>
      <c r="B845"/>
      <c r="C845"/>
      <c r="D845"/>
      <c r="E845"/>
      <c r="F845"/>
      <c r="G845"/>
      <c r="H845"/>
      <c r="I845"/>
      <c r="J845"/>
      <c r="K845" s="58"/>
      <c r="L845" s="58"/>
      <c r="M845"/>
      <c r="N845"/>
    </row>
    <row r="846" spans="1:14" ht="11.25" customHeight="1">
      <c r="A846"/>
      <c r="B846"/>
      <c r="C846"/>
      <c r="D846"/>
      <c r="E846"/>
      <c r="F846"/>
      <c r="G846"/>
      <c r="H846"/>
      <c r="I846"/>
      <c r="J846"/>
      <c r="K846" s="58"/>
      <c r="L846" s="58"/>
      <c r="M846"/>
      <c r="N846"/>
    </row>
    <row r="847" spans="1:14" ht="11.25" customHeight="1">
      <c r="A847"/>
      <c r="B847"/>
      <c r="C847"/>
      <c r="D847"/>
      <c r="E847"/>
      <c r="F847"/>
      <c r="G847"/>
      <c r="H847"/>
      <c r="I847"/>
      <c r="J847"/>
      <c r="K847" s="58"/>
      <c r="L847" s="58"/>
      <c r="M847"/>
      <c r="N847"/>
    </row>
    <row r="848" spans="1:14" ht="11.25" customHeight="1">
      <c r="A848"/>
      <c r="B848"/>
      <c r="C848"/>
      <c r="D848"/>
      <c r="E848"/>
      <c r="F848"/>
      <c r="G848"/>
      <c r="H848"/>
      <c r="I848"/>
      <c r="J848"/>
      <c r="K848" s="58"/>
      <c r="L848" s="58"/>
      <c r="M848"/>
      <c r="N848"/>
    </row>
    <row r="849" spans="1:14" ht="11.25" customHeight="1">
      <c r="A849"/>
      <c r="B849"/>
      <c r="C849"/>
      <c r="D849"/>
      <c r="E849"/>
      <c r="F849"/>
      <c r="G849"/>
      <c r="H849"/>
      <c r="I849"/>
      <c r="J849"/>
      <c r="K849" s="58"/>
      <c r="L849" s="58"/>
      <c r="M849"/>
      <c r="N849"/>
    </row>
    <row r="850" spans="1:14" ht="11.25" customHeight="1">
      <c r="A850"/>
      <c r="B850"/>
      <c r="C850"/>
      <c r="D850"/>
      <c r="E850"/>
      <c r="F850"/>
      <c r="G850"/>
      <c r="H850"/>
      <c r="I850"/>
      <c r="J850"/>
      <c r="K850" s="58"/>
      <c r="L850" s="58"/>
      <c r="M850"/>
      <c r="N850"/>
    </row>
    <row r="851" spans="1:14" ht="11.25" customHeight="1">
      <c r="A851"/>
      <c r="B851"/>
      <c r="C851"/>
      <c r="D851"/>
      <c r="E851"/>
      <c r="F851"/>
      <c r="G851"/>
      <c r="H851"/>
      <c r="I851"/>
      <c r="J851"/>
      <c r="K851" s="58"/>
      <c r="L851" s="58"/>
      <c r="M851"/>
      <c r="N851"/>
    </row>
    <row r="852" spans="1:14" ht="11.25" customHeight="1">
      <c r="A852"/>
      <c r="B852"/>
      <c r="C852"/>
      <c r="D852"/>
      <c r="E852"/>
      <c r="F852"/>
      <c r="G852"/>
      <c r="H852"/>
      <c r="I852"/>
      <c r="J852"/>
      <c r="K852" s="58"/>
      <c r="L852" s="58"/>
      <c r="M852"/>
      <c r="N852"/>
    </row>
    <row r="853" spans="1:14" ht="11.25" customHeight="1">
      <c r="A853"/>
      <c r="B853"/>
      <c r="C853"/>
      <c r="D853"/>
      <c r="E853"/>
      <c r="F853"/>
      <c r="G853"/>
      <c r="H853"/>
      <c r="I853"/>
      <c r="J853"/>
      <c r="K853" s="58"/>
      <c r="L853" s="58"/>
      <c r="M853"/>
      <c r="N853"/>
    </row>
    <row r="854" spans="1:14" ht="11.25" customHeight="1">
      <c r="A854"/>
      <c r="B854"/>
      <c r="C854"/>
      <c r="D854"/>
      <c r="E854"/>
      <c r="F854"/>
      <c r="G854"/>
      <c r="H854"/>
      <c r="I854"/>
      <c r="J854"/>
      <c r="K854" s="58"/>
      <c r="L854" s="58"/>
      <c r="M854"/>
      <c r="N854"/>
    </row>
    <row r="855" spans="1:14" ht="11.25" customHeight="1">
      <c r="A855"/>
      <c r="B855"/>
      <c r="C855"/>
      <c r="D855"/>
      <c r="E855"/>
      <c r="F855"/>
      <c r="G855"/>
      <c r="H855"/>
      <c r="I855"/>
      <c r="J855"/>
      <c r="K855" s="58"/>
      <c r="L855" s="58"/>
      <c r="M855"/>
      <c r="N855"/>
    </row>
    <row r="856" spans="1:14" ht="11.25" customHeight="1">
      <c r="A856"/>
      <c r="B856"/>
      <c r="C856"/>
      <c r="D856"/>
      <c r="E856"/>
      <c r="F856"/>
      <c r="G856"/>
      <c r="H856"/>
      <c r="I856"/>
      <c r="J856"/>
      <c r="K856" s="58"/>
      <c r="L856" s="58"/>
      <c r="M856"/>
      <c r="N856"/>
    </row>
    <row r="857" spans="1:14" ht="11.25" customHeight="1">
      <c r="A857"/>
      <c r="B857"/>
      <c r="C857"/>
      <c r="D857"/>
      <c r="E857"/>
      <c r="F857"/>
      <c r="G857"/>
      <c r="H857"/>
      <c r="I857"/>
      <c r="J857"/>
      <c r="K857" s="58"/>
      <c r="L857" s="58"/>
      <c r="M857"/>
      <c r="N857"/>
    </row>
    <row r="858" spans="1:14" ht="11.25" customHeight="1">
      <c r="A858"/>
      <c r="B858"/>
      <c r="C858"/>
      <c r="D858"/>
      <c r="E858"/>
      <c r="F858"/>
      <c r="G858"/>
      <c r="H858"/>
      <c r="I858"/>
      <c r="J858"/>
      <c r="K858" s="58"/>
      <c r="L858" s="58"/>
      <c r="M858"/>
      <c r="N858"/>
    </row>
    <row r="859" spans="1:14" ht="11.25" customHeight="1">
      <c r="A859"/>
      <c r="B859"/>
      <c r="C859"/>
      <c r="D859"/>
      <c r="E859"/>
      <c r="F859"/>
      <c r="G859"/>
      <c r="H859"/>
      <c r="I859"/>
      <c r="J859"/>
      <c r="K859" s="58"/>
      <c r="L859" s="58"/>
      <c r="M859"/>
      <c r="N859"/>
    </row>
    <row r="860" spans="1:14" ht="11.25" customHeight="1">
      <c r="A860"/>
      <c r="B860"/>
      <c r="C860"/>
      <c r="D860"/>
      <c r="E860"/>
      <c r="F860"/>
      <c r="G860"/>
      <c r="H860"/>
      <c r="I860"/>
      <c r="J860"/>
      <c r="K860" s="58"/>
      <c r="L860" s="58"/>
      <c r="M860"/>
      <c r="N860"/>
    </row>
    <row r="861" spans="1:14" ht="11.25" customHeight="1">
      <c r="A861"/>
      <c r="B861"/>
      <c r="C861"/>
      <c r="D861"/>
      <c r="E861"/>
      <c r="F861"/>
      <c r="G861"/>
      <c r="H861"/>
      <c r="I861"/>
      <c r="J861"/>
      <c r="K861" s="58"/>
      <c r="L861" s="58"/>
      <c r="M861"/>
      <c r="N861"/>
    </row>
    <row r="862" spans="1:14" ht="11.25" customHeight="1">
      <c r="A862"/>
      <c r="B862"/>
      <c r="C862"/>
      <c r="D862"/>
      <c r="E862"/>
      <c r="F862"/>
      <c r="G862"/>
      <c r="H862"/>
      <c r="I862"/>
      <c r="J862"/>
      <c r="K862" s="58"/>
      <c r="L862" s="58"/>
      <c r="M862"/>
      <c r="N862"/>
    </row>
    <row r="863" spans="1:14" ht="11.25" customHeight="1">
      <c r="A863"/>
      <c r="B863"/>
      <c r="C863"/>
      <c r="D863"/>
      <c r="E863"/>
      <c r="F863"/>
      <c r="G863"/>
      <c r="H863"/>
      <c r="I863"/>
      <c r="J863"/>
      <c r="K863" s="58"/>
      <c r="L863" s="58"/>
      <c r="M863"/>
      <c r="N863"/>
    </row>
    <row r="864" spans="1:14" ht="11.25" customHeight="1">
      <c r="A864"/>
      <c r="B864"/>
      <c r="C864"/>
      <c r="D864"/>
      <c r="E864"/>
      <c r="F864"/>
      <c r="G864"/>
      <c r="H864"/>
      <c r="I864"/>
      <c r="J864"/>
      <c r="K864" s="58"/>
      <c r="L864" s="58"/>
      <c r="M864"/>
      <c r="N864"/>
    </row>
    <row r="865" spans="1:14" ht="11.25" customHeight="1">
      <c r="A865"/>
      <c r="B865"/>
      <c r="C865"/>
      <c r="D865"/>
      <c r="E865"/>
      <c r="F865"/>
      <c r="G865"/>
      <c r="H865"/>
      <c r="I865"/>
      <c r="J865"/>
      <c r="K865" s="58"/>
      <c r="L865" s="58"/>
      <c r="M865"/>
      <c r="N865"/>
    </row>
    <row r="866" spans="1:14" ht="11.25" customHeight="1">
      <c r="A866"/>
      <c r="B866"/>
      <c r="C866"/>
      <c r="D866"/>
      <c r="E866"/>
      <c r="F866"/>
      <c r="G866"/>
      <c r="H866"/>
      <c r="I866"/>
      <c r="J866"/>
      <c r="K866" s="58"/>
      <c r="L866" s="58"/>
      <c r="M866"/>
      <c r="N866"/>
    </row>
    <row r="867" spans="1:14" ht="11.25" customHeight="1">
      <c r="A867"/>
      <c r="B867"/>
      <c r="C867"/>
      <c r="D867"/>
      <c r="E867"/>
      <c r="F867"/>
      <c r="G867"/>
      <c r="H867"/>
      <c r="I867"/>
      <c r="J867"/>
      <c r="K867" s="58"/>
      <c r="L867" s="58"/>
      <c r="M867"/>
      <c r="N867"/>
    </row>
    <row r="868" spans="1:14" ht="11.25" customHeight="1">
      <c r="A868"/>
      <c r="B868"/>
      <c r="C868"/>
      <c r="D868"/>
      <c r="E868"/>
      <c r="F868"/>
      <c r="G868"/>
      <c r="H868"/>
      <c r="I868"/>
      <c r="J868"/>
      <c r="K868" s="58"/>
      <c r="L868" s="58"/>
      <c r="M868"/>
      <c r="N868"/>
    </row>
    <row r="869" spans="1:14" ht="11.25" customHeight="1">
      <c r="A869"/>
      <c r="B869"/>
      <c r="C869"/>
      <c r="D869"/>
      <c r="E869"/>
      <c r="F869"/>
      <c r="G869"/>
      <c r="H869"/>
      <c r="I869"/>
      <c r="J869"/>
      <c r="K869" s="58"/>
      <c r="L869" s="58"/>
      <c r="M869"/>
      <c r="N869"/>
    </row>
    <row r="870" spans="1:14" ht="11.25" customHeight="1">
      <c r="A870"/>
      <c r="B870"/>
      <c r="C870"/>
      <c r="D870"/>
      <c r="E870"/>
      <c r="F870"/>
      <c r="G870"/>
      <c r="H870"/>
      <c r="I870"/>
      <c r="J870"/>
      <c r="K870" s="58"/>
      <c r="L870" s="58"/>
      <c r="M870"/>
      <c r="N870"/>
    </row>
    <row r="871" spans="1:14" ht="11.25" customHeight="1">
      <c r="A871"/>
      <c r="B871"/>
      <c r="C871"/>
      <c r="D871"/>
      <c r="E871"/>
      <c r="F871"/>
      <c r="G871"/>
      <c r="H871"/>
      <c r="I871"/>
      <c r="J871"/>
      <c r="K871" s="58"/>
      <c r="L871" s="58"/>
      <c r="M871"/>
      <c r="N871"/>
    </row>
    <row r="872" spans="1:14" ht="11.25" customHeight="1">
      <c r="A872"/>
      <c r="B872"/>
      <c r="C872"/>
      <c r="D872"/>
      <c r="E872"/>
      <c r="F872"/>
      <c r="G872"/>
      <c r="H872"/>
      <c r="I872"/>
      <c r="J872"/>
      <c r="K872" s="58"/>
      <c r="L872" s="58"/>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1824</v>
      </c>
      <c r="B1" s="4"/>
      <c r="C1" s="4"/>
      <c r="D1" s="4"/>
      <c r="E1" s="4"/>
      <c r="F1" s="4"/>
      <c r="G1" s="4"/>
      <c r="H1" s="4"/>
      <c r="I1" s="4"/>
    </row>
    <row r="2" spans="1:12" ht="12.75" customHeight="1">
      <c r="A2" s="1" t="s">
        <v>1825</v>
      </c>
      <c r="B2" s="4"/>
      <c r="C2" s="4"/>
      <c r="D2" s="4"/>
      <c r="E2" s="4"/>
      <c r="F2" s="4"/>
      <c r="G2" s="4"/>
      <c r="H2" s="4"/>
      <c r="I2" s="4"/>
    </row>
    <row r="3" spans="1:12" ht="12.75" customHeight="1">
      <c r="A3" s="7" t="s">
        <v>1826</v>
      </c>
      <c r="B3" s="4"/>
      <c r="C3" s="4"/>
      <c r="D3" s="4"/>
      <c r="E3" s="4"/>
      <c r="F3" s="4"/>
      <c r="G3" s="4"/>
      <c r="H3" s="4"/>
      <c r="I3" s="4"/>
    </row>
    <row r="4" spans="1:12" ht="13.5" customHeight="1" thickBot="1">
      <c r="A4" s="39"/>
      <c r="B4" s="43"/>
      <c r="C4" s="4"/>
      <c r="D4" s="4"/>
      <c r="E4" s="4"/>
      <c r="F4" s="4"/>
      <c r="G4" s="4"/>
      <c r="H4" s="4"/>
      <c r="I4" s="4"/>
    </row>
    <row r="5" spans="1:12" ht="12.75" customHeight="1">
      <c r="A5" s="470" t="s">
        <v>1805</v>
      </c>
      <c r="B5" s="4"/>
      <c r="C5" s="437" t="s">
        <v>1806</v>
      </c>
      <c r="D5" s="437" t="s">
        <v>1807</v>
      </c>
      <c r="E5" s="437" t="s">
        <v>1808</v>
      </c>
      <c r="F5" s="437" t="s">
        <v>1093</v>
      </c>
      <c r="G5" s="437" t="s">
        <v>1809</v>
      </c>
      <c r="H5" s="471" t="s">
        <v>178</v>
      </c>
      <c r="I5" s="437" t="s">
        <v>1810</v>
      </c>
    </row>
    <row r="6" spans="1:12" ht="13.5" customHeight="1" thickBot="1">
      <c r="A6" s="39"/>
      <c r="B6" s="44"/>
      <c r="C6" s="39" t="s">
        <v>1811</v>
      </c>
      <c r="D6" s="39" t="s">
        <v>1812</v>
      </c>
      <c r="E6" s="39" t="s">
        <v>1813</v>
      </c>
      <c r="F6" s="39"/>
      <c r="G6" s="39" t="s">
        <v>1814</v>
      </c>
      <c r="H6" s="472"/>
      <c r="I6" s="39"/>
    </row>
    <row r="7" spans="1:12" ht="12.75" customHeight="1">
      <c r="A7" s="17"/>
      <c r="B7" s="4"/>
      <c r="C7" s="4"/>
      <c r="D7" s="4"/>
      <c r="E7" s="4"/>
      <c r="F7" s="4"/>
      <c r="G7" s="4"/>
      <c r="H7" s="4"/>
      <c r="I7" s="4"/>
      <c r="J7" s="58"/>
      <c r="K7" s="58"/>
      <c r="L7" s="58"/>
    </row>
    <row r="8" spans="1:12">
      <c r="A8" s="17">
        <v>1</v>
      </c>
      <c r="B8" s="4" t="s">
        <v>401</v>
      </c>
      <c r="C8" s="3">
        <v>1186.9823687400001</v>
      </c>
      <c r="D8" s="3">
        <v>5880.0429790622993</v>
      </c>
      <c r="E8" s="3">
        <v>15.329981189099996</v>
      </c>
      <c r="F8" s="3">
        <v>13.222575001899999</v>
      </c>
      <c r="G8" s="3">
        <v>237.62783467080001</v>
      </c>
      <c r="H8" s="6">
        <f>SUM(C8:G8)</f>
        <v>7333.2057386641</v>
      </c>
      <c r="I8" s="31">
        <v>1.011013679068909</v>
      </c>
      <c r="J8" s="480"/>
      <c r="K8" s="58"/>
      <c r="L8" s="58"/>
    </row>
    <row r="9" spans="1:12">
      <c r="A9" s="17">
        <v>2</v>
      </c>
      <c r="B9" s="4" t="s">
        <v>402</v>
      </c>
      <c r="C9" s="3">
        <v>7471.9148590000004</v>
      </c>
      <c r="D9" s="3">
        <v>1250.7035702637002</v>
      </c>
      <c r="E9" s="3">
        <v>28.152543530399999</v>
      </c>
      <c r="F9" s="3">
        <v>1.6717601089</v>
      </c>
      <c r="G9" s="3">
        <v>85.479742347699997</v>
      </c>
      <c r="H9" s="6">
        <f t="shared" ref="H9:H36" si="0">SUM(C9:G9)</f>
        <v>8837.9224752506998</v>
      </c>
      <c r="I9" s="31">
        <v>1.2184658163779758</v>
      </c>
      <c r="J9" s="480"/>
      <c r="K9" s="58"/>
    </row>
    <row r="10" spans="1:12">
      <c r="A10" s="17">
        <v>3</v>
      </c>
      <c r="B10" s="4" t="s">
        <v>207</v>
      </c>
      <c r="C10" s="3">
        <v>45.361508056699996</v>
      </c>
      <c r="D10" s="3">
        <v>7587.3087256443005</v>
      </c>
      <c r="E10" s="3">
        <v>78.5735100582</v>
      </c>
      <c r="F10" s="3">
        <v>26.3000291659</v>
      </c>
      <c r="G10" s="3">
        <v>311.50558405800001</v>
      </c>
      <c r="H10" s="6">
        <f t="shared" si="0"/>
        <v>8049.0493569830996</v>
      </c>
      <c r="I10" s="31">
        <v>1.1097055358074785</v>
      </c>
      <c r="J10" s="480"/>
      <c r="K10" s="58"/>
    </row>
    <row r="11" spans="1:12">
      <c r="A11" s="17">
        <v>4</v>
      </c>
      <c r="B11" s="4" t="s">
        <v>1267</v>
      </c>
      <c r="C11" s="3">
        <v>218.50935508890001</v>
      </c>
      <c r="D11" s="3">
        <v>22668.364506978414</v>
      </c>
      <c r="E11" s="3">
        <v>60.736507672199998</v>
      </c>
      <c r="F11" s="3">
        <v>136.43666734869998</v>
      </c>
      <c r="G11" s="3">
        <v>967.81158852830004</v>
      </c>
      <c r="H11" s="6">
        <f t="shared" si="0"/>
        <v>24051.858625616514</v>
      </c>
      <c r="I11" s="31">
        <v>3.3159792516553126</v>
      </c>
      <c r="J11" s="480"/>
      <c r="K11" s="58"/>
    </row>
    <row r="12" spans="1:12">
      <c r="A12" s="17">
        <v>5</v>
      </c>
      <c r="B12" s="4" t="s">
        <v>1183</v>
      </c>
      <c r="C12" s="3">
        <v>900.93581291169994</v>
      </c>
      <c r="D12" s="3">
        <v>201.32535094950006</v>
      </c>
      <c r="E12" s="3">
        <v>0.36365062670000003</v>
      </c>
      <c r="F12" s="3">
        <v>1.8289261214999999</v>
      </c>
      <c r="G12" s="3">
        <v>32.471758715100002</v>
      </c>
      <c r="H12" s="6">
        <f t="shared" si="0"/>
        <v>1136.9254993244999</v>
      </c>
      <c r="I12" s="31">
        <v>0.15674553160821525</v>
      </c>
      <c r="J12" s="480"/>
      <c r="K12" s="58"/>
    </row>
    <row r="13" spans="1:12">
      <c r="A13" s="17">
        <v>6</v>
      </c>
      <c r="B13" s="4" t="s">
        <v>1268</v>
      </c>
      <c r="C13" s="3">
        <v>1931.1741147181003</v>
      </c>
      <c r="D13" s="3">
        <v>29723.70544454117</v>
      </c>
      <c r="E13" s="3">
        <v>12293.9846506577</v>
      </c>
      <c r="F13" s="3">
        <v>88.219863505799992</v>
      </c>
      <c r="G13" s="3">
        <v>551.15097731689991</v>
      </c>
      <c r="H13" s="6">
        <f t="shared" si="0"/>
        <v>44588.235050739677</v>
      </c>
      <c r="I13" s="31">
        <v>6.1472863531099797</v>
      </c>
      <c r="J13" s="480"/>
      <c r="K13" s="473"/>
      <c r="L13" s="61"/>
    </row>
    <row r="14" spans="1:12">
      <c r="A14" s="17">
        <v>7</v>
      </c>
      <c r="B14" s="4" t="s">
        <v>1269</v>
      </c>
      <c r="C14" s="3">
        <v>14681.327452907097</v>
      </c>
      <c r="D14" s="3">
        <v>938.41156916599982</v>
      </c>
      <c r="E14" s="3">
        <v>2.2671117127999998</v>
      </c>
      <c r="F14" s="3">
        <v>3.6427709944000002</v>
      </c>
      <c r="G14" s="3">
        <v>57.867000244400003</v>
      </c>
      <c r="H14" s="6">
        <f t="shared" si="0"/>
        <v>15683.515905024695</v>
      </c>
      <c r="I14" s="31">
        <v>2.1622534101659232</v>
      </c>
      <c r="J14" s="480"/>
      <c r="K14" s="58"/>
    </row>
    <row r="15" spans="1:12">
      <c r="A15" s="17">
        <v>8</v>
      </c>
      <c r="B15" s="4" t="s">
        <v>1270</v>
      </c>
      <c r="C15" s="3">
        <v>4262.2035511949989</v>
      </c>
      <c r="D15" s="3">
        <v>2345.1665234680986</v>
      </c>
      <c r="E15" s="3">
        <v>70.380795341900011</v>
      </c>
      <c r="F15" s="3">
        <v>26.502345945399998</v>
      </c>
      <c r="G15" s="3">
        <v>-8.7625511265999947</v>
      </c>
      <c r="H15" s="6">
        <f t="shared" si="0"/>
        <v>6695.4906648237975</v>
      </c>
      <c r="I15" s="31">
        <v>0.92309324072614996</v>
      </c>
      <c r="J15" s="480"/>
      <c r="K15" s="58"/>
    </row>
    <row r="16" spans="1:12">
      <c r="A16" s="17">
        <v>9</v>
      </c>
      <c r="B16" s="4" t="s">
        <v>1271</v>
      </c>
      <c r="C16" s="3">
        <v>27944.744495714498</v>
      </c>
      <c r="D16" s="3">
        <v>3044.0061295960977</v>
      </c>
      <c r="E16" s="3">
        <v>12.4941878348</v>
      </c>
      <c r="F16" s="3">
        <v>5.4238748140000013</v>
      </c>
      <c r="G16" s="3">
        <v>33.063987794299997</v>
      </c>
      <c r="H16" s="6">
        <f t="shared" si="0"/>
        <v>31039.732675753698</v>
      </c>
      <c r="I16" s="31">
        <v>4.2793827758534988</v>
      </c>
      <c r="J16" s="480"/>
      <c r="K16" s="58"/>
    </row>
    <row r="17" spans="1:11">
      <c r="A17" s="17">
        <v>10</v>
      </c>
      <c r="B17" s="4" t="s">
        <v>1272</v>
      </c>
      <c r="C17" s="3">
        <v>106239.85689581992</v>
      </c>
      <c r="D17" s="3">
        <v>6357.7945691659006</v>
      </c>
      <c r="E17" s="3">
        <v>237.22418907999997</v>
      </c>
      <c r="F17" s="3">
        <v>54.188283728999998</v>
      </c>
      <c r="G17" s="3">
        <v>0</v>
      </c>
      <c r="H17" s="6">
        <f t="shared" si="0"/>
        <v>112889.06393779482</v>
      </c>
      <c r="I17" s="31">
        <v>15.563778233663319</v>
      </c>
      <c r="J17" s="480"/>
      <c r="K17" s="58"/>
    </row>
    <row r="18" spans="1:11">
      <c r="A18" s="17">
        <v>11</v>
      </c>
      <c r="B18" s="4" t="s">
        <v>1273</v>
      </c>
      <c r="C18" s="3">
        <v>33794.146438199998</v>
      </c>
      <c r="D18" s="45" t="s">
        <v>1229</v>
      </c>
      <c r="E18" s="45" t="s">
        <v>1229</v>
      </c>
      <c r="F18" s="45" t="s">
        <v>1229</v>
      </c>
      <c r="G18" s="45" t="s">
        <v>1229</v>
      </c>
      <c r="H18" s="6">
        <f t="shared" si="0"/>
        <v>33794.146438199998</v>
      </c>
      <c r="I18" s="31">
        <v>4.6591280183695192</v>
      </c>
      <c r="J18" s="480"/>
      <c r="K18" s="58"/>
    </row>
    <row r="19" spans="1:11">
      <c r="A19" s="17">
        <v>12</v>
      </c>
      <c r="B19" s="4" t="s">
        <v>593</v>
      </c>
      <c r="C19" s="3">
        <v>50196.973195059989</v>
      </c>
      <c r="D19" s="45" t="s">
        <v>1229</v>
      </c>
      <c r="E19" s="45" t="s">
        <v>1229</v>
      </c>
      <c r="F19" s="45" t="s">
        <v>1229</v>
      </c>
      <c r="G19" s="45" t="s">
        <v>1229</v>
      </c>
      <c r="H19" s="6">
        <f t="shared" si="0"/>
        <v>50196.973195059989</v>
      </c>
      <c r="I19" s="31">
        <v>6.920551305479421</v>
      </c>
      <c r="J19" s="480"/>
      <c r="K19" s="58"/>
    </row>
    <row r="20" spans="1:11">
      <c r="A20" s="17">
        <v>13</v>
      </c>
      <c r="B20" s="4" t="s">
        <v>594</v>
      </c>
      <c r="C20" s="3">
        <v>53424.948642359836</v>
      </c>
      <c r="D20" s="3">
        <v>7371.6166515590967</v>
      </c>
      <c r="E20" s="3">
        <v>18.231775663500002</v>
      </c>
      <c r="F20" s="3">
        <v>9.1465135503999999</v>
      </c>
      <c r="G20" s="3">
        <v>144.12174564179998</v>
      </c>
      <c r="H20" s="6">
        <f t="shared" si="0"/>
        <v>60968.065328774632</v>
      </c>
      <c r="I20" s="31">
        <v>8.405539163965555</v>
      </c>
      <c r="J20" s="480"/>
      <c r="K20" s="58"/>
    </row>
    <row r="21" spans="1:11">
      <c r="A21" s="17">
        <v>14</v>
      </c>
      <c r="B21" s="4" t="s">
        <v>595</v>
      </c>
      <c r="C21" s="3">
        <v>158.68891528589998</v>
      </c>
      <c r="D21" s="3">
        <v>870.24276759250029</v>
      </c>
      <c r="E21" s="3">
        <v>9.4309555887999998</v>
      </c>
      <c r="F21" s="3">
        <v>1.3462999677</v>
      </c>
      <c r="G21" s="3">
        <v>26.544607003199999</v>
      </c>
      <c r="H21" s="6">
        <f t="shared" si="0"/>
        <v>1066.2535454381004</v>
      </c>
      <c r="I21" s="31">
        <v>0.14700213770219714</v>
      </c>
      <c r="J21" s="480"/>
      <c r="K21" s="58"/>
    </row>
    <row r="22" spans="1:11">
      <c r="A22" s="17">
        <v>15</v>
      </c>
      <c r="B22" s="4" t="s">
        <v>596</v>
      </c>
      <c r="C22" s="3">
        <v>16180.0371400487</v>
      </c>
      <c r="D22" s="3">
        <v>26.046938340500002</v>
      </c>
      <c r="E22" s="45" t="s">
        <v>1229</v>
      </c>
      <c r="F22" s="3">
        <v>4461.8901529000004</v>
      </c>
      <c r="G22" s="45" t="s">
        <v>1229</v>
      </c>
      <c r="H22" s="6">
        <f t="shared" si="0"/>
        <v>20667.974231289201</v>
      </c>
      <c r="I22" s="31">
        <v>2.8494502147001928</v>
      </c>
      <c r="J22" s="480"/>
      <c r="K22" s="58"/>
    </row>
    <row r="23" spans="1:11">
      <c r="A23" s="17">
        <v>16</v>
      </c>
      <c r="B23" s="4" t="s">
        <v>73</v>
      </c>
      <c r="C23" s="3">
        <v>14055.553599646193</v>
      </c>
      <c r="D23" s="3">
        <v>25305.616904325383</v>
      </c>
      <c r="E23" s="3">
        <v>630.33100662099991</v>
      </c>
      <c r="F23" s="3">
        <v>122.5688539205</v>
      </c>
      <c r="G23" s="3">
        <v>756.46099517209973</v>
      </c>
      <c r="H23" s="6">
        <f t="shared" si="0"/>
        <v>40870.531359685177</v>
      </c>
      <c r="I23" s="31">
        <v>5.6347343505712111</v>
      </c>
      <c r="J23" s="480"/>
      <c r="K23" s="473"/>
    </row>
    <row r="24" spans="1:11">
      <c r="A24" s="17">
        <v>17</v>
      </c>
      <c r="B24" s="4" t="s">
        <v>74</v>
      </c>
      <c r="C24" s="3">
        <v>6533.194798667595</v>
      </c>
      <c r="D24" s="3">
        <v>1484.0449914692008</v>
      </c>
      <c r="E24" s="3">
        <v>10.300948612799996</v>
      </c>
      <c r="F24" s="3">
        <v>7.5764422399000013</v>
      </c>
      <c r="G24" s="3">
        <v>59.853211220700004</v>
      </c>
      <c r="H24" s="6">
        <f t="shared" si="0"/>
        <v>8094.9703922101962</v>
      </c>
      <c r="I24" s="31">
        <v>1.1160365725226786</v>
      </c>
      <c r="J24" s="480"/>
      <c r="K24" s="58"/>
    </row>
    <row r="25" spans="1:11">
      <c r="A25" s="17">
        <v>18</v>
      </c>
      <c r="B25" s="4" t="s">
        <v>75</v>
      </c>
      <c r="C25" s="3">
        <v>6140.2915638186014</v>
      </c>
      <c r="D25" s="3">
        <v>2486.3610193790992</v>
      </c>
      <c r="E25" s="3">
        <v>26.060754252100001</v>
      </c>
      <c r="F25" s="3">
        <v>8.4312086334000007</v>
      </c>
      <c r="G25" s="3">
        <v>74.765101253000026</v>
      </c>
      <c r="H25" s="6">
        <f t="shared" si="0"/>
        <v>8735.9096473362006</v>
      </c>
      <c r="I25" s="31">
        <v>1.2044015219701047</v>
      </c>
      <c r="J25" s="480"/>
      <c r="K25" s="58"/>
    </row>
    <row r="26" spans="1:11">
      <c r="A26" s="17">
        <v>19</v>
      </c>
      <c r="B26" s="4" t="s">
        <v>76</v>
      </c>
      <c r="C26" s="3">
        <v>3168.2356211126003</v>
      </c>
      <c r="D26" s="3">
        <v>197.23158693919987</v>
      </c>
      <c r="E26" s="3">
        <v>0.53962532520000006</v>
      </c>
      <c r="F26" s="3">
        <v>5.9590882800000002E-2</v>
      </c>
      <c r="G26" s="3">
        <v>21.784151264600002</v>
      </c>
      <c r="H26" s="6">
        <f t="shared" si="0"/>
        <v>3387.8505755244005</v>
      </c>
      <c r="I26" s="31">
        <v>0.4670758460297354</v>
      </c>
      <c r="J26" s="480"/>
      <c r="K26" s="58"/>
    </row>
    <row r="27" spans="1:11">
      <c r="A27" s="17">
        <v>20</v>
      </c>
      <c r="B27" s="4" t="s">
        <v>1225</v>
      </c>
      <c r="C27" s="3">
        <v>970.38761759709996</v>
      </c>
      <c r="D27" s="3">
        <v>1621.4716071188996</v>
      </c>
      <c r="E27" s="3">
        <v>307.61251161870001</v>
      </c>
      <c r="F27" s="3">
        <v>4.4364663585999997</v>
      </c>
      <c r="G27" s="3">
        <v>30.010188495000005</v>
      </c>
      <c r="H27" s="6">
        <f t="shared" si="0"/>
        <v>2933.9183911882992</v>
      </c>
      <c r="I27" s="31">
        <v>0.40449316880935887</v>
      </c>
      <c r="J27" s="480"/>
      <c r="K27" s="58"/>
    </row>
    <row r="28" spans="1:11">
      <c r="A28" s="17">
        <v>21</v>
      </c>
      <c r="B28" s="4" t="s">
        <v>77</v>
      </c>
      <c r="C28" s="3">
        <v>1833.9261733507003</v>
      </c>
      <c r="D28" s="3">
        <v>385.06866379429982</v>
      </c>
      <c r="E28" s="3">
        <v>8.4625373742000001</v>
      </c>
      <c r="F28" s="3">
        <v>0</v>
      </c>
      <c r="G28" s="3">
        <v>26.007428368399999</v>
      </c>
      <c r="H28" s="6">
        <f t="shared" si="0"/>
        <v>2253.4648028875999</v>
      </c>
      <c r="I28" s="31">
        <v>0.31068046120777792</v>
      </c>
      <c r="J28" s="480"/>
      <c r="K28" s="58"/>
    </row>
    <row r="29" spans="1:11">
      <c r="A29" s="17">
        <v>22</v>
      </c>
      <c r="B29" s="4" t="s">
        <v>78</v>
      </c>
      <c r="C29" s="3">
        <v>3504.6737130788993</v>
      </c>
      <c r="D29" s="3">
        <v>11909.734099225701</v>
      </c>
      <c r="E29" s="3">
        <v>8020.7632442591002</v>
      </c>
      <c r="F29" s="3">
        <v>637.3357592712</v>
      </c>
      <c r="G29" s="3">
        <v>288.6491045674</v>
      </c>
      <c r="H29" s="6">
        <f t="shared" si="0"/>
        <v>24361.155920402303</v>
      </c>
      <c r="I29" s="31">
        <v>3.3586214203154281</v>
      </c>
      <c r="J29" s="480"/>
      <c r="K29" s="58"/>
    </row>
    <row r="30" spans="1:11">
      <c r="A30" s="17">
        <v>23</v>
      </c>
      <c r="B30" s="4" t="s">
        <v>1086</v>
      </c>
      <c r="C30" s="3">
        <v>11013.767985634302</v>
      </c>
      <c r="D30" s="3">
        <v>2769.9997609618003</v>
      </c>
      <c r="E30" s="3">
        <v>10.6571460379</v>
      </c>
      <c r="F30" s="3">
        <v>58.015809808299991</v>
      </c>
      <c r="G30" s="3">
        <v>69.239242369499991</v>
      </c>
      <c r="H30" s="6">
        <f t="shared" si="0"/>
        <v>13921.679944811802</v>
      </c>
      <c r="I30" s="31">
        <v>1.9193527853192469</v>
      </c>
      <c r="J30" s="480"/>
      <c r="K30" s="58"/>
    </row>
    <row r="31" spans="1:11">
      <c r="A31" s="17">
        <v>24</v>
      </c>
      <c r="B31" s="4" t="s">
        <v>1087</v>
      </c>
      <c r="C31" s="3">
        <v>1787.6643453953</v>
      </c>
      <c r="D31" s="3">
        <v>1594.4665079601</v>
      </c>
      <c r="E31" s="3">
        <v>7.5145179652999996</v>
      </c>
      <c r="F31" s="3">
        <v>2.4817753351000005</v>
      </c>
      <c r="G31" s="3">
        <v>61.150598145499998</v>
      </c>
      <c r="H31" s="6">
        <f t="shared" si="0"/>
        <v>3453.2777448013003</v>
      </c>
      <c r="I31" s="31">
        <v>0.47609615249310666</v>
      </c>
      <c r="J31" s="480"/>
      <c r="K31" s="58"/>
    </row>
    <row r="32" spans="1:11">
      <c r="A32" s="17">
        <v>25</v>
      </c>
      <c r="B32" s="4" t="s">
        <v>1088</v>
      </c>
      <c r="C32" s="3">
        <v>102327.70057461711</v>
      </c>
      <c r="D32" s="3">
        <v>4.4078622350999996</v>
      </c>
      <c r="E32" s="3">
        <v>0.59413414139999998</v>
      </c>
      <c r="F32" s="45" t="s">
        <v>1229</v>
      </c>
      <c r="G32" s="45" t="s">
        <v>1229</v>
      </c>
      <c r="H32" s="6">
        <f t="shared" si="0"/>
        <v>102332.7025709936</v>
      </c>
      <c r="I32" s="31">
        <v>14.108394855182674</v>
      </c>
      <c r="J32" s="480"/>
      <c r="K32" s="58"/>
    </row>
    <row r="33" spans="1:14" ht="12.75" customHeight="1">
      <c r="A33" s="17">
        <v>26</v>
      </c>
      <c r="B33" s="4" t="s">
        <v>422</v>
      </c>
      <c r="C33" s="3">
        <v>0.45</v>
      </c>
      <c r="D33" s="45" t="s">
        <v>1229</v>
      </c>
      <c r="E33" s="45" t="s">
        <v>1229</v>
      </c>
      <c r="F33" s="3">
        <v>67183.173508000007</v>
      </c>
      <c r="G33" s="3">
        <v>156.03150446000001</v>
      </c>
      <c r="H33" s="6">
        <f t="shared" si="0"/>
        <v>67339.655012460003</v>
      </c>
      <c r="I33" s="31">
        <v>9.2839768564547001</v>
      </c>
      <c r="J33" s="480"/>
      <c r="K33" s="58"/>
    </row>
    <row r="34" spans="1:14" ht="12.75" customHeight="1">
      <c r="A34" s="17">
        <v>27</v>
      </c>
      <c r="B34" s="4" t="s">
        <v>1089</v>
      </c>
      <c r="C34" s="3">
        <v>20648.27440609</v>
      </c>
      <c r="D34" s="45" t="s">
        <v>1229</v>
      </c>
      <c r="E34" s="45" t="s">
        <v>1229</v>
      </c>
      <c r="F34" s="45" t="s">
        <v>1229</v>
      </c>
      <c r="G34" s="45" t="s">
        <v>1229</v>
      </c>
      <c r="H34" s="6">
        <f t="shared" si="0"/>
        <v>20648.27440609</v>
      </c>
      <c r="I34" s="31">
        <v>2.8467342411599104</v>
      </c>
      <c r="J34" s="480"/>
      <c r="K34" s="58"/>
    </row>
    <row r="35" spans="1:14" ht="12.75" customHeight="1">
      <c r="A35" s="17"/>
      <c r="B35" s="4"/>
      <c r="C35" s="3"/>
      <c r="D35" s="3"/>
      <c r="E35" s="3"/>
      <c r="F35" s="3"/>
      <c r="G35" s="3"/>
      <c r="H35" s="6"/>
      <c r="I35" s="31"/>
      <c r="J35" s="480"/>
      <c r="K35" s="58"/>
    </row>
    <row r="36" spans="1:14" ht="12.75" customHeight="1">
      <c r="A36" s="17"/>
      <c r="B36" s="2" t="s">
        <v>1230</v>
      </c>
      <c r="C36" s="6">
        <f>SUM(C8:C34)</f>
        <v>490621.92514411476</v>
      </c>
      <c r="D36" s="6">
        <f>SUM(D8:D34)</f>
        <v>136023.13872973635</v>
      </c>
      <c r="E36" s="6">
        <f>SUM(E8:E34)</f>
        <v>21850.006285163796</v>
      </c>
      <c r="F36" s="6">
        <f>SUM(F8:F34)</f>
        <v>72853.899477603409</v>
      </c>
      <c r="G36" s="6">
        <f>SUM(G8:G34)</f>
        <v>3982.8338005100995</v>
      </c>
      <c r="H36" s="6">
        <f t="shared" si="0"/>
        <v>725331.80343712843</v>
      </c>
      <c r="I36" s="31">
        <v>100</v>
      </c>
      <c r="J36" s="480"/>
      <c r="K36" s="58"/>
    </row>
    <row r="37" spans="1:14" ht="12.75" customHeight="1" thickBot="1">
      <c r="A37" s="39"/>
      <c r="B37" s="475" t="s">
        <v>1810</v>
      </c>
      <c r="C37" s="479">
        <f t="shared" ref="C37:H37" si="1">C36/$H$36*100</f>
        <v>67.641033085714099</v>
      </c>
      <c r="D37" s="479">
        <f t="shared" si="1"/>
        <v>18.753229637134865</v>
      </c>
      <c r="E37" s="479">
        <f t="shared" si="1"/>
        <v>3.0124153086385035</v>
      </c>
      <c r="F37" s="479">
        <f t="shared" si="1"/>
        <v>10.044216885619901</v>
      </c>
      <c r="G37" s="479">
        <f t="shared" si="1"/>
        <v>0.54910508289263649</v>
      </c>
      <c r="H37" s="479">
        <f t="shared" si="1"/>
        <v>100</v>
      </c>
      <c r="I37" s="478"/>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1.25" customHeight="1">
      <c r="J44" s="58"/>
      <c r="K44" s="58"/>
    </row>
    <row r="45" spans="1:14" ht="11.25" customHeight="1">
      <c r="J45" s="58"/>
      <c r="K45" s="58"/>
    </row>
    <row r="46" spans="1:14" ht="13.5" customHeight="1">
      <c r="A46" s="183"/>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c r="A1" s="1" t="s">
        <v>1827</v>
      </c>
      <c r="B1" s="4"/>
      <c r="C1" s="4"/>
      <c r="D1" s="4"/>
      <c r="E1" s="4"/>
      <c r="F1" s="4"/>
      <c r="G1" s="4"/>
      <c r="H1" s="4"/>
      <c r="I1" s="4"/>
    </row>
    <row r="2" spans="1:12">
      <c r="A2" s="1" t="s">
        <v>1828</v>
      </c>
      <c r="B2" s="4"/>
      <c r="C2" s="4"/>
      <c r="D2" s="4"/>
      <c r="E2" s="4"/>
      <c r="F2" s="4"/>
      <c r="G2" s="4"/>
      <c r="H2" s="4"/>
      <c r="I2" s="4"/>
    </row>
    <row r="3" spans="1:12">
      <c r="A3" s="7" t="s">
        <v>1829</v>
      </c>
      <c r="B3" s="4"/>
      <c r="C3" s="4"/>
      <c r="D3" s="4"/>
      <c r="E3" s="4"/>
      <c r="F3" s="4"/>
      <c r="G3" s="4"/>
      <c r="H3" s="4"/>
      <c r="I3" s="4"/>
    </row>
    <row r="4" spans="1:12" ht="13.5" customHeight="1" thickBot="1">
      <c r="A4" s="39"/>
      <c r="B4" s="43"/>
      <c r="C4" s="4"/>
      <c r="D4" s="4"/>
      <c r="E4" s="4"/>
      <c r="F4" s="4"/>
      <c r="G4" s="4"/>
      <c r="H4" s="4"/>
      <c r="I4" s="4"/>
    </row>
    <row r="5" spans="1:12">
      <c r="A5" s="470" t="s">
        <v>1805</v>
      </c>
      <c r="B5" s="4"/>
      <c r="C5" s="437" t="s">
        <v>1806</v>
      </c>
      <c r="D5" s="437" t="s">
        <v>1807</v>
      </c>
      <c r="E5" s="437" t="s">
        <v>1808</v>
      </c>
      <c r="F5" s="437" t="s">
        <v>1093</v>
      </c>
      <c r="G5" s="437" t="s">
        <v>1809</v>
      </c>
      <c r="H5" s="471" t="s">
        <v>178</v>
      </c>
      <c r="I5" s="437" t="s">
        <v>1810</v>
      </c>
    </row>
    <row r="6" spans="1:12" ht="13.5" customHeight="1" thickBot="1">
      <c r="A6" s="39"/>
      <c r="B6" s="44"/>
      <c r="C6" s="39" t="s">
        <v>1811</v>
      </c>
      <c r="D6" s="39" t="s">
        <v>1812</v>
      </c>
      <c r="E6" s="39" t="s">
        <v>1813</v>
      </c>
      <c r="F6" s="39"/>
      <c r="G6" s="39" t="s">
        <v>1814</v>
      </c>
      <c r="H6" s="472"/>
      <c r="I6" s="39"/>
    </row>
    <row r="7" spans="1:12">
      <c r="A7" s="17"/>
      <c r="B7" s="4"/>
      <c r="C7" s="4"/>
      <c r="D7" s="4"/>
      <c r="E7" s="4"/>
      <c r="F7" s="4"/>
      <c r="G7" s="4"/>
      <c r="H7" s="4"/>
      <c r="I7" s="4"/>
      <c r="J7" s="58"/>
      <c r="K7" s="58"/>
      <c r="L7" s="58"/>
    </row>
    <row r="8" spans="1:12">
      <c r="A8" s="17">
        <v>1</v>
      </c>
      <c r="B8" s="4" t="s">
        <v>401</v>
      </c>
      <c r="C8" s="3">
        <v>1165.8963042252999</v>
      </c>
      <c r="D8" s="3">
        <v>6132.3190555747005</v>
      </c>
      <c r="E8" s="3">
        <v>10.202720691799998</v>
      </c>
      <c r="F8" s="3">
        <v>2.6716482013999991</v>
      </c>
      <c r="G8" s="3">
        <v>193.46636000830003</v>
      </c>
      <c r="H8" s="6">
        <f>SUM(C8:G8)</f>
        <v>7504.5560887015008</v>
      </c>
      <c r="I8" s="31">
        <f>+H8/H$36*100</f>
        <v>1.066790742627953</v>
      </c>
      <c r="J8" s="480"/>
      <c r="K8" s="58"/>
      <c r="L8" s="58"/>
    </row>
    <row r="9" spans="1:12">
      <c r="A9" s="17">
        <v>2</v>
      </c>
      <c r="B9" s="4" t="s">
        <v>402</v>
      </c>
      <c r="C9" s="3">
        <v>7473.3734509073001</v>
      </c>
      <c r="D9" s="3">
        <v>1365.9926119735999</v>
      </c>
      <c r="E9" s="3">
        <v>9.5706782561000008</v>
      </c>
      <c r="F9" s="3">
        <v>3.5944926576999996</v>
      </c>
      <c r="G9" s="3">
        <v>104.2390927937</v>
      </c>
      <c r="H9" s="6">
        <f t="shared" ref="H9:H34" si="0">SUM(C9:G9)</f>
        <v>8956.7703265883974</v>
      </c>
      <c r="I9" s="31">
        <f t="shared" ref="I9:I34" si="1">+H9/H$36*100</f>
        <v>1.2732264980516035</v>
      </c>
      <c r="J9" s="480"/>
      <c r="K9" s="58"/>
    </row>
    <row r="10" spans="1:12">
      <c r="A10" s="17">
        <v>3</v>
      </c>
      <c r="B10" s="4" t="s">
        <v>207</v>
      </c>
      <c r="C10" s="3">
        <v>29.652870689700002</v>
      </c>
      <c r="D10" s="3">
        <v>7855.2879202901968</v>
      </c>
      <c r="E10" s="3">
        <v>62.954730117899999</v>
      </c>
      <c r="F10" s="3">
        <v>17.851242564900001</v>
      </c>
      <c r="G10" s="3">
        <v>317.89322895560002</v>
      </c>
      <c r="H10" s="6">
        <f t="shared" si="0"/>
        <v>8283.6399926182967</v>
      </c>
      <c r="I10" s="31">
        <f t="shared" si="1"/>
        <v>1.1775393980587756</v>
      </c>
      <c r="J10" s="480"/>
      <c r="K10" s="58"/>
    </row>
    <row r="11" spans="1:12">
      <c r="A11" s="17">
        <v>4</v>
      </c>
      <c r="B11" s="4" t="s">
        <v>1267</v>
      </c>
      <c r="C11" s="3">
        <v>263.95701988870002</v>
      </c>
      <c r="D11" s="3">
        <v>24069.492752403301</v>
      </c>
      <c r="E11" s="3">
        <v>44.077584475400009</v>
      </c>
      <c r="F11" s="3">
        <v>138.26770104429997</v>
      </c>
      <c r="G11" s="3">
        <v>997.0624043145001</v>
      </c>
      <c r="H11" s="6">
        <f t="shared" si="0"/>
        <v>25512.857462126201</v>
      </c>
      <c r="I11" s="31">
        <f t="shared" si="1"/>
        <v>3.6267142035968187</v>
      </c>
      <c r="J11" s="480"/>
      <c r="K11" s="58"/>
    </row>
    <row r="12" spans="1:12">
      <c r="A12" s="17">
        <v>5</v>
      </c>
      <c r="B12" s="4" t="s">
        <v>1183</v>
      </c>
      <c r="C12" s="3">
        <v>892.52376548330005</v>
      </c>
      <c r="D12" s="3">
        <v>205.51095245569999</v>
      </c>
      <c r="E12" s="3">
        <v>0.31117506659999999</v>
      </c>
      <c r="F12" s="3">
        <v>0.68901560100000003</v>
      </c>
      <c r="G12" s="3">
        <v>15.577580214700003</v>
      </c>
      <c r="H12" s="6">
        <f t="shared" si="0"/>
        <v>1114.6124888213001</v>
      </c>
      <c r="I12" s="31">
        <f t="shared" si="1"/>
        <v>0.15844485278513071</v>
      </c>
      <c r="J12" s="480"/>
      <c r="K12" s="58"/>
    </row>
    <row r="13" spans="1:12">
      <c r="A13" s="17">
        <v>6</v>
      </c>
      <c r="B13" s="4" t="s">
        <v>1268</v>
      </c>
      <c r="C13" s="3">
        <v>2127.5153956652998</v>
      </c>
      <c r="D13" s="3">
        <v>30430.57152541187</v>
      </c>
      <c r="E13" s="3">
        <v>11950.680543652001</v>
      </c>
      <c r="F13" s="3">
        <v>62.526568377099991</v>
      </c>
      <c r="G13" s="3">
        <v>558.0453935562</v>
      </c>
      <c r="H13" s="6">
        <f t="shared" si="0"/>
        <v>45129.339426662467</v>
      </c>
      <c r="I13" s="31">
        <f t="shared" si="1"/>
        <v>6.4152444131586748</v>
      </c>
      <c r="J13" s="480"/>
      <c r="K13" s="473"/>
      <c r="L13" s="61"/>
    </row>
    <row r="14" spans="1:12">
      <c r="A14" s="17">
        <v>7</v>
      </c>
      <c r="B14" s="4" t="s">
        <v>1269</v>
      </c>
      <c r="C14" s="3">
        <v>14758.507088114604</v>
      </c>
      <c r="D14" s="3">
        <v>985.75715637350038</v>
      </c>
      <c r="E14" s="3">
        <v>3.1602133837999999</v>
      </c>
      <c r="F14" s="3">
        <v>2.3029602917999998</v>
      </c>
      <c r="G14" s="3">
        <v>162.29791580840001</v>
      </c>
      <c r="H14" s="6">
        <f t="shared" si="0"/>
        <v>15912.025333972104</v>
      </c>
      <c r="I14" s="31">
        <f t="shared" si="1"/>
        <v>2.2619327675222989</v>
      </c>
      <c r="J14" s="480"/>
      <c r="K14" s="58"/>
    </row>
    <row r="15" spans="1:12">
      <c r="A15" s="17">
        <v>8</v>
      </c>
      <c r="B15" s="4" t="s">
        <v>1270</v>
      </c>
      <c r="C15" s="3">
        <v>4738.4981804296003</v>
      </c>
      <c r="D15" s="3">
        <v>2981.3096869588003</v>
      </c>
      <c r="E15" s="3">
        <v>7.0596772517999993</v>
      </c>
      <c r="F15" s="3">
        <v>28.9960407232</v>
      </c>
      <c r="G15" s="3">
        <v>-31.457569853999999</v>
      </c>
      <c r="H15" s="6">
        <f t="shared" si="0"/>
        <v>7724.4060155094012</v>
      </c>
      <c r="I15" s="31">
        <f t="shared" si="1"/>
        <v>1.0980429398150997</v>
      </c>
      <c r="J15" s="480"/>
      <c r="K15" s="58"/>
    </row>
    <row r="16" spans="1:12">
      <c r="A16" s="17">
        <v>9</v>
      </c>
      <c r="B16" s="4" t="s">
        <v>1271</v>
      </c>
      <c r="C16" s="3">
        <v>29814.290074908084</v>
      </c>
      <c r="D16" s="3">
        <v>4182.2707195554003</v>
      </c>
      <c r="E16" s="3">
        <v>9.5355261000000002</v>
      </c>
      <c r="F16" s="3">
        <v>6.5849218578999977</v>
      </c>
      <c r="G16" s="3">
        <v>55.439709779799998</v>
      </c>
      <c r="H16" s="6">
        <f t="shared" si="0"/>
        <v>34068.120952201185</v>
      </c>
      <c r="I16" s="31">
        <f t="shared" si="1"/>
        <v>4.8428655367443705</v>
      </c>
      <c r="J16" s="480"/>
      <c r="K16" s="58"/>
    </row>
    <row r="17" spans="1:11">
      <c r="A17" s="17">
        <v>10</v>
      </c>
      <c r="B17" s="4" t="s">
        <v>1272</v>
      </c>
      <c r="C17" s="3">
        <v>113552.80929624318</v>
      </c>
      <c r="D17" s="3">
        <v>7597.3508638106005</v>
      </c>
      <c r="E17" s="3">
        <v>12.7692681464</v>
      </c>
      <c r="F17" s="3">
        <v>25.346535158999998</v>
      </c>
      <c r="G17" s="3">
        <v>275.74716158730001</v>
      </c>
      <c r="H17" s="6">
        <f t="shared" si="0"/>
        <v>121464.02312494647</v>
      </c>
      <c r="I17" s="31">
        <f t="shared" si="1"/>
        <v>17.266403755330039</v>
      </c>
      <c r="J17" s="480"/>
      <c r="K17" s="58"/>
    </row>
    <row r="18" spans="1:11">
      <c r="A18" s="17">
        <v>11</v>
      </c>
      <c r="B18" s="4" t="s">
        <v>1273</v>
      </c>
      <c r="C18" s="3">
        <v>51953.610574999999</v>
      </c>
      <c r="D18" s="45" t="s">
        <v>1229</v>
      </c>
      <c r="E18" s="45" t="s">
        <v>1229</v>
      </c>
      <c r="F18" s="45" t="s">
        <v>1229</v>
      </c>
      <c r="G18" s="45" t="s">
        <v>1229</v>
      </c>
      <c r="H18" s="6">
        <f t="shared" si="0"/>
        <v>51953.610574999999</v>
      </c>
      <c r="I18" s="31">
        <f t="shared" si="1"/>
        <v>7.3853310112440731</v>
      </c>
      <c r="J18" s="480"/>
      <c r="K18" s="58"/>
    </row>
    <row r="19" spans="1:11">
      <c r="A19" s="17">
        <v>12</v>
      </c>
      <c r="B19" s="4" t="s">
        <v>593</v>
      </c>
      <c r="C19" s="3">
        <v>52222.968298730004</v>
      </c>
      <c r="D19" s="45" t="s">
        <v>1229</v>
      </c>
      <c r="E19" s="45" t="s">
        <v>1229</v>
      </c>
      <c r="F19" s="45" t="s">
        <v>1229</v>
      </c>
      <c r="G19" s="45" t="s">
        <v>1229</v>
      </c>
      <c r="H19" s="6">
        <f t="shared" si="0"/>
        <v>52222.968298730004</v>
      </c>
      <c r="I19" s="31">
        <f t="shared" si="1"/>
        <v>7.4236208611344781</v>
      </c>
      <c r="J19" s="480"/>
      <c r="K19" s="58"/>
    </row>
    <row r="20" spans="1:11">
      <c r="A20" s="17">
        <v>13</v>
      </c>
      <c r="B20" s="4" t="s">
        <v>594</v>
      </c>
      <c r="C20" s="3">
        <v>56789.411125897801</v>
      </c>
      <c r="D20" s="3">
        <v>7262.3065811805018</v>
      </c>
      <c r="E20" s="3">
        <v>9.5876777066999992</v>
      </c>
      <c r="F20" s="3">
        <v>9.4516000654999992</v>
      </c>
      <c r="G20" s="3">
        <v>157.41210993439998</v>
      </c>
      <c r="H20" s="6">
        <f t="shared" si="0"/>
        <v>64228.169094784898</v>
      </c>
      <c r="I20" s="31">
        <f t="shared" si="1"/>
        <v>9.1301891006473728</v>
      </c>
      <c r="J20" s="480"/>
      <c r="K20" s="58"/>
    </row>
    <row r="21" spans="1:11">
      <c r="A21" s="17">
        <v>14</v>
      </c>
      <c r="B21" s="4" t="s">
        <v>595</v>
      </c>
      <c r="C21" s="3">
        <v>188.6489001564</v>
      </c>
      <c r="D21" s="3">
        <v>897.66250623169969</v>
      </c>
      <c r="E21" s="3">
        <v>5.3408034346999997</v>
      </c>
      <c r="F21" s="3">
        <v>2.9870651858999997</v>
      </c>
      <c r="G21" s="3">
        <v>33.7453796713</v>
      </c>
      <c r="H21" s="6">
        <f t="shared" si="0"/>
        <v>1128.3846546799998</v>
      </c>
      <c r="I21" s="31">
        <f t="shared" si="1"/>
        <v>0.16040259936871842</v>
      </c>
      <c r="J21" s="480"/>
      <c r="K21" s="58"/>
    </row>
    <row r="22" spans="1:11">
      <c r="A22" s="17">
        <v>15</v>
      </c>
      <c r="B22" s="4" t="s">
        <v>596</v>
      </c>
      <c r="C22" s="3">
        <v>14740.947197419202</v>
      </c>
      <c r="D22" s="3">
        <v>27.295578819700001</v>
      </c>
      <c r="E22" s="45" t="s">
        <v>1229</v>
      </c>
      <c r="F22" s="3">
        <v>5094.2613948999997</v>
      </c>
      <c r="G22" s="45" t="s">
        <v>1229</v>
      </c>
      <c r="H22" s="6">
        <f t="shared" si="0"/>
        <v>19862.504171138902</v>
      </c>
      <c r="I22" s="31">
        <f t="shared" si="1"/>
        <v>2.8235028594271459</v>
      </c>
      <c r="J22" s="480"/>
      <c r="K22" s="58"/>
    </row>
    <row r="23" spans="1:11">
      <c r="A23" s="17">
        <v>16</v>
      </c>
      <c r="B23" s="4" t="s">
        <v>73</v>
      </c>
      <c r="C23" s="3">
        <v>13742.189120610605</v>
      </c>
      <c r="D23" s="3">
        <v>26586.460793569127</v>
      </c>
      <c r="E23" s="3">
        <v>841.02195121099976</v>
      </c>
      <c r="F23" s="3">
        <v>169.39548256990003</v>
      </c>
      <c r="G23" s="3">
        <v>706.80577407279975</v>
      </c>
      <c r="H23" s="6">
        <f t="shared" si="0"/>
        <v>42045.873122033423</v>
      </c>
      <c r="I23" s="31">
        <f t="shared" si="1"/>
        <v>5.976922243252333</v>
      </c>
      <c r="J23" s="480"/>
      <c r="K23" s="473"/>
    </row>
    <row r="24" spans="1:11">
      <c r="A24" s="17">
        <v>17</v>
      </c>
      <c r="B24" s="4" t="s">
        <v>74</v>
      </c>
      <c r="C24" s="3">
        <v>6656.6076949446979</v>
      </c>
      <c r="D24" s="3">
        <v>1606.4050435539991</v>
      </c>
      <c r="E24" s="3">
        <v>15.556135550599995</v>
      </c>
      <c r="F24" s="3">
        <v>7.1900808293000003</v>
      </c>
      <c r="G24" s="3">
        <v>65.773593841500016</v>
      </c>
      <c r="H24" s="6">
        <f t="shared" si="0"/>
        <v>8351.5325487200971</v>
      </c>
      <c r="I24" s="31">
        <f t="shared" si="1"/>
        <v>1.187190488607861</v>
      </c>
      <c r="J24" s="480"/>
      <c r="K24" s="58"/>
    </row>
    <row r="25" spans="1:11">
      <c r="A25" s="17">
        <v>18</v>
      </c>
      <c r="B25" s="4" t="s">
        <v>75</v>
      </c>
      <c r="C25" s="3">
        <v>6140.7831121615</v>
      </c>
      <c r="D25" s="3">
        <v>2544.1445027697973</v>
      </c>
      <c r="E25" s="3">
        <v>26.214837359899999</v>
      </c>
      <c r="F25" s="3">
        <v>-26.237580548800004</v>
      </c>
      <c r="G25" s="3">
        <v>120.27123774739999</v>
      </c>
      <c r="H25" s="6">
        <f t="shared" si="0"/>
        <v>8805.1761094897956</v>
      </c>
      <c r="I25" s="31">
        <f t="shared" si="1"/>
        <v>1.2516770145744665</v>
      </c>
      <c r="J25" s="480"/>
      <c r="K25" s="58"/>
    </row>
    <row r="26" spans="1:11">
      <c r="A26" s="17">
        <v>19</v>
      </c>
      <c r="B26" s="4" t="s">
        <v>76</v>
      </c>
      <c r="C26" s="3">
        <v>3620.4700085918994</v>
      </c>
      <c r="D26" s="3">
        <v>204.02582901109989</v>
      </c>
      <c r="E26" s="3">
        <v>0.74092099970000003</v>
      </c>
      <c r="F26" s="3">
        <v>2.9613088200000002E-2</v>
      </c>
      <c r="G26" s="3">
        <v>25.817541241499999</v>
      </c>
      <c r="H26" s="6">
        <f t="shared" si="0"/>
        <v>3851.0839129323995</v>
      </c>
      <c r="I26" s="31">
        <f t="shared" si="1"/>
        <v>0.54744086376874146</v>
      </c>
      <c r="J26" s="480"/>
      <c r="K26" s="58"/>
    </row>
    <row r="27" spans="1:11">
      <c r="A27" s="17">
        <v>20</v>
      </c>
      <c r="B27" s="4" t="s">
        <v>1225</v>
      </c>
      <c r="C27" s="3">
        <v>761.94530087590022</v>
      </c>
      <c r="D27" s="3">
        <v>1722.0077998376994</v>
      </c>
      <c r="E27" s="3">
        <v>235.1754644788</v>
      </c>
      <c r="F27" s="3">
        <v>3.2218297308000001</v>
      </c>
      <c r="G27" s="3">
        <v>31.662387917300002</v>
      </c>
      <c r="H27" s="6">
        <f t="shared" si="0"/>
        <v>2754.0127828404998</v>
      </c>
      <c r="I27" s="31">
        <f t="shared" si="1"/>
        <v>0.39148955742186231</v>
      </c>
      <c r="J27" s="480"/>
      <c r="K27" s="58"/>
    </row>
    <row r="28" spans="1:11">
      <c r="A28" s="17">
        <v>21</v>
      </c>
      <c r="B28" s="4" t="s">
        <v>77</v>
      </c>
      <c r="C28" s="3">
        <v>1406.1380756696008</v>
      </c>
      <c r="D28" s="3">
        <v>493.27585822650008</v>
      </c>
      <c r="E28" s="3">
        <v>3.8928167797000004</v>
      </c>
      <c r="F28" s="3">
        <v>-0.14029923189999999</v>
      </c>
      <c r="G28" s="3">
        <v>3.2020149288999997</v>
      </c>
      <c r="H28" s="6">
        <f t="shared" si="0"/>
        <v>1906.3684663728011</v>
      </c>
      <c r="I28" s="31">
        <f t="shared" si="1"/>
        <v>0.27099487403741146</v>
      </c>
      <c r="J28" s="480"/>
      <c r="K28" s="58"/>
    </row>
    <row r="29" spans="1:11">
      <c r="A29" s="17">
        <v>22</v>
      </c>
      <c r="B29" s="4" t="s">
        <v>78</v>
      </c>
      <c r="C29" s="3">
        <v>3164.2134502811</v>
      </c>
      <c r="D29" s="3">
        <v>12429.810707348701</v>
      </c>
      <c r="E29" s="3">
        <v>7848.1964964839999</v>
      </c>
      <c r="F29" s="3">
        <v>611.80971185190003</v>
      </c>
      <c r="G29" s="3">
        <v>796.58499600949995</v>
      </c>
      <c r="H29" s="6">
        <f t="shared" si="0"/>
        <v>24850.6153619752</v>
      </c>
      <c r="I29" s="31">
        <f t="shared" si="1"/>
        <v>3.5325748922945537</v>
      </c>
      <c r="J29" s="480"/>
      <c r="K29" s="58"/>
    </row>
    <row r="30" spans="1:11">
      <c r="A30" s="17">
        <v>23</v>
      </c>
      <c r="B30" s="4" t="s">
        <v>1086</v>
      </c>
      <c r="C30" s="3">
        <v>6641.6373662169008</v>
      </c>
      <c r="D30" s="3">
        <v>2862.6395348690003</v>
      </c>
      <c r="E30" s="3">
        <v>22.865518612099997</v>
      </c>
      <c r="F30" s="3">
        <v>53.536936563600008</v>
      </c>
      <c r="G30" s="3">
        <v>33.870887771199996</v>
      </c>
      <c r="H30" s="6">
        <f t="shared" si="0"/>
        <v>9614.5502440328</v>
      </c>
      <c r="I30" s="31">
        <f t="shared" si="1"/>
        <v>1.3667314993231288</v>
      </c>
      <c r="J30" s="480"/>
      <c r="K30" s="58"/>
    </row>
    <row r="31" spans="1:11">
      <c r="A31" s="17">
        <v>24</v>
      </c>
      <c r="B31" s="4" t="s">
        <v>1087</v>
      </c>
      <c r="C31" s="3">
        <v>1818.1484984015997</v>
      </c>
      <c r="D31" s="3">
        <v>1473.3778806856001</v>
      </c>
      <c r="E31" s="3">
        <v>11.0758407411</v>
      </c>
      <c r="F31" s="3">
        <v>2.2723846102999996</v>
      </c>
      <c r="G31" s="3">
        <v>24.670730554099997</v>
      </c>
      <c r="H31" s="6">
        <f t="shared" si="0"/>
        <v>3329.5453349926993</v>
      </c>
      <c r="I31" s="31">
        <f t="shared" si="1"/>
        <v>0.47330289740627168</v>
      </c>
      <c r="J31" s="480"/>
      <c r="K31" s="58"/>
    </row>
    <row r="32" spans="1:11">
      <c r="A32" s="17">
        <v>25</v>
      </c>
      <c r="B32" s="4" t="s">
        <v>1088</v>
      </c>
      <c r="C32" s="3">
        <v>72392.139887839992</v>
      </c>
      <c r="D32" s="3">
        <v>8.1572930448999994</v>
      </c>
      <c r="E32" s="3">
        <v>0</v>
      </c>
      <c r="F32" s="45" t="s">
        <v>1229</v>
      </c>
      <c r="G32" s="45" t="s">
        <v>1229</v>
      </c>
      <c r="H32" s="6">
        <f>SUM(C32:G32)</f>
        <v>72400.297180884896</v>
      </c>
      <c r="I32" s="31">
        <f t="shared" si="1"/>
        <v>10.29187681232251</v>
      </c>
      <c r="J32" s="480"/>
      <c r="K32" s="58"/>
    </row>
    <row r="33" spans="1:14" ht="12.75" customHeight="1">
      <c r="A33" s="17">
        <v>26</v>
      </c>
      <c r="B33" s="4" t="s">
        <v>422</v>
      </c>
      <c r="C33" s="3">
        <v>6.2812444999999997</v>
      </c>
      <c r="D33" s="45" t="s">
        <v>1229</v>
      </c>
      <c r="E33" s="45" t="s">
        <v>1229</v>
      </c>
      <c r="F33" s="3">
        <v>42015.254066000001</v>
      </c>
      <c r="G33" s="3">
        <v>151.81245534000001</v>
      </c>
      <c r="H33" s="6">
        <f t="shared" si="0"/>
        <v>42173.347765840001</v>
      </c>
      <c r="I33" s="31">
        <f t="shared" si="1"/>
        <v>5.9950430712300715</v>
      </c>
      <c r="J33" s="480"/>
      <c r="K33" s="58"/>
    </row>
    <row r="34" spans="1:14" ht="12.75" customHeight="1">
      <c r="A34" s="17">
        <v>27</v>
      </c>
      <c r="B34" s="4" t="s">
        <v>1089</v>
      </c>
      <c r="C34" s="3">
        <v>18321.913959509999</v>
      </c>
      <c r="D34" s="45" t="s">
        <v>1229</v>
      </c>
      <c r="E34" s="45" t="s">
        <v>1229</v>
      </c>
      <c r="F34" s="45" t="s">
        <v>1229</v>
      </c>
      <c r="G34" s="45" t="s">
        <v>1229</v>
      </c>
      <c r="H34" s="6">
        <f t="shared" si="0"/>
        <v>18321.913959509999</v>
      </c>
      <c r="I34" s="31">
        <f t="shared" si="1"/>
        <v>2.6045042462482382</v>
      </c>
      <c r="J34" s="480"/>
      <c r="K34" s="58"/>
    </row>
    <row r="35" spans="1:14" ht="12.75" customHeight="1">
      <c r="A35" s="17"/>
      <c r="B35" s="4"/>
      <c r="C35" s="3"/>
      <c r="D35" s="3"/>
      <c r="E35" s="3"/>
      <c r="F35" s="3"/>
      <c r="G35" s="3"/>
      <c r="H35" s="6"/>
      <c r="I35" s="31"/>
      <c r="J35" s="480"/>
      <c r="K35" s="58"/>
    </row>
    <row r="36" spans="1:14" ht="12.75" customHeight="1">
      <c r="A36" s="17"/>
      <c r="B36" s="2" t="s">
        <v>1230</v>
      </c>
      <c r="C36" s="6">
        <f>SUM(C8:C34)</f>
        <v>485385.07726336224</v>
      </c>
      <c r="D36" s="6">
        <f>SUM(D8:D34)</f>
        <v>143923.43315395599</v>
      </c>
      <c r="E36" s="6">
        <f>SUM(E8:E34)</f>
        <v>21129.9905805001</v>
      </c>
      <c r="F36" s="6">
        <f>SUM(F8:F34)</f>
        <v>48231.863412093</v>
      </c>
      <c r="G36" s="6">
        <f>SUM(G8:G34)</f>
        <v>4799.9403861944002</v>
      </c>
      <c r="H36" s="6">
        <f>SUM(C36:G36)</f>
        <v>703470.30479610572</v>
      </c>
      <c r="I36" s="31">
        <v>100</v>
      </c>
      <c r="J36" s="480"/>
      <c r="K36" s="58"/>
    </row>
    <row r="37" spans="1:14" ht="12.75" customHeight="1" thickBot="1">
      <c r="A37" s="39"/>
      <c r="B37" s="475" t="s">
        <v>1810</v>
      </c>
      <c r="C37" s="479">
        <f>+C36/H$36*100</f>
        <v>68.998659069773609</v>
      </c>
      <c r="D37" s="479">
        <f>+D36/H36*100</f>
        <v>20.459063043986035</v>
      </c>
      <c r="E37" s="479">
        <f>+E36/H36*100</f>
        <v>3.0036791086191519</v>
      </c>
      <c r="F37" s="479">
        <f>+F36/H36*100</f>
        <v>6.8562756783418957</v>
      </c>
      <c r="G37" s="479">
        <f>+G36/H36*100</f>
        <v>0.68232309927931045</v>
      </c>
      <c r="H37" s="479">
        <v>100</v>
      </c>
      <c r="I37" s="478"/>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4.25" customHeight="1">
      <c r="J44" s="58"/>
      <c r="K44" s="58"/>
    </row>
    <row r="45" spans="1:14" ht="15" customHeight="1">
      <c r="J45" s="58"/>
      <c r="K45" s="58"/>
    </row>
    <row r="46" spans="1:14" ht="11.25" customHeight="1">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1830</v>
      </c>
      <c r="B1" s="4"/>
      <c r="C1" s="4"/>
      <c r="D1" s="4"/>
      <c r="E1" s="4"/>
      <c r="F1" s="4"/>
      <c r="G1" s="4"/>
      <c r="H1" s="4"/>
      <c r="I1" s="4"/>
    </row>
    <row r="2" spans="1:12" ht="12.75" customHeight="1">
      <c r="A2" s="1" t="s">
        <v>1831</v>
      </c>
      <c r="B2" s="4"/>
      <c r="C2" s="4"/>
      <c r="D2" s="4"/>
      <c r="E2" s="4"/>
      <c r="F2" s="4"/>
      <c r="G2" s="4"/>
      <c r="H2" s="4"/>
      <c r="I2" s="4"/>
    </row>
    <row r="3" spans="1:12" ht="12.75" customHeight="1">
      <c r="A3" s="7" t="s">
        <v>1832</v>
      </c>
      <c r="B3" s="4"/>
      <c r="C3" s="4"/>
      <c r="D3" s="4"/>
      <c r="E3" s="4"/>
      <c r="F3" s="4"/>
      <c r="G3" s="4"/>
      <c r="H3" s="4"/>
      <c r="I3" s="4"/>
    </row>
    <row r="4" spans="1:12" ht="13.5" customHeight="1" thickBot="1">
      <c r="A4" s="39"/>
      <c r="B4" s="43"/>
      <c r="C4" s="4"/>
      <c r="D4" s="4"/>
      <c r="E4" s="4"/>
      <c r="F4" s="4"/>
      <c r="G4" s="4"/>
      <c r="H4" s="4"/>
      <c r="I4" s="4"/>
    </row>
    <row r="5" spans="1:12" ht="12.75" customHeight="1">
      <c r="A5" s="470" t="s">
        <v>1805</v>
      </c>
      <c r="B5" s="4"/>
      <c r="C5" s="437" t="s">
        <v>1806</v>
      </c>
      <c r="D5" s="437" t="s">
        <v>1807</v>
      </c>
      <c r="E5" s="437" t="s">
        <v>1808</v>
      </c>
      <c r="F5" s="437" t="s">
        <v>1093</v>
      </c>
      <c r="G5" s="437" t="s">
        <v>1809</v>
      </c>
      <c r="H5" s="471" t="s">
        <v>178</v>
      </c>
      <c r="I5" s="437" t="s">
        <v>1810</v>
      </c>
    </row>
    <row r="6" spans="1:12" ht="13.5" customHeight="1" thickBot="1">
      <c r="A6" s="39"/>
      <c r="B6" s="44"/>
      <c r="C6" s="39" t="s">
        <v>1811</v>
      </c>
      <c r="D6" s="39" t="s">
        <v>1812</v>
      </c>
      <c r="E6" s="39" t="s">
        <v>1813</v>
      </c>
      <c r="F6" s="39"/>
      <c r="G6" s="39" t="s">
        <v>1814</v>
      </c>
      <c r="H6" s="472"/>
      <c r="I6" s="39"/>
    </row>
    <row r="7" spans="1:12" ht="12.75" customHeight="1">
      <c r="A7" s="17"/>
      <c r="B7" s="4"/>
      <c r="C7" s="4"/>
      <c r="D7" s="4"/>
      <c r="E7" s="4"/>
      <c r="F7" s="4"/>
      <c r="G7" s="4"/>
      <c r="H7" s="4"/>
      <c r="I7" s="4"/>
      <c r="J7" s="58"/>
      <c r="K7" s="58"/>
      <c r="L7" s="58"/>
    </row>
    <row r="8" spans="1:12">
      <c r="A8" s="17">
        <v>1</v>
      </c>
      <c r="B8" s="4" t="s">
        <v>401</v>
      </c>
      <c r="C8" s="3">
        <v>1129.6488696956003</v>
      </c>
      <c r="D8" s="3">
        <v>6130.5386106680999</v>
      </c>
      <c r="E8" s="3">
        <v>15.709095080500001</v>
      </c>
      <c r="F8" s="3">
        <v>11.278834036700001</v>
      </c>
      <c r="G8" s="3">
        <v>252.22341194490002</v>
      </c>
      <c r="H8" s="6">
        <f>SUM(C8:G8)</f>
        <v>7539.3988214258006</v>
      </c>
      <c r="I8" s="31">
        <f>+H8/H$36*100</f>
        <v>1.0178358170169062</v>
      </c>
      <c r="J8" s="480"/>
      <c r="K8" s="58"/>
      <c r="L8" s="58"/>
    </row>
    <row r="9" spans="1:12">
      <c r="A9" s="17">
        <v>2</v>
      </c>
      <c r="B9" s="4" t="s">
        <v>402</v>
      </c>
      <c r="C9" s="3">
        <v>7781.2753559172997</v>
      </c>
      <c r="D9" s="3">
        <v>1361.4215025415999</v>
      </c>
      <c r="E9" s="3">
        <v>19.262449463599999</v>
      </c>
      <c r="F9" s="3">
        <v>2.3428152969999996</v>
      </c>
      <c r="G9" s="3">
        <v>56.756621090500005</v>
      </c>
      <c r="H9" s="6">
        <f t="shared" ref="H9:H34" si="0">SUM(C9:G9)</f>
        <v>9221.0587443099994</v>
      </c>
      <c r="I9" s="31">
        <f t="shared" ref="I9:I34" si="1">+H9/H$36*100</f>
        <v>1.2448636931241062</v>
      </c>
      <c r="J9" s="480"/>
      <c r="K9" s="58"/>
    </row>
    <row r="10" spans="1:12">
      <c r="A10" s="17">
        <v>3</v>
      </c>
      <c r="B10" s="4" t="s">
        <v>207</v>
      </c>
      <c r="C10" s="3">
        <v>45.9266345132</v>
      </c>
      <c r="D10" s="3">
        <v>8080.0494054811998</v>
      </c>
      <c r="E10" s="3">
        <v>27.135781804700002</v>
      </c>
      <c r="F10" s="3">
        <v>18.358707621000001</v>
      </c>
      <c r="G10" s="3">
        <v>397.66971098660002</v>
      </c>
      <c r="H10" s="6">
        <f t="shared" si="0"/>
        <v>8569.1402404066994</v>
      </c>
      <c r="I10" s="31">
        <f t="shared" si="1"/>
        <v>1.1568532272016563</v>
      </c>
      <c r="J10" s="480"/>
      <c r="K10" s="58"/>
    </row>
    <row r="11" spans="1:12">
      <c r="A11" s="17">
        <v>4</v>
      </c>
      <c r="B11" s="4" t="s">
        <v>1267</v>
      </c>
      <c r="C11" s="3">
        <v>291.70221750780001</v>
      </c>
      <c r="D11" s="3">
        <v>24809.315243197612</v>
      </c>
      <c r="E11" s="3">
        <v>36.942920280500005</v>
      </c>
      <c r="F11" s="3">
        <v>134.57730960640001</v>
      </c>
      <c r="G11" s="3">
        <v>1045.2496580347999</v>
      </c>
      <c r="H11" s="6">
        <f t="shared" si="0"/>
        <v>26317.787348627116</v>
      </c>
      <c r="I11" s="31">
        <f t="shared" si="1"/>
        <v>3.5529605506399338</v>
      </c>
      <c r="J11" s="480"/>
      <c r="K11" s="58"/>
    </row>
    <row r="12" spans="1:12">
      <c r="A12" s="17">
        <v>5</v>
      </c>
      <c r="B12" s="4" t="s">
        <v>1183</v>
      </c>
      <c r="C12" s="3">
        <v>1061.7693797420004</v>
      </c>
      <c r="D12" s="3">
        <v>197.26242901360001</v>
      </c>
      <c r="E12" s="3">
        <v>0.89647252840000002</v>
      </c>
      <c r="F12" s="3">
        <v>0.30686485669999997</v>
      </c>
      <c r="G12" s="3">
        <v>6.6462981846000009</v>
      </c>
      <c r="H12" s="6">
        <f t="shared" si="0"/>
        <v>1266.8814443253004</v>
      </c>
      <c r="I12" s="31">
        <f t="shared" si="1"/>
        <v>0.1710318475637482</v>
      </c>
      <c r="J12" s="480"/>
      <c r="K12" s="58"/>
    </row>
    <row r="13" spans="1:12">
      <c r="A13" s="17">
        <v>6</v>
      </c>
      <c r="B13" s="4" t="s">
        <v>1268</v>
      </c>
      <c r="C13" s="3">
        <v>1809.4255383271</v>
      </c>
      <c r="D13" s="3">
        <v>31291.6094215415</v>
      </c>
      <c r="E13" s="3">
        <v>9009.8646037202998</v>
      </c>
      <c r="F13" s="3">
        <v>100.53874219859999</v>
      </c>
      <c r="G13" s="3">
        <v>634.82950402889992</v>
      </c>
      <c r="H13" s="6">
        <f t="shared" si="0"/>
        <v>42846.267809816403</v>
      </c>
      <c r="I13" s="31">
        <f t="shared" si="1"/>
        <v>5.7843426293347786</v>
      </c>
      <c r="J13" s="480"/>
      <c r="K13" s="473"/>
      <c r="L13" s="61"/>
    </row>
    <row r="14" spans="1:12">
      <c r="A14" s="17">
        <v>7</v>
      </c>
      <c r="B14" s="4" t="s">
        <v>1269</v>
      </c>
      <c r="C14" s="3">
        <v>18836.727700287905</v>
      </c>
      <c r="D14" s="3">
        <v>1042.955495506</v>
      </c>
      <c r="E14" s="3">
        <v>2.3579947341</v>
      </c>
      <c r="F14" s="3">
        <v>1.0971155642000001</v>
      </c>
      <c r="G14" s="3">
        <v>24.034621761300002</v>
      </c>
      <c r="H14" s="6">
        <f t="shared" si="0"/>
        <v>19907.172927853506</v>
      </c>
      <c r="I14" s="31">
        <f t="shared" si="1"/>
        <v>2.6875131693440184</v>
      </c>
      <c r="J14" s="480"/>
      <c r="K14" s="58"/>
    </row>
    <row r="15" spans="1:12">
      <c r="A15" s="17">
        <v>8</v>
      </c>
      <c r="B15" s="4" t="s">
        <v>1270</v>
      </c>
      <c r="C15" s="3">
        <v>4338.991544328901</v>
      </c>
      <c r="D15" s="3">
        <v>3058.8555935687991</v>
      </c>
      <c r="E15" s="3">
        <v>31.957646666099997</v>
      </c>
      <c r="F15" s="3">
        <v>25.955809819700001</v>
      </c>
      <c r="G15" s="3">
        <v>9.9854302615999995</v>
      </c>
      <c r="H15" s="6">
        <f t="shared" si="0"/>
        <v>7465.746024645101</v>
      </c>
      <c r="I15" s="31">
        <f t="shared" si="1"/>
        <v>1.0078925236108298</v>
      </c>
      <c r="J15" s="480"/>
      <c r="K15" s="58"/>
    </row>
    <row r="16" spans="1:12">
      <c r="A16" s="17">
        <v>9</v>
      </c>
      <c r="B16" s="4" t="s">
        <v>1271</v>
      </c>
      <c r="C16" s="3">
        <v>32114.598342936712</v>
      </c>
      <c r="D16" s="3">
        <v>4622.3450324488958</v>
      </c>
      <c r="E16" s="3">
        <v>8.5524130115000006</v>
      </c>
      <c r="F16" s="3">
        <v>6.1652207987000001</v>
      </c>
      <c r="G16" s="3">
        <v>57.35283209</v>
      </c>
      <c r="H16" s="6">
        <f t="shared" si="0"/>
        <v>36809.013841285807</v>
      </c>
      <c r="I16" s="31">
        <f t="shared" si="1"/>
        <v>4.9692997497705687</v>
      </c>
      <c r="J16" s="480"/>
      <c r="K16" s="58"/>
    </row>
    <row r="17" spans="1:11">
      <c r="A17" s="17">
        <v>10</v>
      </c>
      <c r="B17" s="4" t="s">
        <v>1272</v>
      </c>
      <c r="C17" s="3">
        <v>114693.6205762691</v>
      </c>
      <c r="D17" s="3">
        <v>7971.8403216377019</v>
      </c>
      <c r="E17" s="3">
        <v>5.9498074728999999</v>
      </c>
      <c r="F17" s="3">
        <v>22.482907729000001</v>
      </c>
      <c r="G17" s="3">
        <v>222.54327471059997</v>
      </c>
      <c r="H17" s="6">
        <f t="shared" si="0"/>
        <v>122916.43688781931</v>
      </c>
      <c r="I17" s="31">
        <f t="shared" si="1"/>
        <v>16.593995745255032</v>
      </c>
      <c r="J17" s="480"/>
      <c r="K17" s="58"/>
    </row>
    <row r="18" spans="1:11">
      <c r="A18" s="17">
        <v>11</v>
      </c>
      <c r="B18" s="4" t="s">
        <v>1273</v>
      </c>
      <c r="C18" s="3">
        <v>51229.107184</v>
      </c>
      <c r="D18" s="45" t="s">
        <v>1229</v>
      </c>
      <c r="E18" s="45" t="s">
        <v>1229</v>
      </c>
      <c r="F18" s="45" t="s">
        <v>1229</v>
      </c>
      <c r="G18" s="45" t="s">
        <v>1229</v>
      </c>
      <c r="H18" s="6">
        <f t="shared" si="0"/>
        <v>51229.107184</v>
      </c>
      <c r="I18" s="31">
        <f t="shared" si="1"/>
        <v>6.916044820111054</v>
      </c>
      <c r="J18" s="480"/>
      <c r="K18" s="58"/>
    </row>
    <row r="19" spans="1:11">
      <c r="A19" s="17">
        <v>12</v>
      </c>
      <c r="B19" s="4" t="s">
        <v>593</v>
      </c>
      <c r="C19" s="3">
        <v>53924.690850620005</v>
      </c>
      <c r="D19" s="45" t="s">
        <v>1229</v>
      </c>
      <c r="E19" s="45" t="s">
        <v>1229</v>
      </c>
      <c r="F19" s="45" t="s">
        <v>1229</v>
      </c>
      <c r="G19" s="45" t="s">
        <v>1229</v>
      </c>
      <c r="H19" s="6">
        <f t="shared" si="0"/>
        <v>53924.690850620005</v>
      </c>
      <c r="I19" s="31">
        <f t="shared" si="1"/>
        <v>7.2799546846289713</v>
      </c>
      <c r="J19" s="480"/>
      <c r="K19" s="58"/>
    </row>
    <row r="20" spans="1:11">
      <c r="A20" s="17">
        <v>13</v>
      </c>
      <c r="B20" s="4" t="s">
        <v>594</v>
      </c>
      <c r="C20" s="3">
        <v>60228.712579398401</v>
      </c>
      <c r="D20" s="3">
        <v>6984.3673194581006</v>
      </c>
      <c r="E20" s="3">
        <v>14.8630652249</v>
      </c>
      <c r="F20" s="3">
        <v>14.540374436299999</v>
      </c>
      <c r="G20" s="3">
        <v>238.12238756869999</v>
      </c>
      <c r="H20" s="6">
        <f t="shared" si="0"/>
        <v>67480.605726086404</v>
      </c>
      <c r="I20" s="31">
        <f t="shared" si="1"/>
        <v>9.110033716059311</v>
      </c>
      <c r="J20" s="480"/>
      <c r="K20" s="58"/>
    </row>
    <row r="21" spans="1:11">
      <c r="A21" s="17">
        <v>14</v>
      </c>
      <c r="B21" s="4" t="s">
        <v>595</v>
      </c>
      <c r="C21" s="3">
        <v>181.69598513310001</v>
      </c>
      <c r="D21" s="3">
        <v>869.19690357240052</v>
      </c>
      <c r="E21" s="3">
        <v>6.9740427329999992</v>
      </c>
      <c r="F21" s="3">
        <v>1.1893966070999999</v>
      </c>
      <c r="G21" s="3">
        <v>32.290355421599997</v>
      </c>
      <c r="H21" s="6">
        <f t="shared" si="0"/>
        <v>1091.3466834672006</v>
      </c>
      <c r="I21" s="31">
        <f t="shared" si="1"/>
        <v>0.14733425960419744</v>
      </c>
      <c r="J21" s="480"/>
      <c r="K21" s="58"/>
    </row>
    <row r="22" spans="1:11">
      <c r="A22" s="17">
        <v>15</v>
      </c>
      <c r="B22" s="4" t="s">
        <v>596</v>
      </c>
      <c r="C22" s="3">
        <v>15386.3953427001</v>
      </c>
      <c r="D22" s="3">
        <v>26.850661279599997</v>
      </c>
      <c r="E22" s="45" t="s">
        <v>1229</v>
      </c>
      <c r="F22" s="3">
        <v>5419.6602861000001</v>
      </c>
      <c r="G22" s="45" t="s">
        <v>1229</v>
      </c>
      <c r="H22" s="6">
        <f t="shared" si="0"/>
        <v>20832.9062900797</v>
      </c>
      <c r="I22" s="31">
        <f t="shared" si="1"/>
        <v>2.8124892576766309</v>
      </c>
      <c r="J22" s="480"/>
      <c r="K22" s="58"/>
    </row>
    <row r="23" spans="1:11">
      <c r="A23" s="17">
        <v>16</v>
      </c>
      <c r="B23" s="4" t="s">
        <v>73</v>
      </c>
      <c r="C23" s="3">
        <v>14943.709240040596</v>
      </c>
      <c r="D23" s="3">
        <v>27529.170163672494</v>
      </c>
      <c r="E23" s="3">
        <v>760.2710956640999</v>
      </c>
      <c r="F23" s="3">
        <v>112.50904399400001</v>
      </c>
      <c r="G23" s="3">
        <v>635.66511139520003</v>
      </c>
      <c r="H23" s="6">
        <f t="shared" si="0"/>
        <v>43981.324654766395</v>
      </c>
      <c r="I23" s="31">
        <f t="shared" si="1"/>
        <v>5.9375778591593527</v>
      </c>
      <c r="J23" s="480"/>
      <c r="K23" s="473"/>
    </row>
    <row r="24" spans="1:11">
      <c r="A24" s="17">
        <v>17</v>
      </c>
      <c r="B24" s="4" t="s">
        <v>74</v>
      </c>
      <c r="C24" s="3">
        <v>6887.4864032299993</v>
      </c>
      <c r="D24" s="3">
        <v>1739.0895530504999</v>
      </c>
      <c r="E24" s="3">
        <v>29.134772577499998</v>
      </c>
      <c r="F24" s="3">
        <v>7.0778422886000012</v>
      </c>
      <c r="G24" s="3">
        <v>75.881818626399991</v>
      </c>
      <c r="H24" s="6">
        <f t="shared" si="0"/>
        <v>8738.6703897729985</v>
      </c>
      <c r="I24" s="31">
        <f t="shared" si="1"/>
        <v>1.179740179089501</v>
      </c>
      <c r="J24" s="480"/>
      <c r="K24" s="58"/>
    </row>
    <row r="25" spans="1:11">
      <c r="A25" s="17">
        <v>18</v>
      </c>
      <c r="B25" s="4" t="s">
        <v>75</v>
      </c>
      <c r="C25" s="3">
        <v>5972.8664421857993</v>
      </c>
      <c r="D25" s="3">
        <v>2621.8897439890993</v>
      </c>
      <c r="E25" s="3">
        <v>36.452311935300003</v>
      </c>
      <c r="F25" s="3">
        <v>3.7366795368000005</v>
      </c>
      <c r="G25" s="3">
        <v>88.458480508299971</v>
      </c>
      <c r="H25" s="6">
        <f t="shared" si="0"/>
        <v>8723.4036581552973</v>
      </c>
      <c r="I25" s="31">
        <f t="shared" si="1"/>
        <v>1.1776791359457</v>
      </c>
      <c r="J25" s="480"/>
      <c r="K25" s="58"/>
    </row>
    <row r="26" spans="1:11">
      <c r="A26" s="17">
        <v>19</v>
      </c>
      <c r="B26" s="4" t="s">
        <v>76</v>
      </c>
      <c r="C26" s="3">
        <v>3076.9410157354014</v>
      </c>
      <c r="D26" s="3">
        <v>198.27995736959994</v>
      </c>
      <c r="E26" s="3">
        <v>0.72189633200000003</v>
      </c>
      <c r="F26" s="3">
        <v>2.6233840899999999E-2</v>
      </c>
      <c r="G26" s="3">
        <v>25.302514936600002</v>
      </c>
      <c r="H26" s="6">
        <f t="shared" si="0"/>
        <v>3301.2716182145014</v>
      </c>
      <c r="I26" s="31">
        <f t="shared" si="1"/>
        <v>0.44567910178342729</v>
      </c>
      <c r="J26" s="480"/>
      <c r="K26" s="58"/>
    </row>
    <row r="27" spans="1:11">
      <c r="A27" s="17">
        <v>20</v>
      </c>
      <c r="B27" s="4" t="s">
        <v>1225</v>
      </c>
      <c r="C27" s="3">
        <v>1234.7124826135996</v>
      </c>
      <c r="D27" s="3">
        <v>1869.6372279266</v>
      </c>
      <c r="E27" s="3">
        <v>180.78234109239997</v>
      </c>
      <c r="F27" s="3">
        <v>4.0296360807000005</v>
      </c>
      <c r="G27" s="3">
        <v>41.081035973900001</v>
      </c>
      <c r="H27" s="6">
        <f t="shared" si="0"/>
        <v>3330.2427236871995</v>
      </c>
      <c r="I27" s="31">
        <f t="shared" si="1"/>
        <v>0.44959026625517362</v>
      </c>
      <c r="J27" s="480"/>
      <c r="K27" s="58"/>
    </row>
    <row r="28" spans="1:11">
      <c r="A28" s="17">
        <v>21</v>
      </c>
      <c r="B28" s="4" t="s">
        <v>77</v>
      </c>
      <c r="C28" s="3">
        <v>1435.4518863776</v>
      </c>
      <c r="D28" s="3">
        <v>614.49483454159997</v>
      </c>
      <c r="E28" s="3">
        <v>16.309681202700002</v>
      </c>
      <c r="F28" s="3">
        <v>0.44373015370000002</v>
      </c>
      <c r="G28" s="3">
        <v>2.2656773049000001</v>
      </c>
      <c r="H28" s="6">
        <f t="shared" si="0"/>
        <v>2068.9658095804998</v>
      </c>
      <c r="I28" s="31">
        <f t="shared" si="1"/>
        <v>0.27931504289040454</v>
      </c>
      <c r="J28" s="480"/>
      <c r="K28" s="58"/>
    </row>
    <row r="29" spans="1:11">
      <c r="A29" s="17">
        <v>22</v>
      </c>
      <c r="B29" s="4" t="s">
        <v>78</v>
      </c>
      <c r="C29" s="3">
        <v>3912.5179360918996</v>
      </c>
      <c r="D29" s="3">
        <v>12001.954070127204</v>
      </c>
      <c r="E29" s="3">
        <v>11746.298890031099</v>
      </c>
      <c r="F29" s="3">
        <v>701.62433354289999</v>
      </c>
      <c r="G29" s="3">
        <v>781.41556437520001</v>
      </c>
      <c r="H29" s="6">
        <f t="shared" si="0"/>
        <v>29143.810794168297</v>
      </c>
      <c r="I29" s="31">
        <f t="shared" si="1"/>
        <v>3.934480079017578</v>
      </c>
      <c r="J29" s="480"/>
      <c r="K29" s="58"/>
    </row>
    <row r="30" spans="1:11">
      <c r="A30" s="17">
        <v>23</v>
      </c>
      <c r="B30" s="4" t="s">
        <v>1086</v>
      </c>
      <c r="C30" s="3">
        <v>9153.8967153068024</v>
      </c>
      <c r="D30" s="3">
        <v>2989.243267281799</v>
      </c>
      <c r="E30" s="3">
        <v>12.9155547948</v>
      </c>
      <c r="F30" s="3">
        <v>32.997216933899999</v>
      </c>
      <c r="G30" s="3">
        <v>29.466331033899998</v>
      </c>
      <c r="H30" s="6">
        <f t="shared" si="0"/>
        <v>12218.519085351201</v>
      </c>
      <c r="I30" s="31">
        <f t="shared" si="1"/>
        <v>1.6495275884109821</v>
      </c>
      <c r="J30" s="480"/>
      <c r="K30" s="58"/>
    </row>
    <row r="31" spans="1:11">
      <c r="A31" s="17">
        <v>24</v>
      </c>
      <c r="B31" s="4" t="s">
        <v>1087</v>
      </c>
      <c r="C31" s="3">
        <v>2034.2567380024007</v>
      </c>
      <c r="D31" s="3">
        <v>1574.9647095197001</v>
      </c>
      <c r="E31" s="3">
        <v>10.495814615400002</v>
      </c>
      <c r="F31" s="3">
        <v>1.8219437025999998</v>
      </c>
      <c r="G31" s="3">
        <v>67.993387478200006</v>
      </c>
      <c r="H31" s="6">
        <f t="shared" si="0"/>
        <v>3689.5325933183008</v>
      </c>
      <c r="I31" s="31">
        <f t="shared" si="1"/>
        <v>0.49809520765217363</v>
      </c>
      <c r="J31" s="480"/>
      <c r="K31" s="58"/>
    </row>
    <row r="32" spans="1:11">
      <c r="A32" s="17">
        <v>25</v>
      </c>
      <c r="B32" s="4" t="s">
        <v>1088</v>
      </c>
      <c r="C32" s="3">
        <v>69827.552544470003</v>
      </c>
      <c r="D32" s="3">
        <v>6.2735295116999996</v>
      </c>
      <c r="E32" s="3"/>
      <c r="F32" s="45" t="s">
        <v>1229</v>
      </c>
      <c r="G32" s="45" t="s">
        <v>1229</v>
      </c>
      <c r="H32" s="6">
        <f>SUM(C32:G32)</f>
        <v>69833.826073981705</v>
      </c>
      <c r="I32" s="31">
        <f t="shared" si="1"/>
        <v>9.4277237616653426</v>
      </c>
      <c r="J32" s="480"/>
      <c r="K32" s="58"/>
    </row>
    <row r="33" spans="1:14" ht="12.75" customHeight="1">
      <c r="A33" s="17">
        <v>26</v>
      </c>
      <c r="B33" s="4" t="s">
        <v>422</v>
      </c>
      <c r="C33" s="3">
        <v>1.0195890000000001</v>
      </c>
      <c r="D33" s="45" t="s">
        <v>1229</v>
      </c>
      <c r="E33" s="45" t="s">
        <v>1229</v>
      </c>
      <c r="F33" s="3">
        <v>52596.424035999997</v>
      </c>
      <c r="G33" s="3">
        <v>120.74341334</v>
      </c>
      <c r="H33" s="6">
        <f t="shared" si="0"/>
        <v>52718.187038340002</v>
      </c>
      <c r="I33" s="31">
        <f t="shared" si="1"/>
        <v>7.1170739533409302</v>
      </c>
      <c r="J33" s="480"/>
      <c r="K33" s="58"/>
    </row>
    <row r="34" spans="1:14" ht="12.75" customHeight="1">
      <c r="A34" s="17">
        <v>27</v>
      </c>
      <c r="B34" s="4" t="s">
        <v>1089</v>
      </c>
      <c r="C34" s="3">
        <v>25563.070923210002</v>
      </c>
      <c r="D34" s="45" t="s">
        <v>1229</v>
      </c>
      <c r="E34" s="45" t="s">
        <v>1229</v>
      </c>
      <c r="F34" s="45" t="s">
        <v>1229</v>
      </c>
      <c r="G34" s="45" t="s">
        <v>1229</v>
      </c>
      <c r="H34" s="6">
        <f t="shared" si="0"/>
        <v>25563.070923210002</v>
      </c>
      <c r="I34" s="31">
        <f t="shared" si="1"/>
        <v>3.4510721338476733</v>
      </c>
      <c r="J34" s="480"/>
      <c r="K34" s="58"/>
    </row>
    <row r="35" spans="1:14" ht="12.75" customHeight="1">
      <c r="A35" s="17"/>
      <c r="B35" s="4"/>
      <c r="C35" s="3"/>
      <c r="D35" s="3"/>
      <c r="E35" s="3"/>
      <c r="F35" s="3"/>
      <c r="G35" s="3"/>
      <c r="H35" s="6"/>
      <c r="I35" s="31"/>
      <c r="J35" s="480"/>
      <c r="K35" s="58"/>
    </row>
    <row r="36" spans="1:14" ht="12.75" customHeight="1">
      <c r="A36" s="17"/>
      <c r="B36" s="2" t="s">
        <v>1230</v>
      </c>
      <c r="C36" s="6">
        <f>SUM(C8:C34)</f>
        <v>507097.77001764136</v>
      </c>
      <c r="D36" s="6">
        <f>SUM(D8:D34)</f>
        <v>147591.6049969054</v>
      </c>
      <c r="E36" s="6">
        <f>SUM(E8:E34)</f>
        <v>21973.848650965796</v>
      </c>
      <c r="F36" s="6">
        <f>SUM(F8:F34)</f>
        <v>59219.185080745498</v>
      </c>
      <c r="G36" s="6">
        <f>SUM(G8:G34)</f>
        <v>4845.9774410566997</v>
      </c>
      <c r="H36" s="6">
        <f>SUM(C36:G36)</f>
        <v>740728.38618731487</v>
      </c>
      <c r="I36" s="31">
        <v>100</v>
      </c>
      <c r="J36" s="480"/>
      <c r="K36" s="58"/>
    </row>
    <row r="37" spans="1:14" ht="12.75" customHeight="1" thickBot="1">
      <c r="A37" s="39"/>
      <c r="B37" s="475" t="s">
        <v>1810</v>
      </c>
      <c r="C37" s="479">
        <f>+C36/H$36*100</f>
        <v>68.459340761568555</v>
      </c>
      <c r="D37" s="479">
        <f>+D36/H36*100</f>
        <v>19.925198999945241</v>
      </c>
      <c r="E37" s="479">
        <f>+E36/H36*100</f>
        <v>2.9665190454047301</v>
      </c>
      <c r="F37" s="479">
        <f>+F36/H36*100</f>
        <v>7.9947233270698765</v>
      </c>
      <c r="G37" s="479">
        <f>+G36/H36*100</f>
        <v>0.65421786601158449</v>
      </c>
      <c r="H37" s="479">
        <v>100</v>
      </c>
      <c r="I37" s="478"/>
      <c r="J37" s="58"/>
      <c r="K37" s="58"/>
    </row>
    <row r="38" spans="1:14" ht="12.75" customHeight="1">
      <c r="A38" s="46" t="s">
        <v>179</v>
      </c>
      <c r="B38" s="4"/>
      <c r="C38" s="4"/>
      <c r="D38" s="4"/>
      <c r="E38" s="4"/>
      <c r="F38" s="4"/>
      <c r="G38" s="4"/>
      <c r="H38" s="4"/>
      <c r="I38" s="4"/>
      <c r="J38" s="58"/>
      <c r="K38" s="58"/>
    </row>
    <row r="39" spans="1:14" ht="12.75" customHeight="1">
      <c r="A39" s="42" t="s">
        <v>539</v>
      </c>
      <c r="C39" s="4" t="s">
        <v>189</v>
      </c>
      <c r="D39" s="4" t="s">
        <v>189</v>
      </c>
      <c r="E39" s="4"/>
      <c r="F39" s="4"/>
      <c r="G39" s="4"/>
      <c r="H39" s="4"/>
      <c r="I39" s="4"/>
      <c r="J39" s="58"/>
      <c r="K39" s="58"/>
      <c r="L39" s="58"/>
      <c r="M39" s="59"/>
      <c r="N39" s="58"/>
    </row>
    <row r="40" spans="1:14" ht="11.25" customHeight="1">
      <c r="A40" s="4"/>
      <c r="B40" s="4"/>
      <c r="C40" s="4"/>
      <c r="D40" s="4"/>
      <c r="E40" s="4"/>
      <c r="F40" s="4"/>
      <c r="G40" s="4"/>
      <c r="H40" s="4"/>
      <c r="I40" s="4"/>
      <c r="J40" s="58"/>
      <c r="K40" s="58"/>
    </row>
    <row r="41" spans="1:14" ht="11.25" customHeight="1">
      <c r="J41" s="58"/>
      <c r="K41" s="58"/>
    </row>
    <row r="42" spans="1:14" ht="11.25" customHeight="1">
      <c r="J42" s="58"/>
      <c r="K42" s="58"/>
    </row>
    <row r="43" spans="1:14" ht="11.25" customHeight="1">
      <c r="J43" s="58"/>
      <c r="K43" s="58"/>
    </row>
    <row r="44" spans="1:14" ht="13.5" customHeight="1">
      <c r="J44" s="58"/>
      <c r="K44" s="58"/>
    </row>
    <row r="45" spans="1:14" ht="15" customHeight="1">
      <c r="J45" s="58"/>
      <c r="K45" s="58"/>
    </row>
    <row r="46" spans="1:14" ht="11.25" customHeight="1">
      <c r="J46" s="58"/>
      <c r="K46" s="58"/>
    </row>
    <row r="47" spans="1:14">
      <c r="J47" s="58"/>
      <c r="K47" s="58"/>
    </row>
    <row r="48" spans="1:14">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c r="J79" s="58"/>
      <c r="K79" s="58"/>
    </row>
    <row r="80" spans="10:11">
      <c r="J80" s="58"/>
      <c r="K80" s="58"/>
    </row>
    <row r="81" spans="10:12">
      <c r="J81" s="58"/>
      <c r="K81" s="58"/>
    </row>
    <row r="82" spans="10:12">
      <c r="J82" s="58"/>
      <c r="K82" s="58"/>
    </row>
    <row r="83" spans="10:12">
      <c r="J83" s="58"/>
      <c r="K83" s="58"/>
    </row>
    <row r="84" spans="10:12">
      <c r="J84" s="58"/>
      <c r="K84" s="58"/>
    </row>
    <row r="85" spans="10:12">
      <c r="J85" s="58"/>
      <c r="K85" s="58"/>
    </row>
    <row r="86" spans="10:12">
      <c r="J86" s="58"/>
      <c r="K86" s="58"/>
      <c r="L86" s="59"/>
    </row>
    <row r="87" spans="10:12">
      <c r="J87" s="58"/>
      <c r="K87" s="58"/>
      <c r="L87" s="59"/>
    </row>
    <row r="88" spans="10:12">
      <c r="J88" s="58"/>
      <c r="K88" s="58"/>
      <c r="L88" s="59"/>
    </row>
    <row r="89" spans="10:12">
      <c r="J89" s="58"/>
      <c r="K89" s="58"/>
      <c r="L89" s="59"/>
    </row>
    <row r="90" spans="10:12">
      <c r="J90" s="58"/>
      <c r="K90" s="58"/>
      <c r="L90" s="59"/>
    </row>
    <row r="91" spans="10:12">
      <c r="J91" s="58"/>
      <c r="K91" s="58"/>
      <c r="L91" s="59"/>
    </row>
    <row r="92" spans="10:12">
      <c r="J92" s="58"/>
      <c r="K92" s="58"/>
      <c r="L92" s="59"/>
    </row>
    <row r="93" spans="10:12">
      <c r="J93" s="58"/>
      <c r="K93" s="58"/>
      <c r="L93" s="59"/>
    </row>
    <row r="94" spans="10:12">
      <c r="J94" s="58"/>
      <c r="K94" s="58"/>
      <c r="L94" s="59"/>
    </row>
    <row r="95" spans="10:12">
      <c r="J95" s="58"/>
      <c r="K95" s="58"/>
      <c r="L95" s="59"/>
    </row>
    <row r="96" spans="10:12">
      <c r="J96" s="58"/>
      <c r="K96" s="58"/>
      <c r="L96" s="59"/>
    </row>
    <row r="97" spans="10:12">
      <c r="J97" s="58"/>
      <c r="K97" s="58"/>
      <c r="L97" s="59"/>
    </row>
    <row r="98" spans="10:12">
      <c r="J98" s="58"/>
      <c r="K98" s="58"/>
      <c r="L98" s="59"/>
    </row>
    <row r="99" spans="10:12">
      <c r="J99" s="58"/>
      <c r="K99" s="58"/>
    </row>
    <row r="100" spans="10:12">
      <c r="J100" s="58"/>
      <c r="K100" s="58"/>
    </row>
    <row r="101" spans="10:12">
      <c r="J101" s="58"/>
      <c r="K101" s="58"/>
    </row>
    <row r="102" spans="10:12">
      <c r="J102" s="58"/>
      <c r="K102" s="58"/>
    </row>
    <row r="103" spans="10:12">
      <c r="J103" s="58"/>
      <c r="K103" s="58"/>
    </row>
    <row r="104" spans="10:12">
      <c r="J104" s="58"/>
      <c r="K104" s="58"/>
    </row>
    <row r="105" spans="10:12">
      <c r="J105" s="58"/>
      <c r="K105" s="58"/>
    </row>
    <row r="106" spans="10:12">
      <c r="J106" s="58"/>
      <c r="K106" s="58"/>
    </row>
    <row r="107" spans="10:12">
      <c r="J107" s="58"/>
      <c r="K107" s="58"/>
    </row>
    <row r="108" spans="10:12">
      <c r="J108" s="58"/>
      <c r="K108" s="58"/>
    </row>
    <row r="109" spans="10:12">
      <c r="J109" s="58"/>
      <c r="K109" s="58"/>
    </row>
    <row r="110" spans="10:12">
      <c r="J110" s="58"/>
      <c r="K110" s="58"/>
    </row>
    <row r="111" spans="10:12">
      <c r="J111" s="58"/>
      <c r="K111" s="58"/>
    </row>
    <row r="112" spans="10:12">
      <c r="J112" s="58"/>
      <c r="K112" s="58"/>
    </row>
    <row r="113" spans="10:12">
      <c r="J113" s="58"/>
      <c r="K113" s="58"/>
    </row>
    <row r="114" spans="10:12">
      <c r="J114" s="58"/>
      <c r="K114" s="58"/>
    </row>
    <row r="115" spans="10:12">
      <c r="J115" s="58"/>
      <c r="K115" s="58"/>
    </row>
    <row r="116" spans="10:12">
      <c r="J116" s="58"/>
      <c r="K116" s="58"/>
    </row>
    <row r="117" spans="10:12">
      <c r="J117" s="58"/>
      <c r="K117" s="58"/>
    </row>
    <row r="118" spans="10:12">
      <c r="J118" s="58"/>
      <c r="K118" s="58"/>
    </row>
    <row r="119" spans="10:12">
      <c r="J119" s="58"/>
      <c r="K119" s="58"/>
    </row>
    <row r="120" spans="10:12">
      <c r="J120" s="58"/>
      <c r="K120" s="58"/>
    </row>
    <row r="121" spans="10:12">
      <c r="J121" s="58"/>
      <c r="K121" s="58"/>
      <c r="L121" s="59"/>
    </row>
    <row r="122" spans="10:12">
      <c r="J122" s="58"/>
      <c r="K122" s="58"/>
      <c r="L122" s="58"/>
    </row>
    <row r="123" spans="10:12">
      <c r="J123" s="58"/>
      <c r="K123" s="58"/>
      <c r="L123" s="58"/>
    </row>
    <row r="124" spans="10:12">
      <c r="J124" s="58"/>
      <c r="K124" s="58"/>
      <c r="L124" s="58"/>
    </row>
    <row r="125" spans="10:12">
      <c r="J125" s="58"/>
      <c r="K125" s="58"/>
      <c r="L125" s="58"/>
    </row>
    <row r="126" spans="10:12">
      <c r="J126" s="58"/>
      <c r="K126" s="58"/>
      <c r="L126" s="58"/>
    </row>
    <row r="127" spans="10:12">
      <c r="J127" s="58"/>
      <c r="K127" s="58"/>
      <c r="L127" s="58"/>
    </row>
    <row r="128" spans="10:12">
      <c r="J128" s="58"/>
      <c r="K128" s="58"/>
      <c r="L128" s="58"/>
    </row>
    <row r="129" spans="10:12">
      <c r="J129" s="58"/>
      <c r="K129" s="58"/>
      <c r="L129" s="58"/>
    </row>
    <row r="130" spans="10:12">
      <c r="J130" s="58"/>
      <c r="K130" s="58"/>
      <c r="L130" s="58"/>
    </row>
    <row r="131" spans="10:12">
      <c r="J131" s="58"/>
      <c r="K131" s="58"/>
      <c r="L131" s="58"/>
    </row>
    <row r="132" spans="10:12">
      <c r="J132" s="58"/>
      <c r="K132" s="58"/>
      <c r="L132" s="58"/>
    </row>
    <row r="133" spans="10:12">
      <c r="J133" s="58"/>
      <c r="K133" s="58"/>
      <c r="L133" s="58"/>
    </row>
    <row r="134" spans="10:12">
      <c r="J134" s="58"/>
      <c r="K134" s="58"/>
      <c r="L134" s="58"/>
    </row>
    <row r="135" spans="10:12">
      <c r="J135" s="58"/>
      <c r="K135" s="58"/>
      <c r="L135" s="58"/>
    </row>
    <row r="136" spans="10:12">
      <c r="J136" s="58"/>
      <c r="K136" s="58"/>
      <c r="L136" s="58"/>
    </row>
    <row r="137" spans="10:12">
      <c r="J137" s="58"/>
      <c r="K137" s="58"/>
      <c r="L137" s="58"/>
    </row>
    <row r="138" spans="10:12">
      <c r="J138" s="58"/>
      <c r="K138" s="58"/>
      <c r="L138" s="58"/>
    </row>
    <row r="139" spans="10:12">
      <c r="J139" s="58"/>
      <c r="K139" s="58"/>
      <c r="L139" s="58"/>
    </row>
    <row r="140" spans="10:12">
      <c r="J140" s="58"/>
      <c r="K140" s="58"/>
      <c r="L140" s="58"/>
    </row>
    <row r="141" spans="10:12">
      <c r="J141" s="58"/>
      <c r="K141" s="58"/>
      <c r="L141" s="58"/>
    </row>
    <row r="142" spans="10:12">
      <c r="J142" s="58"/>
      <c r="K142" s="58"/>
      <c r="L142" s="58"/>
    </row>
    <row r="143" spans="10:12">
      <c r="J143" s="58"/>
      <c r="K143" s="58"/>
      <c r="L143" s="58"/>
    </row>
    <row r="144" spans="10:12">
      <c r="J144" s="58"/>
      <c r="K144" s="58"/>
      <c r="L144" s="58"/>
    </row>
    <row r="145" spans="10:12">
      <c r="J145" s="58"/>
      <c r="K145" s="58"/>
      <c r="L145" s="58"/>
    </row>
    <row r="146" spans="10:12">
      <c r="J146" s="58"/>
      <c r="K146" s="58"/>
      <c r="L146" s="58"/>
    </row>
    <row r="147" spans="10:12">
      <c r="J147" s="58"/>
      <c r="K147" s="58"/>
      <c r="L147" s="58"/>
    </row>
    <row r="148" spans="10:12">
      <c r="J148" s="58"/>
      <c r="K148" s="58"/>
      <c r="L148" s="58"/>
    </row>
    <row r="149" spans="10:12">
      <c r="J149" s="58"/>
      <c r="K149" s="58"/>
      <c r="L149" s="58"/>
    </row>
    <row r="150" spans="10:12">
      <c r="J150" s="58"/>
      <c r="K150" s="58"/>
      <c r="L150" s="58"/>
    </row>
    <row r="151" spans="10:12">
      <c r="J151" s="58"/>
      <c r="K151" s="58"/>
      <c r="L151" s="58"/>
    </row>
    <row r="152" spans="10:12">
      <c r="J152" s="58"/>
      <c r="K152" s="58"/>
      <c r="L152" s="58"/>
    </row>
    <row r="153" spans="10:12">
      <c r="J153" s="58"/>
      <c r="K153" s="58"/>
      <c r="L153" s="58"/>
    </row>
    <row r="154" spans="10:12">
      <c r="J154" s="58"/>
      <c r="K154" s="58"/>
      <c r="L154" s="58"/>
    </row>
    <row r="155" spans="10:12">
      <c r="J155" s="58"/>
      <c r="K155" s="58"/>
      <c r="L155" s="58"/>
    </row>
    <row r="156" spans="10:12">
      <c r="J156" s="58"/>
      <c r="K156" s="58"/>
      <c r="L156" s="58"/>
    </row>
    <row r="157" spans="10:12">
      <c r="J157" s="58"/>
      <c r="K157" s="58"/>
      <c r="L157" s="58"/>
    </row>
    <row r="158" spans="10:12">
      <c r="J158" s="58"/>
      <c r="K158" s="58"/>
      <c r="L158" s="58"/>
    </row>
    <row r="159" spans="10:12">
      <c r="J159" s="58"/>
      <c r="K159" s="58"/>
      <c r="L159" s="58"/>
    </row>
    <row r="160" spans="10:12">
      <c r="J160" s="58"/>
      <c r="K160" s="58"/>
      <c r="L160" s="58"/>
    </row>
    <row r="161" spans="10:12">
      <c r="J161" s="58"/>
      <c r="K161" s="58"/>
      <c r="L161" s="58"/>
    </row>
    <row r="162" spans="10:12">
      <c r="J162" s="58"/>
      <c r="K162" s="58"/>
      <c r="L162" s="58"/>
    </row>
    <row r="163" spans="10:12">
      <c r="J163" s="58"/>
      <c r="K163" s="58"/>
      <c r="L163" s="58"/>
    </row>
    <row r="164" spans="10:12">
      <c r="J164" s="58"/>
      <c r="K164" s="58"/>
      <c r="L164" s="58"/>
    </row>
    <row r="165" spans="10:12">
      <c r="J165" s="58"/>
      <c r="K165" s="58"/>
      <c r="L165" s="58"/>
    </row>
    <row r="166" spans="10:12">
      <c r="J166" s="58"/>
      <c r="K166" s="58"/>
      <c r="L166" s="58"/>
    </row>
    <row r="167" spans="10:12">
      <c r="J167" s="58"/>
      <c r="K167" s="58"/>
      <c r="L167" s="58"/>
    </row>
    <row r="168" spans="10:12">
      <c r="J168" s="58"/>
      <c r="K168" s="58"/>
      <c r="L168" s="58"/>
    </row>
    <row r="169" spans="10:12">
      <c r="J169" s="58"/>
      <c r="K169" s="58"/>
      <c r="L169" s="58"/>
    </row>
    <row r="170" spans="10:12">
      <c r="J170" s="58"/>
      <c r="K170" s="58"/>
      <c r="L170" s="58"/>
    </row>
    <row r="171" spans="10:12">
      <c r="J171" s="58"/>
      <c r="K171" s="58"/>
      <c r="L171" s="58"/>
    </row>
    <row r="172" spans="10:12">
      <c r="J172" s="58"/>
      <c r="K172" s="58"/>
      <c r="L172" s="58"/>
    </row>
    <row r="173" spans="10:12">
      <c r="J173" s="58"/>
      <c r="K173" s="58"/>
      <c r="L173" s="58"/>
    </row>
    <row r="174" spans="10:12">
      <c r="J174" s="58"/>
      <c r="K174" s="58"/>
      <c r="L174" s="58"/>
    </row>
    <row r="175" spans="10:12">
      <c r="J175" s="58"/>
      <c r="K175" s="58"/>
      <c r="L175" s="58"/>
    </row>
    <row r="176" spans="10:12">
      <c r="J176" s="58"/>
      <c r="K176" s="58"/>
      <c r="L176" s="58"/>
    </row>
    <row r="177" spans="10:12">
      <c r="J177" s="58"/>
      <c r="K177" s="58"/>
      <c r="L177" s="58"/>
    </row>
    <row r="178" spans="10:12">
      <c r="J178" s="58"/>
      <c r="K178" s="58"/>
      <c r="L178" s="58"/>
    </row>
    <row r="179" spans="10:12">
      <c r="J179" s="58"/>
      <c r="K179" s="58"/>
      <c r="L179" s="58"/>
    </row>
    <row r="180" spans="10:12">
      <c r="J180" s="58"/>
      <c r="K180" s="58"/>
      <c r="L180" s="58"/>
    </row>
    <row r="181" spans="10:12">
      <c r="J181" s="58"/>
      <c r="K181" s="58"/>
      <c r="L181" s="58"/>
    </row>
    <row r="182" spans="10:12">
      <c r="J182" s="58"/>
      <c r="K182" s="58"/>
      <c r="L182" s="58"/>
    </row>
    <row r="183" spans="10:12">
      <c r="J183" s="58"/>
      <c r="K183" s="58"/>
      <c r="L183" s="58"/>
    </row>
    <row r="184" spans="10:12">
      <c r="J184" s="58"/>
      <c r="K184" s="58"/>
      <c r="L184" s="58"/>
    </row>
    <row r="185" spans="10:12">
      <c r="J185" s="58"/>
      <c r="K185" s="58"/>
      <c r="L185" s="58"/>
    </row>
    <row r="186" spans="10:12">
      <c r="J186" s="58"/>
      <c r="K186" s="58"/>
      <c r="L186" s="58"/>
    </row>
    <row r="187" spans="10:12">
      <c r="J187" s="58"/>
      <c r="K187" s="58"/>
      <c r="L187" s="58"/>
    </row>
    <row r="188" spans="10:12">
      <c r="J188" s="58"/>
      <c r="K188" s="58"/>
      <c r="L188" s="58"/>
    </row>
    <row r="189" spans="10:12">
      <c r="J189" s="58"/>
      <c r="K189" s="58"/>
      <c r="L189" s="58"/>
    </row>
    <row r="190" spans="10:12">
      <c r="J190" s="58"/>
      <c r="K190" s="58"/>
      <c r="L190" s="58"/>
    </row>
    <row r="191" spans="10:12">
      <c r="J191" s="58"/>
      <c r="K191" s="58"/>
      <c r="L191" s="58"/>
    </row>
    <row r="192" spans="10:12">
      <c r="J192" s="58"/>
      <c r="K192" s="58"/>
      <c r="L192" s="58"/>
    </row>
    <row r="193" spans="10:12">
      <c r="J193" s="58"/>
      <c r="K193" s="58"/>
      <c r="L193" s="58"/>
    </row>
    <row r="194" spans="10:12">
      <c r="J194" s="58"/>
      <c r="K194" s="58"/>
      <c r="L194" s="58"/>
    </row>
    <row r="195" spans="10:12">
      <c r="J195" s="58"/>
      <c r="K195" s="58"/>
      <c r="L195" s="58"/>
    </row>
    <row r="196" spans="10:12">
      <c r="J196" s="58"/>
      <c r="K196" s="58"/>
      <c r="L196" s="58"/>
    </row>
    <row r="197" spans="10:12">
      <c r="J197" s="58"/>
      <c r="K197" s="58"/>
      <c r="L197" s="58"/>
    </row>
    <row r="198" spans="10:12">
      <c r="J198" s="58"/>
      <c r="K198" s="58"/>
      <c r="L198" s="58"/>
    </row>
    <row r="199" spans="10:12">
      <c r="J199" s="58"/>
      <c r="K199" s="58"/>
      <c r="L199" s="58"/>
    </row>
    <row r="200" spans="10:12">
      <c r="J200" s="58"/>
      <c r="K200" s="58"/>
      <c r="L200" s="58"/>
    </row>
    <row r="201" spans="10:12">
      <c r="J201" s="58"/>
      <c r="K201" s="58"/>
      <c r="L201" s="58"/>
    </row>
    <row r="202" spans="10:12">
      <c r="J202" s="58"/>
      <c r="K202" s="58"/>
      <c r="L202" s="58"/>
    </row>
    <row r="203" spans="10:12">
      <c r="J203" s="58"/>
      <c r="K203" s="58"/>
      <c r="L203" s="58"/>
    </row>
    <row r="204" spans="10:12">
      <c r="J204" s="58"/>
      <c r="K204" s="58"/>
      <c r="L204" s="58"/>
    </row>
    <row r="205" spans="10:12">
      <c r="J205" s="58"/>
      <c r="K205" s="58"/>
      <c r="L205" s="58"/>
    </row>
    <row r="206" spans="10:12">
      <c r="J206" s="58"/>
      <c r="K206" s="58"/>
      <c r="L206" s="58"/>
    </row>
    <row r="207" spans="10:12">
      <c r="J207" s="58"/>
      <c r="K207" s="58"/>
      <c r="L207" s="58"/>
    </row>
    <row r="208" spans="10:12">
      <c r="J208" s="58"/>
      <c r="K208" s="58"/>
      <c r="L208" s="58"/>
    </row>
    <row r="209" spans="10:12">
      <c r="J209" s="58"/>
      <c r="K209" s="58"/>
      <c r="L209" s="58"/>
    </row>
    <row r="210" spans="10:12">
      <c r="J210" s="58"/>
      <c r="K210" s="58"/>
      <c r="L210" s="58"/>
    </row>
    <row r="211" spans="10:12">
      <c r="J211" s="58"/>
      <c r="K211" s="58"/>
      <c r="L211" s="58"/>
    </row>
    <row r="212" spans="10:12">
      <c r="J212" s="58"/>
      <c r="K212" s="58"/>
      <c r="L212" s="58"/>
    </row>
    <row r="213" spans="10:12">
      <c r="J213" s="58"/>
      <c r="K213" s="58"/>
      <c r="L213" s="58"/>
    </row>
    <row r="214" spans="10:12">
      <c r="J214" s="58"/>
      <c r="K214" s="58"/>
      <c r="L214" s="58"/>
    </row>
    <row r="215" spans="10:12">
      <c r="J215" s="58"/>
      <c r="K215" s="58"/>
      <c r="L215" s="58"/>
    </row>
    <row r="216" spans="10:12">
      <c r="J216" s="58"/>
      <c r="K216" s="58"/>
      <c r="L216" s="58"/>
    </row>
    <row r="217" spans="10:12">
      <c r="J217" s="58"/>
      <c r="K217" s="58"/>
      <c r="L217" s="58"/>
    </row>
    <row r="218" spans="10:12">
      <c r="J218" s="58"/>
      <c r="K218" s="58"/>
      <c r="L218" s="58"/>
    </row>
    <row r="219" spans="10:12">
      <c r="J219" s="58"/>
      <c r="K219" s="58"/>
      <c r="L219" s="58"/>
    </row>
    <row r="220" spans="10:12">
      <c r="J220" s="58"/>
      <c r="K220" s="58"/>
      <c r="L220" s="58"/>
    </row>
    <row r="221" spans="10:12">
      <c r="J221" s="58"/>
      <c r="K221" s="58"/>
      <c r="L221" s="58"/>
    </row>
    <row r="222" spans="10:12">
      <c r="J222" s="58"/>
      <c r="K222" s="58"/>
      <c r="L222" s="58"/>
    </row>
    <row r="223" spans="10:12">
      <c r="J223" s="58"/>
      <c r="K223" s="58"/>
      <c r="L223" s="58"/>
    </row>
    <row r="224" spans="10:12">
      <c r="J224" s="58"/>
      <c r="K224" s="58"/>
      <c r="L224" s="58"/>
    </row>
    <row r="225" spans="10:12">
      <c r="J225" s="58"/>
      <c r="K225" s="58"/>
      <c r="L225" s="58"/>
    </row>
    <row r="226" spans="10:12">
      <c r="J226" s="58"/>
      <c r="K226" s="58"/>
      <c r="L226" s="58"/>
    </row>
    <row r="227" spans="10:12">
      <c r="J227" s="58"/>
      <c r="K227" s="58"/>
      <c r="L227" s="58"/>
    </row>
    <row r="228" spans="10:12">
      <c r="J228" s="58"/>
      <c r="K228" s="58"/>
      <c r="L228" s="58"/>
    </row>
    <row r="229" spans="10:12">
      <c r="J229" s="58"/>
      <c r="K229" s="58"/>
      <c r="L229" s="58"/>
    </row>
    <row r="230" spans="10:12">
      <c r="J230" s="58"/>
      <c r="K230" s="58"/>
      <c r="L230" s="58"/>
    </row>
    <row r="231" spans="10:12">
      <c r="J231" s="58"/>
      <c r="K231" s="58"/>
      <c r="L231" s="58"/>
    </row>
    <row r="232" spans="10:12">
      <c r="J232" s="58"/>
      <c r="K232" s="58"/>
      <c r="L232" s="58"/>
    </row>
    <row r="233" spans="10:12">
      <c r="J233" s="58"/>
      <c r="K233" s="58"/>
      <c r="L233" s="58"/>
    </row>
    <row r="234" spans="10:12">
      <c r="J234" s="58"/>
      <c r="K234" s="58"/>
      <c r="L234" s="58"/>
    </row>
    <row r="235" spans="10:12">
      <c r="J235" s="58"/>
      <c r="K235" s="58"/>
      <c r="L235" s="58"/>
    </row>
    <row r="236" spans="10:12">
      <c r="J236" s="58"/>
      <c r="K236" s="58"/>
      <c r="L236" s="58"/>
    </row>
    <row r="237" spans="10:12">
      <c r="J237" s="58"/>
      <c r="K237" s="58"/>
      <c r="L237" s="58"/>
    </row>
    <row r="238" spans="10:12">
      <c r="J238" s="58"/>
      <c r="K238" s="58"/>
      <c r="L238" s="58"/>
    </row>
    <row r="239" spans="10:12">
      <c r="J239" s="58"/>
      <c r="K239" s="58"/>
      <c r="L239" s="58"/>
    </row>
    <row r="240" spans="10:12">
      <c r="J240" s="58"/>
      <c r="K240" s="58"/>
      <c r="L240" s="58"/>
    </row>
    <row r="241" spans="10:12">
      <c r="J241" s="58"/>
      <c r="K241" s="58"/>
      <c r="L241" s="58"/>
    </row>
    <row r="242" spans="10:12">
      <c r="J242" s="58"/>
      <c r="K242" s="58"/>
      <c r="L242" s="58"/>
    </row>
    <row r="243" spans="10:12">
      <c r="J243" s="58"/>
      <c r="K243" s="58"/>
      <c r="L243" s="58"/>
    </row>
    <row r="244" spans="10:12">
      <c r="J244" s="58"/>
      <c r="K244" s="58"/>
      <c r="L244" s="58"/>
    </row>
    <row r="245" spans="10:12">
      <c r="J245" s="58"/>
      <c r="K245" s="58"/>
      <c r="L245" s="58"/>
    </row>
    <row r="246" spans="10:12">
      <c r="J246" s="58"/>
      <c r="K246" s="58"/>
      <c r="L246" s="58"/>
    </row>
    <row r="247" spans="10:12">
      <c r="J247" s="58"/>
      <c r="K247" s="58"/>
      <c r="L247" s="58"/>
    </row>
    <row r="248" spans="10:12">
      <c r="J248" s="58"/>
      <c r="K248" s="58"/>
      <c r="L248" s="58"/>
    </row>
    <row r="249" spans="10:12">
      <c r="J249" s="58"/>
      <c r="K249" s="58"/>
      <c r="L249" s="58"/>
    </row>
    <row r="250" spans="10:12">
      <c r="J250" s="58"/>
      <c r="K250" s="58"/>
      <c r="L250" s="58"/>
    </row>
    <row r="251" spans="10:12">
      <c r="J251" s="58"/>
      <c r="K251" s="58"/>
      <c r="L251" s="58"/>
    </row>
    <row r="252" spans="10:12">
      <c r="J252" s="58"/>
      <c r="K252" s="58"/>
      <c r="L252" s="58"/>
    </row>
    <row r="253" spans="10:12">
      <c r="J253" s="58"/>
      <c r="K253" s="58"/>
      <c r="L253" s="58"/>
    </row>
    <row r="254" spans="10:12">
      <c r="J254" s="58"/>
      <c r="K254" s="58"/>
      <c r="L254" s="58"/>
    </row>
    <row r="255" spans="10:12">
      <c r="J255" s="58"/>
      <c r="K255" s="58"/>
      <c r="L255" s="58"/>
    </row>
    <row r="256" spans="10:12">
      <c r="J256" s="58"/>
      <c r="K256" s="58"/>
      <c r="L256" s="58"/>
    </row>
    <row r="257" spans="10:12">
      <c r="J257" s="58"/>
      <c r="K257" s="58"/>
      <c r="L257" s="58"/>
    </row>
    <row r="258" spans="10:12">
      <c r="J258" s="58"/>
      <c r="K258" s="58"/>
      <c r="L258" s="58"/>
    </row>
    <row r="259" spans="10:12">
      <c r="J259" s="58"/>
      <c r="K259" s="58"/>
      <c r="L259" s="58"/>
    </row>
    <row r="260" spans="10:12">
      <c r="J260" s="58"/>
      <c r="K260" s="58"/>
      <c r="L260" s="58"/>
    </row>
    <row r="261" spans="10:12">
      <c r="J261" s="58"/>
      <c r="K261" s="58"/>
      <c r="L261" s="58"/>
    </row>
    <row r="262" spans="10:12">
      <c r="J262" s="58"/>
      <c r="K262" s="58"/>
      <c r="L262" s="58"/>
    </row>
    <row r="263" spans="10:12">
      <c r="J263" s="58"/>
      <c r="K263" s="58"/>
      <c r="L263" s="58"/>
    </row>
    <row r="264" spans="10:12">
      <c r="J264" s="58"/>
      <c r="K264" s="58"/>
      <c r="L264" s="58"/>
    </row>
    <row r="265" spans="10:12">
      <c r="J265" s="58"/>
      <c r="K265" s="58"/>
      <c r="L265" s="58"/>
    </row>
    <row r="266" spans="10:12">
      <c r="J266" s="58"/>
      <c r="K266" s="58"/>
      <c r="L266" s="58"/>
    </row>
    <row r="267" spans="10:12">
      <c r="J267" s="58"/>
      <c r="K267" s="58"/>
      <c r="L267" s="58"/>
    </row>
    <row r="268" spans="10:12">
      <c r="J268" s="58"/>
      <c r="K268" s="58"/>
      <c r="L268" s="58"/>
    </row>
    <row r="269" spans="10:12">
      <c r="J269" s="58"/>
      <c r="K269" s="58"/>
      <c r="L269" s="58"/>
    </row>
    <row r="270" spans="10:12">
      <c r="J270" s="58"/>
      <c r="K270" s="58"/>
      <c r="L270" s="58"/>
    </row>
    <row r="271" spans="10:12">
      <c r="J271" s="58"/>
      <c r="K271" s="58"/>
      <c r="L271" s="58"/>
    </row>
    <row r="272" spans="10:12">
      <c r="J272" s="58"/>
      <c r="K272" s="58"/>
      <c r="L272" s="58"/>
    </row>
    <row r="273" spans="10:12">
      <c r="J273" s="58"/>
      <c r="K273" s="58"/>
      <c r="L273" s="58"/>
    </row>
    <row r="274" spans="10:12">
      <c r="J274" s="58"/>
      <c r="K274" s="58"/>
      <c r="L274" s="58"/>
    </row>
    <row r="275" spans="10:12">
      <c r="J275" s="58"/>
      <c r="K275" s="58"/>
      <c r="L275" s="58"/>
    </row>
    <row r="276" spans="10:12">
      <c r="J276" s="58"/>
      <c r="K276" s="58"/>
      <c r="L276" s="58"/>
    </row>
    <row r="277" spans="10:12">
      <c r="J277" s="58"/>
      <c r="K277" s="58"/>
      <c r="L277" s="58"/>
    </row>
    <row r="278" spans="10:12">
      <c r="J278" s="58"/>
      <c r="K278" s="58"/>
      <c r="L278" s="58"/>
    </row>
    <row r="279" spans="10:12">
      <c r="J279" s="58"/>
      <c r="K279" s="58"/>
      <c r="L279" s="58"/>
    </row>
    <row r="280" spans="10:12">
      <c r="J280" s="58"/>
      <c r="K280" s="58"/>
      <c r="L280" s="58"/>
    </row>
    <row r="281" spans="10:12">
      <c r="J281" s="58"/>
      <c r="K281" s="58"/>
      <c r="L281" s="58"/>
    </row>
    <row r="282" spans="10:12">
      <c r="J282" s="58"/>
      <c r="K282" s="58"/>
      <c r="L282" s="58"/>
    </row>
    <row r="283" spans="10:12">
      <c r="J283" s="58"/>
      <c r="K283" s="58"/>
      <c r="L283" s="58"/>
    </row>
    <row r="284" spans="10:12">
      <c r="J284" s="58"/>
      <c r="K284" s="58"/>
      <c r="L284" s="58"/>
    </row>
    <row r="285" spans="10:12">
      <c r="J285" s="58"/>
      <c r="K285" s="58"/>
      <c r="L285" s="58"/>
    </row>
    <row r="286" spans="10:12">
      <c r="J286" s="58"/>
      <c r="K286" s="58"/>
      <c r="L286" s="58"/>
    </row>
    <row r="287" spans="10:12">
      <c r="J287" s="58"/>
      <c r="K287" s="58"/>
      <c r="L287" s="58"/>
    </row>
    <row r="288" spans="10:12">
      <c r="J288" s="58"/>
      <c r="K288" s="58"/>
      <c r="L288" s="58"/>
    </row>
    <row r="289" spans="10:12">
      <c r="J289" s="58"/>
      <c r="K289" s="58"/>
      <c r="L289" s="58"/>
    </row>
    <row r="290" spans="10:12">
      <c r="J290" s="58"/>
      <c r="K290" s="58"/>
      <c r="L290" s="58"/>
    </row>
    <row r="291" spans="10:12">
      <c r="J291" s="58"/>
      <c r="K291" s="58"/>
      <c r="L291" s="58"/>
    </row>
    <row r="292" spans="10:12">
      <c r="J292" s="58"/>
      <c r="K292" s="58"/>
      <c r="L292" s="58"/>
    </row>
    <row r="293" spans="10:12">
      <c r="J293" s="58"/>
      <c r="K293" s="58"/>
      <c r="L293" s="58"/>
    </row>
    <row r="294" spans="10:12">
      <c r="J294" s="58"/>
      <c r="K294" s="58"/>
      <c r="L294" s="58"/>
    </row>
    <row r="295" spans="10:12">
      <c r="J295" s="58"/>
      <c r="K295" s="58"/>
      <c r="L295" s="58"/>
    </row>
    <row r="296" spans="10:12">
      <c r="J296" s="58"/>
      <c r="K296" s="58"/>
      <c r="L296" s="58"/>
    </row>
    <row r="297" spans="10:12">
      <c r="J297" s="58"/>
      <c r="K297" s="58"/>
      <c r="L297" s="58"/>
    </row>
    <row r="298" spans="10:12">
      <c r="J298" s="58"/>
      <c r="K298" s="58"/>
      <c r="L298" s="58"/>
    </row>
    <row r="299" spans="10:12">
      <c r="J299" s="58"/>
      <c r="K299" s="58"/>
      <c r="L299" s="58"/>
    </row>
    <row r="300" spans="10:12">
      <c r="J300" s="58"/>
      <c r="K300" s="58"/>
      <c r="L300" s="58"/>
    </row>
    <row r="301" spans="10:12">
      <c r="J301" s="58"/>
      <c r="K301" s="58"/>
      <c r="L301" s="58"/>
    </row>
    <row r="302" spans="10:12">
      <c r="J302" s="58"/>
      <c r="K302" s="58"/>
      <c r="L302" s="58"/>
    </row>
    <row r="303" spans="10:12">
      <c r="J303" s="58"/>
      <c r="K303" s="58"/>
      <c r="L303" s="58"/>
    </row>
    <row r="304" spans="10:12">
      <c r="J304" s="58"/>
      <c r="K304" s="58"/>
      <c r="L304" s="58"/>
    </row>
    <row r="305" spans="10:12">
      <c r="J305" s="58"/>
      <c r="K305" s="58"/>
      <c r="L305" s="58"/>
    </row>
    <row r="306" spans="10:12">
      <c r="J306" s="58"/>
      <c r="K306" s="58"/>
      <c r="L306" s="58"/>
    </row>
    <row r="307" spans="10:12">
      <c r="J307" s="58"/>
      <c r="K307" s="58"/>
      <c r="L307" s="58"/>
    </row>
    <row r="308" spans="10:12">
      <c r="J308" s="58"/>
      <c r="K308" s="58"/>
      <c r="L308" s="58"/>
    </row>
    <row r="309" spans="10:12">
      <c r="J309" s="58"/>
      <c r="K309" s="58"/>
      <c r="L309" s="58"/>
    </row>
    <row r="310" spans="10:12">
      <c r="J310" s="58"/>
      <c r="K310" s="58"/>
      <c r="L310" s="58"/>
    </row>
    <row r="311" spans="10:12">
      <c r="J311" s="58"/>
      <c r="K311" s="58"/>
      <c r="L311" s="58"/>
    </row>
    <row r="312" spans="10:12">
      <c r="J312" s="58"/>
      <c r="K312" s="58"/>
      <c r="L312" s="58"/>
    </row>
    <row r="313" spans="10:12">
      <c r="J313" s="58"/>
      <c r="K313" s="58"/>
      <c r="L313" s="58"/>
    </row>
    <row r="314" spans="10:12">
      <c r="J314" s="58"/>
      <c r="K314" s="58"/>
      <c r="L314" s="58"/>
    </row>
    <row r="315" spans="10:12">
      <c r="J315" s="58"/>
      <c r="K315" s="58"/>
      <c r="L315" s="58"/>
    </row>
    <row r="316" spans="10:12">
      <c r="J316" s="58"/>
      <c r="K316" s="58"/>
      <c r="L316" s="58"/>
    </row>
    <row r="317" spans="10:12">
      <c r="J317" s="58"/>
      <c r="K317" s="58"/>
      <c r="L317" s="58"/>
    </row>
    <row r="318" spans="10:12">
      <c r="J318" s="58"/>
      <c r="K318" s="58"/>
      <c r="L318" s="58"/>
    </row>
    <row r="319" spans="10:12">
      <c r="J319" s="58"/>
      <c r="K319" s="58"/>
      <c r="L319" s="58"/>
    </row>
    <row r="320" spans="10:12">
      <c r="J320" s="58"/>
      <c r="K320" s="58"/>
      <c r="L320" s="58"/>
    </row>
    <row r="321" spans="10:12">
      <c r="J321" s="58"/>
      <c r="K321" s="58"/>
      <c r="L321" s="58"/>
    </row>
    <row r="322" spans="10:12">
      <c r="J322" s="58"/>
      <c r="K322" s="58"/>
      <c r="L322" s="58"/>
    </row>
    <row r="323" spans="10:12">
      <c r="J323" s="58"/>
      <c r="K323" s="58"/>
      <c r="L323" s="58"/>
    </row>
    <row r="324" spans="10:12">
      <c r="J324" s="58"/>
      <c r="K324" s="58"/>
      <c r="L324" s="58"/>
    </row>
    <row r="325" spans="10:12">
      <c r="J325" s="58"/>
      <c r="K325" s="58"/>
      <c r="L325" s="58"/>
    </row>
    <row r="326" spans="10:12">
      <c r="J326" s="58"/>
      <c r="K326" s="58"/>
      <c r="L326" s="58"/>
    </row>
    <row r="327" spans="10:12">
      <c r="J327" s="58"/>
      <c r="K327" s="58"/>
      <c r="L327" s="58"/>
    </row>
    <row r="328" spans="10:12">
      <c r="J328" s="58"/>
      <c r="K328" s="58"/>
      <c r="L328" s="58"/>
    </row>
    <row r="329" spans="10:12">
      <c r="J329" s="58"/>
      <c r="K329" s="58"/>
      <c r="L329" s="58"/>
    </row>
    <row r="330" spans="10:12">
      <c r="J330" s="58"/>
      <c r="K330" s="58"/>
      <c r="L330" s="58"/>
    </row>
    <row r="331" spans="10:12">
      <c r="J331" s="58"/>
      <c r="K331" s="58"/>
      <c r="L331" s="58"/>
    </row>
    <row r="332" spans="10:12">
      <c r="J332" s="58"/>
      <c r="K332" s="58"/>
      <c r="L332" s="58"/>
    </row>
    <row r="333" spans="10:12">
      <c r="J333" s="58"/>
      <c r="K333" s="58"/>
      <c r="L333" s="58"/>
    </row>
    <row r="334" spans="10:12">
      <c r="J334" s="58"/>
      <c r="K334" s="58"/>
      <c r="L334" s="58"/>
    </row>
    <row r="335" spans="10:12">
      <c r="J335" s="58"/>
      <c r="K335" s="58"/>
      <c r="L335" s="58"/>
    </row>
    <row r="336" spans="10:12">
      <c r="J336" s="58"/>
      <c r="K336" s="58"/>
      <c r="L336" s="58"/>
    </row>
    <row r="337" spans="10:12">
      <c r="J337" s="58"/>
      <c r="K337" s="58"/>
      <c r="L337" s="58"/>
    </row>
    <row r="338" spans="10:12">
      <c r="J338" s="58"/>
      <c r="K338" s="58"/>
      <c r="L338" s="58"/>
    </row>
    <row r="339" spans="10:12">
      <c r="J339" s="58"/>
      <c r="K339" s="58"/>
      <c r="L339" s="58"/>
    </row>
    <row r="340" spans="10:12">
      <c r="J340" s="58"/>
      <c r="K340" s="58"/>
      <c r="L340" s="58"/>
    </row>
    <row r="341" spans="10:12">
      <c r="J341" s="58"/>
      <c r="K341" s="58"/>
      <c r="L341" s="58"/>
    </row>
    <row r="342" spans="10:12">
      <c r="J342" s="58"/>
      <c r="K342" s="58"/>
      <c r="L342" s="58"/>
    </row>
    <row r="343" spans="10:12">
      <c r="J343" s="58"/>
      <c r="K343" s="58"/>
      <c r="L343" s="58"/>
    </row>
    <row r="344" spans="10:12">
      <c r="J344" s="58"/>
      <c r="K344" s="58"/>
      <c r="L344" s="58"/>
    </row>
    <row r="345" spans="10:12">
      <c r="J345" s="58"/>
      <c r="K345" s="58"/>
      <c r="L345" s="58"/>
    </row>
    <row r="346" spans="10:12">
      <c r="J346" s="58"/>
      <c r="K346" s="58"/>
      <c r="L346" s="58"/>
    </row>
    <row r="347" spans="10:12">
      <c r="J347" s="58"/>
      <c r="K347" s="58"/>
      <c r="L347" s="58"/>
    </row>
    <row r="348" spans="10:12">
      <c r="J348" s="58"/>
      <c r="K348" s="58"/>
      <c r="L348" s="58"/>
    </row>
    <row r="349" spans="10:12">
      <c r="J349" s="58"/>
      <c r="K349" s="58"/>
      <c r="L349" s="58"/>
    </row>
    <row r="350" spans="10:12">
      <c r="J350" s="58"/>
      <c r="K350" s="58"/>
      <c r="L350" s="58"/>
    </row>
    <row r="351" spans="10:12">
      <c r="J351" s="58"/>
      <c r="K351" s="58"/>
      <c r="L351" s="58"/>
    </row>
    <row r="352" spans="10:12">
      <c r="J352" s="58"/>
      <c r="K352" s="58"/>
      <c r="L352" s="58"/>
    </row>
    <row r="353" spans="10:12">
      <c r="J353" s="58"/>
      <c r="K353" s="58"/>
      <c r="L353" s="58"/>
    </row>
    <row r="354" spans="10:12">
      <c r="J354" s="58"/>
      <c r="K354" s="58"/>
      <c r="L354" s="58"/>
    </row>
    <row r="355" spans="10:12">
      <c r="J355" s="58"/>
      <c r="K355" s="58"/>
      <c r="L355" s="58"/>
    </row>
    <row r="356" spans="10:12">
      <c r="J356" s="58"/>
      <c r="K356" s="58"/>
      <c r="L356" s="58"/>
    </row>
    <row r="357" spans="10:12">
      <c r="J357" s="58"/>
      <c r="K357" s="58"/>
      <c r="L357" s="58"/>
    </row>
    <row r="358" spans="10:12">
      <c r="J358" s="58"/>
      <c r="K358" s="58"/>
      <c r="L358" s="58"/>
    </row>
    <row r="359" spans="10:12">
      <c r="J359" s="58"/>
      <c r="K359" s="58"/>
      <c r="L359" s="58"/>
    </row>
    <row r="360" spans="10:12">
      <c r="J360" s="58"/>
      <c r="K360" s="58"/>
      <c r="L360" s="58"/>
    </row>
    <row r="361" spans="10:12">
      <c r="J361" s="58"/>
      <c r="K361" s="58"/>
      <c r="L361" s="58"/>
    </row>
    <row r="362" spans="10:12">
      <c r="J362" s="58"/>
      <c r="K362" s="58"/>
      <c r="L362" s="58"/>
    </row>
    <row r="363" spans="10:12">
      <c r="J363" s="58"/>
      <c r="K363" s="58"/>
      <c r="L363" s="58"/>
    </row>
    <row r="364" spans="10:12">
      <c r="J364" s="58"/>
      <c r="K364" s="58"/>
      <c r="L364" s="58"/>
    </row>
    <row r="365" spans="10:12">
      <c r="J365" s="58"/>
      <c r="K365" s="58"/>
      <c r="L365" s="58"/>
    </row>
    <row r="366" spans="10:12">
      <c r="J366" s="58"/>
      <c r="K366" s="58"/>
      <c r="L366" s="58"/>
    </row>
    <row r="367" spans="10:12">
      <c r="J367" s="58"/>
      <c r="K367" s="58"/>
      <c r="L367" s="58"/>
    </row>
    <row r="368" spans="10:12">
      <c r="J368" s="58"/>
      <c r="K368" s="58"/>
      <c r="L368" s="58"/>
    </row>
    <row r="369" spans="10:12">
      <c r="J369" s="58"/>
      <c r="K369" s="58"/>
      <c r="L369" s="58"/>
    </row>
    <row r="370" spans="10:12">
      <c r="J370" s="58"/>
      <c r="K370" s="58"/>
      <c r="L370" s="58"/>
    </row>
    <row r="371" spans="10:12">
      <c r="J371" s="58"/>
      <c r="K371" s="58"/>
      <c r="L371" s="58"/>
    </row>
    <row r="372" spans="10:12">
      <c r="J372" s="58"/>
      <c r="K372" s="58"/>
      <c r="L372" s="58"/>
    </row>
    <row r="373" spans="10:12">
      <c r="J373" s="58"/>
      <c r="K373" s="58"/>
      <c r="L373" s="58"/>
    </row>
    <row r="374" spans="10:12">
      <c r="J374" s="58"/>
      <c r="K374" s="58"/>
      <c r="L374" s="58"/>
    </row>
    <row r="375" spans="10:12">
      <c r="J375" s="58"/>
      <c r="K375" s="58"/>
      <c r="L375" s="58"/>
    </row>
    <row r="376" spans="10:12">
      <c r="J376" s="58"/>
      <c r="K376" s="58"/>
      <c r="L376" s="58"/>
    </row>
    <row r="377" spans="10:12">
      <c r="J377" s="58"/>
      <c r="K377" s="58"/>
      <c r="L377" s="58"/>
    </row>
    <row r="378" spans="10:12">
      <c r="J378" s="58"/>
      <c r="K378" s="58"/>
      <c r="L378" s="58"/>
    </row>
    <row r="379" spans="10:12">
      <c r="J379" s="58"/>
      <c r="K379" s="58"/>
      <c r="L379" s="58"/>
    </row>
    <row r="380" spans="10:12">
      <c r="J380" s="58"/>
      <c r="K380" s="58"/>
      <c r="L380" s="58"/>
    </row>
    <row r="381" spans="10:12">
      <c r="J381" s="58"/>
      <c r="K381" s="58"/>
      <c r="L381" s="58"/>
    </row>
    <row r="382" spans="10:12">
      <c r="J382" s="58"/>
      <c r="K382" s="58"/>
      <c r="L382" s="58"/>
    </row>
    <row r="383" spans="10:12">
      <c r="J383" s="58"/>
      <c r="K383" s="58"/>
      <c r="L383" s="58"/>
    </row>
    <row r="384" spans="10:12">
      <c r="J384" s="58"/>
      <c r="K384" s="58"/>
      <c r="L384" s="58"/>
    </row>
    <row r="385" spans="10:12">
      <c r="J385" s="58"/>
      <c r="K385" s="58"/>
      <c r="L385" s="58"/>
    </row>
    <row r="386" spans="10:12">
      <c r="J386" s="58"/>
      <c r="K386" s="58"/>
      <c r="L386" s="58"/>
    </row>
    <row r="387" spans="10:12">
      <c r="J387" s="58"/>
      <c r="K387" s="58"/>
      <c r="L387" s="58"/>
    </row>
    <row r="388" spans="10:12">
      <c r="J388" s="58"/>
      <c r="K388" s="58"/>
      <c r="L388" s="58"/>
    </row>
    <row r="389" spans="10:12">
      <c r="J389" s="58"/>
      <c r="K389" s="58"/>
      <c r="L389" s="58"/>
    </row>
    <row r="390" spans="10:12">
      <c r="J390" s="58"/>
      <c r="K390" s="58"/>
      <c r="L390" s="58"/>
    </row>
    <row r="391" spans="10:12">
      <c r="J391" s="58"/>
      <c r="K391" s="58"/>
      <c r="L391" s="58"/>
    </row>
    <row r="392" spans="10:12">
      <c r="J392" s="58"/>
      <c r="K392" s="58"/>
      <c r="L392" s="58"/>
    </row>
    <row r="393" spans="10:12">
      <c r="J393" s="58"/>
      <c r="K393" s="58"/>
      <c r="L393" s="58"/>
    </row>
    <row r="394" spans="10:12">
      <c r="J394" s="58"/>
      <c r="K394" s="58"/>
      <c r="L394" s="58"/>
    </row>
    <row r="395" spans="10:12">
      <c r="J395" s="58"/>
      <c r="K395" s="58"/>
      <c r="L395" s="58"/>
    </row>
    <row r="396" spans="10:12">
      <c r="J396" s="58"/>
      <c r="K396" s="58"/>
      <c r="L396" s="58"/>
    </row>
    <row r="397" spans="10:12">
      <c r="J397" s="58"/>
      <c r="K397" s="58"/>
      <c r="L397" s="58"/>
    </row>
    <row r="398" spans="10:12">
      <c r="J398" s="58"/>
      <c r="K398" s="58"/>
      <c r="L398" s="58"/>
    </row>
    <row r="399" spans="10:12">
      <c r="J399" s="58"/>
      <c r="K399" s="58"/>
      <c r="L399" s="58"/>
    </row>
    <row r="400" spans="10:12">
      <c r="J400" s="58"/>
      <c r="K400" s="58"/>
      <c r="L400" s="58"/>
    </row>
    <row r="401" spans="10:12">
      <c r="J401" s="58"/>
      <c r="K401" s="58"/>
      <c r="L401" s="58"/>
    </row>
    <row r="402" spans="10:12">
      <c r="J402" s="58"/>
      <c r="K402" s="58"/>
      <c r="L402" s="58"/>
    </row>
    <row r="403" spans="10:12">
      <c r="J403" s="58"/>
      <c r="K403" s="58"/>
      <c r="L403" s="58"/>
    </row>
    <row r="404" spans="10:12">
      <c r="J404" s="58"/>
      <c r="K404" s="58"/>
      <c r="L404" s="58"/>
    </row>
    <row r="405" spans="10:12">
      <c r="J405" s="58"/>
      <c r="K405" s="58"/>
      <c r="L405" s="58"/>
    </row>
    <row r="406" spans="10:12">
      <c r="J406" s="58"/>
      <c r="K406" s="58"/>
      <c r="L406" s="58"/>
    </row>
    <row r="407" spans="10:12">
      <c r="J407" s="58"/>
      <c r="K407" s="58"/>
      <c r="L407" s="58"/>
    </row>
    <row r="408" spans="10:12">
      <c r="J408" s="58"/>
      <c r="K408" s="58"/>
      <c r="L408" s="58"/>
    </row>
    <row r="409" spans="10:12">
      <c r="J409" s="58"/>
      <c r="K409" s="58"/>
      <c r="L409" s="58"/>
    </row>
    <row r="410" spans="10:12">
      <c r="J410" s="58"/>
      <c r="K410" s="58"/>
      <c r="L410" s="58"/>
    </row>
    <row r="411" spans="10:12">
      <c r="J411" s="58"/>
      <c r="K411" s="58"/>
      <c r="L411" s="58"/>
    </row>
    <row r="412" spans="10:12">
      <c r="J412" s="58"/>
      <c r="K412" s="58"/>
      <c r="L412" s="58"/>
    </row>
    <row r="413" spans="10:12">
      <c r="J413" s="58"/>
      <c r="K413" s="58"/>
      <c r="L413" s="58"/>
    </row>
    <row r="414" spans="10:12">
      <c r="J414" s="58"/>
      <c r="K414" s="58"/>
      <c r="L414" s="58"/>
    </row>
    <row r="415" spans="10:12">
      <c r="J415" s="58"/>
      <c r="K415" s="58"/>
      <c r="L415" s="58"/>
    </row>
    <row r="416" spans="10:12">
      <c r="J416" s="58"/>
      <c r="K416" s="58"/>
      <c r="L416" s="58"/>
    </row>
    <row r="417" spans="10:12">
      <c r="J417" s="58"/>
      <c r="K417" s="58"/>
      <c r="L417" s="58"/>
    </row>
    <row r="418" spans="10:12">
      <c r="J418" s="58"/>
      <c r="K418" s="58"/>
      <c r="L418" s="58"/>
    </row>
    <row r="419" spans="10:12">
      <c r="J419" s="58"/>
      <c r="K419" s="58"/>
      <c r="L419" s="58"/>
    </row>
    <row r="420" spans="10:12">
      <c r="J420" s="58"/>
      <c r="K420" s="58"/>
      <c r="L420" s="58"/>
    </row>
    <row r="421" spans="10:12">
      <c r="J421" s="58"/>
      <c r="K421" s="58"/>
      <c r="L421" s="58"/>
    </row>
    <row r="422" spans="10:12">
      <c r="J422" s="58"/>
      <c r="K422" s="58"/>
      <c r="L422" s="58"/>
    </row>
    <row r="423" spans="10:12">
      <c r="J423" s="58"/>
      <c r="K423" s="58"/>
      <c r="L423" s="58"/>
    </row>
    <row r="424" spans="10:12">
      <c r="J424" s="58"/>
      <c r="K424" s="58"/>
      <c r="L424" s="58"/>
    </row>
    <row r="425" spans="10:12">
      <c r="J425" s="58"/>
      <c r="K425" s="58"/>
      <c r="L425" s="58"/>
    </row>
    <row r="426" spans="10:12">
      <c r="J426" s="58"/>
      <c r="K426" s="58"/>
      <c r="L426" s="58"/>
    </row>
    <row r="427" spans="10:12">
      <c r="J427" s="58"/>
      <c r="K427" s="58"/>
      <c r="L427" s="58"/>
    </row>
    <row r="428" spans="10:12">
      <c r="J428" s="58"/>
      <c r="K428" s="58"/>
      <c r="L428" s="58"/>
    </row>
    <row r="429" spans="10:12">
      <c r="J429" s="58"/>
      <c r="K429" s="58"/>
      <c r="L429" s="58"/>
    </row>
    <row r="430" spans="10:12">
      <c r="J430" s="58"/>
      <c r="K430" s="58"/>
      <c r="L430" s="58"/>
    </row>
    <row r="431" spans="10:12">
      <c r="J431" s="58"/>
      <c r="K431" s="58"/>
      <c r="L431" s="58"/>
    </row>
    <row r="432" spans="10:12">
      <c r="J432" s="58"/>
      <c r="K432" s="58"/>
      <c r="L432" s="58"/>
    </row>
    <row r="433" spans="10:12">
      <c r="J433" s="58"/>
      <c r="K433" s="58"/>
      <c r="L433" s="58"/>
    </row>
    <row r="434" spans="10:12">
      <c r="J434" s="58"/>
      <c r="K434" s="58"/>
      <c r="L434" s="58"/>
    </row>
    <row r="435" spans="10:12">
      <c r="J435" s="58"/>
      <c r="K435" s="58"/>
      <c r="L435" s="58"/>
    </row>
    <row r="436" spans="10:12">
      <c r="J436" s="58"/>
      <c r="K436" s="58"/>
      <c r="L436" s="58"/>
    </row>
    <row r="437" spans="10:12">
      <c r="J437" s="58"/>
      <c r="K437" s="58"/>
      <c r="L437" s="58"/>
    </row>
    <row r="438" spans="10:12">
      <c r="J438" s="58"/>
      <c r="K438" s="58"/>
      <c r="L438" s="58"/>
    </row>
    <row r="439" spans="10:12">
      <c r="J439" s="58"/>
      <c r="K439" s="58"/>
      <c r="L439" s="58"/>
    </row>
    <row r="440" spans="10:12">
      <c r="J440" s="58"/>
      <c r="K440" s="58"/>
      <c r="L440" s="58"/>
    </row>
    <row r="441" spans="10:12">
      <c r="J441" s="58"/>
      <c r="K441" s="58"/>
      <c r="L441" s="58"/>
    </row>
    <row r="442" spans="10:12">
      <c r="J442" s="58"/>
      <c r="K442" s="58"/>
      <c r="L442" s="58"/>
    </row>
    <row r="443" spans="10:12">
      <c r="J443" s="58"/>
      <c r="K443" s="58"/>
      <c r="L443" s="58"/>
    </row>
    <row r="444" spans="10:12">
      <c r="J444" s="58"/>
      <c r="K444" s="58"/>
      <c r="L444" s="58"/>
    </row>
    <row r="445" spans="10:12">
      <c r="J445" s="58"/>
      <c r="K445" s="58"/>
      <c r="L445" s="58"/>
    </row>
    <row r="446" spans="10:12">
      <c r="J446" s="58"/>
      <c r="K446" s="58"/>
      <c r="L446" s="58"/>
    </row>
    <row r="447" spans="10:12">
      <c r="J447" s="58"/>
      <c r="K447" s="58"/>
      <c r="L447" s="58"/>
    </row>
    <row r="448" spans="10:12">
      <c r="J448" s="58"/>
      <c r="K448" s="58"/>
      <c r="L448" s="58"/>
    </row>
    <row r="449" spans="10:12">
      <c r="J449" s="58"/>
      <c r="K449" s="58"/>
      <c r="L449" s="58"/>
    </row>
    <row r="450" spans="10:12">
      <c r="J450" s="58"/>
      <c r="K450" s="58"/>
      <c r="L450" s="58"/>
    </row>
    <row r="451" spans="10:12">
      <c r="J451" s="58"/>
      <c r="K451" s="58"/>
      <c r="L451" s="58"/>
    </row>
    <row r="452" spans="10:12">
      <c r="J452" s="58"/>
      <c r="K452" s="58"/>
      <c r="L452" s="58"/>
    </row>
    <row r="453" spans="10:12">
      <c r="J453" s="58"/>
      <c r="K453" s="58"/>
      <c r="L453" s="58"/>
    </row>
    <row r="454" spans="10:12">
      <c r="J454" s="58"/>
      <c r="K454" s="58"/>
      <c r="L454" s="58"/>
    </row>
    <row r="455" spans="10:12">
      <c r="J455" s="58"/>
      <c r="K455" s="58"/>
      <c r="L455" s="58"/>
    </row>
    <row r="456" spans="10:12">
      <c r="J456" s="58"/>
      <c r="K456" s="58"/>
      <c r="L456" s="58"/>
    </row>
    <row r="457" spans="10:12">
      <c r="J457" s="58"/>
      <c r="K457" s="58"/>
      <c r="L457" s="58"/>
    </row>
    <row r="458" spans="10:12">
      <c r="J458" s="58"/>
      <c r="K458" s="58"/>
      <c r="L458" s="58"/>
    </row>
    <row r="459" spans="10:12">
      <c r="J459" s="58"/>
      <c r="K459" s="58"/>
      <c r="L459" s="58"/>
    </row>
    <row r="460" spans="10:12">
      <c r="J460" s="58"/>
      <c r="K460" s="58"/>
      <c r="L460" s="58"/>
    </row>
    <row r="461" spans="10:12">
      <c r="J461" s="58"/>
      <c r="K461" s="58"/>
      <c r="L461" s="58"/>
    </row>
    <row r="462" spans="10:12">
      <c r="J462" s="58"/>
      <c r="K462" s="58"/>
      <c r="L462" s="58"/>
    </row>
    <row r="463" spans="10:12">
      <c r="J463" s="58"/>
      <c r="K463" s="58"/>
      <c r="L463" s="58"/>
    </row>
    <row r="464" spans="10:12">
      <c r="J464" s="58"/>
      <c r="K464" s="58"/>
      <c r="L464" s="58"/>
    </row>
    <row r="465" spans="10:12">
      <c r="J465" s="58"/>
      <c r="K465" s="58"/>
      <c r="L465" s="58"/>
    </row>
    <row r="466" spans="10:12">
      <c r="J466" s="58"/>
      <c r="K466" s="58"/>
      <c r="L466" s="58"/>
    </row>
    <row r="467" spans="10:12">
      <c r="J467" s="58"/>
      <c r="K467" s="58"/>
      <c r="L467" s="58"/>
    </row>
    <row r="468" spans="10:12">
      <c r="J468" s="58"/>
      <c r="K468" s="58"/>
      <c r="L468" s="58"/>
    </row>
    <row r="469" spans="10:12">
      <c r="J469" s="58"/>
      <c r="K469" s="58"/>
      <c r="L469" s="58"/>
    </row>
    <row r="470" spans="10:12">
      <c r="J470" s="58"/>
      <c r="K470" s="58"/>
      <c r="L470" s="58"/>
    </row>
    <row r="471" spans="10:12">
      <c r="J471" s="58"/>
      <c r="K471" s="58"/>
      <c r="L471" s="58"/>
    </row>
    <row r="472" spans="10:12">
      <c r="J472" s="58"/>
      <c r="K472" s="58"/>
      <c r="L472" s="58"/>
    </row>
    <row r="473" spans="10:12">
      <c r="J473" s="58"/>
      <c r="K473" s="58"/>
      <c r="L473" s="58"/>
    </row>
    <row r="474" spans="10:12">
      <c r="J474" s="58"/>
      <c r="K474" s="58"/>
      <c r="L474" s="58"/>
    </row>
    <row r="475" spans="10:12">
      <c r="J475" s="58"/>
      <c r="K475" s="58"/>
      <c r="L475" s="58"/>
    </row>
    <row r="476" spans="10:12">
      <c r="J476" s="58"/>
      <c r="K476" s="58"/>
      <c r="L476" s="58"/>
    </row>
    <row r="477" spans="10:12">
      <c r="J477" s="58"/>
      <c r="K477" s="58"/>
      <c r="L477" s="58"/>
    </row>
    <row r="478" spans="10:12">
      <c r="J478" s="58"/>
      <c r="K478" s="58"/>
      <c r="L478" s="58"/>
    </row>
    <row r="479" spans="10:12">
      <c r="J479" s="58"/>
      <c r="K479" s="58"/>
      <c r="L479" s="58"/>
    </row>
    <row r="480" spans="10:12">
      <c r="J480" s="58"/>
      <c r="K480" s="58"/>
      <c r="L480" s="58"/>
    </row>
    <row r="481" spans="10:12">
      <c r="J481" s="58"/>
      <c r="K481" s="58"/>
      <c r="L481" s="58"/>
    </row>
    <row r="482" spans="10:12">
      <c r="J482" s="58"/>
      <c r="K482" s="58"/>
      <c r="L482" s="58"/>
    </row>
    <row r="483" spans="10:12">
      <c r="J483" s="58"/>
      <c r="K483" s="58"/>
      <c r="L483" s="58"/>
    </row>
    <row r="484" spans="10:12">
      <c r="J484" s="58"/>
      <c r="K484" s="58"/>
      <c r="L484" s="58"/>
    </row>
    <row r="485" spans="10:12">
      <c r="J485" s="58"/>
      <c r="K485" s="58"/>
      <c r="L485" s="58"/>
    </row>
    <row r="486" spans="10:12">
      <c r="J486" s="58"/>
      <c r="K486" s="58"/>
      <c r="L486" s="58"/>
    </row>
    <row r="487" spans="10:12">
      <c r="J487" s="58"/>
      <c r="K487" s="58"/>
      <c r="L487" s="58"/>
    </row>
    <row r="488" spans="10:12">
      <c r="J488" s="58"/>
      <c r="K488" s="58"/>
      <c r="L488" s="58"/>
    </row>
    <row r="489" spans="10:12">
      <c r="J489" s="58"/>
      <c r="K489" s="58"/>
      <c r="L489" s="58"/>
    </row>
    <row r="490" spans="10:12">
      <c r="J490" s="58"/>
      <c r="K490" s="58"/>
      <c r="L490" s="58"/>
    </row>
    <row r="491" spans="10:12">
      <c r="J491" s="58"/>
      <c r="K491" s="58"/>
      <c r="L491" s="58"/>
    </row>
    <row r="492" spans="10:12">
      <c r="J492" s="58"/>
      <c r="K492" s="58"/>
      <c r="L492" s="58"/>
    </row>
    <row r="493" spans="10:12">
      <c r="J493" s="58"/>
      <c r="K493" s="58"/>
      <c r="L493" s="58"/>
    </row>
    <row r="494" spans="10:12">
      <c r="J494" s="58"/>
      <c r="K494" s="58"/>
      <c r="L494" s="58"/>
    </row>
    <row r="495" spans="10:12">
      <c r="J495" s="58"/>
      <c r="K495" s="58"/>
      <c r="L495" s="58"/>
    </row>
    <row r="496" spans="10:12">
      <c r="J496" s="58"/>
      <c r="K496" s="58"/>
      <c r="L496" s="58"/>
    </row>
    <row r="497" spans="10:12">
      <c r="J497" s="58"/>
      <c r="K497" s="58"/>
      <c r="L497" s="58"/>
    </row>
    <row r="498" spans="10:12">
      <c r="J498" s="58"/>
      <c r="K498" s="58"/>
      <c r="L498" s="58"/>
    </row>
    <row r="499" spans="10:12">
      <c r="J499" s="58"/>
      <c r="K499" s="58"/>
      <c r="L499" s="58"/>
    </row>
    <row r="500" spans="10:12">
      <c r="J500" s="58"/>
      <c r="K500" s="58"/>
      <c r="L500" s="58"/>
    </row>
    <row r="501" spans="10:12">
      <c r="J501" s="58"/>
      <c r="K501" s="58"/>
      <c r="L501" s="58"/>
    </row>
    <row r="502" spans="10:12">
      <c r="J502" s="58"/>
      <c r="K502" s="58"/>
      <c r="L502" s="58"/>
    </row>
    <row r="503" spans="10:12">
      <c r="J503" s="58"/>
      <c r="K503" s="58"/>
      <c r="L503" s="58"/>
    </row>
    <row r="504" spans="10:12">
      <c r="J504" s="58"/>
      <c r="K504" s="58"/>
      <c r="L504" s="58"/>
    </row>
    <row r="505" spans="10:12">
      <c r="J505" s="58"/>
      <c r="K505" s="58"/>
      <c r="L505" s="58"/>
    </row>
    <row r="506" spans="10:12">
      <c r="J506" s="58"/>
      <c r="K506" s="58"/>
      <c r="L506" s="58"/>
    </row>
    <row r="507" spans="10:12">
      <c r="J507" s="58"/>
      <c r="K507" s="58"/>
      <c r="L507" s="58"/>
    </row>
    <row r="508" spans="10:12">
      <c r="J508" s="58"/>
      <c r="K508" s="58"/>
      <c r="L508" s="58"/>
    </row>
    <row r="509" spans="10:12">
      <c r="J509" s="58"/>
      <c r="K509" s="58"/>
      <c r="L509" s="58"/>
    </row>
    <row r="510" spans="10:12">
      <c r="J510" s="58"/>
      <c r="K510" s="58"/>
      <c r="L510" s="58"/>
    </row>
    <row r="511" spans="10:12">
      <c r="J511" s="58"/>
      <c r="K511" s="58"/>
      <c r="L511" s="58"/>
    </row>
    <row r="512" spans="10:12">
      <c r="J512" s="58"/>
      <c r="K512" s="58"/>
      <c r="L512" s="58"/>
    </row>
    <row r="513" spans="10:12">
      <c r="J513" s="58"/>
      <c r="K513" s="58"/>
      <c r="L513" s="58"/>
    </row>
    <row r="514" spans="10:12">
      <c r="J514" s="58"/>
      <c r="K514" s="58"/>
      <c r="L514" s="58"/>
    </row>
    <row r="515" spans="10:12">
      <c r="J515" s="58"/>
      <c r="K515" s="58"/>
      <c r="L515" s="58"/>
    </row>
    <row r="516" spans="10:12">
      <c r="J516" s="58"/>
      <c r="K516" s="58"/>
      <c r="L516" s="58"/>
    </row>
    <row r="517" spans="10:12">
      <c r="J517" s="58"/>
      <c r="K517" s="58"/>
      <c r="L517" s="58"/>
    </row>
    <row r="518" spans="10:12">
      <c r="J518" s="58"/>
      <c r="K518" s="58"/>
      <c r="L518" s="58"/>
    </row>
    <row r="519" spans="10:12">
      <c r="J519" s="58"/>
      <c r="K519" s="58"/>
      <c r="L519" s="58"/>
    </row>
    <row r="520" spans="10:12">
      <c r="J520" s="58"/>
      <c r="K520" s="58"/>
      <c r="L520" s="58"/>
    </row>
    <row r="521" spans="10:12">
      <c r="J521" s="58"/>
      <c r="K521" s="58"/>
      <c r="L521" s="58"/>
    </row>
    <row r="522" spans="10:12">
      <c r="J522" s="58"/>
      <c r="K522" s="58"/>
      <c r="L522" s="58"/>
    </row>
    <row r="523" spans="10:12">
      <c r="J523" s="58"/>
      <c r="K523" s="58"/>
      <c r="L523" s="58"/>
    </row>
    <row r="524" spans="10:12">
      <c r="J524" s="58"/>
      <c r="K524" s="58"/>
      <c r="L524" s="58"/>
    </row>
    <row r="525" spans="10:12">
      <c r="J525" s="58"/>
      <c r="K525" s="58"/>
      <c r="L525" s="58"/>
    </row>
    <row r="526" spans="10:12">
      <c r="J526" s="58"/>
      <c r="K526" s="58"/>
      <c r="L526" s="58"/>
    </row>
    <row r="527" spans="10:12">
      <c r="J527" s="58"/>
      <c r="K527" s="58"/>
      <c r="L527" s="58"/>
    </row>
    <row r="528" spans="10:12">
      <c r="J528" s="58"/>
      <c r="K528" s="58"/>
      <c r="L528" s="58"/>
    </row>
    <row r="529" spans="10:12">
      <c r="J529" s="58"/>
      <c r="K529" s="58"/>
      <c r="L529" s="58"/>
    </row>
    <row r="530" spans="10:12">
      <c r="J530" s="58"/>
      <c r="K530" s="58"/>
      <c r="L530" s="58"/>
    </row>
    <row r="531" spans="10:12">
      <c r="J531" s="58"/>
      <c r="K531" s="58"/>
      <c r="L531" s="58"/>
    </row>
    <row r="532" spans="10:12">
      <c r="J532" s="58"/>
      <c r="K532" s="58"/>
      <c r="L532" s="58"/>
    </row>
    <row r="533" spans="10:12">
      <c r="J533" s="58"/>
      <c r="K533" s="58"/>
      <c r="L533" s="58"/>
    </row>
    <row r="534" spans="10:12">
      <c r="J534" s="58"/>
      <c r="K534" s="58"/>
      <c r="L534" s="58"/>
    </row>
    <row r="535" spans="10:12">
      <c r="J535" s="58"/>
      <c r="K535" s="58"/>
      <c r="L535" s="58"/>
    </row>
    <row r="536" spans="10:12">
      <c r="J536" s="58"/>
      <c r="K536" s="58"/>
      <c r="L536" s="58"/>
    </row>
    <row r="537" spans="10:12">
      <c r="J537" s="58"/>
      <c r="K537" s="58"/>
      <c r="L537" s="58"/>
    </row>
    <row r="538" spans="10:12">
      <c r="J538" s="58"/>
      <c r="K538" s="58"/>
      <c r="L538" s="58"/>
    </row>
    <row r="539" spans="10:12">
      <c r="J539" s="58"/>
      <c r="K539" s="58"/>
      <c r="L539" s="58"/>
    </row>
    <row r="540" spans="10:12">
      <c r="J540" s="58"/>
      <c r="K540" s="58"/>
      <c r="L540" s="58"/>
    </row>
    <row r="541" spans="10:12">
      <c r="J541" s="58"/>
      <c r="K541" s="58"/>
      <c r="L541" s="58"/>
    </row>
    <row r="542" spans="10:12">
      <c r="J542" s="58"/>
      <c r="K542" s="58"/>
      <c r="L542" s="58"/>
    </row>
    <row r="543" spans="10:12">
      <c r="J543" s="58"/>
      <c r="K543" s="58"/>
      <c r="L543" s="58"/>
    </row>
    <row r="544" spans="10:12">
      <c r="J544" s="58"/>
      <c r="K544" s="58"/>
      <c r="L544" s="58"/>
    </row>
    <row r="545" spans="10:12">
      <c r="J545" s="58"/>
      <c r="K545" s="58"/>
      <c r="L545" s="58"/>
    </row>
    <row r="546" spans="10:12">
      <c r="J546" s="58"/>
      <c r="K546" s="58"/>
      <c r="L546" s="58"/>
    </row>
    <row r="547" spans="10:12">
      <c r="J547" s="58"/>
      <c r="K547" s="58"/>
      <c r="L547" s="58"/>
    </row>
    <row r="548" spans="10:12">
      <c r="K548" s="58"/>
      <c r="L548" s="58"/>
    </row>
    <row r="549" spans="10:12">
      <c r="K549" s="58"/>
      <c r="L549" s="58"/>
    </row>
    <row r="550" spans="10:12">
      <c r="K550" s="58"/>
      <c r="L550" s="58"/>
    </row>
    <row r="551" spans="10:12">
      <c r="K551" s="58"/>
      <c r="L551" s="58"/>
    </row>
    <row r="552" spans="10:12">
      <c r="K552" s="58"/>
      <c r="L552" s="58"/>
    </row>
    <row r="553" spans="10:12">
      <c r="K553" s="58"/>
      <c r="L553" s="58"/>
    </row>
    <row r="554" spans="10:12">
      <c r="K554" s="58"/>
      <c r="L554" s="58"/>
    </row>
    <row r="555" spans="10:12">
      <c r="K555" s="58"/>
      <c r="L555" s="58"/>
    </row>
    <row r="556" spans="10:12">
      <c r="K556" s="58"/>
      <c r="L556" s="58"/>
    </row>
    <row r="557" spans="10:12">
      <c r="K557" s="58"/>
      <c r="L557" s="58"/>
    </row>
    <row r="558" spans="10:12">
      <c r="K558" s="58"/>
      <c r="L558" s="58"/>
    </row>
    <row r="559" spans="10:12">
      <c r="K559" s="58"/>
      <c r="L559" s="58"/>
    </row>
    <row r="560" spans="10:12">
      <c r="K560" s="58"/>
      <c r="L560" s="58"/>
    </row>
    <row r="561" spans="11:12">
      <c r="K561" s="58"/>
      <c r="L561" s="58"/>
    </row>
    <row r="562" spans="11:12">
      <c r="K562" s="58"/>
      <c r="L562" s="58"/>
    </row>
    <row r="563" spans="11:12">
      <c r="K563" s="58"/>
      <c r="L563" s="58"/>
    </row>
    <row r="564" spans="11:12">
      <c r="K564" s="58"/>
      <c r="L564" s="58"/>
    </row>
    <row r="565" spans="11:12">
      <c r="K565" s="58"/>
      <c r="L565" s="58"/>
    </row>
    <row r="566" spans="11:12">
      <c r="K566" s="58"/>
      <c r="L566" s="58"/>
    </row>
    <row r="567" spans="11:12">
      <c r="K567" s="58"/>
      <c r="L567" s="58"/>
    </row>
    <row r="568" spans="11:12">
      <c r="K568" s="58"/>
      <c r="L568" s="58"/>
    </row>
    <row r="569" spans="11:12">
      <c r="K569" s="58"/>
      <c r="L569" s="58"/>
    </row>
    <row r="570" spans="11:12">
      <c r="K570" s="58"/>
      <c r="L570" s="58"/>
    </row>
    <row r="571" spans="11:12">
      <c r="K571" s="58"/>
      <c r="L571" s="58"/>
    </row>
    <row r="572" spans="11:12">
      <c r="K572" s="58"/>
      <c r="L572" s="58"/>
    </row>
    <row r="573" spans="11:12">
      <c r="K573" s="58"/>
      <c r="L573" s="58"/>
    </row>
    <row r="574" spans="11:12">
      <c r="K574" s="58"/>
      <c r="L574" s="58"/>
    </row>
    <row r="575" spans="11:12">
      <c r="K575" s="58"/>
      <c r="L575" s="58"/>
    </row>
    <row r="576" spans="11:12">
      <c r="K576" s="58"/>
      <c r="L576" s="58"/>
    </row>
    <row r="577" spans="11:12">
      <c r="K577" s="58"/>
      <c r="L577" s="58"/>
    </row>
    <row r="578" spans="11:12">
      <c r="K578" s="58"/>
      <c r="L578" s="58"/>
    </row>
    <row r="579" spans="11:12">
      <c r="K579" s="58"/>
      <c r="L579" s="58"/>
    </row>
    <row r="580" spans="11:12">
      <c r="K580" s="58"/>
      <c r="L580" s="58"/>
    </row>
    <row r="581" spans="11:12">
      <c r="K581" s="58"/>
      <c r="L581" s="58"/>
    </row>
    <row r="582" spans="11:12">
      <c r="K582" s="58"/>
      <c r="L582" s="58"/>
    </row>
    <row r="583" spans="11:12">
      <c r="K583" s="58"/>
      <c r="L583" s="58"/>
    </row>
    <row r="584" spans="11:12">
      <c r="K584" s="58"/>
      <c r="L584" s="58"/>
    </row>
    <row r="585" spans="11:12">
      <c r="K585" s="58"/>
      <c r="L585" s="58"/>
    </row>
    <row r="586" spans="11:12">
      <c r="K586" s="58"/>
      <c r="L586" s="58"/>
    </row>
    <row r="587" spans="11:12">
      <c r="K587" s="58"/>
      <c r="L587" s="58"/>
    </row>
    <row r="588" spans="11:12">
      <c r="K588" s="58"/>
      <c r="L588" s="58"/>
    </row>
    <row r="589" spans="11:12">
      <c r="K589" s="58"/>
      <c r="L589" s="58"/>
    </row>
    <row r="590" spans="11:12">
      <c r="K590" s="58"/>
      <c r="L590" s="58"/>
    </row>
    <row r="591" spans="11:12">
      <c r="K591" s="58"/>
      <c r="L591" s="58"/>
    </row>
    <row r="592" spans="11:12">
      <c r="K592" s="58"/>
      <c r="L592" s="58"/>
    </row>
    <row r="593" spans="11:12">
      <c r="K593" s="58"/>
      <c r="L593" s="58"/>
    </row>
    <row r="594" spans="11:12">
      <c r="K594" s="58"/>
      <c r="L594" s="58"/>
    </row>
    <row r="595" spans="11:12">
      <c r="K595" s="58"/>
      <c r="L595" s="58"/>
    </row>
    <row r="596" spans="11:12">
      <c r="K596" s="58"/>
      <c r="L596" s="58"/>
    </row>
    <row r="597" spans="11:12">
      <c r="K597" s="58"/>
      <c r="L597" s="58"/>
    </row>
    <row r="598" spans="11:12">
      <c r="K598" s="58"/>
      <c r="L598" s="58"/>
    </row>
    <row r="599" spans="11:12">
      <c r="K599" s="58"/>
      <c r="L599" s="58"/>
    </row>
    <row r="600" spans="11:12">
      <c r="K600" s="58"/>
      <c r="L600" s="58"/>
    </row>
    <row r="601" spans="11:12">
      <c r="K601" s="58"/>
      <c r="L601" s="58"/>
    </row>
    <row r="602" spans="11:12">
      <c r="K602" s="58"/>
      <c r="L602" s="58"/>
    </row>
    <row r="603" spans="11:12">
      <c r="K603" s="58"/>
      <c r="L603" s="58"/>
    </row>
    <row r="604" spans="11:12">
      <c r="K604" s="58"/>
      <c r="L604" s="58"/>
    </row>
    <row r="605" spans="11:12">
      <c r="K605" s="58"/>
      <c r="L605" s="58"/>
    </row>
    <row r="606" spans="11:12">
      <c r="K606" s="58"/>
      <c r="L606" s="58"/>
    </row>
    <row r="607" spans="11:12">
      <c r="K607" s="58"/>
      <c r="L607" s="58"/>
    </row>
    <row r="608" spans="11:12">
      <c r="K608" s="58"/>
      <c r="L608" s="58"/>
    </row>
    <row r="609" spans="11:12">
      <c r="K609" s="58"/>
      <c r="L609" s="58"/>
    </row>
    <row r="610" spans="11:12">
      <c r="K610" s="58"/>
      <c r="L610" s="58"/>
    </row>
    <row r="611" spans="11:12">
      <c r="K611" s="58"/>
      <c r="L611" s="58"/>
    </row>
    <row r="612" spans="11:12">
      <c r="K612" s="58"/>
      <c r="L612" s="58"/>
    </row>
    <row r="613" spans="11:12">
      <c r="K613" s="58"/>
      <c r="L613" s="58"/>
    </row>
    <row r="614" spans="11:12">
      <c r="K614" s="58"/>
      <c r="L614" s="58"/>
    </row>
    <row r="615" spans="11:12">
      <c r="K615" s="58"/>
      <c r="L615" s="58"/>
    </row>
    <row r="616" spans="11:12">
      <c r="K616" s="58"/>
      <c r="L616" s="58"/>
    </row>
    <row r="617" spans="11:12">
      <c r="K617" s="58"/>
      <c r="L617" s="58"/>
    </row>
    <row r="618" spans="11:12">
      <c r="K618" s="58"/>
      <c r="L618" s="58"/>
    </row>
    <row r="619" spans="11:12">
      <c r="K619" s="58"/>
      <c r="L619" s="58"/>
    </row>
    <row r="620" spans="11:12">
      <c r="K620" s="58"/>
      <c r="L620" s="58"/>
    </row>
    <row r="621" spans="11:12">
      <c r="K621" s="58"/>
      <c r="L621" s="58"/>
    </row>
    <row r="622" spans="11:12">
      <c r="K622" s="58"/>
      <c r="L622" s="58"/>
    </row>
    <row r="623" spans="11:12">
      <c r="K623" s="58"/>
      <c r="L623" s="58"/>
    </row>
    <row r="624" spans="11:12">
      <c r="K624" s="58"/>
      <c r="L624" s="58"/>
    </row>
    <row r="625" spans="11:12">
      <c r="K625" s="58"/>
      <c r="L625" s="58"/>
    </row>
    <row r="626" spans="11:12">
      <c r="K626" s="58"/>
      <c r="L626" s="58"/>
    </row>
    <row r="627" spans="11:12">
      <c r="K627" s="58"/>
      <c r="L627" s="58"/>
    </row>
    <row r="628" spans="11:12">
      <c r="K628" s="58"/>
      <c r="L628" s="58"/>
    </row>
    <row r="629" spans="11:12">
      <c r="K629" s="58"/>
      <c r="L629" s="58"/>
    </row>
    <row r="630" spans="11:12">
      <c r="K630" s="58"/>
      <c r="L630" s="58"/>
    </row>
    <row r="631" spans="11:12">
      <c r="K631" s="58"/>
      <c r="L631" s="58"/>
    </row>
    <row r="632" spans="11:12">
      <c r="K632" s="58"/>
      <c r="L632" s="58"/>
    </row>
    <row r="633" spans="11:12">
      <c r="K633" s="58"/>
      <c r="L633" s="58"/>
    </row>
    <row r="634" spans="11:12">
      <c r="K634" s="58"/>
      <c r="L634" s="58"/>
    </row>
    <row r="635" spans="11:12">
      <c r="K635" s="58"/>
      <c r="L635" s="58"/>
    </row>
    <row r="636" spans="11:12">
      <c r="K636" s="58"/>
      <c r="L636" s="58"/>
    </row>
    <row r="637" spans="11:12">
      <c r="K637" s="58"/>
      <c r="L637" s="58"/>
    </row>
    <row r="638" spans="11:12">
      <c r="K638" s="58"/>
      <c r="L638" s="58"/>
    </row>
    <row r="639" spans="11:12">
      <c r="K639" s="58"/>
      <c r="L639" s="58"/>
    </row>
    <row r="640" spans="11:12">
      <c r="K640" s="58"/>
      <c r="L640" s="58"/>
    </row>
    <row r="641" spans="11:12">
      <c r="K641" s="58"/>
      <c r="L641" s="58"/>
    </row>
    <row r="642" spans="11:12">
      <c r="K642" s="58"/>
      <c r="L642" s="58"/>
    </row>
    <row r="643" spans="11:12">
      <c r="K643" s="58"/>
      <c r="L643" s="58"/>
    </row>
    <row r="644" spans="11:12">
      <c r="K644" s="58"/>
      <c r="L644" s="58"/>
    </row>
    <row r="645" spans="11:12">
      <c r="K645" s="58"/>
      <c r="L645" s="58"/>
    </row>
    <row r="646" spans="11:12">
      <c r="K646" s="58"/>
      <c r="L646" s="58"/>
    </row>
    <row r="647" spans="11:12">
      <c r="K647" s="58"/>
      <c r="L647" s="58"/>
    </row>
    <row r="648" spans="11:12">
      <c r="K648" s="58"/>
      <c r="L648" s="58"/>
    </row>
    <row r="649" spans="11:12">
      <c r="K649" s="58"/>
      <c r="L649" s="58"/>
    </row>
    <row r="650" spans="11:12">
      <c r="K650" s="58"/>
      <c r="L650" s="58"/>
    </row>
    <row r="651" spans="11:12">
      <c r="K651" s="58"/>
      <c r="L651" s="58"/>
    </row>
    <row r="652" spans="11:12">
      <c r="K652" s="58"/>
      <c r="L652" s="58"/>
    </row>
    <row r="653" spans="11:12">
      <c r="K653" s="58"/>
      <c r="L653" s="58"/>
    </row>
    <row r="654" spans="11:12">
      <c r="K654" s="58"/>
      <c r="L654" s="58"/>
    </row>
    <row r="655" spans="11:12">
      <c r="K655" s="58"/>
      <c r="L655" s="58"/>
    </row>
    <row r="656" spans="11:12">
      <c r="K656" s="58"/>
      <c r="L656" s="58"/>
    </row>
    <row r="657" spans="11:12">
      <c r="K657" s="58"/>
      <c r="L657" s="58"/>
    </row>
    <row r="658" spans="11:12">
      <c r="K658" s="58"/>
      <c r="L658" s="58"/>
    </row>
    <row r="659" spans="11:12">
      <c r="K659" s="58"/>
      <c r="L659" s="58"/>
    </row>
    <row r="660" spans="11:12">
      <c r="K660" s="58"/>
      <c r="L660" s="58"/>
    </row>
    <row r="661" spans="11:12">
      <c r="K661" s="58"/>
      <c r="L661" s="58"/>
    </row>
    <row r="662" spans="11:12">
      <c r="K662" s="58"/>
      <c r="L662" s="58"/>
    </row>
    <row r="663" spans="11:12">
      <c r="K663" s="58"/>
      <c r="L663" s="58"/>
    </row>
    <row r="664" spans="11:12">
      <c r="K664" s="58"/>
      <c r="L664" s="58"/>
    </row>
    <row r="665" spans="11:12">
      <c r="K665" s="58"/>
      <c r="L665" s="58"/>
    </row>
    <row r="666" spans="11:12">
      <c r="K666" s="58"/>
      <c r="L666" s="58"/>
    </row>
    <row r="667" spans="11:12">
      <c r="K667" s="58"/>
      <c r="L667" s="58"/>
    </row>
    <row r="668" spans="11:12">
      <c r="K668" s="58"/>
      <c r="L668" s="58"/>
    </row>
    <row r="669" spans="11:12">
      <c r="K669" s="58"/>
      <c r="L669" s="58"/>
    </row>
    <row r="670" spans="11:12">
      <c r="K670" s="58"/>
      <c r="L670" s="58"/>
    </row>
    <row r="671" spans="11:12">
      <c r="K671" s="58"/>
      <c r="L671" s="58"/>
    </row>
    <row r="672" spans="11:12">
      <c r="K672" s="58"/>
      <c r="L672" s="58"/>
    </row>
    <row r="673" spans="11:12">
      <c r="K673" s="58"/>
      <c r="L673" s="58"/>
    </row>
    <row r="674" spans="11:12">
      <c r="K674" s="58"/>
      <c r="L674" s="58"/>
    </row>
    <row r="675" spans="11:12">
      <c r="K675" s="58"/>
      <c r="L675" s="58"/>
    </row>
    <row r="676" spans="11:12">
      <c r="K676" s="58"/>
      <c r="L676" s="58"/>
    </row>
    <row r="677" spans="11:12">
      <c r="K677" s="58"/>
      <c r="L677" s="58"/>
    </row>
    <row r="678" spans="11:12">
      <c r="K678" s="58"/>
      <c r="L678" s="58"/>
    </row>
    <row r="679" spans="11:12">
      <c r="K679" s="58"/>
      <c r="L679" s="58"/>
    </row>
    <row r="680" spans="11:12">
      <c r="K680" s="58"/>
      <c r="L680" s="58"/>
    </row>
    <row r="681" spans="11:12">
      <c r="K681" s="58"/>
      <c r="L681" s="58"/>
    </row>
    <row r="682" spans="11:12">
      <c r="K682" s="58"/>
      <c r="L682" s="58"/>
    </row>
    <row r="683" spans="11:12">
      <c r="K683" s="58"/>
      <c r="L683" s="58"/>
    </row>
    <row r="684" spans="11:12">
      <c r="K684" s="58"/>
      <c r="L684" s="58"/>
    </row>
    <row r="685" spans="11:12">
      <c r="K685" s="58"/>
      <c r="L685" s="58"/>
    </row>
    <row r="686" spans="11:12">
      <c r="K686" s="58"/>
      <c r="L686" s="58"/>
    </row>
    <row r="687" spans="11:12">
      <c r="K687" s="58"/>
      <c r="L687" s="58"/>
    </row>
    <row r="688" spans="11:12">
      <c r="K688" s="58"/>
      <c r="L688" s="58"/>
    </row>
    <row r="689" spans="11:12">
      <c r="K689" s="58"/>
      <c r="L689" s="58"/>
    </row>
    <row r="690" spans="11:12">
      <c r="K690" s="58"/>
      <c r="L690" s="58"/>
    </row>
    <row r="691" spans="11:12">
      <c r="K691" s="58"/>
      <c r="L691" s="58"/>
    </row>
    <row r="692" spans="11:12">
      <c r="K692" s="58"/>
      <c r="L692" s="58"/>
    </row>
    <row r="693" spans="11:12">
      <c r="K693" s="58"/>
      <c r="L693" s="58"/>
    </row>
    <row r="694" spans="11:12">
      <c r="K694" s="58"/>
      <c r="L694" s="58"/>
    </row>
    <row r="695" spans="11:12">
      <c r="K695" s="58"/>
      <c r="L695" s="58"/>
    </row>
    <row r="696" spans="11:12">
      <c r="K696" s="58"/>
      <c r="L696" s="58"/>
    </row>
    <row r="697" spans="11:12">
      <c r="K697" s="58"/>
      <c r="L697" s="58"/>
    </row>
    <row r="698" spans="11:12">
      <c r="K698" s="58"/>
      <c r="L698" s="58"/>
    </row>
    <row r="699" spans="11:12">
      <c r="K699" s="58"/>
      <c r="L699" s="58"/>
    </row>
    <row r="700" spans="11:12">
      <c r="K700" s="58"/>
      <c r="L700" s="58"/>
    </row>
    <row r="701" spans="11:12">
      <c r="K701" s="58"/>
      <c r="L701" s="58"/>
    </row>
    <row r="702" spans="11:12">
      <c r="K702" s="58"/>
      <c r="L702" s="58"/>
    </row>
    <row r="703" spans="11:12">
      <c r="K703" s="58"/>
      <c r="L703" s="58"/>
    </row>
    <row r="704" spans="11:12">
      <c r="K704" s="58"/>
      <c r="L704" s="58"/>
    </row>
    <row r="705" spans="11:12">
      <c r="K705" s="58"/>
      <c r="L705" s="58"/>
    </row>
    <row r="706" spans="11:12">
      <c r="K706" s="58"/>
      <c r="L706" s="58"/>
    </row>
    <row r="707" spans="11:12">
      <c r="K707" s="58"/>
      <c r="L707" s="58"/>
    </row>
    <row r="708" spans="11:12">
      <c r="K708" s="58"/>
      <c r="L708" s="58"/>
    </row>
    <row r="709" spans="11:12">
      <c r="K709" s="58"/>
      <c r="L709" s="58"/>
    </row>
    <row r="710" spans="11:12">
      <c r="K710" s="58"/>
      <c r="L710" s="58"/>
    </row>
    <row r="711" spans="11:12">
      <c r="K711" s="58"/>
      <c r="L711" s="58"/>
    </row>
    <row r="712" spans="11:12">
      <c r="K712" s="58"/>
      <c r="L712" s="58"/>
    </row>
    <row r="713" spans="11:12">
      <c r="K713" s="58"/>
      <c r="L713" s="58"/>
    </row>
    <row r="714" spans="11:12">
      <c r="K714" s="58"/>
      <c r="L714" s="58"/>
    </row>
    <row r="715" spans="11:12">
      <c r="K715" s="58"/>
      <c r="L715" s="58"/>
    </row>
    <row r="716" spans="11:12">
      <c r="K716" s="58"/>
      <c r="L716" s="58"/>
    </row>
    <row r="717" spans="11:12">
      <c r="K717" s="58"/>
      <c r="L717" s="58"/>
    </row>
    <row r="718" spans="11:12">
      <c r="K718" s="58"/>
      <c r="L718" s="58"/>
    </row>
    <row r="719" spans="11:12">
      <c r="K719" s="58"/>
      <c r="L719" s="58"/>
    </row>
    <row r="720" spans="11:12">
      <c r="K720" s="58"/>
      <c r="L720" s="58"/>
    </row>
    <row r="721" spans="11:12">
      <c r="K721" s="58"/>
      <c r="L721" s="58"/>
    </row>
    <row r="722" spans="11:12">
      <c r="K722" s="58"/>
      <c r="L722" s="58"/>
    </row>
    <row r="723" spans="11:12">
      <c r="K723" s="58"/>
      <c r="L723" s="58"/>
    </row>
    <row r="724" spans="11:12">
      <c r="K724" s="58"/>
      <c r="L724" s="58"/>
    </row>
    <row r="725" spans="11:12">
      <c r="K725" s="58"/>
      <c r="L725" s="58"/>
    </row>
    <row r="726" spans="11:12">
      <c r="K726" s="58"/>
      <c r="L726" s="58"/>
    </row>
    <row r="727" spans="11:12">
      <c r="K727" s="58"/>
      <c r="L727" s="58"/>
    </row>
    <row r="728" spans="11:12">
      <c r="K728" s="58"/>
      <c r="L728" s="58"/>
    </row>
    <row r="729" spans="11:12">
      <c r="K729" s="58"/>
      <c r="L729" s="58"/>
    </row>
    <row r="730" spans="11:12">
      <c r="K730" s="58"/>
      <c r="L730" s="58"/>
    </row>
    <row r="731" spans="11:12">
      <c r="K731" s="58"/>
      <c r="L731" s="58"/>
    </row>
    <row r="732" spans="11:12">
      <c r="K732" s="58"/>
      <c r="L732" s="58"/>
    </row>
    <row r="733" spans="11:12">
      <c r="K733" s="58"/>
      <c r="L733" s="58"/>
    </row>
    <row r="734" spans="11:12">
      <c r="K734" s="58"/>
      <c r="L734" s="58"/>
    </row>
    <row r="735" spans="11:12">
      <c r="K735" s="58"/>
      <c r="L735" s="58"/>
    </row>
    <row r="736" spans="11:12">
      <c r="K736" s="58"/>
      <c r="L736" s="58"/>
    </row>
    <row r="737" spans="11:12">
      <c r="K737" s="58"/>
      <c r="L737" s="58"/>
    </row>
    <row r="738" spans="11:12">
      <c r="K738" s="58"/>
      <c r="L738" s="58"/>
    </row>
    <row r="739" spans="11:12">
      <c r="K739" s="58"/>
      <c r="L739" s="58"/>
    </row>
    <row r="740" spans="11:12">
      <c r="K740" s="58"/>
      <c r="L740" s="58"/>
    </row>
    <row r="741" spans="11:12">
      <c r="K741" s="58"/>
      <c r="L741" s="58"/>
    </row>
    <row r="742" spans="11:12">
      <c r="K742" s="58"/>
      <c r="L742" s="58"/>
    </row>
    <row r="743" spans="11:12">
      <c r="K743" s="58"/>
      <c r="L743" s="58"/>
    </row>
    <row r="744" spans="11:12">
      <c r="K744" s="58"/>
      <c r="L744" s="58"/>
    </row>
    <row r="745" spans="11:12">
      <c r="K745" s="58"/>
      <c r="L745" s="58"/>
    </row>
    <row r="746" spans="11:12">
      <c r="K746" s="58"/>
      <c r="L746" s="58"/>
    </row>
    <row r="747" spans="11:12">
      <c r="K747" s="58"/>
      <c r="L747" s="58"/>
    </row>
    <row r="748" spans="11:12">
      <c r="K748" s="58"/>
      <c r="L748" s="58"/>
    </row>
    <row r="749" spans="11:12">
      <c r="K749" s="58"/>
      <c r="L749" s="58"/>
    </row>
    <row r="750" spans="11:12">
      <c r="K750" s="58"/>
      <c r="L750" s="58"/>
    </row>
    <row r="751" spans="11:12">
      <c r="K751" s="58"/>
      <c r="L751" s="58"/>
    </row>
    <row r="752" spans="11:12">
      <c r="K752" s="58"/>
      <c r="L752" s="58"/>
    </row>
    <row r="753" spans="11:12">
      <c r="K753" s="58"/>
      <c r="L753" s="58"/>
    </row>
    <row r="754" spans="11:12">
      <c r="K754" s="58"/>
      <c r="L754" s="58"/>
    </row>
    <row r="755" spans="11:12">
      <c r="K755" s="58"/>
      <c r="L755" s="58"/>
    </row>
    <row r="756" spans="11:12">
      <c r="K756" s="58"/>
      <c r="L756" s="58"/>
    </row>
    <row r="757" spans="11:12">
      <c r="K757" s="58"/>
      <c r="L757" s="58"/>
    </row>
    <row r="758" spans="11:12">
      <c r="K758" s="58"/>
      <c r="L758" s="58"/>
    </row>
    <row r="759" spans="11:12">
      <c r="K759" s="58"/>
      <c r="L759" s="58"/>
    </row>
    <row r="760" spans="11:12">
      <c r="K760" s="58"/>
      <c r="L760" s="58"/>
    </row>
    <row r="761" spans="11:12">
      <c r="K761" s="58"/>
      <c r="L761" s="58"/>
    </row>
    <row r="762" spans="11:12">
      <c r="K762" s="58"/>
      <c r="L762" s="58"/>
    </row>
    <row r="763" spans="11:12">
      <c r="K763" s="58"/>
      <c r="L763" s="58"/>
    </row>
    <row r="764" spans="11:12">
      <c r="K764" s="58"/>
      <c r="L764" s="58"/>
    </row>
    <row r="765" spans="11:12">
      <c r="K765" s="58"/>
      <c r="L765" s="58"/>
    </row>
    <row r="766" spans="11:12">
      <c r="K766" s="58"/>
      <c r="L766" s="58"/>
    </row>
    <row r="767" spans="11:12">
      <c r="K767" s="58"/>
      <c r="L767" s="58"/>
    </row>
    <row r="768" spans="11:12">
      <c r="K768" s="58"/>
      <c r="L768" s="58"/>
    </row>
    <row r="769" spans="11:12">
      <c r="K769" s="58"/>
      <c r="L769" s="58"/>
    </row>
    <row r="770" spans="11:12">
      <c r="K770" s="58"/>
      <c r="L770" s="58"/>
    </row>
    <row r="771" spans="11:12">
      <c r="K771" s="58"/>
      <c r="L771" s="58"/>
    </row>
    <row r="772" spans="11:12">
      <c r="K772" s="58"/>
      <c r="L772" s="58"/>
    </row>
    <row r="773" spans="11:12">
      <c r="K773" s="58"/>
      <c r="L773" s="58"/>
    </row>
    <row r="774" spans="11:12">
      <c r="K774" s="58"/>
      <c r="L774" s="58"/>
    </row>
    <row r="775" spans="11:12">
      <c r="K775" s="58"/>
      <c r="L775" s="58"/>
    </row>
    <row r="776" spans="11:12">
      <c r="K776" s="58"/>
      <c r="L776" s="58"/>
    </row>
    <row r="777" spans="11:12">
      <c r="K777" s="58"/>
      <c r="L777" s="58"/>
    </row>
    <row r="778" spans="11:12">
      <c r="K778" s="58"/>
      <c r="L778" s="58"/>
    </row>
    <row r="779" spans="11:12">
      <c r="K779" s="58"/>
      <c r="L779" s="58"/>
    </row>
    <row r="780" spans="11:12">
      <c r="K780" s="58"/>
      <c r="L780" s="58"/>
    </row>
    <row r="781" spans="11:12">
      <c r="K781" s="58"/>
      <c r="L781" s="58"/>
    </row>
    <row r="782" spans="11:12">
      <c r="K782" s="58"/>
      <c r="L782" s="58"/>
    </row>
    <row r="783" spans="11:12">
      <c r="K783" s="58"/>
      <c r="L783" s="58"/>
    </row>
    <row r="784" spans="11:12">
      <c r="K784" s="58"/>
      <c r="L784" s="58"/>
    </row>
    <row r="785" spans="11:12">
      <c r="K785" s="58"/>
      <c r="L785" s="58"/>
    </row>
    <row r="786" spans="11:12">
      <c r="K786" s="58"/>
      <c r="L786" s="58"/>
    </row>
    <row r="787" spans="11:12">
      <c r="K787" s="58"/>
      <c r="L787" s="58"/>
    </row>
    <row r="788" spans="11:12">
      <c r="K788" s="58"/>
      <c r="L788" s="58"/>
    </row>
    <row r="789" spans="11:12">
      <c r="K789" s="58"/>
      <c r="L789" s="58"/>
    </row>
    <row r="790" spans="11:12">
      <c r="K790" s="58"/>
      <c r="L790" s="58"/>
    </row>
    <row r="791" spans="11:12">
      <c r="K791" s="58"/>
      <c r="L791" s="58"/>
    </row>
    <row r="792" spans="11:12">
      <c r="K792" s="58"/>
      <c r="L792" s="58"/>
    </row>
    <row r="793" spans="11:12">
      <c r="K793" s="58"/>
      <c r="L793" s="58"/>
    </row>
    <row r="794" spans="11:12">
      <c r="K794" s="58"/>
      <c r="L794" s="58"/>
    </row>
    <row r="795" spans="11:12">
      <c r="K795" s="58"/>
      <c r="L795" s="58"/>
    </row>
    <row r="796" spans="11:12">
      <c r="K796" s="58"/>
      <c r="L796" s="58"/>
    </row>
    <row r="797" spans="11:12">
      <c r="K797" s="58"/>
      <c r="L797" s="58"/>
    </row>
    <row r="798" spans="11:12">
      <c r="K798" s="58"/>
      <c r="L798" s="58"/>
    </row>
    <row r="799" spans="11:12">
      <c r="K799" s="58"/>
      <c r="L799" s="58"/>
    </row>
    <row r="800" spans="11:12">
      <c r="K800" s="58"/>
      <c r="L800" s="58"/>
    </row>
    <row r="801" spans="11:12">
      <c r="K801" s="58"/>
      <c r="L801" s="58"/>
    </row>
    <row r="802" spans="11:12">
      <c r="K802" s="58"/>
      <c r="L802" s="58"/>
    </row>
    <row r="803" spans="11:12">
      <c r="K803" s="58"/>
      <c r="L803" s="58"/>
    </row>
    <row r="804" spans="11:12">
      <c r="K804" s="58"/>
      <c r="L804" s="58"/>
    </row>
    <row r="805" spans="11:12">
      <c r="K805" s="58"/>
      <c r="L805" s="58"/>
    </row>
    <row r="806" spans="11:12">
      <c r="K806" s="58"/>
      <c r="L806" s="58"/>
    </row>
    <row r="807" spans="11:12">
      <c r="K807" s="58"/>
      <c r="L807" s="58"/>
    </row>
    <row r="808" spans="11:12">
      <c r="K808" s="58"/>
      <c r="L808" s="58"/>
    </row>
    <row r="809" spans="11:12">
      <c r="K809" s="58"/>
      <c r="L809" s="58"/>
    </row>
    <row r="810" spans="11:12">
      <c r="K810" s="58"/>
      <c r="L810" s="58"/>
    </row>
    <row r="811" spans="11:12">
      <c r="K811" s="58"/>
      <c r="L811" s="58"/>
    </row>
    <row r="812" spans="11:12">
      <c r="K812" s="58"/>
      <c r="L812" s="58"/>
    </row>
    <row r="813" spans="11:12">
      <c r="K813" s="58"/>
      <c r="L813" s="58"/>
    </row>
    <row r="814" spans="11:12">
      <c r="K814" s="58"/>
      <c r="L814" s="58"/>
    </row>
    <row r="815" spans="11:12">
      <c r="K815" s="58"/>
      <c r="L815" s="58"/>
    </row>
    <row r="816" spans="11:12">
      <c r="K816" s="58"/>
      <c r="L816" s="58"/>
    </row>
    <row r="817" spans="11:12">
      <c r="K817" s="58"/>
      <c r="L817" s="58"/>
    </row>
    <row r="818" spans="11:12">
      <c r="K818" s="58"/>
      <c r="L818" s="58"/>
    </row>
    <row r="819" spans="11:12">
      <c r="K819" s="58"/>
      <c r="L819" s="58"/>
    </row>
    <row r="820" spans="11:12">
      <c r="K820" s="58"/>
      <c r="L820" s="58"/>
    </row>
    <row r="821" spans="11:12">
      <c r="K821" s="58"/>
      <c r="L821" s="58"/>
    </row>
    <row r="822" spans="11:12">
      <c r="K822" s="58"/>
      <c r="L822" s="58"/>
    </row>
    <row r="823" spans="11:12">
      <c r="K823" s="58"/>
      <c r="L823" s="58"/>
    </row>
    <row r="824" spans="11:12">
      <c r="K824" s="58"/>
      <c r="L824" s="58"/>
    </row>
    <row r="825" spans="11:12">
      <c r="K825" s="58"/>
      <c r="L825" s="58"/>
    </row>
    <row r="826" spans="11:12">
      <c r="K826" s="58"/>
      <c r="L826" s="58"/>
    </row>
    <row r="827" spans="11:12">
      <c r="K827" s="58"/>
      <c r="L827" s="58"/>
    </row>
    <row r="828" spans="11:12">
      <c r="K828" s="58"/>
      <c r="L828" s="58"/>
    </row>
    <row r="829" spans="11:12">
      <c r="K829" s="58"/>
      <c r="L829" s="58"/>
    </row>
    <row r="830" spans="11:12">
      <c r="K830" s="58"/>
      <c r="L830" s="58"/>
    </row>
    <row r="831" spans="11:12">
      <c r="K831" s="58"/>
      <c r="L831" s="58"/>
    </row>
    <row r="832" spans="11:12">
      <c r="K832" s="58"/>
      <c r="L832" s="58"/>
    </row>
    <row r="833" spans="11:12">
      <c r="K833" s="58"/>
      <c r="L833" s="58"/>
    </row>
    <row r="834" spans="11:12">
      <c r="K834" s="58"/>
      <c r="L834" s="58"/>
    </row>
    <row r="835" spans="11:12">
      <c r="K835" s="58"/>
      <c r="L835" s="58"/>
    </row>
    <row r="836" spans="11:12">
      <c r="K836" s="58"/>
      <c r="L836" s="58"/>
    </row>
    <row r="837" spans="11:12">
      <c r="K837" s="58"/>
      <c r="L837" s="58"/>
    </row>
    <row r="838" spans="11:12">
      <c r="K838" s="58"/>
      <c r="L838" s="58"/>
    </row>
    <row r="839" spans="11:12">
      <c r="K839" s="58"/>
      <c r="L839" s="58"/>
    </row>
    <row r="840" spans="11:12">
      <c r="K840" s="58"/>
      <c r="L840" s="58"/>
    </row>
    <row r="841" spans="11:12">
      <c r="K841" s="58"/>
      <c r="L841" s="58"/>
    </row>
    <row r="842" spans="11:12">
      <c r="K842" s="58"/>
      <c r="L842" s="58"/>
    </row>
    <row r="843" spans="11:12">
      <c r="K843" s="58"/>
      <c r="L843" s="58"/>
    </row>
    <row r="844" spans="11:12">
      <c r="K844" s="58"/>
      <c r="L844" s="58"/>
    </row>
    <row r="845" spans="11:12">
      <c r="K845" s="58"/>
      <c r="L845" s="58"/>
    </row>
    <row r="846" spans="11:12">
      <c r="K846" s="58"/>
      <c r="L846" s="58"/>
    </row>
    <row r="847" spans="11:12">
      <c r="K847" s="58"/>
      <c r="L847" s="58"/>
    </row>
    <row r="848" spans="11:12">
      <c r="K848" s="58"/>
      <c r="L848" s="58"/>
    </row>
    <row r="849" spans="11:12">
      <c r="K849" s="58"/>
      <c r="L849" s="58"/>
    </row>
    <row r="850" spans="11:12">
      <c r="K850" s="58"/>
      <c r="L850" s="58"/>
    </row>
    <row r="851" spans="11:12">
      <c r="K851" s="58"/>
      <c r="L851" s="58"/>
    </row>
    <row r="852" spans="11:12">
      <c r="K852" s="58"/>
      <c r="L852" s="58"/>
    </row>
    <row r="853" spans="11:12">
      <c r="K853" s="58"/>
      <c r="L853" s="58"/>
    </row>
    <row r="854" spans="11:12">
      <c r="K854" s="58"/>
      <c r="L854" s="58"/>
    </row>
    <row r="855" spans="11:12">
      <c r="K855" s="58"/>
      <c r="L855" s="58"/>
    </row>
    <row r="856" spans="11:12">
      <c r="K856" s="58"/>
      <c r="L856" s="58"/>
    </row>
    <row r="857" spans="11:12">
      <c r="K857" s="58"/>
      <c r="L857" s="58"/>
    </row>
    <row r="858" spans="11:12">
      <c r="K858" s="58"/>
      <c r="L858" s="58"/>
    </row>
    <row r="859" spans="11:12">
      <c r="K859" s="58"/>
      <c r="L859" s="58"/>
    </row>
    <row r="860" spans="11:12">
      <c r="K860" s="58"/>
      <c r="L860" s="58"/>
    </row>
    <row r="861" spans="11:12">
      <c r="K861" s="58"/>
      <c r="L861" s="58"/>
    </row>
    <row r="862" spans="11:12">
      <c r="K862" s="58"/>
      <c r="L862" s="58"/>
    </row>
    <row r="863" spans="11:12">
      <c r="K863" s="58"/>
      <c r="L863" s="58"/>
    </row>
    <row r="864" spans="11:12">
      <c r="K864" s="58"/>
      <c r="L864" s="58"/>
    </row>
    <row r="865" spans="11:12">
      <c r="K865" s="58"/>
      <c r="L865" s="58"/>
    </row>
    <row r="866" spans="11:12">
      <c r="K866" s="58"/>
      <c r="L866" s="58"/>
    </row>
    <row r="867" spans="11:12">
      <c r="K867" s="58"/>
      <c r="L867" s="58"/>
    </row>
    <row r="868" spans="11:12">
      <c r="K868" s="58"/>
      <c r="L868" s="58"/>
    </row>
    <row r="869" spans="11:12">
      <c r="K869" s="58"/>
      <c r="L869" s="58"/>
    </row>
    <row r="870" spans="11:12">
      <c r="K870" s="58"/>
      <c r="L870" s="58"/>
    </row>
    <row r="871" spans="11:12">
      <c r="K871" s="58"/>
      <c r="L871" s="58"/>
    </row>
    <row r="872" spans="11:12">
      <c r="K872" s="58"/>
      <c r="L872" s="58"/>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workbookViewId="0">
      <selection activeCell="F49" sqref="F49"/>
    </sheetView>
  </sheetViews>
  <sheetFormatPr defaultRowHeight="12.75"/>
  <cols>
    <col min="1" max="1" width="9.33203125" style="443"/>
    <col min="2" max="2" width="8.5" style="443" bestFit="1" customWidth="1"/>
    <col min="3" max="3" width="16" style="443" bestFit="1" customWidth="1"/>
    <col min="4" max="4" width="22" style="443" bestFit="1" customWidth="1"/>
    <col min="5" max="5" width="14.5" style="443" bestFit="1" customWidth="1"/>
    <col min="6" max="16384" width="9.33203125" style="443"/>
  </cols>
  <sheetData>
    <row r="1" spans="1:8">
      <c r="A1" s="398" t="s">
        <v>405</v>
      </c>
      <c r="B1" s="399"/>
      <c r="C1" s="399"/>
      <c r="D1" s="399"/>
      <c r="E1" s="399"/>
      <c r="F1" s="399"/>
      <c r="G1" s="399"/>
      <c r="H1" s="399"/>
    </row>
    <row r="2" spans="1:8">
      <c r="A2" s="398" t="s">
        <v>1998</v>
      </c>
      <c r="B2" s="399"/>
      <c r="C2" s="399"/>
      <c r="D2" s="399"/>
      <c r="E2" s="399"/>
      <c r="F2" s="399"/>
      <c r="G2" s="399"/>
      <c r="H2" s="399"/>
    </row>
    <row r="3" spans="1:8">
      <c r="A3" s="399" t="s">
        <v>1999</v>
      </c>
      <c r="B3" s="399"/>
      <c r="C3" s="399"/>
      <c r="D3" s="399"/>
      <c r="E3" s="399"/>
      <c r="F3" s="399"/>
      <c r="G3" s="399"/>
      <c r="H3" s="399"/>
    </row>
    <row r="4" spans="1:8" ht="13.5" thickBot="1">
      <c r="A4" s="399"/>
      <c r="B4" s="399"/>
      <c r="C4" s="399"/>
      <c r="D4" s="399"/>
      <c r="E4" s="399"/>
      <c r="F4" s="399"/>
      <c r="G4" s="399"/>
      <c r="H4" s="399"/>
    </row>
    <row r="5" spans="1:8">
      <c r="A5" s="400"/>
      <c r="B5" s="442" t="s">
        <v>397</v>
      </c>
      <c r="C5" s="442" t="s">
        <v>647</v>
      </c>
      <c r="D5" s="442" t="s">
        <v>648</v>
      </c>
      <c r="E5" s="442" t="s">
        <v>398</v>
      </c>
      <c r="F5" s="399"/>
      <c r="G5" s="399"/>
      <c r="H5" s="399"/>
    </row>
    <row r="6" spans="1:8" ht="13.5" thickBot="1">
      <c r="A6" s="401" t="s">
        <v>1081</v>
      </c>
      <c r="B6" s="401" t="s">
        <v>1746</v>
      </c>
      <c r="C6" s="401" t="s">
        <v>1745</v>
      </c>
      <c r="D6" s="401" t="s">
        <v>646</v>
      </c>
      <c r="E6" s="401" t="s">
        <v>1744</v>
      </c>
      <c r="F6" s="402"/>
      <c r="G6" s="402"/>
      <c r="H6" s="399"/>
    </row>
    <row r="7" spans="1:8">
      <c r="A7" s="403">
        <v>1990</v>
      </c>
      <c r="B7" s="404">
        <v>-19420</v>
      </c>
      <c r="C7" s="404">
        <v>455</v>
      </c>
      <c r="D7" s="404">
        <v>0</v>
      </c>
      <c r="E7" s="404">
        <v>-19875</v>
      </c>
      <c r="F7" s="404"/>
      <c r="G7" s="404"/>
      <c r="H7" s="399"/>
    </row>
    <row r="8" spans="1:8">
      <c r="A8" s="403">
        <v>1991</v>
      </c>
      <c r="B8" s="404">
        <v>-81405</v>
      </c>
      <c r="C8" s="404">
        <v>-3696</v>
      </c>
      <c r="D8" s="404">
        <v>0</v>
      </c>
      <c r="E8" s="404">
        <v>-77709</v>
      </c>
      <c r="F8" s="404"/>
      <c r="G8" s="404"/>
      <c r="H8" s="399"/>
    </row>
    <row r="9" spans="1:8">
      <c r="A9" s="403">
        <v>1992</v>
      </c>
      <c r="B9" s="404">
        <v>-161066</v>
      </c>
      <c r="C9" s="404">
        <v>-5790</v>
      </c>
      <c r="D9" s="404">
        <v>0</v>
      </c>
      <c r="E9" s="404">
        <v>-155276</v>
      </c>
      <c r="F9" s="404"/>
      <c r="G9" s="404"/>
      <c r="H9" s="399"/>
    </row>
    <row r="10" spans="1:8">
      <c r="A10" s="403">
        <v>1993</v>
      </c>
      <c r="B10" s="404">
        <v>-249955</v>
      </c>
      <c r="C10" s="404">
        <v>-21898</v>
      </c>
      <c r="D10" s="404">
        <v>0</v>
      </c>
      <c r="E10" s="404">
        <v>-228057</v>
      </c>
      <c r="F10" s="404"/>
      <c r="G10" s="404"/>
      <c r="H10" s="399"/>
    </row>
    <row r="11" spans="1:8">
      <c r="A11" s="403">
        <v>1994</v>
      </c>
      <c r="B11" s="404">
        <v>-184869</v>
      </c>
      <c r="C11" s="404">
        <v>23473</v>
      </c>
      <c r="D11" s="404">
        <v>0</v>
      </c>
      <c r="E11" s="404">
        <v>-208342</v>
      </c>
      <c r="F11" s="404"/>
      <c r="G11" s="404"/>
      <c r="H11" s="399"/>
    </row>
    <row r="12" spans="1:8">
      <c r="A12" s="403">
        <v>1995</v>
      </c>
      <c r="B12" s="404">
        <v>-138552</v>
      </c>
      <c r="C12" s="404">
        <v>25801</v>
      </c>
      <c r="D12" s="404">
        <v>1016.00000000001</v>
      </c>
      <c r="E12" s="404">
        <v>-165369</v>
      </c>
      <c r="F12" s="404"/>
      <c r="G12" s="404"/>
      <c r="H12" s="399"/>
    </row>
    <row r="13" spans="1:8">
      <c r="A13" s="403">
        <v>1996</v>
      </c>
      <c r="B13" s="404">
        <v>-21002</v>
      </c>
      <c r="C13" s="404">
        <v>88209</v>
      </c>
      <c r="D13" s="404">
        <v>269.99999999999602</v>
      </c>
      <c r="E13" s="404">
        <v>-109481</v>
      </c>
      <c r="F13" s="404"/>
      <c r="G13" s="404"/>
      <c r="H13" s="399"/>
    </row>
    <row r="14" spans="1:8">
      <c r="A14" s="403">
        <v>1997</v>
      </c>
      <c r="B14" s="404">
        <v>-6228</v>
      </c>
      <c r="C14" s="404">
        <v>53295</v>
      </c>
      <c r="D14" s="404">
        <v>-430</v>
      </c>
      <c r="E14" s="404">
        <v>-59093</v>
      </c>
      <c r="F14" s="404"/>
      <c r="G14" s="404"/>
      <c r="H14" s="399"/>
    </row>
    <row r="15" spans="1:8">
      <c r="A15" s="403">
        <v>1998</v>
      </c>
      <c r="B15" s="404">
        <v>9662</v>
      </c>
      <c r="C15" s="404">
        <v>30611</v>
      </c>
      <c r="D15" s="404">
        <v>-994</v>
      </c>
      <c r="E15" s="404">
        <v>-19955</v>
      </c>
      <c r="F15" s="404"/>
      <c r="G15" s="404"/>
      <c r="H15" s="399"/>
    </row>
    <row r="16" spans="1:8">
      <c r="A16" s="403">
        <v>1999</v>
      </c>
      <c r="B16" s="404">
        <v>81956</v>
      </c>
      <c r="C16" s="404">
        <v>72020</v>
      </c>
      <c r="D16" s="404">
        <v>0</v>
      </c>
      <c r="E16" s="404">
        <v>9937</v>
      </c>
      <c r="F16" s="404"/>
      <c r="G16" s="404"/>
      <c r="H16" s="399"/>
    </row>
    <row r="17" spans="1:8">
      <c r="A17" s="403">
        <v>2000</v>
      </c>
      <c r="B17" s="404">
        <v>101932</v>
      </c>
      <c r="C17" s="404">
        <v>96224</v>
      </c>
      <c r="D17" s="404">
        <v>0</v>
      </c>
      <c r="E17" s="404">
        <v>5708</v>
      </c>
      <c r="F17" s="404"/>
      <c r="G17" s="404"/>
      <c r="H17" s="399"/>
    </row>
    <row r="18" spans="1:8">
      <c r="A18" s="403">
        <v>2001</v>
      </c>
      <c r="B18" s="404">
        <v>38747</v>
      </c>
      <c r="C18" s="404">
        <v>36693</v>
      </c>
      <c r="D18" s="404">
        <v>0</v>
      </c>
      <c r="E18" s="404">
        <v>2054</v>
      </c>
      <c r="F18" s="404"/>
      <c r="G18" s="404"/>
      <c r="H18" s="399"/>
    </row>
    <row r="19" spans="1:8">
      <c r="A19" s="403">
        <v>2002</v>
      </c>
      <c r="B19" s="404">
        <v>3489</v>
      </c>
      <c r="C19" s="404">
        <v>29396</v>
      </c>
      <c r="D19" s="404">
        <v>0</v>
      </c>
      <c r="E19" s="404">
        <v>-25907</v>
      </c>
      <c r="F19" s="404"/>
      <c r="G19" s="404"/>
      <c r="H19" s="399"/>
    </row>
    <row r="20" spans="1:8">
      <c r="A20" s="403">
        <v>2003</v>
      </c>
      <c r="B20" s="404">
        <v>-46552</v>
      </c>
      <c r="C20" s="404">
        <v>18401</v>
      </c>
      <c r="D20" s="404">
        <v>0</v>
      </c>
      <c r="E20" s="404">
        <v>-64953</v>
      </c>
      <c r="F20" s="404"/>
      <c r="G20" s="404"/>
      <c r="H20" s="399"/>
    </row>
    <row r="21" spans="1:8">
      <c r="A21" s="403">
        <v>2004</v>
      </c>
      <c r="B21" s="404">
        <v>-50513</v>
      </c>
      <c r="C21" s="404">
        <v>7095</v>
      </c>
      <c r="D21" s="404">
        <v>0</v>
      </c>
      <c r="E21" s="404">
        <v>-57608</v>
      </c>
      <c r="F21" s="404"/>
      <c r="G21" s="404"/>
      <c r="H21" s="399"/>
    </row>
    <row r="22" spans="1:8">
      <c r="A22" s="403">
        <v>2005</v>
      </c>
      <c r="B22" s="404">
        <v>14054</v>
      </c>
      <c r="C22" s="404">
        <v>23830</v>
      </c>
      <c r="D22" s="404">
        <v>0</v>
      </c>
      <c r="E22" s="404">
        <v>-9776</v>
      </c>
      <c r="F22" s="404"/>
      <c r="G22" s="404"/>
      <c r="H22" s="399"/>
    </row>
    <row r="23" spans="1:8">
      <c r="A23" s="405">
        <v>2006</v>
      </c>
      <c r="B23" s="406">
        <v>18373</v>
      </c>
      <c r="C23" s="406">
        <v>-2066</v>
      </c>
      <c r="D23" s="406">
        <v>0</v>
      </c>
      <c r="E23" s="406">
        <v>20439</v>
      </c>
      <c r="F23" s="404"/>
      <c r="G23" s="404"/>
      <c r="H23" s="399"/>
    </row>
    <row r="24" spans="1:8">
      <c r="A24" s="405">
        <v>2007</v>
      </c>
      <c r="B24" s="406">
        <v>103209.7</v>
      </c>
      <c r="C24" s="406">
        <v>18927.169999999998</v>
      </c>
      <c r="D24" s="406">
        <v>0</v>
      </c>
      <c r="E24" s="406">
        <v>84282.53</v>
      </c>
      <c r="F24" s="404"/>
      <c r="G24" s="404"/>
      <c r="H24" s="399"/>
    </row>
    <row r="25" spans="1:8">
      <c r="A25" s="405">
        <v>2008</v>
      </c>
      <c r="B25" s="406">
        <v>135198.79999999999</v>
      </c>
      <c r="C25" s="406">
        <v>70319</v>
      </c>
      <c r="D25" s="406">
        <v>0</v>
      </c>
      <c r="E25" s="406">
        <v>64879.8</v>
      </c>
      <c r="F25" s="404"/>
      <c r="G25" s="404"/>
      <c r="H25" s="399"/>
    </row>
    <row r="26" spans="1:8">
      <c r="A26" s="405">
        <v>2009</v>
      </c>
      <c r="B26" s="406">
        <v>-176137</v>
      </c>
      <c r="C26" s="406">
        <v>-105274</v>
      </c>
      <c r="D26" s="406">
        <v>0</v>
      </c>
      <c r="E26" s="406">
        <v>-70863</v>
      </c>
      <c r="F26" s="404"/>
      <c r="G26" s="404"/>
      <c r="H26" s="399"/>
    </row>
    <row r="27" spans="1:8">
      <c r="A27" s="405">
        <v>2010</v>
      </c>
      <c r="B27" s="406">
        <v>-1052</v>
      </c>
      <c r="C27" s="406">
        <v>23425</v>
      </c>
      <c r="D27" s="406">
        <v>0</v>
      </c>
      <c r="E27" s="406">
        <v>-24477</v>
      </c>
      <c r="F27" s="404"/>
      <c r="G27" s="404"/>
      <c r="H27" s="399"/>
    </row>
    <row r="28" spans="1:8">
      <c r="A28" s="405">
        <v>2011</v>
      </c>
      <c r="B28" s="406">
        <v>67801</v>
      </c>
      <c r="C28" s="406">
        <v>36274</v>
      </c>
      <c r="D28" s="406">
        <v>0</v>
      </c>
      <c r="E28" s="406">
        <v>31527</v>
      </c>
      <c r="F28" s="404"/>
      <c r="G28" s="404"/>
      <c r="H28" s="399"/>
    </row>
    <row r="29" spans="1:8">
      <c r="A29" s="405">
        <v>2012</v>
      </c>
      <c r="B29" s="406">
        <v>-24907</v>
      </c>
      <c r="C29" s="406">
        <v>7977</v>
      </c>
      <c r="D29" s="406">
        <v>0</v>
      </c>
      <c r="E29" s="406">
        <v>-32884</v>
      </c>
      <c r="F29" s="404"/>
      <c r="G29" s="404"/>
      <c r="H29" s="399"/>
    </row>
    <row r="30" spans="1:8">
      <c r="A30" s="405">
        <v>2013</v>
      </c>
      <c r="B30" s="406">
        <v>-130873</v>
      </c>
      <c r="C30" s="406">
        <v>-73802</v>
      </c>
      <c r="D30" s="406">
        <v>0</v>
      </c>
      <c r="E30" s="406">
        <v>-57071</v>
      </c>
      <c r="F30" s="404"/>
      <c r="G30" s="404"/>
      <c r="H30" s="399"/>
    </row>
    <row r="31" spans="1:8" ht="13.5" thickBot="1">
      <c r="A31" s="401">
        <v>2014</v>
      </c>
      <c r="B31" s="407">
        <v>-72194</v>
      </c>
      <c r="C31" s="407">
        <v>-14092</v>
      </c>
      <c r="D31" s="407">
        <v>0</v>
      </c>
      <c r="E31" s="407">
        <v>-58102</v>
      </c>
      <c r="F31" s="404"/>
      <c r="G31" s="404"/>
      <c r="H31" s="399"/>
    </row>
    <row r="32" spans="1:8" s="678" customFormat="1">
      <c r="A32" s="397" t="s">
        <v>179</v>
      </c>
      <c r="B32" s="406"/>
      <c r="C32" s="406"/>
      <c r="D32" s="406"/>
      <c r="E32" s="406"/>
      <c r="F32" s="404"/>
      <c r="G32" s="404"/>
      <c r="H32" s="399"/>
    </row>
    <row r="33" spans="1:8">
      <c r="B33" s="399"/>
      <c r="C33" s="399"/>
      <c r="D33" s="399"/>
      <c r="E33" s="399"/>
      <c r="F33" s="399"/>
      <c r="G33" s="399"/>
      <c r="H33" s="399"/>
    </row>
    <row r="34" spans="1:8">
      <c r="A34" s="408" t="s">
        <v>1145</v>
      </c>
      <c r="B34" s="397"/>
      <c r="C34" s="397"/>
      <c r="D34" s="397"/>
      <c r="E34" s="397"/>
      <c r="F34" s="397"/>
      <c r="G34" s="397"/>
      <c r="H34" s="397"/>
    </row>
    <row r="35" spans="1:8">
      <c r="A35" s="408" t="s">
        <v>2000</v>
      </c>
      <c r="B35" s="397"/>
      <c r="C35" s="397"/>
      <c r="D35" s="397"/>
      <c r="E35" s="397"/>
      <c r="F35" s="397"/>
      <c r="G35" s="397"/>
      <c r="H35" s="397"/>
    </row>
    <row r="36" spans="1:8">
      <c r="A36" s="397" t="s">
        <v>2022</v>
      </c>
      <c r="B36" s="397"/>
      <c r="C36" s="397"/>
      <c r="D36" s="397"/>
      <c r="E36" s="397"/>
      <c r="F36" s="397"/>
      <c r="G36" s="397"/>
      <c r="H36" s="397"/>
    </row>
    <row r="37" spans="1:8">
      <c r="A37" s="408" t="s">
        <v>1743</v>
      </c>
      <c r="B37" s="397"/>
      <c r="C37" s="397"/>
      <c r="D37" s="397"/>
      <c r="E37" s="397"/>
      <c r="F37" s="397"/>
      <c r="G37" s="397"/>
      <c r="H37" s="397"/>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1833</v>
      </c>
      <c r="B1" s="4"/>
      <c r="C1" s="4"/>
      <c r="D1" s="4"/>
      <c r="E1" s="4"/>
      <c r="F1" s="4"/>
      <c r="G1" s="4"/>
      <c r="H1" s="4"/>
      <c r="I1" s="4"/>
    </row>
    <row r="2" spans="1:12" ht="12.75" customHeight="1">
      <c r="A2" s="1" t="s">
        <v>1834</v>
      </c>
      <c r="B2" s="4"/>
      <c r="C2" s="4"/>
      <c r="D2" s="4"/>
      <c r="E2" s="4"/>
      <c r="F2" s="4"/>
      <c r="G2" s="4"/>
      <c r="H2" s="4"/>
      <c r="I2" s="4"/>
    </row>
    <row r="3" spans="1:12" ht="12.75" customHeight="1">
      <c r="A3" s="7" t="s">
        <v>1835</v>
      </c>
      <c r="B3" s="4"/>
      <c r="C3" s="4"/>
      <c r="D3" s="4"/>
      <c r="E3" s="4"/>
      <c r="F3" s="4"/>
      <c r="G3" s="4"/>
      <c r="H3" s="4"/>
      <c r="I3" s="4"/>
    </row>
    <row r="4" spans="1:12" ht="13.5" customHeight="1" thickBot="1">
      <c r="A4" s="481"/>
      <c r="B4" s="482"/>
      <c r="C4" s="483"/>
      <c r="D4" s="483"/>
      <c r="E4" s="483"/>
      <c r="F4" s="483"/>
      <c r="G4" s="483"/>
      <c r="H4" s="484"/>
      <c r="I4" s="4"/>
      <c r="J4" s="4"/>
      <c r="K4" s="4"/>
    </row>
    <row r="5" spans="1:12" ht="12.75" customHeight="1">
      <c r="A5" s="470" t="s">
        <v>1805</v>
      </c>
      <c r="B5" s="485"/>
      <c r="C5" s="437" t="s">
        <v>1806</v>
      </c>
      <c r="D5" s="437" t="s">
        <v>1807</v>
      </c>
      <c r="E5" s="437" t="s">
        <v>1808</v>
      </c>
      <c r="F5" s="437" t="s">
        <v>1093</v>
      </c>
      <c r="G5" s="437" t="s">
        <v>1809</v>
      </c>
      <c r="H5" s="471" t="s">
        <v>178</v>
      </c>
      <c r="I5" s="437" t="s">
        <v>1810</v>
      </c>
    </row>
    <row r="6" spans="1:12" ht="13.5" customHeight="1" thickBot="1">
      <c r="A6" s="39"/>
      <c r="B6" s="44"/>
      <c r="C6" s="39" t="s">
        <v>1811</v>
      </c>
      <c r="D6" s="39" t="s">
        <v>1812</v>
      </c>
      <c r="E6" s="39" t="s">
        <v>1813</v>
      </c>
      <c r="F6" s="39"/>
      <c r="G6" s="39" t="s">
        <v>1814</v>
      </c>
      <c r="H6" s="472"/>
      <c r="I6" s="39"/>
    </row>
    <row r="7" spans="1:12" ht="12.75" customHeight="1">
      <c r="A7" s="47"/>
      <c r="B7" s="48"/>
      <c r="C7" s="486"/>
      <c r="D7" s="486"/>
      <c r="E7" s="486"/>
      <c r="F7" s="486"/>
      <c r="G7" s="486"/>
      <c r="H7" s="487"/>
      <c r="I7" s="486"/>
    </row>
    <row r="8" spans="1:12" ht="12.75" customHeight="1">
      <c r="A8" s="17">
        <v>1</v>
      </c>
      <c r="B8" s="82" t="s">
        <v>1294</v>
      </c>
      <c r="C8" s="3">
        <v>1131</v>
      </c>
      <c r="D8" s="3">
        <v>6328</v>
      </c>
      <c r="E8" s="3">
        <v>10</v>
      </c>
      <c r="F8" s="3">
        <v>12</v>
      </c>
      <c r="G8" s="3">
        <v>192</v>
      </c>
      <c r="H8" s="6">
        <f>SUM(C8:G8)</f>
        <v>7673</v>
      </c>
      <c r="I8" s="129">
        <f>H8/H$36*100</f>
        <v>1.0584090620672151</v>
      </c>
      <c r="J8" s="4"/>
      <c r="K8" s="3"/>
      <c r="L8" s="58"/>
    </row>
    <row r="9" spans="1:12" ht="12.75" customHeight="1">
      <c r="A9" s="17">
        <v>2</v>
      </c>
      <c r="B9" s="82" t="s">
        <v>824</v>
      </c>
      <c r="C9" s="3">
        <v>8609</v>
      </c>
      <c r="D9" s="3">
        <v>2238</v>
      </c>
      <c r="E9" s="3">
        <v>59</v>
      </c>
      <c r="F9" s="3">
        <v>15</v>
      </c>
      <c r="G9" s="3">
        <v>51</v>
      </c>
      <c r="H9" s="6">
        <f t="shared" ref="H9:H34" si="0">SUM(C9:G9)</f>
        <v>10972</v>
      </c>
      <c r="I9" s="129">
        <f t="shared" ref="I9:I36" si="1">H9/H$36*100</f>
        <v>1.5134711623877863</v>
      </c>
      <c r="J9" s="4"/>
      <c r="K9" s="3"/>
      <c r="L9" s="58"/>
    </row>
    <row r="10" spans="1:12" ht="12.75" customHeight="1">
      <c r="A10" s="17">
        <v>3</v>
      </c>
      <c r="B10" s="82" t="s">
        <v>825</v>
      </c>
      <c r="C10" s="3">
        <v>48</v>
      </c>
      <c r="D10" s="3">
        <v>8153</v>
      </c>
      <c r="E10" s="3">
        <v>7</v>
      </c>
      <c r="F10" s="3">
        <v>16</v>
      </c>
      <c r="G10" s="3">
        <v>348</v>
      </c>
      <c r="H10" s="6">
        <f t="shared" si="0"/>
        <v>8572</v>
      </c>
      <c r="I10" s="129">
        <f t="shared" si="1"/>
        <v>1.1824165880412054</v>
      </c>
      <c r="J10" s="4"/>
      <c r="K10" s="3"/>
    </row>
    <row r="11" spans="1:12" ht="12.75" customHeight="1">
      <c r="A11" s="17">
        <v>4</v>
      </c>
      <c r="B11" s="82" t="s">
        <v>826</v>
      </c>
      <c r="C11" s="3">
        <v>298</v>
      </c>
      <c r="D11" s="3">
        <v>25628</v>
      </c>
      <c r="E11" s="3">
        <v>26</v>
      </c>
      <c r="F11" s="3">
        <v>59</v>
      </c>
      <c r="G11" s="4">
        <v>1014</v>
      </c>
      <c r="H11" s="6">
        <f t="shared" si="0"/>
        <v>27025</v>
      </c>
      <c r="I11" s="129">
        <f t="shared" si="1"/>
        <v>3.7278124465484801</v>
      </c>
      <c r="J11" s="4"/>
      <c r="K11" s="3"/>
    </row>
    <row r="12" spans="1:12" ht="12.75" customHeight="1">
      <c r="A12" s="17">
        <v>5</v>
      </c>
      <c r="B12" s="82" t="s">
        <v>827</v>
      </c>
      <c r="C12" s="3">
        <v>1013</v>
      </c>
      <c r="D12" s="3">
        <v>347</v>
      </c>
      <c r="E12" s="3">
        <v>1</v>
      </c>
      <c r="F12" s="3">
        <v>0</v>
      </c>
      <c r="G12" s="3">
        <v>5</v>
      </c>
      <c r="H12" s="6">
        <f t="shared" si="0"/>
        <v>1366</v>
      </c>
      <c r="I12" s="129">
        <f t="shared" si="1"/>
        <v>0.18842522856559571</v>
      </c>
      <c r="J12" s="4"/>
      <c r="K12" s="3"/>
    </row>
    <row r="13" spans="1:12" ht="12.75" customHeight="1">
      <c r="A13" s="17">
        <v>6</v>
      </c>
      <c r="B13" s="82" t="s">
        <v>828</v>
      </c>
      <c r="C13" s="3">
        <v>1943</v>
      </c>
      <c r="D13" s="3">
        <v>30319.559999999998</v>
      </c>
      <c r="E13" s="3">
        <v>10728.44</v>
      </c>
      <c r="F13" s="3">
        <v>56</v>
      </c>
      <c r="G13" s="3">
        <v>544</v>
      </c>
      <c r="H13" s="6">
        <f t="shared" si="0"/>
        <v>43591</v>
      </c>
      <c r="I13" s="129">
        <f t="shared" si="1"/>
        <v>6.0129166459757553</v>
      </c>
      <c r="J13" s="4"/>
      <c r="K13" s="3"/>
      <c r="L13" s="61"/>
    </row>
    <row r="14" spans="1:12" ht="12.75" customHeight="1">
      <c r="A14" s="17">
        <v>7</v>
      </c>
      <c r="B14" s="82" t="s">
        <v>829</v>
      </c>
      <c r="C14" s="3">
        <v>21047</v>
      </c>
      <c r="D14" s="3">
        <v>1129</v>
      </c>
      <c r="E14" s="3">
        <v>4</v>
      </c>
      <c r="F14" s="3">
        <v>1</v>
      </c>
      <c r="G14" s="3">
        <v>79</v>
      </c>
      <c r="H14" s="6">
        <f t="shared" si="0"/>
        <v>22260</v>
      </c>
      <c r="I14" s="129">
        <f t="shared" si="1"/>
        <v>3.0705311770645389</v>
      </c>
      <c r="J14" s="4"/>
      <c r="K14" s="3"/>
    </row>
    <row r="15" spans="1:12" ht="12.75" customHeight="1">
      <c r="A15" s="17">
        <v>8</v>
      </c>
      <c r="B15" s="82" t="s">
        <v>1836</v>
      </c>
      <c r="C15" s="3">
        <v>4005</v>
      </c>
      <c r="D15" s="3">
        <v>2873</v>
      </c>
      <c r="E15" s="3">
        <v>12</v>
      </c>
      <c r="F15" s="3">
        <v>24</v>
      </c>
      <c r="G15" s="3">
        <v>5</v>
      </c>
      <c r="H15" s="6">
        <f t="shared" si="0"/>
        <v>6919</v>
      </c>
      <c r="I15" s="129">
        <f t="shared" si="1"/>
        <v>0.95440274995999763</v>
      </c>
      <c r="J15" s="4"/>
      <c r="K15" s="3"/>
    </row>
    <row r="16" spans="1:12" ht="12.75" customHeight="1">
      <c r="A16" s="17">
        <v>9</v>
      </c>
      <c r="B16" s="82" t="s">
        <v>1837</v>
      </c>
      <c r="C16" s="3">
        <v>34178</v>
      </c>
      <c r="D16" s="3">
        <v>4221</v>
      </c>
      <c r="E16" s="3">
        <v>9</v>
      </c>
      <c r="F16" s="3">
        <v>4</v>
      </c>
      <c r="G16" s="3">
        <v>61</v>
      </c>
      <c r="H16" s="6">
        <f t="shared" si="0"/>
        <v>38473</v>
      </c>
      <c r="I16" s="129">
        <f t="shared" si="1"/>
        <v>5.3069427661816713</v>
      </c>
      <c r="J16" s="4"/>
      <c r="K16" s="3"/>
    </row>
    <row r="17" spans="1:11">
      <c r="A17" s="17">
        <v>10</v>
      </c>
      <c r="B17" s="82" t="s">
        <v>383</v>
      </c>
      <c r="C17" s="3">
        <v>119005</v>
      </c>
      <c r="D17" s="3">
        <v>7875</v>
      </c>
      <c r="E17" s="45" t="s">
        <v>1378</v>
      </c>
      <c r="F17" s="3">
        <v>14</v>
      </c>
      <c r="G17" s="3">
        <v>155</v>
      </c>
      <c r="H17" s="6">
        <f t="shared" si="0"/>
        <v>127049</v>
      </c>
      <c r="I17" s="129">
        <f t="shared" si="1"/>
        <v>17.525063590066157</v>
      </c>
      <c r="J17" s="4"/>
      <c r="K17" s="3"/>
    </row>
    <row r="18" spans="1:11">
      <c r="A18" s="17">
        <v>11</v>
      </c>
      <c r="B18" s="82" t="s">
        <v>384</v>
      </c>
      <c r="C18" s="3">
        <v>46120</v>
      </c>
      <c r="D18" s="45" t="s">
        <v>1838</v>
      </c>
      <c r="E18" s="45" t="s">
        <v>1378</v>
      </c>
      <c r="F18" s="45" t="s">
        <v>1378</v>
      </c>
      <c r="G18" s="45" t="s">
        <v>1378</v>
      </c>
      <c r="H18" s="6">
        <f t="shared" si="0"/>
        <v>46120</v>
      </c>
      <c r="I18" s="129">
        <f t="shared" si="1"/>
        <v>6.3617654036934663</v>
      </c>
      <c r="J18" s="4"/>
      <c r="K18" s="3"/>
    </row>
    <row r="19" spans="1:11">
      <c r="A19" s="17">
        <v>12</v>
      </c>
      <c r="B19" s="82" t="s">
        <v>190</v>
      </c>
      <c r="C19" s="3">
        <v>55467</v>
      </c>
      <c r="D19" s="45" t="s">
        <v>1378</v>
      </c>
      <c r="E19" s="45" t="s">
        <v>1378</v>
      </c>
      <c r="F19" s="45" t="s">
        <v>1378</v>
      </c>
      <c r="G19" s="45" t="s">
        <v>1378</v>
      </c>
      <c r="H19" s="6">
        <f t="shared" si="0"/>
        <v>55467</v>
      </c>
      <c r="I19" s="129">
        <f t="shared" si="1"/>
        <v>7.6510850313674199</v>
      </c>
      <c r="J19" s="4"/>
      <c r="K19" s="3"/>
    </row>
    <row r="20" spans="1:11">
      <c r="A20" s="17">
        <v>13</v>
      </c>
      <c r="B20" s="82" t="s">
        <v>1839</v>
      </c>
      <c r="C20" s="3">
        <v>62170</v>
      </c>
      <c r="D20" s="3">
        <v>7189</v>
      </c>
      <c r="E20" s="3">
        <v>14</v>
      </c>
      <c r="F20" s="3">
        <v>0</v>
      </c>
      <c r="G20" s="3">
        <v>194</v>
      </c>
      <c r="H20" s="6">
        <f t="shared" si="0"/>
        <v>69567</v>
      </c>
      <c r="I20" s="129">
        <f t="shared" si="1"/>
        <v>9.5960306556535837</v>
      </c>
      <c r="J20" s="4"/>
      <c r="K20" s="3"/>
    </row>
    <row r="21" spans="1:11">
      <c r="A21" s="17">
        <v>14</v>
      </c>
      <c r="B21" s="82" t="s">
        <v>1840</v>
      </c>
      <c r="C21" s="3">
        <v>181</v>
      </c>
      <c r="D21" s="3">
        <v>935</v>
      </c>
      <c r="E21" s="3">
        <v>6</v>
      </c>
      <c r="F21" s="3">
        <v>1</v>
      </c>
      <c r="G21" s="3">
        <v>30</v>
      </c>
      <c r="H21" s="6">
        <f t="shared" si="0"/>
        <v>1153</v>
      </c>
      <c r="I21" s="129">
        <f t="shared" si="1"/>
        <v>0.15904413509233664</v>
      </c>
      <c r="J21" s="4"/>
      <c r="K21" s="3"/>
    </row>
    <row r="22" spans="1:11">
      <c r="A22" s="17">
        <v>15</v>
      </c>
      <c r="B22" s="82" t="s">
        <v>1403</v>
      </c>
      <c r="C22" s="3">
        <v>14340</v>
      </c>
      <c r="D22" s="3">
        <v>31</v>
      </c>
      <c r="E22" s="3">
        <v>0</v>
      </c>
      <c r="F22" s="3">
        <v>5408</v>
      </c>
      <c r="G22" s="45" t="s">
        <v>1378</v>
      </c>
      <c r="H22" s="6">
        <f t="shared" si="0"/>
        <v>19779</v>
      </c>
      <c r="I22" s="129">
        <f t="shared" si="1"/>
        <v>2.728303510833761</v>
      </c>
      <c r="J22" s="4"/>
      <c r="K22" s="3"/>
    </row>
    <row r="23" spans="1:11">
      <c r="A23" s="17">
        <v>16</v>
      </c>
      <c r="B23" s="82" t="s">
        <v>1545</v>
      </c>
      <c r="C23" s="3">
        <v>14595</v>
      </c>
      <c r="D23" s="3">
        <v>28011</v>
      </c>
      <c r="E23" s="3">
        <v>510</v>
      </c>
      <c r="F23" s="3">
        <v>39</v>
      </c>
      <c r="G23" s="3">
        <v>540</v>
      </c>
      <c r="H23" s="6">
        <f t="shared" si="0"/>
        <v>43695</v>
      </c>
      <c r="I23" s="129">
        <f t="shared" si="1"/>
        <v>6.0272623441974416</v>
      </c>
      <c r="J23" s="4"/>
      <c r="K23" s="3"/>
    </row>
    <row r="24" spans="1:11">
      <c r="A24" s="17">
        <v>17</v>
      </c>
      <c r="B24" s="82" t="s">
        <v>191</v>
      </c>
      <c r="C24" s="3">
        <v>7178</v>
      </c>
      <c r="D24" s="3">
        <v>1688</v>
      </c>
      <c r="E24" s="3">
        <v>13</v>
      </c>
      <c r="F24" s="3">
        <v>6</v>
      </c>
      <c r="G24" s="3">
        <v>82</v>
      </c>
      <c r="H24" s="6">
        <f t="shared" si="0"/>
        <v>8967</v>
      </c>
      <c r="I24" s="129">
        <f t="shared" si="1"/>
        <v>1.2369026534024135</v>
      </c>
      <c r="J24" s="4"/>
      <c r="K24" s="3"/>
    </row>
    <row r="25" spans="1:11">
      <c r="A25" s="17">
        <v>18</v>
      </c>
      <c r="B25" s="82" t="s">
        <v>1841</v>
      </c>
      <c r="C25" s="3">
        <v>5895</v>
      </c>
      <c r="D25" s="3">
        <v>2573</v>
      </c>
      <c r="E25" s="3">
        <v>31</v>
      </c>
      <c r="F25" s="3">
        <v>4</v>
      </c>
      <c r="G25" s="3">
        <v>234</v>
      </c>
      <c r="H25" s="6">
        <f t="shared" si="0"/>
        <v>8737</v>
      </c>
      <c r="I25" s="129">
        <f t="shared" si="1"/>
        <v>1.2051765900275326</v>
      </c>
      <c r="J25" s="4"/>
      <c r="K25" s="3"/>
    </row>
    <row r="26" spans="1:11">
      <c r="A26" s="17">
        <v>19</v>
      </c>
      <c r="B26" s="82" t="s">
        <v>1842</v>
      </c>
      <c r="C26" s="3">
        <v>3055</v>
      </c>
      <c r="D26" s="3">
        <v>194</v>
      </c>
      <c r="E26" s="3">
        <v>2</v>
      </c>
      <c r="F26" s="3">
        <v>0</v>
      </c>
      <c r="G26" s="3">
        <v>34</v>
      </c>
      <c r="H26" s="6">
        <f t="shared" si="0"/>
        <v>3285</v>
      </c>
      <c r="I26" s="129">
        <f t="shared" si="1"/>
        <v>0.4531309486368828</v>
      </c>
      <c r="J26" s="4"/>
      <c r="K26" s="3"/>
    </row>
    <row r="27" spans="1:11">
      <c r="A27" s="17">
        <v>20</v>
      </c>
      <c r="B27" s="82" t="s">
        <v>808</v>
      </c>
      <c r="C27" s="3">
        <v>1660</v>
      </c>
      <c r="D27" s="3">
        <v>1847</v>
      </c>
      <c r="E27" s="3">
        <v>706</v>
      </c>
      <c r="F27" s="3">
        <v>2</v>
      </c>
      <c r="G27" s="3">
        <v>39</v>
      </c>
      <c r="H27" s="6">
        <f t="shared" si="0"/>
        <v>4254</v>
      </c>
      <c r="I27" s="129">
        <f t="shared" si="1"/>
        <v>0.58679423302931488</v>
      </c>
      <c r="J27" s="4"/>
      <c r="K27" s="3"/>
    </row>
    <row r="28" spans="1:11">
      <c r="A28" s="17">
        <v>21</v>
      </c>
      <c r="B28" s="82" t="s">
        <v>1387</v>
      </c>
      <c r="C28" s="3">
        <v>880</v>
      </c>
      <c r="D28" s="3">
        <v>495</v>
      </c>
      <c r="E28" s="3">
        <v>10</v>
      </c>
      <c r="F28" s="3">
        <v>0</v>
      </c>
      <c r="G28" s="3">
        <v>12</v>
      </c>
      <c r="H28" s="6">
        <f t="shared" si="0"/>
        <v>1397</v>
      </c>
      <c r="I28" s="129">
        <f t="shared" si="1"/>
        <v>0.19270135015090573</v>
      </c>
      <c r="J28" s="4"/>
      <c r="K28" s="3"/>
    </row>
    <row r="29" spans="1:11">
      <c r="A29" s="17">
        <v>22</v>
      </c>
      <c r="B29" s="82" t="s">
        <v>1447</v>
      </c>
      <c r="C29" s="3">
        <v>3826</v>
      </c>
      <c r="D29" s="3">
        <v>12712</v>
      </c>
      <c r="E29" s="3">
        <v>11609</v>
      </c>
      <c r="F29" s="3">
        <v>673</v>
      </c>
      <c r="G29" s="3">
        <v>3012</v>
      </c>
      <c r="H29" s="6">
        <f t="shared" si="0"/>
        <v>31832</v>
      </c>
      <c r="I29" s="129">
        <f t="shared" si="1"/>
        <v>4.3908871710834863</v>
      </c>
      <c r="J29" s="4"/>
      <c r="K29" s="3"/>
    </row>
    <row r="30" spans="1:11">
      <c r="A30" s="17">
        <v>23</v>
      </c>
      <c r="B30" s="82" t="s">
        <v>1843</v>
      </c>
      <c r="C30" s="3">
        <v>14321</v>
      </c>
      <c r="D30" s="3">
        <v>2984</v>
      </c>
      <c r="E30" s="3">
        <v>16</v>
      </c>
      <c r="F30" s="3">
        <v>37</v>
      </c>
      <c r="G30" s="3">
        <v>51</v>
      </c>
      <c r="H30" s="6">
        <f t="shared" si="0"/>
        <v>17409</v>
      </c>
      <c r="I30" s="129">
        <f t="shared" si="1"/>
        <v>2.4013871186665123</v>
      </c>
      <c r="J30" s="4"/>
      <c r="K30" s="3"/>
    </row>
    <row r="31" spans="1:11">
      <c r="A31" s="17">
        <v>24</v>
      </c>
      <c r="B31" s="82" t="s">
        <v>1182</v>
      </c>
      <c r="C31" s="3">
        <v>2251</v>
      </c>
      <c r="D31" s="3">
        <v>1486</v>
      </c>
      <c r="E31" s="3">
        <v>5</v>
      </c>
      <c r="F31" s="3">
        <v>2</v>
      </c>
      <c r="G31" s="3">
        <v>31</v>
      </c>
      <c r="H31" s="6">
        <f t="shared" si="0"/>
        <v>3775</v>
      </c>
      <c r="I31" s="129">
        <f t="shared" si="1"/>
        <v>0.52072125756597643</v>
      </c>
      <c r="J31" s="4"/>
      <c r="K31" s="3"/>
    </row>
    <row r="32" spans="1:11">
      <c r="A32" s="17">
        <v>25</v>
      </c>
      <c r="B32" s="82" t="s">
        <v>395</v>
      </c>
      <c r="C32" s="3">
        <v>57317</v>
      </c>
      <c r="D32" s="3">
        <v>8</v>
      </c>
      <c r="E32" s="45" t="s">
        <v>1378</v>
      </c>
      <c r="F32" s="45" t="s">
        <v>1378</v>
      </c>
      <c r="G32" s="45" t="s">
        <v>1378</v>
      </c>
      <c r="H32" s="6">
        <f t="shared" si="0"/>
        <v>57325</v>
      </c>
      <c r="I32" s="129">
        <f t="shared" si="1"/>
        <v>7.9073764476740651</v>
      </c>
      <c r="J32" s="4"/>
      <c r="K32" s="3"/>
    </row>
    <row r="33" spans="1:11">
      <c r="A33" s="17">
        <v>26</v>
      </c>
      <c r="B33" s="82" t="s">
        <v>396</v>
      </c>
      <c r="C33" s="3">
        <v>2</v>
      </c>
      <c r="D33" s="45" t="s">
        <v>1378</v>
      </c>
      <c r="E33" s="45" t="s">
        <v>1378</v>
      </c>
      <c r="F33" s="3">
        <v>32561</v>
      </c>
      <c r="G33" s="3">
        <v>95</v>
      </c>
      <c r="H33" s="6">
        <f t="shared" si="0"/>
        <v>32658</v>
      </c>
      <c r="I33" s="129">
        <f t="shared" si="1"/>
        <v>4.5048251204211009</v>
      </c>
      <c r="J33" s="4"/>
      <c r="K33" s="3"/>
    </row>
    <row r="34" spans="1:11">
      <c r="A34" s="47">
        <v>27</v>
      </c>
      <c r="B34" s="130" t="s">
        <v>668</v>
      </c>
      <c r="C34" s="68">
        <v>25635</v>
      </c>
      <c r="D34" s="66" t="s">
        <v>1378</v>
      </c>
      <c r="E34" s="66" t="s">
        <v>1378</v>
      </c>
      <c r="F34" s="45" t="s">
        <v>1378</v>
      </c>
      <c r="G34" s="66" t="s">
        <v>1378</v>
      </c>
      <c r="H34" s="6">
        <f t="shared" si="0"/>
        <v>25635</v>
      </c>
      <c r="I34" s="129">
        <f t="shared" si="1"/>
        <v>3.5360766722394188</v>
      </c>
      <c r="J34" s="4"/>
      <c r="K34" s="3"/>
    </row>
    <row r="35" spans="1:11">
      <c r="A35" s="47"/>
      <c r="B35" s="130"/>
      <c r="C35" s="68"/>
      <c r="D35" s="66"/>
      <c r="E35" s="66"/>
      <c r="F35" s="68"/>
      <c r="G35" s="66"/>
      <c r="H35" s="6"/>
      <c r="I35" s="129"/>
      <c r="J35" s="4"/>
      <c r="K35" s="3"/>
    </row>
    <row r="36" spans="1:11">
      <c r="A36" s="488"/>
      <c r="B36" s="488" t="s">
        <v>1844</v>
      </c>
      <c r="C36" s="131">
        <f>SUM(C8:C34)</f>
        <v>506170</v>
      </c>
      <c r="D36" s="131">
        <f>SUM(D8:D34)</f>
        <v>149264.56</v>
      </c>
      <c r="E36" s="131">
        <f>SUM(E8:E34)</f>
        <v>23778.440000000002</v>
      </c>
      <c r="F36" s="131">
        <f>SUM(F8:F34)</f>
        <v>38934</v>
      </c>
      <c r="G36" s="131">
        <f>SUM(G8:G34)</f>
        <v>6808</v>
      </c>
      <c r="H36" s="131">
        <v>724956</v>
      </c>
      <c r="I36" s="129">
        <f t="shared" si="1"/>
        <v>100</v>
      </c>
      <c r="J36" s="4"/>
      <c r="K36" s="3"/>
    </row>
    <row r="37" spans="1:11" ht="13.5" thickBot="1">
      <c r="A37" s="32"/>
      <c r="B37" s="32" t="s">
        <v>1810</v>
      </c>
      <c r="C37" s="489">
        <f>C36/H$36*100</f>
        <v>69.820789123753713</v>
      </c>
      <c r="D37" s="489">
        <f>D36/H36*100</f>
        <v>20.589464739929046</v>
      </c>
      <c r="E37" s="489">
        <f>E36/H36*100</f>
        <v>3.279983888677382</v>
      </c>
      <c r="F37" s="489">
        <f>F36/H36*100</f>
        <v>5.3705328323374113</v>
      </c>
      <c r="G37" s="489">
        <f>G36/H36*100</f>
        <v>0.93909147589646813</v>
      </c>
      <c r="H37" s="489">
        <f>C37+D37+E37+F37+G37</f>
        <v>99.999862060594012</v>
      </c>
      <c r="I37" s="32"/>
      <c r="J37" s="4"/>
      <c r="K37" s="3"/>
    </row>
    <row r="38" spans="1:11">
      <c r="A38" s="46" t="s">
        <v>179</v>
      </c>
      <c r="B38" s="4"/>
      <c r="C38" s="3"/>
      <c r="D38" s="3"/>
      <c r="E38" s="3"/>
      <c r="F38" s="3"/>
      <c r="G38" s="3"/>
      <c r="H38" s="6"/>
      <c r="I38" s="4"/>
      <c r="J38" s="4"/>
      <c r="K38" s="4"/>
    </row>
    <row r="39" spans="1:11">
      <c r="A39" s="42" t="s">
        <v>539</v>
      </c>
      <c r="B39" s="4"/>
      <c r="C39" s="3"/>
      <c r="D39" s="3"/>
      <c r="E39" s="3"/>
      <c r="F39" s="3"/>
      <c r="G39" s="3"/>
      <c r="H39" s="6"/>
      <c r="I39" s="4"/>
      <c r="J39" s="4"/>
      <c r="K39" s="4"/>
    </row>
    <row r="40" spans="1:11">
      <c r="A40" s="4"/>
      <c r="B40" s="4"/>
      <c r="C40" s="4"/>
      <c r="D40" s="4"/>
      <c r="E40" s="4"/>
      <c r="F40" s="4"/>
      <c r="G40" s="4"/>
      <c r="H40" s="4"/>
      <c r="I40" s="4"/>
      <c r="J40" s="58"/>
      <c r="K40" s="58"/>
    </row>
    <row r="41" spans="1:11">
      <c r="J41" s="58"/>
      <c r="K41" s="58"/>
    </row>
    <row r="42" spans="1:11">
      <c r="J42" s="58"/>
      <c r="K42" s="58"/>
    </row>
    <row r="43" spans="1:11">
      <c r="J43" s="58"/>
      <c r="K43" s="58"/>
    </row>
    <row r="44" spans="1:11">
      <c r="J44" s="58"/>
      <c r="K44" s="58"/>
    </row>
    <row r="45" spans="1:11">
      <c r="J45" s="58"/>
      <c r="K45" s="58"/>
    </row>
    <row r="46" spans="1:11">
      <c r="J46" s="58"/>
      <c r="K46" s="58"/>
    </row>
    <row r="47" spans="1:11">
      <c r="J47" s="58"/>
      <c r="K47" s="58"/>
    </row>
    <row r="48" spans="1:11">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ht="11.25" customHeight="1">
      <c r="J79" s="58"/>
      <c r="K79" s="58"/>
    </row>
    <row r="80" spans="10:11" ht="11.25" customHeight="1">
      <c r="J80" s="58"/>
      <c r="K80" s="58"/>
    </row>
    <row r="81" spans="10:12" ht="11.25" customHeight="1">
      <c r="J81" s="58"/>
      <c r="K81" s="58"/>
    </row>
    <row r="82" spans="10:12" ht="11.25" customHeight="1">
      <c r="J82" s="58"/>
      <c r="K82" s="58"/>
    </row>
    <row r="83" spans="10:12" ht="11.25" customHeight="1">
      <c r="J83" s="58"/>
      <c r="K83" s="58"/>
    </row>
    <row r="84" spans="10:12" ht="11.25" customHeight="1">
      <c r="J84" s="58"/>
      <c r="K84" s="58"/>
    </row>
    <row r="85" spans="10:12" ht="11.25" customHeight="1">
      <c r="J85" s="58"/>
      <c r="K85" s="58"/>
    </row>
    <row r="86" spans="10:12" ht="11.25" customHeight="1">
      <c r="J86" s="58"/>
      <c r="K86" s="58"/>
      <c r="L86" s="59"/>
    </row>
    <row r="87" spans="10:12" ht="11.25" customHeight="1">
      <c r="J87" s="58"/>
      <c r="K87" s="58"/>
      <c r="L87" s="59"/>
    </row>
    <row r="88" spans="10:12" ht="11.25" customHeight="1">
      <c r="J88" s="58"/>
      <c r="K88" s="58"/>
      <c r="L88" s="59"/>
    </row>
    <row r="89" spans="10:12" ht="11.25" customHeight="1">
      <c r="J89" s="58"/>
      <c r="K89" s="58"/>
      <c r="L89" s="59"/>
    </row>
    <row r="90" spans="10:12" ht="11.25" customHeight="1">
      <c r="J90" s="58"/>
      <c r="K90" s="58"/>
      <c r="L90" s="59"/>
    </row>
    <row r="91" spans="10:12" ht="11.25" customHeight="1">
      <c r="J91" s="58"/>
      <c r="K91" s="58"/>
      <c r="L91" s="59"/>
    </row>
    <row r="92" spans="10:12" ht="11.25" customHeight="1">
      <c r="J92" s="58"/>
      <c r="K92" s="58"/>
      <c r="L92" s="59"/>
    </row>
    <row r="93" spans="10:12" ht="11.25" customHeight="1">
      <c r="J93" s="58"/>
      <c r="K93" s="58"/>
      <c r="L93" s="59"/>
    </row>
    <row r="94" spans="10:12" ht="11.25" customHeight="1">
      <c r="J94" s="58"/>
      <c r="K94" s="58"/>
      <c r="L94" s="59"/>
    </row>
    <row r="95" spans="10:12" ht="11.25" customHeight="1">
      <c r="J95" s="58"/>
      <c r="K95" s="58"/>
      <c r="L95" s="59"/>
    </row>
    <row r="96" spans="10:12" ht="11.25" customHeight="1">
      <c r="J96" s="58"/>
      <c r="K96" s="58"/>
      <c r="L96" s="59"/>
    </row>
    <row r="97" spans="10:12" ht="11.25" customHeight="1">
      <c r="J97" s="58"/>
      <c r="K97" s="58"/>
      <c r="L97" s="59"/>
    </row>
    <row r="98" spans="10:12" ht="11.25" customHeight="1">
      <c r="J98" s="58"/>
      <c r="K98" s="58"/>
      <c r="L98" s="59"/>
    </row>
    <row r="99" spans="10:12" ht="11.25" customHeight="1">
      <c r="J99" s="58"/>
      <c r="K99" s="58"/>
    </row>
    <row r="100" spans="10:12" ht="11.25" customHeight="1">
      <c r="J100" s="58"/>
      <c r="K100" s="58"/>
    </row>
    <row r="101" spans="10:12" ht="11.25" customHeight="1">
      <c r="J101" s="58"/>
      <c r="K101" s="58"/>
    </row>
    <row r="102" spans="10:12" ht="11.25" customHeight="1">
      <c r="J102" s="58"/>
      <c r="K102" s="58"/>
    </row>
    <row r="103" spans="10:12" ht="11.25" customHeight="1">
      <c r="J103" s="58"/>
      <c r="K103" s="58"/>
    </row>
    <row r="104" spans="10:12" ht="11.25" customHeight="1">
      <c r="J104" s="58"/>
      <c r="K104" s="58"/>
    </row>
    <row r="105" spans="10:12" ht="11.25" customHeight="1">
      <c r="J105" s="58"/>
      <c r="K105" s="58"/>
    </row>
    <row r="106" spans="10:12" ht="11.25" customHeight="1">
      <c r="J106" s="58"/>
      <c r="K106" s="58"/>
    </row>
    <row r="107" spans="10:12" ht="11.25" customHeight="1">
      <c r="J107" s="58"/>
      <c r="K107" s="58"/>
    </row>
    <row r="108" spans="10:12" ht="11.25" customHeight="1">
      <c r="J108" s="58"/>
      <c r="K108" s="58"/>
    </row>
    <row r="109" spans="10:12" ht="11.25" customHeight="1">
      <c r="J109" s="58"/>
      <c r="K109" s="58"/>
    </row>
    <row r="110" spans="10:12" ht="11.25" customHeight="1">
      <c r="J110" s="58"/>
      <c r="K110" s="58"/>
    </row>
    <row r="111" spans="10:12" ht="11.25" customHeight="1">
      <c r="J111" s="58"/>
      <c r="K111" s="58"/>
    </row>
    <row r="112" spans="10:12"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c r="A1" s="1" t="s">
        <v>1845</v>
      </c>
      <c r="B1" s="4"/>
      <c r="C1" s="4"/>
      <c r="D1" s="4"/>
      <c r="E1" s="4"/>
      <c r="F1" s="4"/>
      <c r="G1" s="4"/>
      <c r="H1" s="4"/>
      <c r="I1" s="4"/>
    </row>
    <row r="2" spans="1:12">
      <c r="A2" s="1" t="s">
        <v>1846</v>
      </c>
      <c r="B2" s="4"/>
      <c r="C2" s="4"/>
      <c r="D2" s="4"/>
      <c r="E2" s="4"/>
      <c r="F2" s="4"/>
      <c r="G2" s="4"/>
      <c r="H2" s="4"/>
      <c r="I2" s="4"/>
    </row>
    <row r="3" spans="1:12">
      <c r="A3" s="7" t="s">
        <v>1847</v>
      </c>
      <c r="B3" s="4"/>
      <c r="C3" s="4"/>
      <c r="D3" s="4"/>
      <c r="E3" s="4"/>
      <c r="F3" s="4"/>
      <c r="G3" s="4"/>
      <c r="H3" s="4"/>
      <c r="I3" s="4"/>
    </row>
    <row r="4" spans="1:12" ht="13.5" thickBot="1">
      <c r="A4" s="481"/>
      <c r="B4" s="482"/>
      <c r="C4" s="483"/>
      <c r="D4" s="483"/>
      <c r="E4" s="483"/>
      <c r="F4" s="483"/>
      <c r="G4" s="483"/>
      <c r="H4" s="484"/>
      <c r="I4" s="4"/>
      <c r="J4" s="4"/>
    </row>
    <row r="5" spans="1:12">
      <c r="A5" s="470" t="s">
        <v>1805</v>
      </c>
      <c r="B5" s="485"/>
      <c r="C5" s="437" t="s">
        <v>1806</v>
      </c>
      <c r="D5" s="437" t="s">
        <v>1807</v>
      </c>
      <c r="E5" s="437" t="s">
        <v>1808</v>
      </c>
      <c r="F5" s="437" t="s">
        <v>1093</v>
      </c>
      <c r="G5" s="437" t="s">
        <v>1809</v>
      </c>
      <c r="H5" s="471" t="s">
        <v>178</v>
      </c>
      <c r="I5" s="437" t="s">
        <v>1810</v>
      </c>
    </row>
    <row r="6" spans="1:12" ht="13.5" thickBot="1">
      <c r="A6" s="39"/>
      <c r="B6" s="44"/>
      <c r="C6" s="39" t="s">
        <v>1811</v>
      </c>
      <c r="D6" s="39" t="s">
        <v>1812</v>
      </c>
      <c r="E6" s="39" t="s">
        <v>1813</v>
      </c>
      <c r="F6" s="39"/>
      <c r="G6" s="39" t="s">
        <v>1814</v>
      </c>
      <c r="H6" s="472"/>
      <c r="I6" s="39"/>
    </row>
    <row r="7" spans="1:12">
      <c r="A7" s="47"/>
      <c r="B7" s="48"/>
      <c r="C7" s="486"/>
      <c r="D7" s="486"/>
      <c r="E7" s="486"/>
      <c r="F7" s="486"/>
      <c r="G7" s="486"/>
      <c r="H7" s="487"/>
      <c r="I7" s="486"/>
    </row>
    <row r="8" spans="1:12">
      <c r="A8" s="17">
        <v>1</v>
      </c>
      <c r="B8" s="82" t="s">
        <v>1294</v>
      </c>
      <c r="C8" s="3">
        <v>1332.848</v>
      </c>
      <c r="D8" s="3">
        <v>6650.02</v>
      </c>
      <c r="E8" s="3">
        <v>33.566000000000003</v>
      </c>
      <c r="F8" s="3">
        <v>2.9905876495000001</v>
      </c>
      <c r="G8" s="3">
        <v>179.8589013653</v>
      </c>
      <c r="H8" s="6">
        <f t="shared" ref="H8:H34" si="0">SUM(C8:G8)</f>
        <v>8199.2834890148006</v>
      </c>
      <c r="I8" s="129">
        <f>H8/H$36*100</f>
        <v>1.071048529140918</v>
      </c>
      <c r="J8" s="4"/>
    </row>
    <row r="9" spans="1:12">
      <c r="A9" s="17">
        <v>2</v>
      </c>
      <c r="B9" s="82" t="s">
        <v>824</v>
      </c>
      <c r="C9" s="3">
        <v>9322.2279999999992</v>
      </c>
      <c r="D9" s="3">
        <v>2402.5329999999999</v>
      </c>
      <c r="E9" s="3">
        <v>27.358000000000001</v>
      </c>
      <c r="F9" s="3">
        <v>28.992961328</v>
      </c>
      <c r="G9" s="3">
        <v>51.337329384599983</v>
      </c>
      <c r="H9" s="6">
        <f t="shared" si="0"/>
        <v>11832.449290712599</v>
      </c>
      <c r="I9" s="129">
        <f t="shared" ref="I9:I36" si="1">H9/H$36*100</f>
        <v>1.5456383994932452</v>
      </c>
      <c r="J9" s="4"/>
    </row>
    <row r="10" spans="1:12">
      <c r="A10" s="17">
        <v>3</v>
      </c>
      <c r="B10" s="82" t="s">
        <v>825</v>
      </c>
      <c r="C10" s="3">
        <v>59.32</v>
      </c>
      <c r="D10" s="3">
        <v>8588.8770000000004</v>
      </c>
      <c r="E10" s="3">
        <v>24.129000000000001</v>
      </c>
      <c r="F10" s="3">
        <v>4.3051360536000001</v>
      </c>
      <c r="G10" s="3">
        <v>334.42936356400003</v>
      </c>
      <c r="H10" s="6">
        <f t="shared" si="0"/>
        <v>9011.0604996176007</v>
      </c>
      <c r="I10" s="129">
        <f t="shared" si="1"/>
        <v>1.1770885964664852</v>
      </c>
      <c r="J10" s="4"/>
    </row>
    <row r="11" spans="1:12">
      <c r="A11" s="17">
        <v>4</v>
      </c>
      <c r="B11" s="82" t="s">
        <v>826</v>
      </c>
      <c r="C11" s="3">
        <v>391.49</v>
      </c>
      <c r="D11" s="3">
        <v>26976.075000000001</v>
      </c>
      <c r="E11" s="3">
        <v>30.143000000000001</v>
      </c>
      <c r="F11" s="3">
        <v>51.986384898000004</v>
      </c>
      <c r="G11" s="3">
        <v>1055.7106157363999</v>
      </c>
      <c r="H11" s="6">
        <f t="shared" si="0"/>
        <v>28505.4050006344</v>
      </c>
      <c r="I11" s="129">
        <f t="shared" si="1"/>
        <v>3.7235780589120853</v>
      </c>
      <c r="J11" s="4"/>
    </row>
    <row r="12" spans="1:12">
      <c r="A12" s="17">
        <v>5</v>
      </c>
      <c r="B12" s="82" t="s">
        <v>827</v>
      </c>
      <c r="C12" s="3">
        <v>1152.3679999999999</v>
      </c>
      <c r="D12" s="3">
        <v>268.363</v>
      </c>
      <c r="E12" s="3">
        <v>0.74299999999999999</v>
      </c>
      <c r="F12" s="3">
        <v>0.16255987299999999</v>
      </c>
      <c r="G12" s="3">
        <v>4.0016457638</v>
      </c>
      <c r="H12" s="6">
        <f t="shared" si="0"/>
        <v>1425.6382056368</v>
      </c>
      <c r="I12" s="129">
        <f t="shared" si="1"/>
        <v>0.18622696791495652</v>
      </c>
      <c r="J12" s="4"/>
    </row>
    <row r="13" spans="1:12">
      <c r="A13" s="17">
        <v>6</v>
      </c>
      <c r="B13" s="82" t="s">
        <v>828</v>
      </c>
      <c r="C13" s="3">
        <v>2013.2819999999999</v>
      </c>
      <c r="D13" s="3">
        <v>30233.397032000001</v>
      </c>
      <c r="E13" s="3">
        <v>10907.391968</v>
      </c>
      <c r="F13" s="3">
        <v>-15.426039830899995</v>
      </c>
      <c r="G13" s="3">
        <v>632.54405031889996</v>
      </c>
      <c r="H13" s="6">
        <f t="shared" si="0"/>
        <v>43771.189010488</v>
      </c>
      <c r="I13" s="129">
        <f t="shared" si="1"/>
        <v>5.7177029762713278</v>
      </c>
      <c r="J13" s="4"/>
      <c r="K13" s="61"/>
      <c r="L13" s="61"/>
    </row>
    <row r="14" spans="1:12">
      <c r="A14" s="17">
        <v>7</v>
      </c>
      <c r="B14" s="82" t="s">
        <v>829</v>
      </c>
      <c r="C14" s="3">
        <v>24468.787</v>
      </c>
      <c r="D14" s="3">
        <v>1309.588</v>
      </c>
      <c r="E14" s="3">
        <v>8.36</v>
      </c>
      <c r="F14" s="3">
        <v>1.0879011431000001</v>
      </c>
      <c r="G14" s="3">
        <v>105.6525288352</v>
      </c>
      <c r="H14" s="6">
        <f t="shared" si="0"/>
        <v>25893.475429978298</v>
      </c>
      <c r="I14" s="129">
        <f t="shared" si="1"/>
        <v>3.3823893039899127</v>
      </c>
      <c r="J14" s="4"/>
    </row>
    <row r="15" spans="1:12">
      <c r="A15" s="17">
        <v>8</v>
      </c>
      <c r="B15" s="82" t="s">
        <v>1836</v>
      </c>
      <c r="C15" s="3">
        <v>5166.8370000000004</v>
      </c>
      <c r="D15" s="3">
        <v>2651.9349999999999</v>
      </c>
      <c r="E15" s="3">
        <v>0</v>
      </c>
      <c r="F15" s="3">
        <v>19.617166280799999</v>
      </c>
      <c r="G15" s="3">
        <v>15.0478970955</v>
      </c>
      <c r="H15" s="6">
        <f t="shared" si="0"/>
        <v>7853.437063376301</v>
      </c>
      <c r="I15" s="129">
        <f t="shared" si="1"/>
        <v>1.0258716175260145</v>
      </c>
      <c r="J15" s="4"/>
    </row>
    <row r="16" spans="1:12">
      <c r="A16" s="17">
        <v>9</v>
      </c>
      <c r="B16" s="82" t="s">
        <v>1837</v>
      </c>
      <c r="C16" s="3">
        <v>37462.678</v>
      </c>
      <c r="D16" s="3">
        <v>4637.165</v>
      </c>
      <c r="E16" s="3">
        <v>14.573</v>
      </c>
      <c r="F16" s="3">
        <v>3.2574711320999996</v>
      </c>
      <c r="G16" s="3">
        <v>58.191896592699997</v>
      </c>
      <c r="H16" s="6">
        <f t="shared" si="0"/>
        <v>42175.8653677248</v>
      </c>
      <c r="I16" s="129">
        <f t="shared" si="1"/>
        <v>5.5093104937605712</v>
      </c>
      <c r="J16" s="4"/>
    </row>
    <row r="17" spans="1:10">
      <c r="A17" s="17">
        <v>10</v>
      </c>
      <c r="B17" s="82" t="s">
        <v>383</v>
      </c>
      <c r="C17" s="3">
        <v>116685.701</v>
      </c>
      <c r="D17" s="3">
        <v>8742.2350000000006</v>
      </c>
      <c r="E17" s="45">
        <v>7.7370000000000001</v>
      </c>
      <c r="F17" s="3">
        <v>7.7372427879999996</v>
      </c>
      <c r="G17" s="3">
        <v>239.8545264</v>
      </c>
      <c r="H17" s="6">
        <f t="shared" si="0"/>
        <v>125683.264769188</v>
      </c>
      <c r="I17" s="129">
        <f t="shared" si="1"/>
        <v>16.417638937477694</v>
      </c>
      <c r="J17" s="4"/>
    </row>
    <row r="18" spans="1:10">
      <c r="A18" s="17">
        <v>11</v>
      </c>
      <c r="B18" s="82" t="s">
        <v>384</v>
      </c>
      <c r="C18" s="3">
        <v>45018.678</v>
      </c>
      <c r="D18" s="45" t="s">
        <v>1378</v>
      </c>
      <c r="E18" s="45" t="s">
        <v>1378</v>
      </c>
      <c r="F18" s="45" t="s">
        <v>1378</v>
      </c>
      <c r="G18" s="45" t="s">
        <v>1378</v>
      </c>
      <c r="H18" s="6">
        <f t="shared" si="0"/>
        <v>45018.678</v>
      </c>
      <c r="I18" s="129">
        <f t="shared" si="1"/>
        <v>5.880658830783057</v>
      </c>
      <c r="J18" s="4"/>
    </row>
    <row r="19" spans="1:10">
      <c r="A19" s="17">
        <v>12</v>
      </c>
      <c r="B19" s="82" t="s">
        <v>190</v>
      </c>
      <c r="C19" s="3">
        <v>60065.913</v>
      </c>
      <c r="D19" s="45" t="s">
        <v>1378</v>
      </c>
      <c r="E19" s="45" t="s">
        <v>1378</v>
      </c>
      <c r="F19" s="45" t="s">
        <v>1378</v>
      </c>
      <c r="G19" s="45" t="s">
        <v>1378</v>
      </c>
      <c r="H19" s="6">
        <f t="shared" si="0"/>
        <v>60065.913</v>
      </c>
      <c r="I19" s="129">
        <f t="shared" si="1"/>
        <v>7.8462353273122956</v>
      </c>
      <c r="J19" s="4"/>
    </row>
    <row r="20" spans="1:10">
      <c r="A20" s="17">
        <v>13</v>
      </c>
      <c r="B20" s="82" t="s">
        <v>1839</v>
      </c>
      <c r="C20" s="3">
        <v>59607.017</v>
      </c>
      <c r="D20" s="3">
        <v>8426.64</v>
      </c>
      <c r="E20" s="3">
        <v>51.688000000000002</v>
      </c>
      <c r="F20" s="3">
        <v>9.4176953799999907E-2</v>
      </c>
      <c r="G20" s="3">
        <v>195.05243653310001</v>
      </c>
      <c r="H20" s="6">
        <f t="shared" si="0"/>
        <v>68280.491613486898</v>
      </c>
      <c r="I20" s="129">
        <f t="shared" si="1"/>
        <v>8.9192818140297287</v>
      </c>
      <c r="J20" s="4"/>
    </row>
    <row r="21" spans="1:10">
      <c r="A21" s="17">
        <v>14</v>
      </c>
      <c r="B21" s="82" t="s">
        <v>1840</v>
      </c>
      <c r="C21" s="3">
        <v>173.404</v>
      </c>
      <c r="D21" s="3">
        <v>1012.153</v>
      </c>
      <c r="E21" s="3">
        <v>4.5350000000000001</v>
      </c>
      <c r="F21" s="3">
        <v>0.40246552970000016</v>
      </c>
      <c r="G21" s="3">
        <v>25.179797035999997</v>
      </c>
      <c r="H21" s="6">
        <f t="shared" si="0"/>
        <v>1215.6742625657002</v>
      </c>
      <c r="I21" s="129">
        <f t="shared" si="1"/>
        <v>0.15879998936247453</v>
      </c>
      <c r="J21" s="4"/>
    </row>
    <row r="22" spans="1:10">
      <c r="A22" s="17">
        <v>15</v>
      </c>
      <c r="B22" s="82" t="s">
        <v>1403</v>
      </c>
      <c r="C22" s="3">
        <v>15372.589</v>
      </c>
      <c r="D22" s="3">
        <v>32.347000000000001</v>
      </c>
      <c r="E22" s="45" t="s">
        <v>1378</v>
      </c>
      <c r="F22" s="3">
        <v>4731.8143719</v>
      </c>
      <c r="G22" s="45" t="s">
        <v>1378</v>
      </c>
      <c r="H22" s="6">
        <f t="shared" si="0"/>
        <v>20136.750371900001</v>
      </c>
      <c r="I22" s="129">
        <f t="shared" si="1"/>
        <v>2.6304050709305091</v>
      </c>
      <c r="J22" s="4"/>
    </row>
    <row r="23" spans="1:10">
      <c r="A23" s="17">
        <v>16</v>
      </c>
      <c r="B23" s="82" t="s">
        <v>1545</v>
      </c>
      <c r="C23" s="3">
        <v>15599.675999999999</v>
      </c>
      <c r="D23" s="3">
        <v>29620.082999999999</v>
      </c>
      <c r="E23" s="3">
        <v>625.673</v>
      </c>
      <c r="F23" s="3">
        <v>44.317991873099999</v>
      </c>
      <c r="G23" s="3">
        <v>605.42807331459994</v>
      </c>
      <c r="H23" s="6">
        <f t="shared" si="0"/>
        <v>46495.178065187698</v>
      </c>
      <c r="I23" s="129">
        <f t="shared" si="1"/>
        <v>6.0735297353217863</v>
      </c>
      <c r="J23" s="4"/>
    </row>
    <row r="24" spans="1:10">
      <c r="A24" s="17">
        <v>17</v>
      </c>
      <c r="B24" s="82" t="s">
        <v>191</v>
      </c>
      <c r="C24" s="3">
        <v>7709.3320000000003</v>
      </c>
      <c r="D24" s="3">
        <v>1760.8340000000001</v>
      </c>
      <c r="E24" s="3">
        <v>17.446000000000002</v>
      </c>
      <c r="F24" s="3">
        <v>5.1405386428000019</v>
      </c>
      <c r="G24" s="3">
        <v>92.451805829099996</v>
      </c>
      <c r="H24" s="6">
        <f t="shared" si="0"/>
        <v>9585.2043444719002</v>
      </c>
      <c r="I24" s="129">
        <f t="shared" si="1"/>
        <v>1.252087335242914</v>
      </c>
      <c r="J24" s="4"/>
    </row>
    <row r="25" spans="1:10">
      <c r="A25" s="17">
        <v>18</v>
      </c>
      <c r="B25" s="82" t="s">
        <v>1841</v>
      </c>
      <c r="C25" s="3">
        <v>5593.7510000000002</v>
      </c>
      <c r="D25" s="3">
        <v>2807.8719999999998</v>
      </c>
      <c r="E25" s="3">
        <v>30.692</v>
      </c>
      <c r="F25" s="3">
        <v>3.9889558957999989</v>
      </c>
      <c r="G25" s="3">
        <v>305.62339668320004</v>
      </c>
      <c r="H25" s="6">
        <f t="shared" si="0"/>
        <v>8741.9273525789995</v>
      </c>
      <c r="I25" s="129">
        <f t="shared" si="1"/>
        <v>1.1419325170767487</v>
      </c>
      <c r="J25" s="4"/>
    </row>
    <row r="26" spans="1:10">
      <c r="A26" s="17">
        <v>19</v>
      </c>
      <c r="B26" s="82" t="s">
        <v>1842</v>
      </c>
      <c r="C26" s="3">
        <v>3030.248</v>
      </c>
      <c r="D26" s="3">
        <v>231.84299999999999</v>
      </c>
      <c r="E26" s="3">
        <v>0.113</v>
      </c>
      <c r="F26" s="3">
        <v>0.56914958819999995</v>
      </c>
      <c r="G26" s="3">
        <v>69.122968919400009</v>
      </c>
      <c r="H26" s="6">
        <f t="shared" si="0"/>
        <v>3331.8961185076</v>
      </c>
      <c r="I26" s="129">
        <f t="shared" si="1"/>
        <v>0.43523588881382763</v>
      </c>
      <c r="J26" s="4"/>
    </row>
    <row r="27" spans="1:10">
      <c r="A27" s="17">
        <v>20</v>
      </c>
      <c r="B27" s="82" t="s">
        <v>808</v>
      </c>
      <c r="C27" s="3">
        <v>2267.8989999999999</v>
      </c>
      <c r="D27" s="3">
        <v>1829.1089999999999</v>
      </c>
      <c r="E27" s="3">
        <v>681.75199999999995</v>
      </c>
      <c r="F27" s="3">
        <v>2.5886960384000002</v>
      </c>
      <c r="G27" s="3">
        <v>40.155195254000006</v>
      </c>
      <c r="H27" s="6">
        <f t="shared" si="0"/>
        <v>4821.5038912924001</v>
      </c>
      <c r="I27" s="129">
        <f t="shared" si="1"/>
        <v>0.62981901503157256</v>
      </c>
      <c r="J27" s="4"/>
    </row>
    <row r="28" spans="1:10">
      <c r="A28" s="17">
        <v>21</v>
      </c>
      <c r="B28" s="82" t="s">
        <v>1387</v>
      </c>
      <c r="C28" s="3">
        <v>1023.397</v>
      </c>
      <c r="D28" s="3">
        <v>557.97500000000002</v>
      </c>
      <c r="E28" s="3">
        <v>6.9580000000000002</v>
      </c>
      <c r="F28" s="3">
        <v>0.1927846446</v>
      </c>
      <c r="G28" s="3">
        <v>14.744662716800001</v>
      </c>
      <c r="H28" s="6">
        <f t="shared" si="0"/>
        <v>1603.2674473613999</v>
      </c>
      <c r="I28" s="129">
        <f t="shared" si="1"/>
        <v>0.20943015857624309</v>
      </c>
      <c r="J28" s="4"/>
    </row>
    <row r="29" spans="1:10">
      <c r="A29" s="17">
        <v>22</v>
      </c>
      <c r="B29" s="82" t="s">
        <v>1447</v>
      </c>
      <c r="C29" s="3">
        <v>3373.3809999999999</v>
      </c>
      <c r="D29" s="3">
        <v>11842.905000000001</v>
      </c>
      <c r="E29" s="3">
        <v>13333.471</v>
      </c>
      <c r="F29" s="3">
        <v>651.09589808459987</v>
      </c>
      <c r="G29" s="3">
        <v>1932.4678049523</v>
      </c>
      <c r="H29" s="6">
        <f t="shared" si="0"/>
        <v>31133.320703036898</v>
      </c>
      <c r="I29" s="129">
        <f t="shared" si="1"/>
        <v>4.0668550356790778</v>
      </c>
      <c r="J29" s="4"/>
    </row>
    <row r="30" spans="1:10">
      <c r="A30" s="17">
        <v>23</v>
      </c>
      <c r="B30" s="82" t="s">
        <v>1843</v>
      </c>
      <c r="C30" s="3">
        <v>17844.245999999999</v>
      </c>
      <c r="D30" s="3">
        <v>3035.0010000000002</v>
      </c>
      <c r="E30" s="3">
        <v>21.760999999999999</v>
      </c>
      <c r="F30" s="3">
        <v>32.0223814406</v>
      </c>
      <c r="G30" s="3">
        <v>52.130434780699993</v>
      </c>
      <c r="H30" s="6">
        <f t="shared" si="0"/>
        <v>20985.160816221302</v>
      </c>
      <c r="I30" s="129">
        <f t="shared" si="1"/>
        <v>2.7412304570408397</v>
      </c>
      <c r="J30" s="4"/>
    </row>
    <row r="31" spans="1:10">
      <c r="A31" s="17">
        <v>24</v>
      </c>
      <c r="B31" s="82" t="s">
        <v>1182</v>
      </c>
      <c r="C31" s="3">
        <v>2440.0439999999999</v>
      </c>
      <c r="D31" s="3">
        <v>1655.2070000000001</v>
      </c>
      <c r="E31" s="3">
        <v>10.231999999999999</v>
      </c>
      <c r="F31" s="3">
        <v>1.1881201434999999</v>
      </c>
      <c r="G31" s="3">
        <v>26.867377615199999</v>
      </c>
      <c r="H31" s="6">
        <f>SUM(C31:G31)</f>
        <v>4133.5384977587</v>
      </c>
      <c r="I31" s="129">
        <f t="shared" si="1"/>
        <v>0.53995209875390904</v>
      </c>
      <c r="J31" s="4"/>
    </row>
    <row r="32" spans="1:10">
      <c r="A32" s="17">
        <v>25</v>
      </c>
      <c r="B32" s="82" t="s">
        <v>395</v>
      </c>
      <c r="C32" s="3">
        <v>60246.220999999998</v>
      </c>
      <c r="D32" s="3">
        <v>0.216</v>
      </c>
      <c r="E32" s="45" t="s">
        <v>1378</v>
      </c>
      <c r="F32" s="45" t="s">
        <v>1378</v>
      </c>
      <c r="G32" s="45" t="s">
        <v>1378</v>
      </c>
      <c r="H32" s="6">
        <f>SUM(C32:G32)</f>
        <v>60246.436999999998</v>
      </c>
      <c r="I32" s="129">
        <f t="shared" si="1"/>
        <v>7.86981665181872</v>
      </c>
      <c r="J32" s="4"/>
    </row>
    <row r="33" spans="1:11">
      <c r="A33" s="17">
        <v>26</v>
      </c>
      <c r="B33" s="82" t="s">
        <v>396</v>
      </c>
      <c r="C33" s="3">
        <v>9.8040000000000003</v>
      </c>
      <c r="D33" s="45" t="s">
        <v>1378</v>
      </c>
      <c r="E33" s="45" t="s">
        <v>1378</v>
      </c>
      <c r="F33" s="3">
        <v>49374.070464999997</v>
      </c>
      <c r="G33" s="3">
        <v>88.403928559999997</v>
      </c>
      <c r="H33" s="6">
        <f>SUM(C33:G33)</f>
        <v>49472.278393559995</v>
      </c>
      <c r="I33" s="129">
        <f t="shared" si="1"/>
        <v>6.4624196830934579</v>
      </c>
      <c r="J33" s="4"/>
    </row>
    <row r="34" spans="1:11">
      <c r="A34" s="47">
        <v>27</v>
      </c>
      <c r="B34" s="130" t="s">
        <v>668</v>
      </c>
      <c r="C34" s="3">
        <v>25920.170999999998</v>
      </c>
      <c r="D34" s="45" t="s">
        <v>1378</v>
      </c>
      <c r="E34" s="45" t="s">
        <v>1378</v>
      </c>
      <c r="F34" s="45" t="s">
        <v>1378</v>
      </c>
      <c r="G34" s="45" t="s">
        <v>1378</v>
      </c>
      <c r="H34" s="6">
        <f t="shared" si="0"/>
        <v>25920.170999999998</v>
      </c>
      <c r="I34" s="129">
        <f t="shared" si="1"/>
        <v>3.3858764685750415</v>
      </c>
      <c r="J34" s="4"/>
    </row>
    <row r="35" spans="1:11">
      <c r="A35" s="47"/>
      <c r="B35" s="130"/>
      <c r="C35" s="68"/>
      <c r="D35" s="66"/>
      <c r="E35" s="66"/>
      <c r="F35" s="68"/>
      <c r="G35" s="66"/>
      <c r="H35" s="6"/>
      <c r="I35" s="129"/>
      <c r="J35" s="4"/>
    </row>
    <row r="36" spans="1:11">
      <c r="A36" s="488"/>
      <c r="B36" s="488" t="s">
        <v>1844</v>
      </c>
      <c r="C36" s="131">
        <f>SUM(C8:C34)</f>
        <v>523351.30999999988</v>
      </c>
      <c r="D36" s="131">
        <f>SUM(D8:D34)</f>
        <v>155272.37303199994</v>
      </c>
      <c r="E36" s="131">
        <f>SUM(E8:E34)</f>
        <v>25838.321968</v>
      </c>
      <c r="F36" s="131">
        <f>SUM(F8:F34)</f>
        <v>54952.197367050299</v>
      </c>
      <c r="G36" s="131">
        <f>SUM(G8:G34)</f>
        <v>6124.2566372507999</v>
      </c>
      <c r="H36" s="131">
        <v>765538</v>
      </c>
      <c r="I36" s="129">
        <f t="shared" si="1"/>
        <v>100</v>
      </c>
      <c r="J36" s="4"/>
    </row>
    <row r="37" spans="1:11" ht="13.5" thickBot="1">
      <c r="A37" s="32"/>
      <c r="B37" s="32" t="s">
        <v>1810</v>
      </c>
      <c r="C37" s="489">
        <f>C36/H$36*100</f>
        <v>68.363857835927135</v>
      </c>
      <c r="D37" s="489">
        <f>D36/H36*100</f>
        <v>20.28277799821824</v>
      </c>
      <c r="E37" s="489">
        <f>E36/H36*100</f>
        <v>3.3751847678364753</v>
      </c>
      <c r="F37" s="489">
        <f>F36/H36*100</f>
        <v>7.1782455432715677</v>
      </c>
      <c r="G37" s="489">
        <f>G36/H36*100</f>
        <v>0.79999381314197349</v>
      </c>
      <c r="H37" s="489">
        <f>C37+D37+E37+F37+G37</f>
        <v>100.00005995839538</v>
      </c>
      <c r="I37" s="32"/>
      <c r="J37" s="4"/>
    </row>
    <row r="38" spans="1:11">
      <c r="A38" s="46" t="s">
        <v>179</v>
      </c>
      <c r="B38" s="4"/>
      <c r="C38" s="3"/>
      <c r="D38" s="3"/>
      <c r="E38" s="3"/>
      <c r="F38" s="3"/>
      <c r="G38" s="3"/>
      <c r="H38" s="6"/>
      <c r="I38" s="4"/>
      <c r="J38" s="4"/>
    </row>
    <row r="39" spans="1:11">
      <c r="A39" s="42" t="s">
        <v>539</v>
      </c>
      <c r="B39" s="4"/>
      <c r="C39" s="3"/>
      <c r="D39" s="3"/>
      <c r="E39" s="3"/>
      <c r="F39" s="3"/>
      <c r="G39" s="3"/>
      <c r="H39" s="6"/>
      <c r="I39" s="4"/>
      <c r="J39" s="4"/>
    </row>
    <row r="40" spans="1:11">
      <c r="A40" s="4"/>
      <c r="B40" s="4"/>
      <c r="C40" s="4"/>
      <c r="D40" s="4"/>
      <c r="E40" s="4"/>
      <c r="F40" s="4"/>
      <c r="G40" s="4"/>
      <c r="H40" s="4"/>
      <c r="I40" s="4"/>
      <c r="J40" s="58"/>
    </row>
    <row r="41" spans="1:11">
      <c r="J41" s="58"/>
    </row>
    <row r="42" spans="1:11">
      <c r="J42" s="58"/>
      <c r="K42" s="58"/>
    </row>
    <row r="43" spans="1:11">
      <c r="J43" s="58"/>
      <c r="K43" s="58"/>
    </row>
    <row r="44" spans="1:11">
      <c r="J44" s="58"/>
      <c r="K44" s="58"/>
    </row>
    <row r="45" spans="1:11">
      <c r="J45" s="58"/>
      <c r="K45" s="58"/>
    </row>
    <row r="46" spans="1:11">
      <c r="J46" s="58"/>
      <c r="K46" s="58"/>
    </row>
    <row r="47" spans="1:11">
      <c r="J47" s="58"/>
      <c r="K47" s="58"/>
    </row>
    <row r="48" spans="1:11">
      <c r="J48" s="58"/>
      <c r="K48" s="58"/>
    </row>
    <row r="49" spans="10:11">
      <c r="J49" s="58"/>
      <c r="K49" s="58"/>
    </row>
    <row r="50" spans="10:11">
      <c r="J50" s="58"/>
      <c r="K50" s="58"/>
    </row>
    <row r="51" spans="10:11">
      <c r="J51" s="58"/>
      <c r="K51" s="58"/>
    </row>
    <row r="52" spans="10:11">
      <c r="J52" s="58"/>
      <c r="K52" s="58"/>
    </row>
    <row r="53" spans="10:11">
      <c r="J53" s="58"/>
      <c r="K53" s="58"/>
    </row>
    <row r="54" spans="10:11">
      <c r="J54" s="58"/>
      <c r="K54" s="58"/>
    </row>
    <row r="55" spans="10:11">
      <c r="J55" s="58"/>
      <c r="K55" s="58"/>
    </row>
    <row r="56" spans="10:11">
      <c r="J56" s="58"/>
      <c r="K56" s="58"/>
    </row>
    <row r="57" spans="10:11">
      <c r="J57" s="58"/>
      <c r="K57" s="58"/>
    </row>
    <row r="58" spans="10:11">
      <c r="J58" s="58"/>
      <c r="K58" s="58"/>
    </row>
    <row r="59" spans="10:11">
      <c r="J59" s="58"/>
      <c r="K59" s="58"/>
    </row>
    <row r="60" spans="10:11">
      <c r="J60" s="58"/>
      <c r="K60" s="58"/>
    </row>
    <row r="61" spans="10:11">
      <c r="J61" s="58"/>
      <c r="K61" s="58"/>
    </row>
    <row r="62" spans="10:11">
      <c r="J62" s="58"/>
      <c r="K62" s="58"/>
    </row>
    <row r="63" spans="10:11">
      <c r="J63" s="58"/>
      <c r="K63" s="58"/>
    </row>
    <row r="64" spans="10:11">
      <c r="J64" s="58"/>
      <c r="K64" s="58"/>
    </row>
    <row r="65" spans="10:11">
      <c r="J65" s="58"/>
      <c r="K65" s="58"/>
    </row>
    <row r="66" spans="10:11">
      <c r="J66" s="58"/>
      <c r="K66" s="58"/>
    </row>
    <row r="67" spans="10:11">
      <c r="J67" s="58"/>
      <c r="K67" s="58"/>
    </row>
    <row r="68" spans="10:11">
      <c r="J68" s="58"/>
      <c r="K68" s="58"/>
    </row>
    <row r="69" spans="10:11">
      <c r="J69" s="58"/>
      <c r="K69" s="58"/>
    </row>
    <row r="70" spans="10:11">
      <c r="J70" s="58"/>
      <c r="K70" s="58"/>
    </row>
    <row r="71" spans="10:11">
      <c r="J71" s="58"/>
      <c r="K71" s="58"/>
    </row>
    <row r="72" spans="10:11">
      <c r="J72" s="58"/>
      <c r="K72" s="58"/>
    </row>
    <row r="73" spans="10:11">
      <c r="J73" s="58"/>
      <c r="K73" s="58"/>
    </row>
    <row r="74" spans="10:11">
      <c r="J74" s="58"/>
      <c r="K74" s="58"/>
    </row>
    <row r="75" spans="10:11">
      <c r="J75" s="58"/>
      <c r="K75" s="58"/>
    </row>
    <row r="76" spans="10:11">
      <c r="J76" s="58"/>
      <c r="K76" s="58"/>
    </row>
    <row r="77" spans="10:11">
      <c r="J77" s="58"/>
      <c r="K77" s="58"/>
    </row>
    <row r="78" spans="10:11">
      <c r="J78" s="58"/>
      <c r="K78" s="58"/>
    </row>
    <row r="79" spans="10:11" ht="11.25" customHeight="1">
      <c r="J79" s="58"/>
      <c r="K79" s="58"/>
    </row>
    <row r="80" spans="10:11" ht="11.25" customHeight="1">
      <c r="J80" s="58"/>
      <c r="K80" s="58"/>
    </row>
    <row r="81" spans="10:12" ht="11.25" customHeight="1">
      <c r="J81" s="58"/>
      <c r="K81" s="58"/>
    </row>
    <row r="82" spans="10:12" ht="11.25" customHeight="1">
      <c r="J82" s="58"/>
      <c r="K82" s="58"/>
    </row>
    <row r="83" spans="10:12" ht="11.25" customHeight="1">
      <c r="J83" s="58"/>
      <c r="K83" s="58"/>
    </row>
    <row r="84" spans="10:12" ht="11.25" customHeight="1">
      <c r="J84" s="58"/>
      <c r="K84" s="58"/>
    </row>
    <row r="85" spans="10:12" ht="11.25" customHeight="1">
      <c r="J85" s="58"/>
      <c r="K85" s="58"/>
    </row>
    <row r="86" spans="10:12" ht="11.25" customHeight="1">
      <c r="J86" s="58"/>
      <c r="K86" s="58"/>
      <c r="L86" s="59"/>
    </row>
    <row r="87" spans="10:12" ht="11.25" customHeight="1">
      <c r="J87" s="58"/>
      <c r="K87" s="58"/>
      <c r="L87" s="59"/>
    </row>
    <row r="88" spans="10:12" ht="11.25" customHeight="1">
      <c r="J88" s="58"/>
      <c r="K88" s="58"/>
      <c r="L88" s="59"/>
    </row>
    <row r="89" spans="10:12" ht="11.25" customHeight="1">
      <c r="J89" s="58"/>
      <c r="K89" s="58"/>
      <c r="L89" s="59"/>
    </row>
    <row r="90" spans="10:12" ht="11.25" customHeight="1">
      <c r="J90" s="58"/>
      <c r="K90" s="58"/>
      <c r="L90" s="59"/>
    </row>
    <row r="91" spans="10:12" ht="11.25" customHeight="1">
      <c r="J91" s="58"/>
      <c r="K91" s="58"/>
      <c r="L91" s="59"/>
    </row>
    <row r="92" spans="10:12" ht="11.25" customHeight="1">
      <c r="J92" s="58"/>
      <c r="K92" s="58"/>
      <c r="L92" s="59"/>
    </row>
    <row r="93" spans="10:12" ht="11.25" customHeight="1">
      <c r="J93" s="58"/>
      <c r="K93" s="58"/>
      <c r="L93" s="59"/>
    </row>
    <row r="94" spans="10:12" ht="11.25" customHeight="1">
      <c r="J94" s="58"/>
      <c r="K94" s="58"/>
      <c r="L94" s="59"/>
    </row>
    <row r="95" spans="10:12" ht="11.25" customHeight="1">
      <c r="J95" s="58"/>
      <c r="K95" s="58"/>
      <c r="L95" s="59"/>
    </row>
    <row r="96" spans="10:12" ht="11.25" customHeight="1">
      <c r="J96" s="58"/>
      <c r="K96" s="58"/>
      <c r="L96" s="59"/>
    </row>
    <row r="97" spans="10:12" ht="11.25" customHeight="1">
      <c r="J97" s="58"/>
      <c r="K97" s="58"/>
      <c r="L97" s="59"/>
    </row>
    <row r="98" spans="10:12" ht="11.25" customHeight="1">
      <c r="J98" s="58"/>
      <c r="K98" s="58"/>
      <c r="L98" s="59"/>
    </row>
    <row r="99" spans="10:12" ht="11.25" customHeight="1">
      <c r="J99" s="58"/>
      <c r="K99" s="58"/>
    </row>
    <row r="100" spans="10:12" ht="11.25" customHeight="1">
      <c r="J100" s="58"/>
      <c r="K100" s="58"/>
    </row>
    <row r="101" spans="10:12" ht="11.25" customHeight="1">
      <c r="J101" s="58"/>
      <c r="K101" s="58"/>
    </row>
    <row r="102" spans="10:12" ht="11.25" customHeight="1">
      <c r="J102" s="58"/>
      <c r="K102" s="58"/>
    </row>
    <row r="103" spans="10:12" ht="11.25" customHeight="1">
      <c r="J103" s="58"/>
      <c r="K103" s="58"/>
    </row>
    <row r="104" spans="10:12" ht="11.25" customHeight="1">
      <c r="J104" s="58"/>
      <c r="K104" s="58"/>
    </row>
    <row r="105" spans="10:12" ht="11.25" customHeight="1">
      <c r="J105" s="58"/>
      <c r="K105" s="58"/>
    </row>
    <row r="106" spans="10:12" ht="11.25" customHeight="1">
      <c r="J106" s="58"/>
      <c r="K106" s="58"/>
    </row>
    <row r="107" spans="10:12" ht="11.25" customHeight="1">
      <c r="J107" s="58"/>
      <c r="K107" s="58"/>
    </row>
    <row r="108" spans="10:12" ht="11.25" customHeight="1">
      <c r="J108" s="58"/>
      <c r="K108" s="58"/>
    </row>
    <row r="109" spans="10:12" ht="11.25" customHeight="1">
      <c r="J109" s="58"/>
      <c r="K109" s="58"/>
    </row>
    <row r="110" spans="10:12" ht="11.25" customHeight="1">
      <c r="J110" s="58"/>
      <c r="K110" s="58"/>
    </row>
    <row r="111" spans="10:12" ht="11.25" customHeight="1">
      <c r="J111" s="58"/>
      <c r="K111" s="58"/>
    </row>
    <row r="112" spans="10:12"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2"/>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1848</v>
      </c>
      <c r="B1" s="4"/>
      <c r="C1" s="4"/>
      <c r="D1" s="4"/>
      <c r="E1" s="4"/>
      <c r="F1" s="4"/>
      <c r="G1" s="4"/>
      <c r="H1" s="4"/>
      <c r="I1" s="4"/>
    </row>
    <row r="2" spans="1:12">
      <c r="A2" s="1" t="s">
        <v>1849</v>
      </c>
      <c r="B2" s="4"/>
      <c r="C2" s="4"/>
      <c r="D2" s="4"/>
      <c r="E2" s="4"/>
      <c r="F2" s="4"/>
      <c r="G2" s="4"/>
      <c r="H2" s="4"/>
      <c r="I2" s="4"/>
    </row>
    <row r="3" spans="1:12">
      <c r="A3" s="7" t="s">
        <v>1850</v>
      </c>
      <c r="B3" s="4"/>
      <c r="C3" s="4"/>
      <c r="D3" s="4"/>
      <c r="E3" s="4"/>
      <c r="F3" s="4"/>
      <c r="G3" s="4"/>
      <c r="H3" s="4"/>
      <c r="I3" s="4"/>
    </row>
    <row r="4" spans="1:12" ht="13.5" customHeight="1" thickBot="1">
      <c r="A4" s="481"/>
      <c r="B4" s="482"/>
      <c r="C4" s="483"/>
      <c r="D4" s="483"/>
      <c r="E4" s="483"/>
      <c r="F4" s="483"/>
      <c r="G4" s="483"/>
      <c r="H4" s="484"/>
      <c r="I4" s="4"/>
      <c r="J4" s="4"/>
    </row>
    <row r="5" spans="1:12">
      <c r="A5" s="470" t="s">
        <v>1805</v>
      </c>
      <c r="B5" s="485"/>
      <c r="C5" s="437" t="s">
        <v>1806</v>
      </c>
      <c r="D5" s="437" t="s">
        <v>1807</v>
      </c>
      <c r="E5" s="437" t="s">
        <v>1808</v>
      </c>
      <c r="F5" s="437" t="s">
        <v>1093</v>
      </c>
      <c r="G5" s="437" t="s">
        <v>1809</v>
      </c>
      <c r="H5" s="471" t="s">
        <v>178</v>
      </c>
      <c r="I5" s="437" t="s">
        <v>1810</v>
      </c>
    </row>
    <row r="6" spans="1:12" ht="13.5" customHeight="1" thickBot="1">
      <c r="A6" s="39"/>
      <c r="B6" s="44"/>
      <c r="C6" s="39" t="s">
        <v>1811</v>
      </c>
      <c r="D6" s="39" t="s">
        <v>1812</v>
      </c>
      <c r="E6" s="39" t="s">
        <v>1813</v>
      </c>
      <c r="F6" s="39"/>
      <c r="G6" s="39" t="s">
        <v>1814</v>
      </c>
      <c r="H6" s="472"/>
      <c r="I6" s="39"/>
    </row>
    <row r="7" spans="1:12">
      <c r="A7" s="47"/>
      <c r="B7" s="48"/>
      <c r="C7" s="486"/>
      <c r="D7" s="486"/>
      <c r="E7" s="486"/>
      <c r="F7" s="486"/>
      <c r="G7" s="486"/>
      <c r="H7" s="487"/>
      <c r="I7" s="486"/>
    </row>
    <row r="8" spans="1:12">
      <c r="A8" s="17">
        <v>1</v>
      </c>
      <c r="B8" s="82" t="s">
        <v>1294</v>
      </c>
      <c r="C8" s="490">
        <v>1251.3889999999999</v>
      </c>
      <c r="D8" s="490">
        <v>8883.3439999999991</v>
      </c>
      <c r="E8" s="490">
        <v>56.432000000000002</v>
      </c>
      <c r="F8" s="490">
        <v>-32.402999999999999</v>
      </c>
      <c r="G8" s="490">
        <v>435.31</v>
      </c>
      <c r="H8" s="6">
        <f t="shared" ref="H8:H34" si="0">SUM(C8:G8)</f>
        <v>10594.071999999998</v>
      </c>
      <c r="I8" s="129">
        <f>H8/H$36*100</f>
        <v>1.3773351542150631</v>
      </c>
      <c r="J8" s="4"/>
    </row>
    <row r="9" spans="1:12">
      <c r="A9" s="17">
        <v>2</v>
      </c>
      <c r="B9" s="82" t="s">
        <v>824</v>
      </c>
      <c r="C9" s="490">
        <v>9262.2139999999999</v>
      </c>
      <c r="D9" s="490">
        <v>1867.7839999999987</v>
      </c>
      <c r="E9" s="490">
        <v>12.29</v>
      </c>
      <c r="F9" s="490">
        <v>10.507999999999999</v>
      </c>
      <c r="G9" s="490">
        <v>54.756</v>
      </c>
      <c r="H9" s="6">
        <f t="shared" si="0"/>
        <v>11207.552</v>
      </c>
      <c r="I9" s="129">
        <f t="shared" ref="I9:I36" si="1">H9/H$36*100</f>
        <v>1.4570936805312766</v>
      </c>
      <c r="J9" s="4"/>
    </row>
    <row r="10" spans="1:12">
      <c r="A10" s="17">
        <v>3</v>
      </c>
      <c r="B10" s="82" t="s">
        <v>825</v>
      </c>
      <c r="C10" s="490">
        <v>68.856999999999999</v>
      </c>
      <c r="D10" s="490">
        <v>9221.7070000000003</v>
      </c>
      <c r="E10" s="490">
        <v>9.9190000000000005</v>
      </c>
      <c r="F10" s="490">
        <v>14.941000000000001</v>
      </c>
      <c r="G10" s="490">
        <v>354.67700000000002</v>
      </c>
      <c r="H10" s="6">
        <f t="shared" si="0"/>
        <v>9670.1010000000006</v>
      </c>
      <c r="I10" s="129">
        <f t="shared" si="1"/>
        <v>1.2572096972826161</v>
      </c>
      <c r="J10" s="4"/>
    </row>
    <row r="11" spans="1:12">
      <c r="A11" s="17">
        <v>4</v>
      </c>
      <c r="B11" s="82" t="s">
        <v>826</v>
      </c>
      <c r="C11" s="490">
        <v>442.68599999999998</v>
      </c>
      <c r="D11" s="490">
        <v>28933.837000000003</v>
      </c>
      <c r="E11" s="490">
        <v>-9.6199999999999992</v>
      </c>
      <c r="F11" s="490">
        <v>82.911000000000001</v>
      </c>
      <c r="G11" s="490">
        <v>1177.424</v>
      </c>
      <c r="H11" s="6">
        <f t="shared" si="0"/>
        <v>30627.238000000005</v>
      </c>
      <c r="I11" s="129">
        <f t="shared" si="1"/>
        <v>3.9818467888373288</v>
      </c>
      <c r="J11" s="4"/>
    </row>
    <row r="12" spans="1:12">
      <c r="A12" s="17">
        <v>5</v>
      </c>
      <c r="B12" s="82" t="s">
        <v>827</v>
      </c>
      <c r="C12" s="490">
        <v>1326.5419999999999</v>
      </c>
      <c r="D12" s="490">
        <v>254.97100000000012</v>
      </c>
      <c r="E12" s="490">
        <v>1.4470000000000001</v>
      </c>
      <c r="F12" s="490">
        <v>8.5999999999999993E-2</v>
      </c>
      <c r="G12" s="490">
        <v>2.5489999999999999</v>
      </c>
      <c r="H12" s="6">
        <f t="shared" si="0"/>
        <v>1585.5949999999998</v>
      </c>
      <c r="I12" s="129">
        <f t="shared" si="1"/>
        <v>0.20614318402287932</v>
      </c>
      <c r="J12" s="4"/>
    </row>
    <row r="13" spans="1:12">
      <c r="A13" s="17">
        <v>6</v>
      </c>
      <c r="B13" s="82" t="s">
        <v>828</v>
      </c>
      <c r="C13" s="490">
        <v>1933.3679999999999</v>
      </c>
      <c r="D13" s="490">
        <v>32722.714</v>
      </c>
      <c r="E13" s="490">
        <v>11254.606</v>
      </c>
      <c r="F13" s="490">
        <v>-39.851999999999997</v>
      </c>
      <c r="G13" s="490">
        <v>659.09699999999998</v>
      </c>
      <c r="H13" s="6">
        <f t="shared" si="0"/>
        <v>46529.933000000005</v>
      </c>
      <c r="I13" s="129">
        <f t="shared" si="1"/>
        <v>6.0493559458696877</v>
      </c>
      <c r="J13" s="4"/>
      <c r="K13" s="61"/>
      <c r="L13" s="61"/>
    </row>
    <row r="14" spans="1:12">
      <c r="A14" s="17">
        <v>7</v>
      </c>
      <c r="B14" s="82" t="s">
        <v>829</v>
      </c>
      <c r="C14" s="490">
        <v>23552.112000000001</v>
      </c>
      <c r="D14" s="490">
        <v>1795.0279999999989</v>
      </c>
      <c r="E14" s="490">
        <v>-10.266</v>
      </c>
      <c r="F14" s="490">
        <v>1.764</v>
      </c>
      <c r="G14" s="490">
        <v>102.57</v>
      </c>
      <c r="H14" s="6">
        <f t="shared" si="0"/>
        <v>25441.207999999999</v>
      </c>
      <c r="I14" s="129">
        <f t="shared" si="1"/>
        <v>3.3076111002546997</v>
      </c>
      <c r="J14" s="4"/>
    </row>
    <row r="15" spans="1:12">
      <c r="A15" s="17">
        <v>8</v>
      </c>
      <c r="B15" s="82" t="s">
        <v>1836</v>
      </c>
      <c r="C15" s="490">
        <v>2297.866</v>
      </c>
      <c r="D15" s="490">
        <v>2961.9180000000001</v>
      </c>
      <c r="E15" s="490">
        <v>4.649</v>
      </c>
      <c r="F15" s="490">
        <v>-8.1310000000000002</v>
      </c>
      <c r="G15" s="490">
        <v>38.673000000000002</v>
      </c>
      <c r="H15" s="6">
        <f t="shared" si="0"/>
        <v>5294.9749999999995</v>
      </c>
      <c r="I15" s="129">
        <f t="shared" si="1"/>
        <v>0.68839962652603304</v>
      </c>
      <c r="J15" s="4"/>
    </row>
    <row r="16" spans="1:12">
      <c r="A16" s="17">
        <v>9</v>
      </c>
      <c r="B16" s="82" t="s">
        <v>1837</v>
      </c>
      <c r="C16" s="490">
        <v>41525.947999999997</v>
      </c>
      <c r="D16" s="490">
        <v>5062.6990000000033</v>
      </c>
      <c r="E16" s="490">
        <v>23.518000000000001</v>
      </c>
      <c r="F16" s="490">
        <v>-6.9080000000000004</v>
      </c>
      <c r="G16" s="490">
        <v>59.957000000000001</v>
      </c>
      <c r="H16" s="6">
        <f t="shared" si="0"/>
        <v>46665.213999999993</v>
      </c>
      <c r="I16" s="129">
        <f t="shared" si="1"/>
        <v>6.0669438268088909</v>
      </c>
      <c r="J16" s="4"/>
    </row>
    <row r="17" spans="1:10">
      <c r="A17" s="17">
        <v>10</v>
      </c>
      <c r="B17" s="82" t="s">
        <v>383</v>
      </c>
      <c r="C17" s="490">
        <v>110238.772</v>
      </c>
      <c r="D17" s="490">
        <v>8686.0230000000029</v>
      </c>
      <c r="E17" s="490">
        <v>0.98799999999999999</v>
      </c>
      <c r="F17" s="490">
        <v>55.914000000000001</v>
      </c>
      <c r="G17" s="490">
        <v>482.67</v>
      </c>
      <c r="H17" s="6">
        <f t="shared" si="0"/>
        <v>119464.367</v>
      </c>
      <c r="I17" s="129">
        <f t="shared" si="1"/>
        <v>15.531560701602739</v>
      </c>
      <c r="J17" s="4"/>
    </row>
    <row r="18" spans="1:10">
      <c r="A18" s="17">
        <v>11</v>
      </c>
      <c r="B18" s="82" t="s">
        <v>384</v>
      </c>
      <c r="C18" s="490">
        <v>43738.052000000003</v>
      </c>
      <c r="D18" s="491" t="s">
        <v>1378</v>
      </c>
      <c r="E18" s="491" t="s">
        <v>1378</v>
      </c>
      <c r="F18" s="491" t="s">
        <v>1378</v>
      </c>
      <c r="G18" s="491" t="s">
        <v>1378</v>
      </c>
      <c r="H18" s="6">
        <f t="shared" si="0"/>
        <v>43738.052000000003</v>
      </c>
      <c r="I18" s="129">
        <f t="shared" si="1"/>
        <v>5.6863835356684822</v>
      </c>
      <c r="J18" s="4"/>
    </row>
    <row r="19" spans="1:10">
      <c r="A19" s="17">
        <v>12</v>
      </c>
      <c r="B19" s="82" t="s">
        <v>190</v>
      </c>
      <c r="C19" s="490">
        <v>61567.830999999998</v>
      </c>
      <c r="D19" s="491" t="s">
        <v>1378</v>
      </c>
      <c r="E19" s="491" t="s">
        <v>1378</v>
      </c>
      <c r="F19" s="491" t="s">
        <v>1378</v>
      </c>
      <c r="G19" s="491" t="s">
        <v>1378</v>
      </c>
      <c r="H19" s="6">
        <f t="shared" si="0"/>
        <v>61567.830999999998</v>
      </c>
      <c r="I19" s="129">
        <f t="shared" si="1"/>
        <v>8.0044328568912828</v>
      </c>
      <c r="J19" s="4"/>
    </row>
    <row r="20" spans="1:10">
      <c r="A20" s="17">
        <v>13</v>
      </c>
      <c r="B20" s="82" t="s">
        <v>1839</v>
      </c>
      <c r="C20" s="490">
        <v>50518.913</v>
      </c>
      <c r="D20" s="490">
        <v>7295.6530000000048</v>
      </c>
      <c r="E20" s="490">
        <v>13.529</v>
      </c>
      <c r="F20" s="490">
        <v>20.238</v>
      </c>
      <c r="G20" s="490">
        <v>135.28399999999999</v>
      </c>
      <c r="H20" s="6">
        <f t="shared" si="0"/>
        <v>57983.617000000006</v>
      </c>
      <c r="I20" s="129">
        <f t="shared" si="1"/>
        <v>7.5384492443172162</v>
      </c>
      <c r="J20" s="4"/>
    </row>
    <row r="21" spans="1:10">
      <c r="A21" s="17">
        <v>14</v>
      </c>
      <c r="B21" s="82" t="s">
        <v>1840</v>
      </c>
      <c r="C21" s="490">
        <v>169.71100000000001</v>
      </c>
      <c r="D21" s="490">
        <v>946.75399999999991</v>
      </c>
      <c r="E21" s="490">
        <v>-0.91600000000000004</v>
      </c>
      <c r="F21" s="490">
        <v>-1.734</v>
      </c>
      <c r="G21" s="490">
        <v>23.515000000000001</v>
      </c>
      <c r="H21" s="6">
        <f t="shared" si="0"/>
        <v>1137.3300000000002</v>
      </c>
      <c r="I21" s="129">
        <f t="shared" si="1"/>
        <v>0.14786425757191551</v>
      </c>
      <c r="J21" s="4"/>
    </row>
    <row r="22" spans="1:10">
      <c r="A22" s="17">
        <v>15</v>
      </c>
      <c r="B22" s="82" t="s">
        <v>1403</v>
      </c>
      <c r="C22" s="490">
        <v>14807.814</v>
      </c>
      <c r="D22" s="490">
        <v>39.57100000000198</v>
      </c>
      <c r="E22" s="491" t="s">
        <v>1378</v>
      </c>
      <c r="F22" s="490">
        <v>4480.6840000000002</v>
      </c>
      <c r="G22" s="490">
        <v>0.1</v>
      </c>
      <c r="H22" s="6">
        <f t="shared" si="0"/>
        <v>19328.169000000002</v>
      </c>
      <c r="I22" s="129">
        <f t="shared" si="1"/>
        <v>2.5128549844016361</v>
      </c>
      <c r="J22" s="4"/>
    </row>
    <row r="23" spans="1:10">
      <c r="A23" s="17">
        <v>16</v>
      </c>
      <c r="B23" s="82" t="s">
        <v>1545</v>
      </c>
      <c r="C23" s="490">
        <v>10910.246999999999</v>
      </c>
      <c r="D23" s="490">
        <v>30047.762000000006</v>
      </c>
      <c r="E23" s="490">
        <v>622.20100000000002</v>
      </c>
      <c r="F23" s="490">
        <v>-69.771000000000001</v>
      </c>
      <c r="G23" s="490">
        <v>687.149</v>
      </c>
      <c r="H23" s="6">
        <f t="shared" si="0"/>
        <v>42197.588000000003</v>
      </c>
      <c r="I23" s="129">
        <f t="shared" si="1"/>
        <v>5.4861078323314878</v>
      </c>
      <c r="J23" s="4"/>
    </row>
    <row r="24" spans="1:10">
      <c r="A24" s="17">
        <v>17</v>
      </c>
      <c r="B24" s="82" t="s">
        <v>191</v>
      </c>
      <c r="C24" s="490">
        <v>8080.3119999999999</v>
      </c>
      <c r="D24" s="490">
        <v>1896.4930000000008</v>
      </c>
      <c r="E24" s="490">
        <v>18.004999999999999</v>
      </c>
      <c r="F24" s="490">
        <v>1.5249999999999999</v>
      </c>
      <c r="G24" s="490">
        <v>95.093999999999994</v>
      </c>
      <c r="H24" s="6">
        <f t="shared" si="0"/>
        <v>10091.428999999998</v>
      </c>
      <c r="I24" s="129">
        <f t="shared" si="1"/>
        <v>1.3119865447360901</v>
      </c>
      <c r="J24" s="4"/>
    </row>
    <row r="25" spans="1:10">
      <c r="A25" s="17">
        <v>18</v>
      </c>
      <c r="B25" s="82" t="s">
        <v>1841</v>
      </c>
      <c r="C25" s="490">
        <v>5026.1019999999999</v>
      </c>
      <c r="D25" s="490">
        <v>733.76399999999978</v>
      </c>
      <c r="E25" s="490">
        <v>22.579000000000001</v>
      </c>
      <c r="F25" s="490">
        <v>-1.121</v>
      </c>
      <c r="G25" s="490">
        <v>19.117000000000001</v>
      </c>
      <c r="H25" s="6">
        <f t="shared" si="0"/>
        <v>5800.4409999999998</v>
      </c>
      <c r="I25" s="129">
        <f t="shared" si="1"/>
        <v>0.75411525419596692</v>
      </c>
      <c r="J25" s="4"/>
    </row>
    <row r="26" spans="1:10">
      <c r="A26" s="17">
        <v>19</v>
      </c>
      <c r="B26" s="82" t="s">
        <v>1842</v>
      </c>
      <c r="C26" s="490">
        <v>2698.1579999999999</v>
      </c>
      <c r="D26" s="490">
        <v>160.535</v>
      </c>
      <c r="E26" s="490">
        <v>0.60299999999999998</v>
      </c>
      <c r="F26" s="490">
        <v>9.6000000000000002E-2</v>
      </c>
      <c r="G26" s="490">
        <v>19.138000000000002</v>
      </c>
      <c r="H26" s="6">
        <f t="shared" si="0"/>
        <v>2878.5299999999997</v>
      </c>
      <c r="I26" s="129">
        <f t="shared" si="1"/>
        <v>0.37423764549294042</v>
      </c>
      <c r="J26" s="4"/>
    </row>
    <row r="27" spans="1:10">
      <c r="A27" s="17">
        <v>20</v>
      </c>
      <c r="B27" s="82" t="s">
        <v>808</v>
      </c>
      <c r="C27" s="490">
        <v>1168.97</v>
      </c>
      <c r="D27" s="490">
        <v>2575.3449999999998</v>
      </c>
      <c r="E27" s="490">
        <v>531.16</v>
      </c>
      <c r="F27" s="490">
        <v>-2.3460000000000001</v>
      </c>
      <c r="G27" s="490">
        <v>38.859000000000002</v>
      </c>
      <c r="H27" s="6">
        <f t="shared" si="0"/>
        <v>4311.9880000000003</v>
      </c>
      <c r="I27" s="129">
        <f t="shared" si="1"/>
        <v>0.56060150024971545</v>
      </c>
      <c r="J27" s="4"/>
    </row>
    <row r="28" spans="1:10">
      <c r="A28" s="17">
        <v>21</v>
      </c>
      <c r="B28" s="82" t="s">
        <v>1387</v>
      </c>
      <c r="C28" s="490">
        <v>1518.222</v>
      </c>
      <c r="D28" s="490">
        <v>636.26299999999981</v>
      </c>
      <c r="E28" s="490">
        <v>6.6619999999999999</v>
      </c>
      <c r="F28" s="490">
        <v>0.499</v>
      </c>
      <c r="G28" s="490">
        <v>10.286</v>
      </c>
      <c r="H28" s="6">
        <f t="shared" si="0"/>
        <v>2171.9319999999993</v>
      </c>
      <c r="I28" s="129">
        <f t="shared" si="1"/>
        <v>0.28237284928445172</v>
      </c>
      <c r="J28" s="4"/>
    </row>
    <row r="29" spans="1:10">
      <c r="A29" s="17">
        <v>22</v>
      </c>
      <c r="B29" s="82" t="s">
        <v>1447</v>
      </c>
      <c r="C29" s="490">
        <v>3674.125</v>
      </c>
      <c r="D29" s="490">
        <v>12908.048999999997</v>
      </c>
      <c r="E29" s="490">
        <v>13774.436</v>
      </c>
      <c r="F29" s="490">
        <v>877.15899999999999</v>
      </c>
      <c r="G29" s="490">
        <v>13056.076999999999</v>
      </c>
      <c r="H29" s="6">
        <f t="shared" si="0"/>
        <v>44289.845999999998</v>
      </c>
      <c r="I29" s="129">
        <f t="shared" si="1"/>
        <v>5.7581222659777467</v>
      </c>
      <c r="J29" s="4"/>
    </row>
    <row r="30" spans="1:10">
      <c r="A30" s="17">
        <v>23</v>
      </c>
      <c r="B30" s="82" t="s">
        <v>1843</v>
      </c>
      <c r="C30" s="490">
        <v>12068.655000000001</v>
      </c>
      <c r="D30" s="490">
        <v>3291.5249999999983</v>
      </c>
      <c r="E30" s="490">
        <v>20.103000000000002</v>
      </c>
      <c r="F30" s="490">
        <v>50.981999999999999</v>
      </c>
      <c r="G30" s="490">
        <v>47.113999999999997</v>
      </c>
      <c r="H30" s="6">
        <f t="shared" si="0"/>
        <v>15478.378999999997</v>
      </c>
      <c r="I30" s="129">
        <f t="shared" si="1"/>
        <v>2.0123438397402054</v>
      </c>
      <c r="J30" s="4"/>
    </row>
    <row r="31" spans="1:10">
      <c r="A31" s="17">
        <v>24</v>
      </c>
      <c r="B31" s="82" t="s">
        <v>1182</v>
      </c>
      <c r="C31" s="490">
        <v>2834.0619999999999</v>
      </c>
      <c r="D31" s="490">
        <v>1370.5810000000004</v>
      </c>
      <c r="E31" s="490">
        <v>13.526</v>
      </c>
      <c r="F31" s="490">
        <v>-1.0049999999999999</v>
      </c>
      <c r="G31" s="490">
        <v>35.298000000000002</v>
      </c>
      <c r="H31" s="6">
        <f>SUM(C31:G31)</f>
        <v>4252.4619999999995</v>
      </c>
      <c r="I31" s="129">
        <f t="shared" si="1"/>
        <v>0.55286252581289763</v>
      </c>
      <c r="J31" s="4"/>
    </row>
    <row r="32" spans="1:10">
      <c r="A32" s="17">
        <v>25</v>
      </c>
      <c r="B32" s="82" t="s">
        <v>395</v>
      </c>
      <c r="C32" s="490">
        <v>72974.31</v>
      </c>
      <c r="D32" s="490">
        <v>0.21900000000582076</v>
      </c>
      <c r="E32" s="491" t="s">
        <v>1378</v>
      </c>
      <c r="F32" s="491" t="s">
        <v>1378</v>
      </c>
      <c r="G32" s="491" t="s">
        <v>1378</v>
      </c>
      <c r="H32" s="6">
        <f>SUM(C32:G32)</f>
        <v>72974.52900000001</v>
      </c>
      <c r="I32" s="129">
        <f t="shared" si="1"/>
        <v>9.4874175061285815</v>
      </c>
      <c r="J32" s="4"/>
    </row>
    <row r="33" spans="1:11">
      <c r="A33" s="17">
        <v>26</v>
      </c>
      <c r="B33" s="82" t="s">
        <v>396</v>
      </c>
      <c r="C33" s="490">
        <v>8.266</v>
      </c>
      <c r="D33" s="490">
        <v>0</v>
      </c>
      <c r="E33" s="490">
        <v>0</v>
      </c>
      <c r="F33" s="490">
        <v>47160.637000000002</v>
      </c>
      <c r="G33" s="490">
        <v>85.852000000000004</v>
      </c>
      <c r="H33" s="6">
        <f>SUM(C33:G33)</f>
        <v>47254.755000000005</v>
      </c>
      <c r="I33" s="129">
        <f t="shared" si="1"/>
        <v>6.1435900440661575</v>
      </c>
      <c r="J33" s="4"/>
    </row>
    <row r="34" spans="1:11">
      <c r="A34" s="47">
        <v>27</v>
      </c>
      <c r="B34" s="130" t="s">
        <v>668</v>
      </c>
      <c r="C34" s="490">
        <v>26634.542000000001</v>
      </c>
      <c r="D34" s="491" t="s">
        <v>1378</v>
      </c>
      <c r="E34" s="491" t="s">
        <v>1378</v>
      </c>
      <c r="F34" s="491" t="s">
        <v>1378</v>
      </c>
      <c r="G34" s="491" t="s">
        <v>1378</v>
      </c>
      <c r="H34" s="6">
        <f t="shared" si="0"/>
        <v>26634.542000000001</v>
      </c>
      <c r="I34" s="129">
        <f t="shared" si="1"/>
        <v>3.4627564370921382</v>
      </c>
      <c r="J34" s="4"/>
    </row>
    <row r="35" spans="1:11">
      <c r="A35" s="47"/>
      <c r="B35" s="130"/>
      <c r="C35" s="68"/>
      <c r="D35" s="66"/>
      <c r="E35" s="61"/>
      <c r="F35" s="68"/>
      <c r="G35" s="66"/>
      <c r="H35" s="6"/>
      <c r="I35" s="129"/>
      <c r="J35" s="4"/>
    </row>
    <row r="36" spans="1:11">
      <c r="A36" s="488"/>
      <c r="B36" s="488" t="s">
        <v>1844</v>
      </c>
      <c r="C36" s="131">
        <v>510298.04599999997</v>
      </c>
      <c r="D36" s="131">
        <v>162291.965</v>
      </c>
      <c r="E36" s="131">
        <v>26366.436000000002</v>
      </c>
      <c r="F36" s="131">
        <v>52594.671999999999</v>
      </c>
      <c r="G36" s="131">
        <v>17620.564999999999</v>
      </c>
      <c r="H36" s="131">
        <v>769171.68400000001</v>
      </c>
      <c r="I36" s="129">
        <f t="shared" si="1"/>
        <v>100</v>
      </c>
      <c r="J36" s="4"/>
    </row>
    <row r="37" spans="1:11" ht="13.5" thickBot="1">
      <c r="A37" s="32"/>
      <c r="B37" s="32" t="s">
        <v>1810</v>
      </c>
      <c r="C37" s="489">
        <f>C36/H$36*100</f>
        <v>66.343841903571686</v>
      </c>
      <c r="D37" s="489">
        <f>D36/H36*100</f>
        <v>21.099576125321846</v>
      </c>
      <c r="E37" s="489">
        <f>E36/H36*100</f>
        <v>3.427899979739764</v>
      </c>
      <c r="F37" s="489">
        <f>F36/H36*100</f>
        <v>6.8378325793906889</v>
      </c>
      <c r="G37" s="489">
        <f>G36/H36*100</f>
        <v>2.2908494119760134</v>
      </c>
      <c r="H37" s="489">
        <f>C37+D37+E37+F37+G37</f>
        <v>100</v>
      </c>
      <c r="I37" s="32"/>
      <c r="J37" s="4"/>
    </row>
    <row r="38" spans="1:11">
      <c r="A38" s="46" t="s">
        <v>179</v>
      </c>
      <c r="B38" s="4"/>
      <c r="C38" s="3"/>
      <c r="D38" s="3"/>
      <c r="E38" s="3"/>
      <c r="F38" s="3"/>
      <c r="G38" s="3"/>
      <c r="H38" s="6"/>
      <c r="I38" s="4"/>
      <c r="J38" s="4"/>
    </row>
    <row r="39" spans="1:11">
      <c r="A39" s="42" t="s">
        <v>539</v>
      </c>
      <c r="B39" s="4"/>
      <c r="C39" s="3"/>
      <c r="D39" s="3"/>
      <c r="E39" s="3"/>
      <c r="F39" s="3"/>
      <c r="G39" s="3"/>
      <c r="H39" s="6"/>
      <c r="I39" s="4"/>
      <c r="J39" s="4"/>
    </row>
    <row r="40" spans="1:11">
      <c r="A40" s="4"/>
      <c r="B40" s="4"/>
      <c r="C40" s="4"/>
      <c r="D40" s="4"/>
      <c r="E40" s="4"/>
      <c r="F40" s="4"/>
      <c r="G40" s="4"/>
      <c r="H40" s="4"/>
      <c r="I40" s="4"/>
      <c r="J40" s="58"/>
    </row>
    <row r="41" spans="1:11">
      <c r="J41" s="58"/>
    </row>
    <row r="42" spans="1:11">
      <c r="J42" s="58"/>
      <c r="K42" s="58"/>
    </row>
    <row r="43" spans="1:11">
      <c r="C43" s="61"/>
      <c r="D43" s="61"/>
      <c r="E43" s="61"/>
      <c r="F43" s="61"/>
      <c r="G43" s="61"/>
      <c r="H43" s="61"/>
      <c r="I43" s="61"/>
      <c r="J43" s="473"/>
      <c r="K43" s="473"/>
    </row>
    <row r="44" spans="1:11">
      <c r="C44" s="61"/>
      <c r="D44" s="61"/>
      <c r="E44" s="61"/>
      <c r="F44" s="61"/>
      <c r="G44" s="61"/>
      <c r="H44" s="61"/>
      <c r="I44" s="61"/>
      <c r="J44" s="473"/>
      <c r="K44" s="473"/>
    </row>
    <row r="45" spans="1:11">
      <c r="C45" s="61"/>
      <c r="D45" s="61"/>
      <c r="E45" s="61"/>
      <c r="F45" s="61"/>
      <c r="G45" s="61"/>
      <c r="H45" s="61"/>
      <c r="I45" s="61"/>
      <c r="J45" s="473"/>
      <c r="K45" s="473"/>
    </row>
    <row r="46" spans="1:11">
      <c r="C46" s="61"/>
      <c r="D46" s="61"/>
      <c r="E46" s="61"/>
      <c r="F46" s="61"/>
      <c r="G46" s="61"/>
      <c r="H46" s="61"/>
      <c r="I46" s="61"/>
      <c r="J46" s="473"/>
      <c r="K46" s="473"/>
    </row>
    <row r="47" spans="1:11">
      <c r="C47" s="61"/>
      <c r="D47" s="61"/>
      <c r="E47" s="61"/>
      <c r="F47" s="61"/>
      <c r="G47" s="61"/>
      <c r="H47" s="61"/>
      <c r="I47" s="61"/>
      <c r="J47" s="473"/>
      <c r="K47" s="473"/>
    </row>
    <row r="48" spans="1:11">
      <c r="C48" s="61"/>
      <c r="D48" s="61"/>
      <c r="E48" s="61"/>
      <c r="F48" s="61"/>
      <c r="G48" s="61"/>
      <c r="H48" s="61"/>
      <c r="I48" s="61"/>
      <c r="J48" s="473"/>
      <c r="K48" s="473"/>
    </row>
    <row r="49" spans="3:11">
      <c r="C49" s="61"/>
      <c r="D49" s="61"/>
      <c r="E49" s="61"/>
      <c r="F49" s="61"/>
      <c r="G49" s="61"/>
      <c r="H49" s="61"/>
      <c r="I49" s="61"/>
      <c r="J49" s="473"/>
      <c r="K49" s="473"/>
    </row>
    <row r="50" spans="3:11">
      <c r="C50" s="61"/>
      <c r="D50" s="61"/>
      <c r="E50" s="61"/>
      <c r="F50" s="61"/>
      <c r="G50" s="61"/>
      <c r="H50" s="61"/>
      <c r="I50" s="61"/>
      <c r="J50" s="473"/>
      <c r="K50" s="473"/>
    </row>
    <row r="51" spans="3:11">
      <c r="C51" s="61"/>
      <c r="D51" s="61"/>
      <c r="E51" s="61"/>
      <c r="F51" s="61"/>
      <c r="G51" s="61"/>
      <c r="H51" s="61"/>
      <c r="I51" s="61"/>
      <c r="J51" s="473"/>
      <c r="K51" s="473"/>
    </row>
    <row r="52" spans="3:11">
      <c r="C52" s="61"/>
      <c r="D52" s="61"/>
      <c r="E52" s="61"/>
      <c r="F52" s="61"/>
      <c r="G52" s="61"/>
      <c r="H52" s="61"/>
      <c r="I52" s="61"/>
      <c r="J52" s="473"/>
      <c r="K52" s="473"/>
    </row>
    <row r="53" spans="3:11">
      <c r="C53" s="61"/>
      <c r="D53" s="61"/>
      <c r="E53" s="61"/>
      <c r="F53" s="61"/>
      <c r="G53" s="61"/>
      <c r="H53" s="61"/>
      <c r="I53" s="61"/>
      <c r="J53" s="473"/>
      <c r="K53" s="473"/>
    </row>
    <row r="54" spans="3:11">
      <c r="C54" s="61"/>
      <c r="D54" s="61"/>
      <c r="E54" s="61"/>
      <c r="F54" s="61"/>
      <c r="G54" s="61"/>
      <c r="H54" s="61"/>
      <c r="I54" s="61"/>
      <c r="J54" s="473"/>
      <c r="K54" s="473"/>
    </row>
    <row r="55" spans="3:11">
      <c r="C55" s="61"/>
      <c r="D55" s="61"/>
      <c r="E55" s="61"/>
      <c r="F55" s="61"/>
      <c r="G55" s="61"/>
      <c r="H55" s="61"/>
      <c r="I55" s="61"/>
      <c r="J55" s="473"/>
      <c r="K55" s="473"/>
    </row>
    <row r="56" spans="3:11">
      <c r="C56" s="61"/>
      <c r="D56" s="61"/>
      <c r="E56" s="61"/>
      <c r="F56" s="61"/>
      <c r="G56" s="61"/>
      <c r="H56" s="61"/>
      <c r="I56" s="61"/>
      <c r="J56" s="473"/>
      <c r="K56" s="473"/>
    </row>
    <row r="57" spans="3:11">
      <c r="C57" s="61"/>
      <c r="D57" s="61"/>
      <c r="E57" s="61"/>
      <c r="F57" s="61"/>
      <c r="G57" s="61"/>
      <c r="H57" s="61"/>
      <c r="I57" s="61"/>
      <c r="J57" s="473"/>
      <c r="K57" s="473"/>
    </row>
    <row r="58" spans="3:11">
      <c r="C58" s="61"/>
      <c r="D58" s="61"/>
      <c r="E58" s="61"/>
      <c r="F58" s="61"/>
      <c r="G58" s="61"/>
      <c r="H58" s="61"/>
      <c r="I58" s="61"/>
      <c r="J58" s="473"/>
      <c r="K58" s="473"/>
    </row>
    <row r="59" spans="3:11">
      <c r="C59" s="61"/>
      <c r="D59" s="61"/>
      <c r="E59" s="61"/>
      <c r="F59" s="61"/>
      <c r="G59" s="61"/>
      <c r="H59" s="61"/>
      <c r="I59" s="61"/>
      <c r="J59" s="473"/>
      <c r="K59" s="473"/>
    </row>
    <row r="60" spans="3:11">
      <c r="C60" s="61"/>
      <c r="D60" s="61"/>
      <c r="E60" s="61"/>
      <c r="F60" s="61"/>
      <c r="G60" s="61"/>
      <c r="H60" s="61"/>
      <c r="I60" s="61"/>
      <c r="J60" s="473"/>
      <c r="K60" s="473"/>
    </row>
    <row r="61" spans="3:11">
      <c r="C61" s="61"/>
      <c r="D61" s="61"/>
      <c r="E61" s="61"/>
      <c r="F61" s="61"/>
      <c r="G61" s="61"/>
      <c r="H61" s="61"/>
      <c r="I61" s="61"/>
      <c r="J61" s="473"/>
      <c r="K61" s="473"/>
    </row>
    <row r="62" spans="3:11">
      <c r="C62" s="61"/>
      <c r="D62" s="61"/>
      <c r="E62" s="61"/>
      <c r="F62" s="61"/>
      <c r="G62" s="61"/>
      <c r="H62" s="61"/>
      <c r="I62" s="61"/>
      <c r="J62" s="473"/>
      <c r="K62" s="473"/>
    </row>
    <row r="63" spans="3:11">
      <c r="C63" s="61"/>
      <c r="D63" s="61"/>
      <c r="E63" s="61"/>
      <c r="F63" s="61"/>
      <c r="G63" s="61"/>
      <c r="H63" s="61"/>
      <c r="I63" s="61"/>
      <c r="J63" s="473"/>
      <c r="K63" s="473"/>
    </row>
    <row r="64" spans="3:11">
      <c r="C64" s="61"/>
      <c r="D64" s="61"/>
      <c r="E64" s="61"/>
      <c r="F64" s="61"/>
      <c r="G64" s="61"/>
      <c r="H64" s="61"/>
      <c r="I64" s="61"/>
      <c r="J64" s="473"/>
      <c r="K64" s="473"/>
    </row>
    <row r="65" spans="3:11">
      <c r="C65" s="61"/>
      <c r="D65" s="61"/>
      <c r="E65" s="61"/>
      <c r="F65" s="61"/>
      <c r="G65" s="61"/>
      <c r="H65" s="61"/>
      <c r="I65" s="61"/>
      <c r="J65" s="473"/>
      <c r="K65" s="473"/>
    </row>
    <row r="66" spans="3:11">
      <c r="C66" s="61"/>
      <c r="D66" s="61"/>
      <c r="E66" s="61"/>
      <c r="F66" s="61"/>
      <c r="G66" s="61"/>
      <c r="H66" s="61"/>
      <c r="I66" s="61"/>
      <c r="J66" s="473"/>
      <c r="K66" s="473"/>
    </row>
    <row r="67" spans="3:11">
      <c r="C67" s="61"/>
      <c r="D67" s="61"/>
      <c r="E67" s="61"/>
      <c r="F67" s="61"/>
      <c r="G67" s="61"/>
      <c r="H67" s="61"/>
      <c r="I67" s="61"/>
      <c r="J67" s="473"/>
      <c r="K67" s="473"/>
    </row>
    <row r="68" spans="3:11">
      <c r="C68" s="61"/>
      <c r="D68" s="61"/>
      <c r="E68" s="61"/>
      <c r="F68" s="61"/>
      <c r="G68" s="61"/>
      <c r="H68" s="61"/>
      <c r="I68" s="61"/>
      <c r="J68" s="473"/>
      <c r="K68" s="473"/>
    </row>
    <row r="69" spans="3:11">
      <c r="C69" s="61"/>
      <c r="D69" s="61"/>
      <c r="E69" s="61"/>
      <c r="F69" s="61"/>
      <c r="G69" s="61"/>
      <c r="H69" s="61"/>
      <c r="I69" s="61"/>
      <c r="J69" s="473"/>
      <c r="K69" s="473"/>
    </row>
    <row r="70" spans="3:11">
      <c r="C70" s="61"/>
      <c r="D70" s="61"/>
      <c r="E70" s="61"/>
      <c r="F70" s="61"/>
      <c r="G70" s="61"/>
      <c r="H70" s="61"/>
      <c r="I70" s="61"/>
      <c r="J70" s="473"/>
      <c r="K70" s="473"/>
    </row>
    <row r="71" spans="3:11">
      <c r="C71" s="61"/>
      <c r="D71" s="61"/>
      <c r="E71" s="61"/>
      <c r="F71" s="61"/>
      <c r="G71" s="61"/>
      <c r="H71" s="61"/>
      <c r="J71" s="58"/>
      <c r="K71" s="58"/>
    </row>
    <row r="72" spans="3:11">
      <c r="J72" s="58"/>
      <c r="K72" s="58"/>
    </row>
    <row r="73" spans="3:11">
      <c r="J73" s="58"/>
      <c r="K73" s="58"/>
    </row>
    <row r="74" spans="3:11">
      <c r="J74" s="58"/>
      <c r="K74" s="58"/>
    </row>
    <row r="75" spans="3:11">
      <c r="J75" s="58"/>
      <c r="K75" s="58"/>
    </row>
    <row r="76" spans="3:11">
      <c r="J76" s="58"/>
      <c r="K76" s="58"/>
    </row>
    <row r="77" spans="3:11">
      <c r="J77" s="58"/>
      <c r="K77" s="58"/>
    </row>
    <row r="78" spans="3:11">
      <c r="J78" s="58"/>
      <c r="K78" s="58"/>
    </row>
    <row r="79" spans="3:11">
      <c r="J79" s="58"/>
      <c r="K79" s="58"/>
    </row>
    <row r="80" spans="3:11">
      <c r="J80" s="58"/>
      <c r="K80" s="63"/>
    </row>
    <row r="81" spans="4:11">
      <c r="D81" s="61"/>
      <c r="E81" s="61"/>
      <c r="F81" s="61"/>
      <c r="G81" s="61"/>
      <c r="H81" s="61"/>
      <c r="I81" s="61"/>
      <c r="J81" s="473"/>
      <c r="K81" s="473"/>
    </row>
    <row r="82" spans="4:11">
      <c r="D82" s="61"/>
      <c r="E82" s="61"/>
      <c r="F82" s="61"/>
      <c r="G82" s="61"/>
      <c r="H82" s="61"/>
      <c r="I82" s="61"/>
      <c r="J82" s="473"/>
      <c r="K82" s="473"/>
    </row>
    <row r="83" spans="4:11">
      <c r="D83" s="61"/>
      <c r="E83" s="61"/>
      <c r="F83" s="61"/>
      <c r="G83" s="61"/>
      <c r="H83" s="61"/>
      <c r="I83" s="61"/>
      <c r="J83" s="473"/>
      <c r="K83" s="473"/>
    </row>
    <row r="84" spans="4:11">
      <c r="D84" s="61"/>
      <c r="E84" s="61"/>
      <c r="F84" s="61"/>
      <c r="G84" s="61"/>
      <c r="H84" s="61"/>
      <c r="I84" s="61"/>
      <c r="J84" s="473"/>
      <c r="K84" s="473"/>
    </row>
    <row r="85" spans="4:11">
      <c r="D85" s="61"/>
      <c r="E85" s="61"/>
      <c r="F85" s="61"/>
      <c r="G85" s="61"/>
      <c r="H85" s="61"/>
      <c r="I85" s="61"/>
      <c r="J85" s="473"/>
      <c r="K85" s="473"/>
    </row>
    <row r="86" spans="4:11">
      <c r="D86" s="61"/>
      <c r="E86" s="61"/>
      <c r="F86" s="61"/>
      <c r="G86" s="61"/>
      <c r="H86" s="61"/>
      <c r="I86" s="61"/>
      <c r="J86" s="473"/>
      <c r="K86" s="473"/>
    </row>
    <row r="87" spans="4:11">
      <c r="D87" s="61"/>
      <c r="E87" s="61"/>
      <c r="F87" s="61"/>
      <c r="G87" s="61"/>
      <c r="H87" s="61"/>
      <c r="I87" s="61"/>
      <c r="J87" s="473"/>
      <c r="K87" s="473"/>
    </row>
    <row r="88" spans="4:11">
      <c r="D88" s="61"/>
      <c r="E88" s="61"/>
      <c r="F88" s="61"/>
      <c r="G88" s="61"/>
      <c r="H88" s="61"/>
      <c r="I88" s="61"/>
      <c r="J88" s="473"/>
      <c r="K88" s="473"/>
    </row>
    <row r="89" spans="4:11">
      <c r="D89" s="61"/>
      <c r="E89" s="61"/>
      <c r="F89" s="61"/>
      <c r="G89" s="61"/>
      <c r="H89" s="61"/>
      <c r="I89" s="61"/>
      <c r="J89" s="473"/>
      <c r="K89" s="473"/>
    </row>
    <row r="90" spans="4:11">
      <c r="D90" s="61"/>
      <c r="E90" s="61"/>
      <c r="F90" s="61"/>
      <c r="G90" s="61"/>
      <c r="H90" s="61"/>
      <c r="I90" s="61"/>
      <c r="J90" s="473"/>
      <c r="K90" s="473"/>
    </row>
    <row r="91" spans="4:11">
      <c r="D91" s="61"/>
      <c r="E91" s="61"/>
      <c r="F91" s="61"/>
      <c r="G91" s="61"/>
      <c r="H91" s="61"/>
      <c r="I91" s="61"/>
      <c r="J91" s="473"/>
      <c r="K91" s="473"/>
    </row>
    <row r="92" spans="4:11">
      <c r="D92" s="61"/>
      <c r="E92" s="61"/>
      <c r="F92" s="61"/>
      <c r="G92" s="61"/>
      <c r="H92" s="61"/>
      <c r="I92" s="61"/>
      <c r="J92" s="473"/>
      <c r="K92" s="473"/>
    </row>
    <row r="93" spans="4:11">
      <c r="D93" s="61"/>
      <c r="E93" s="61"/>
      <c r="F93" s="61"/>
      <c r="G93" s="61"/>
      <c r="H93" s="61"/>
      <c r="I93" s="61"/>
      <c r="J93" s="473"/>
      <c r="K93" s="473"/>
    </row>
    <row r="94" spans="4:11">
      <c r="D94" s="61"/>
      <c r="E94" s="61"/>
      <c r="F94" s="61"/>
      <c r="G94" s="61"/>
      <c r="H94" s="61"/>
      <c r="I94" s="61"/>
      <c r="J94" s="473"/>
      <c r="K94" s="473"/>
    </row>
    <row r="95" spans="4:11">
      <c r="D95" s="61"/>
      <c r="E95" s="61"/>
      <c r="F95" s="61"/>
      <c r="G95" s="61"/>
      <c r="H95" s="61"/>
      <c r="I95" s="61"/>
      <c r="J95" s="473"/>
      <c r="K95" s="473"/>
    </row>
    <row r="96" spans="4:11">
      <c r="D96" s="61"/>
      <c r="E96" s="61"/>
      <c r="F96" s="61"/>
      <c r="G96" s="61"/>
      <c r="H96" s="61"/>
      <c r="I96" s="61"/>
      <c r="J96" s="473"/>
      <c r="K96" s="473"/>
    </row>
    <row r="97" spans="4:11">
      <c r="D97" s="61"/>
      <c r="E97" s="61"/>
      <c r="F97" s="61"/>
      <c r="G97" s="61"/>
      <c r="H97" s="61"/>
      <c r="I97" s="61"/>
      <c r="J97" s="473"/>
      <c r="K97" s="473"/>
    </row>
    <row r="98" spans="4:11">
      <c r="D98" s="61"/>
      <c r="E98" s="61"/>
      <c r="F98" s="61"/>
      <c r="G98" s="61"/>
      <c r="H98" s="61"/>
      <c r="I98" s="61"/>
      <c r="J98" s="473"/>
      <c r="K98" s="473"/>
    </row>
    <row r="99" spans="4:11">
      <c r="D99" s="61"/>
      <c r="E99" s="61"/>
      <c r="F99" s="61"/>
      <c r="G99" s="61"/>
      <c r="H99" s="61"/>
      <c r="I99" s="61"/>
      <c r="J99" s="473"/>
      <c r="K99" s="473"/>
    </row>
    <row r="100" spans="4:11">
      <c r="D100" s="61"/>
      <c r="E100" s="61"/>
      <c r="F100" s="61"/>
      <c r="G100" s="61"/>
      <c r="H100" s="61"/>
      <c r="I100" s="61"/>
      <c r="J100" s="473"/>
      <c r="K100" s="473"/>
    </row>
    <row r="101" spans="4:11">
      <c r="D101" s="61"/>
      <c r="E101" s="61"/>
      <c r="F101" s="61"/>
      <c r="G101" s="61"/>
      <c r="H101" s="61"/>
      <c r="I101" s="61"/>
      <c r="J101" s="473"/>
      <c r="K101" s="473"/>
    </row>
    <row r="102" spans="4:11">
      <c r="D102" s="61"/>
      <c r="E102" s="61"/>
      <c r="F102" s="61"/>
      <c r="G102" s="61"/>
      <c r="H102" s="61"/>
      <c r="I102" s="61"/>
      <c r="J102" s="473"/>
      <c r="K102" s="473"/>
    </row>
    <row r="103" spans="4:11">
      <c r="D103" s="61"/>
      <c r="E103" s="61"/>
      <c r="F103" s="61"/>
      <c r="G103" s="61"/>
      <c r="H103" s="61"/>
      <c r="I103" s="61"/>
      <c r="J103" s="473"/>
      <c r="K103" s="473"/>
    </row>
    <row r="104" spans="4:11">
      <c r="D104" s="61"/>
      <c r="E104" s="61"/>
      <c r="F104" s="61"/>
      <c r="G104" s="61"/>
      <c r="H104" s="61"/>
      <c r="I104" s="61"/>
      <c r="J104" s="473"/>
      <c r="K104" s="473"/>
    </row>
    <row r="105" spans="4:11">
      <c r="D105" s="61"/>
      <c r="E105" s="61"/>
      <c r="F105" s="61"/>
      <c r="G105" s="61"/>
      <c r="H105" s="61"/>
      <c r="I105" s="61"/>
      <c r="J105" s="473"/>
      <c r="K105" s="473"/>
    </row>
    <row r="106" spans="4:11">
      <c r="D106" s="61"/>
      <c r="E106" s="61"/>
      <c r="F106" s="61"/>
      <c r="G106" s="61"/>
      <c r="H106" s="61"/>
      <c r="I106" s="61"/>
      <c r="J106" s="473"/>
      <c r="K106" s="473"/>
    </row>
    <row r="107" spans="4:11">
      <c r="D107" s="61"/>
      <c r="E107" s="61"/>
      <c r="F107" s="61"/>
      <c r="G107" s="61"/>
      <c r="H107" s="61"/>
      <c r="I107" s="61"/>
      <c r="J107" s="473"/>
      <c r="K107" s="473"/>
    </row>
    <row r="108" spans="4:11">
      <c r="D108" s="61"/>
      <c r="E108" s="61"/>
      <c r="F108" s="61"/>
      <c r="G108" s="61"/>
      <c r="H108" s="61"/>
      <c r="I108" s="61"/>
      <c r="J108" s="473"/>
      <c r="K108" s="473"/>
    </row>
    <row r="109" spans="4:11">
      <c r="D109" s="61"/>
      <c r="E109" s="61"/>
      <c r="F109" s="61"/>
      <c r="G109" s="61"/>
      <c r="H109" s="61"/>
      <c r="I109" s="61"/>
      <c r="J109" s="473"/>
      <c r="K109" s="473"/>
    </row>
    <row r="110" spans="4:11">
      <c r="D110" s="61"/>
      <c r="E110" s="61"/>
      <c r="F110" s="61"/>
      <c r="G110" s="61"/>
      <c r="H110" s="61"/>
      <c r="I110" s="61"/>
      <c r="J110" s="473"/>
      <c r="K110" s="473"/>
    </row>
    <row r="111" spans="4:11" ht="11.25" customHeight="1">
      <c r="J111" s="58"/>
      <c r="K111" s="58"/>
    </row>
    <row r="112" spans="4:11"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row>
    <row r="118" spans="10:12" ht="11.25" customHeight="1">
      <c r="J118" s="58"/>
      <c r="K118" s="58"/>
    </row>
    <row r="119" spans="10:12" ht="11.25" customHeight="1">
      <c r="J119" s="58"/>
      <c r="K119" s="58"/>
    </row>
    <row r="120" spans="10:12" ht="11.25" customHeight="1">
      <c r="J120" s="58"/>
      <c r="K120" s="58"/>
    </row>
    <row r="121" spans="10:12" ht="11.25" customHeight="1">
      <c r="J121" s="58"/>
      <c r="K121" s="58"/>
      <c r="L121" s="59"/>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J544" s="58"/>
      <c r="K544" s="58"/>
      <c r="L544" s="58"/>
    </row>
    <row r="545" spans="10:12" ht="11.25" customHeight="1">
      <c r="J545" s="58"/>
      <c r="K545" s="58"/>
      <c r="L545" s="58"/>
    </row>
    <row r="546" spans="10:12" ht="11.25" customHeight="1">
      <c r="J546" s="58"/>
      <c r="K546" s="58"/>
      <c r="L546" s="58"/>
    </row>
    <row r="547" spans="10:12" ht="11.25" customHeight="1">
      <c r="J547" s="58"/>
      <c r="K547" s="58"/>
      <c r="L547" s="58"/>
    </row>
    <row r="548" spans="10:12" ht="11.25" customHeight="1">
      <c r="K548" s="58"/>
      <c r="L548" s="58"/>
    </row>
    <row r="549" spans="10:12" ht="11.25" customHeight="1">
      <c r="K549" s="58"/>
      <c r="L549" s="58"/>
    </row>
    <row r="550" spans="10:12" ht="11.25" customHeight="1">
      <c r="K550" s="58"/>
      <c r="L550" s="58"/>
    </row>
    <row r="551" spans="10:12" ht="11.25" customHeight="1">
      <c r="K551" s="58"/>
      <c r="L551" s="58"/>
    </row>
    <row r="552" spans="10:12" ht="11.25" customHeight="1">
      <c r="K552" s="58"/>
      <c r="L552" s="58"/>
    </row>
    <row r="553" spans="10:12" ht="11.25" customHeight="1">
      <c r="K553" s="58"/>
      <c r="L553" s="58"/>
    </row>
    <row r="554" spans="10:12" ht="11.25" customHeight="1">
      <c r="K554" s="58"/>
      <c r="L554" s="58"/>
    </row>
    <row r="555" spans="10:12" ht="11.25" customHeight="1">
      <c r="K555" s="58"/>
      <c r="L555" s="58"/>
    </row>
    <row r="556" spans="10:12" ht="11.25" customHeight="1">
      <c r="K556" s="58"/>
      <c r="L556" s="58"/>
    </row>
    <row r="557" spans="10:12" ht="11.25" customHeight="1">
      <c r="K557" s="58"/>
      <c r="L557" s="58"/>
    </row>
    <row r="558" spans="10:12" ht="11.25" customHeight="1">
      <c r="K558" s="58"/>
      <c r="L558" s="58"/>
    </row>
    <row r="559" spans="10:12" ht="11.25" customHeight="1">
      <c r="K559" s="58"/>
      <c r="L559" s="58"/>
    </row>
    <row r="560" spans="10: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row r="869" spans="11:12" ht="11.25" customHeight="1">
      <c r="K869" s="58"/>
      <c r="L869" s="58"/>
    </row>
    <row r="870" spans="11:12" ht="11.25" customHeight="1">
      <c r="K870" s="58"/>
      <c r="L870" s="58"/>
    </row>
    <row r="871" spans="11:12" ht="11.25" customHeight="1">
      <c r="K871" s="58"/>
      <c r="L871" s="58"/>
    </row>
    <row r="872" spans="11:12" ht="11.25" customHeight="1">
      <c r="K872" s="58"/>
      <c r="L872" s="58"/>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68"/>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1851</v>
      </c>
      <c r="B1" s="4"/>
      <c r="C1" s="4"/>
      <c r="D1" s="4"/>
      <c r="E1" s="4"/>
      <c r="F1" s="4"/>
      <c r="G1" s="4"/>
      <c r="H1" s="4"/>
      <c r="I1" s="4"/>
      <c r="J1" s="58"/>
      <c r="K1" s="58"/>
    </row>
    <row r="2" spans="1:13">
      <c r="A2" s="1" t="s">
        <v>1852</v>
      </c>
      <c r="B2" s="4"/>
      <c r="C2" s="4"/>
      <c r="D2" s="4"/>
      <c r="E2" s="4"/>
      <c r="F2" s="4"/>
      <c r="G2" s="4"/>
      <c r="H2" s="4"/>
      <c r="I2" s="4"/>
      <c r="J2" s="58"/>
      <c r="K2" s="58"/>
    </row>
    <row r="3" spans="1:13">
      <c r="A3" s="7" t="s">
        <v>1853</v>
      </c>
      <c r="B3" s="4"/>
      <c r="C3" s="4"/>
      <c r="D3" s="4"/>
      <c r="E3" s="4"/>
      <c r="F3" s="4"/>
      <c r="G3" s="4"/>
      <c r="H3" s="4"/>
      <c r="I3" s="4"/>
      <c r="J3" s="58"/>
      <c r="K3" s="58"/>
    </row>
    <row r="4" spans="1:13" ht="13.5" customHeight="1" thickBot="1">
      <c r="A4" s="481"/>
      <c r="B4" s="482"/>
      <c r="C4" s="483"/>
      <c r="D4" s="483"/>
      <c r="E4" s="483"/>
      <c r="F4" s="483"/>
      <c r="G4" s="483"/>
      <c r="H4" s="484"/>
      <c r="I4" s="4"/>
      <c r="J4" s="55"/>
      <c r="K4" s="58"/>
    </row>
    <row r="5" spans="1:13" ht="12.75" customHeight="1">
      <c r="A5" s="470" t="s">
        <v>1805</v>
      </c>
      <c r="B5" s="485"/>
      <c r="C5" s="437" t="s">
        <v>1806</v>
      </c>
      <c r="D5" s="437" t="s">
        <v>1807</v>
      </c>
      <c r="E5" s="437" t="s">
        <v>1808</v>
      </c>
      <c r="F5" s="437" t="s">
        <v>1093</v>
      </c>
      <c r="G5" s="437" t="s">
        <v>1809</v>
      </c>
      <c r="H5" s="471" t="s">
        <v>178</v>
      </c>
      <c r="I5" s="437" t="s">
        <v>1810</v>
      </c>
      <c r="J5" s="55"/>
      <c r="K5" s="58"/>
    </row>
    <row r="6" spans="1:13" ht="13.5" customHeight="1" thickBot="1">
      <c r="A6" s="39"/>
      <c r="B6" s="44"/>
      <c r="C6" s="39" t="s">
        <v>1811</v>
      </c>
      <c r="D6" s="39" t="s">
        <v>1812</v>
      </c>
      <c r="E6" s="39" t="s">
        <v>1813</v>
      </c>
      <c r="F6" s="39"/>
      <c r="G6" s="39" t="s">
        <v>1814</v>
      </c>
      <c r="H6" s="472"/>
      <c r="I6" s="39"/>
      <c r="J6" s="55"/>
      <c r="K6" s="58"/>
    </row>
    <row r="7" spans="1:13">
      <c r="A7" s="47"/>
      <c r="B7" s="48"/>
      <c r="C7" s="486"/>
      <c r="D7" s="486"/>
      <c r="E7" s="486"/>
      <c r="F7" s="486"/>
      <c r="G7" s="486"/>
      <c r="H7" s="487"/>
      <c r="I7" s="486"/>
      <c r="J7" s="55"/>
      <c r="K7" s="58"/>
    </row>
    <row r="8" spans="1:13">
      <c r="A8" s="17">
        <v>1</v>
      </c>
      <c r="B8" s="82" t="s">
        <v>1294</v>
      </c>
      <c r="C8" s="490">
        <v>1253</v>
      </c>
      <c r="D8" s="490">
        <v>9418</v>
      </c>
      <c r="E8" s="490">
        <v>41</v>
      </c>
      <c r="F8" s="490">
        <v>-33</v>
      </c>
      <c r="G8" s="490">
        <v>286</v>
      </c>
      <c r="H8" s="6">
        <f t="shared" ref="H8:H34" si="0">SUM(C8:G8)</f>
        <v>10965</v>
      </c>
      <c r="I8" s="129">
        <f>H8/H$36*100</f>
        <v>1.3875123854935949</v>
      </c>
      <c r="J8" s="55"/>
      <c r="K8" s="58"/>
    </row>
    <row r="9" spans="1:13">
      <c r="A9" s="17">
        <v>2</v>
      </c>
      <c r="B9" s="82" t="s">
        <v>824</v>
      </c>
      <c r="C9" s="490">
        <v>9506</v>
      </c>
      <c r="D9" s="490">
        <v>1780</v>
      </c>
      <c r="E9" s="490">
        <v>18</v>
      </c>
      <c r="F9" s="490">
        <v>18</v>
      </c>
      <c r="G9" s="490">
        <v>55</v>
      </c>
      <c r="H9" s="6">
        <f t="shared" si="0"/>
        <v>11377</v>
      </c>
      <c r="I9" s="129">
        <f t="shared" ref="I9:I36" si="1">H9/H$36*100</f>
        <v>1.4396469137948589</v>
      </c>
      <c r="J9" s="55"/>
      <c r="K9" s="58"/>
    </row>
    <row r="10" spans="1:13">
      <c r="A10" s="17">
        <v>3</v>
      </c>
      <c r="B10" s="82" t="s">
        <v>825</v>
      </c>
      <c r="C10" s="490">
        <v>120</v>
      </c>
      <c r="D10" s="490">
        <v>8958</v>
      </c>
      <c r="E10" s="490">
        <v>-57</v>
      </c>
      <c r="F10" s="490">
        <v>31</v>
      </c>
      <c r="G10" s="490">
        <v>394</v>
      </c>
      <c r="H10" s="6">
        <f t="shared" si="0"/>
        <v>9446</v>
      </c>
      <c r="I10" s="129">
        <f t="shared" si="1"/>
        <v>1.1952979474119925</v>
      </c>
      <c r="J10" s="55"/>
      <c r="K10" s="58"/>
    </row>
    <row r="11" spans="1:13">
      <c r="A11" s="17">
        <v>4</v>
      </c>
      <c r="B11" s="82" t="s">
        <v>826</v>
      </c>
      <c r="C11" s="490">
        <v>422</v>
      </c>
      <c r="D11" s="490">
        <v>30944</v>
      </c>
      <c r="E11" s="490">
        <v>3</v>
      </c>
      <c r="F11" s="490">
        <v>124</v>
      </c>
      <c r="G11" s="490">
        <v>1199</v>
      </c>
      <c r="H11" s="6">
        <f t="shared" si="0"/>
        <v>32692</v>
      </c>
      <c r="I11" s="129">
        <f t="shared" si="1"/>
        <v>4.1368495126818612</v>
      </c>
      <c r="J11" s="55"/>
      <c r="K11" s="58"/>
    </row>
    <row r="12" spans="1:13">
      <c r="A12" s="17">
        <v>5</v>
      </c>
      <c r="B12" s="82" t="s">
        <v>827</v>
      </c>
      <c r="C12" s="490">
        <v>1442</v>
      </c>
      <c r="D12" s="490">
        <v>303</v>
      </c>
      <c r="E12" s="490">
        <v>1</v>
      </c>
      <c r="F12" s="490">
        <v>0</v>
      </c>
      <c r="G12" s="490">
        <v>4</v>
      </c>
      <c r="H12" s="6">
        <f t="shared" si="0"/>
        <v>1750</v>
      </c>
      <c r="I12" s="129">
        <f t="shared" si="1"/>
        <v>0.2214452051631364</v>
      </c>
      <c r="J12" s="55"/>
      <c r="K12" s="58"/>
    </row>
    <row r="13" spans="1:13">
      <c r="A13" s="17">
        <v>6</v>
      </c>
      <c r="B13" s="82" t="s">
        <v>828</v>
      </c>
      <c r="C13" s="490">
        <v>2115</v>
      </c>
      <c r="D13" s="490">
        <v>30731</v>
      </c>
      <c r="E13" s="490">
        <v>9466</v>
      </c>
      <c r="F13" s="490">
        <v>47</v>
      </c>
      <c r="G13" s="490">
        <v>671</v>
      </c>
      <c r="H13" s="6">
        <f t="shared" si="0"/>
        <v>43030</v>
      </c>
      <c r="I13" s="129">
        <f t="shared" si="1"/>
        <v>5.4450212446684345</v>
      </c>
      <c r="J13" s="55"/>
      <c r="K13" s="58"/>
      <c r="L13" s="61"/>
      <c r="M13" s="61"/>
    </row>
    <row r="14" spans="1:13">
      <c r="A14" s="17">
        <v>7</v>
      </c>
      <c r="B14" s="82" t="s">
        <v>829</v>
      </c>
      <c r="C14" s="490">
        <v>25299</v>
      </c>
      <c r="D14" s="490">
        <v>1833</v>
      </c>
      <c r="E14" s="490">
        <v>3</v>
      </c>
      <c r="F14" s="490">
        <v>2</v>
      </c>
      <c r="G14" s="490">
        <v>317</v>
      </c>
      <c r="H14" s="6">
        <f t="shared" si="0"/>
        <v>27454</v>
      </c>
      <c r="I14" s="129">
        <f t="shared" si="1"/>
        <v>3.4740323785992846</v>
      </c>
      <c r="J14" s="55"/>
      <c r="K14" s="58"/>
    </row>
    <row r="15" spans="1:13">
      <c r="A15" s="17">
        <v>8</v>
      </c>
      <c r="B15" s="82" t="s">
        <v>1231</v>
      </c>
      <c r="C15" s="490">
        <v>2716</v>
      </c>
      <c r="D15" s="490">
        <v>3355</v>
      </c>
      <c r="E15" s="490">
        <v>5</v>
      </c>
      <c r="F15" s="490">
        <v>2</v>
      </c>
      <c r="G15" s="490">
        <v>56</v>
      </c>
      <c r="H15" s="6">
        <f t="shared" si="0"/>
        <v>6134</v>
      </c>
      <c r="I15" s="129">
        <f t="shared" si="1"/>
        <v>0.77619707912610214</v>
      </c>
      <c r="J15" s="55"/>
      <c r="K15" s="58"/>
    </row>
    <row r="16" spans="1:13">
      <c r="A16" s="17">
        <v>9</v>
      </c>
      <c r="B16" s="82" t="s">
        <v>1837</v>
      </c>
      <c r="C16" s="490">
        <v>43420</v>
      </c>
      <c r="D16" s="490">
        <v>5649</v>
      </c>
      <c r="E16" s="490">
        <v>15</v>
      </c>
      <c r="F16" s="490">
        <v>-11</v>
      </c>
      <c r="G16" s="490">
        <v>58</v>
      </c>
      <c r="H16" s="6">
        <f t="shared" si="0"/>
        <v>49131</v>
      </c>
      <c r="I16" s="129">
        <f t="shared" si="1"/>
        <v>6.2170424999257463</v>
      </c>
      <c r="J16" s="55"/>
      <c r="K16" s="58"/>
    </row>
    <row r="17" spans="1:11">
      <c r="A17" s="17">
        <v>10</v>
      </c>
      <c r="B17" s="82" t="s">
        <v>383</v>
      </c>
      <c r="C17" s="490">
        <v>106765</v>
      </c>
      <c r="D17" s="490">
        <v>8559</v>
      </c>
      <c r="E17" s="490">
        <v>2</v>
      </c>
      <c r="F17" s="490">
        <v>41</v>
      </c>
      <c r="G17" s="490">
        <v>495</v>
      </c>
      <c r="H17" s="6">
        <f t="shared" si="0"/>
        <v>115862</v>
      </c>
      <c r="I17" s="129">
        <f t="shared" si="1"/>
        <v>14.661191063206463</v>
      </c>
      <c r="J17" s="55"/>
      <c r="K17" s="58"/>
    </row>
    <row r="18" spans="1:11">
      <c r="A18" s="17">
        <v>11</v>
      </c>
      <c r="B18" s="82" t="s">
        <v>384</v>
      </c>
      <c r="C18" s="490">
        <v>42591</v>
      </c>
      <c r="D18" s="491">
        <v>0</v>
      </c>
      <c r="E18" s="491" t="s">
        <v>1378</v>
      </c>
      <c r="F18" s="491" t="s">
        <v>1378</v>
      </c>
      <c r="G18" s="491" t="s">
        <v>1378</v>
      </c>
      <c r="H18" s="6">
        <f t="shared" si="0"/>
        <v>42591</v>
      </c>
      <c r="I18" s="129">
        <f t="shared" si="1"/>
        <v>5.3894701332017965</v>
      </c>
      <c r="J18" s="55"/>
      <c r="K18" s="58"/>
    </row>
    <row r="19" spans="1:11">
      <c r="A19" s="17">
        <v>12</v>
      </c>
      <c r="B19" s="82" t="s">
        <v>190</v>
      </c>
      <c r="C19" s="490">
        <v>66393</v>
      </c>
      <c r="D19" s="491">
        <v>0</v>
      </c>
      <c r="E19" s="491" t="s">
        <v>1378</v>
      </c>
      <c r="F19" s="491">
        <v>0</v>
      </c>
      <c r="G19" s="491" t="s">
        <v>1378</v>
      </c>
      <c r="H19" s="6">
        <f t="shared" si="0"/>
        <v>66393</v>
      </c>
      <c r="I19" s="129">
        <f t="shared" si="1"/>
        <v>8.4013780036549228</v>
      </c>
      <c r="J19" s="55"/>
      <c r="K19" s="58"/>
    </row>
    <row r="20" spans="1:11">
      <c r="A20" s="17">
        <v>13</v>
      </c>
      <c r="B20" s="82" t="s">
        <v>1839</v>
      </c>
      <c r="C20" s="490">
        <v>44483</v>
      </c>
      <c r="D20" s="490">
        <v>7180</v>
      </c>
      <c r="E20" s="490">
        <v>4</v>
      </c>
      <c r="F20" s="490">
        <v>20</v>
      </c>
      <c r="G20" s="490">
        <v>94</v>
      </c>
      <c r="H20" s="6">
        <f t="shared" si="0"/>
        <v>51781</v>
      </c>
      <c r="I20" s="129">
        <f t="shared" si="1"/>
        <v>6.5523738106013525</v>
      </c>
      <c r="J20" s="55"/>
      <c r="K20" s="58"/>
    </row>
    <row r="21" spans="1:11">
      <c r="A21" s="17">
        <v>14</v>
      </c>
      <c r="B21" s="82" t="s">
        <v>1840</v>
      </c>
      <c r="C21" s="490">
        <v>278</v>
      </c>
      <c r="D21" s="490">
        <v>738</v>
      </c>
      <c r="E21" s="490">
        <v>0</v>
      </c>
      <c r="F21" s="490">
        <v>1</v>
      </c>
      <c r="G21" s="490">
        <v>14</v>
      </c>
      <c r="H21" s="6">
        <f t="shared" si="0"/>
        <v>1031</v>
      </c>
      <c r="I21" s="129">
        <f t="shared" si="1"/>
        <v>0.13046286087039638</v>
      </c>
      <c r="J21" s="55"/>
      <c r="K21" s="58"/>
    </row>
    <row r="22" spans="1:11">
      <c r="A22" s="17">
        <v>15</v>
      </c>
      <c r="B22" s="82" t="s">
        <v>1403</v>
      </c>
      <c r="C22" s="490">
        <v>14543</v>
      </c>
      <c r="D22" s="490">
        <v>40</v>
      </c>
      <c r="E22" s="491" t="s">
        <v>1378</v>
      </c>
      <c r="F22" s="490">
        <v>4527</v>
      </c>
      <c r="G22" s="490">
        <v>0</v>
      </c>
      <c r="H22" s="6">
        <f t="shared" si="0"/>
        <v>19110</v>
      </c>
      <c r="I22" s="129">
        <f t="shared" si="1"/>
        <v>2.4181816403814498</v>
      </c>
      <c r="J22" s="55"/>
      <c r="K22" s="58"/>
    </row>
    <row r="23" spans="1:11">
      <c r="A23" s="17">
        <v>16</v>
      </c>
      <c r="B23" s="82" t="s">
        <v>1545</v>
      </c>
      <c r="C23" s="490">
        <v>11398</v>
      </c>
      <c r="D23" s="490">
        <v>31807</v>
      </c>
      <c r="E23" s="490">
        <v>878</v>
      </c>
      <c r="F23" s="490">
        <v>-143</v>
      </c>
      <c r="G23" s="490">
        <v>584</v>
      </c>
      <c r="H23" s="6">
        <f t="shared" si="0"/>
        <v>44524</v>
      </c>
      <c r="I23" s="129">
        <f t="shared" si="1"/>
        <v>5.6340721798191353</v>
      </c>
      <c r="J23" s="55"/>
      <c r="K23" s="58"/>
    </row>
    <row r="24" spans="1:11">
      <c r="A24" s="17">
        <v>17</v>
      </c>
      <c r="B24" s="82" t="s">
        <v>191</v>
      </c>
      <c r="C24" s="490">
        <v>7911</v>
      </c>
      <c r="D24" s="490">
        <v>2085</v>
      </c>
      <c r="E24" s="490">
        <v>18</v>
      </c>
      <c r="F24" s="490">
        <v>6</v>
      </c>
      <c r="G24" s="490">
        <v>98</v>
      </c>
      <c r="H24" s="6">
        <f t="shared" si="0"/>
        <v>10118</v>
      </c>
      <c r="I24" s="129">
        <f t="shared" si="1"/>
        <v>1.2803329061946369</v>
      </c>
      <c r="J24" s="55"/>
      <c r="K24" s="58"/>
    </row>
    <row r="25" spans="1:11" ht="22.5">
      <c r="A25" s="195">
        <v>18</v>
      </c>
      <c r="B25" s="51" t="s">
        <v>1854</v>
      </c>
      <c r="C25" s="492">
        <v>1260</v>
      </c>
      <c r="D25" s="492">
        <v>771</v>
      </c>
      <c r="E25" s="492">
        <v>26</v>
      </c>
      <c r="F25" s="492">
        <v>-1</v>
      </c>
      <c r="G25" s="492">
        <v>18</v>
      </c>
      <c r="H25" s="493">
        <f t="shared" si="0"/>
        <v>2074</v>
      </c>
      <c r="I25" s="494">
        <f t="shared" si="1"/>
        <v>0.26244420314762568</v>
      </c>
      <c r="J25" s="55"/>
      <c r="K25" s="58"/>
    </row>
    <row r="26" spans="1:11">
      <c r="A26" s="17">
        <v>19</v>
      </c>
      <c r="B26" s="82" t="s">
        <v>1842</v>
      </c>
      <c r="C26" s="490">
        <v>2529</v>
      </c>
      <c r="D26" s="490">
        <v>196</v>
      </c>
      <c r="E26" s="490">
        <v>1</v>
      </c>
      <c r="F26" s="490">
        <v>0</v>
      </c>
      <c r="G26" s="490">
        <v>72</v>
      </c>
      <c r="H26" s="6">
        <f t="shared" si="0"/>
        <v>2798</v>
      </c>
      <c r="I26" s="129">
        <f t="shared" si="1"/>
        <v>0.35405924802654615</v>
      </c>
      <c r="J26" s="55"/>
      <c r="K26" s="58"/>
    </row>
    <row r="27" spans="1:11">
      <c r="A27" s="17">
        <v>20</v>
      </c>
      <c r="B27" s="82" t="s">
        <v>808</v>
      </c>
      <c r="C27" s="490">
        <v>1454</v>
      </c>
      <c r="D27" s="490">
        <v>2740</v>
      </c>
      <c r="E27" s="490">
        <v>445</v>
      </c>
      <c r="F27" s="490">
        <v>-1</v>
      </c>
      <c r="G27" s="490">
        <v>28</v>
      </c>
      <c r="H27" s="6">
        <f t="shared" si="0"/>
        <v>4666</v>
      </c>
      <c r="I27" s="129">
        <f t="shared" si="1"/>
        <v>0.59043618702353973</v>
      </c>
      <c r="J27" s="55"/>
      <c r="K27" s="58"/>
    </row>
    <row r="28" spans="1:11">
      <c r="A28" s="17">
        <v>21</v>
      </c>
      <c r="B28" s="82" t="s">
        <v>1387</v>
      </c>
      <c r="C28" s="490">
        <v>1440</v>
      </c>
      <c r="D28" s="490">
        <v>619</v>
      </c>
      <c r="E28" s="490">
        <v>6</v>
      </c>
      <c r="F28" s="490">
        <v>0</v>
      </c>
      <c r="G28" s="490">
        <v>13</v>
      </c>
      <c r="H28" s="6">
        <f t="shared" si="0"/>
        <v>2078</v>
      </c>
      <c r="I28" s="129">
        <f t="shared" si="1"/>
        <v>0.26295036361656998</v>
      </c>
      <c r="J28" s="55"/>
      <c r="K28" s="58"/>
    </row>
    <row r="29" spans="1:11">
      <c r="A29" s="17">
        <v>22</v>
      </c>
      <c r="B29" s="82" t="s">
        <v>1447</v>
      </c>
      <c r="C29" s="490">
        <v>3437</v>
      </c>
      <c r="D29" s="490">
        <v>13689</v>
      </c>
      <c r="E29" s="490">
        <v>16691</v>
      </c>
      <c r="F29" s="490">
        <v>1790</v>
      </c>
      <c r="G29" s="490">
        <v>25877</v>
      </c>
      <c r="H29" s="6">
        <f t="shared" si="0"/>
        <v>61484</v>
      </c>
      <c r="I29" s="129">
        <f t="shared" si="1"/>
        <v>7.7801925681430166</v>
      </c>
      <c r="J29" s="55"/>
      <c r="K29" s="58"/>
    </row>
    <row r="30" spans="1:11">
      <c r="A30" s="17">
        <v>23</v>
      </c>
      <c r="B30" s="82" t="s">
        <v>1843</v>
      </c>
      <c r="C30" s="490">
        <v>12829</v>
      </c>
      <c r="D30" s="490">
        <v>3543</v>
      </c>
      <c r="E30" s="490">
        <v>17</v>
      </c>
      <c r="F30" s="490">
        <v>23</v>
      </c>
      <c r="G30" s="490">
        <v>97</v>
      </c>
      <c r="H30" s="6">
        <f t="shared" si="0"/>
        <v>16509</v>
      </c>
      <c r="I30" s="129">
        <f t="shared" si="1"/>
        <v>2.0890507954504112</v>
      </c>
      <c r="J30" s="55"/>
      <c r="K30" s="58"/>
    </row>
    <row r="31" spans="1:11">
      <c r="A31" s="17">
        <v>24</v>
      </c>
      <c r="B31" s="82" t="s">
        <v>1182</v>
      </c>
      <c r="C31" s="490">
        <v>2627</v>
      </c>
      <c r="D31" s="490">
        <v>2003</v>
      </c>
      <c r="E31" s="490">
        <v>8</v>
      </c>
      <c r="F31" s="490">
        <v>1</v>
      </c>
      <c r="G31" s="490">
        <v>8122</v>
      </c>
      <c r="H31" s="6">
        <f>SUM(C31:G31)</f>
        <v>12761</v>
      </c>
      <c r="I31" s="129">
        <f t="shared" si="1"/>
        <v>1.6147784360495909</v>
      </c>
      <c r="J31" s="55"/>
      <c r="K31" s="58"/>
    </row>
    <row r="32" spans="1:11">
      <c r="A32" s="17">
        <v>25</v>
      </c>
      <c r="B32" s="82" t="s">
        <v>395</v>
      </c>
      <c r="C32" s="490">
        <v>64767</v>
      </c>
      <c r="D32" s="490">
        <v>3</v>
      </c>
      <c r="E32" s="491" t="s">
        <v>1378</v>
      </c>
      <c r="F32" s="491" t="s">
        <v>1378</v>
      </c>
      <c r="G32" s="491" t="s">
        <v>1378</v>
      </c>
      <c r="H32" s="6">
        <f>SUM(C32:G32)</f>
        <v>64770</v>
      </c>
      <c r="I32" s="129">
        <f t="shared" si="1"/>
        <v>8.1960033933807708</v>
      </c>
      <c r="J32" s="55"/>
      <c r="K32" s="58"/>
    </row>
    <row r="33" spans="1:11">
      <c r="A33" s="17">
        <v>26</v>
      </c>
      <c r="B33" s="82" t="s">
        <v>396</v>
      </c>
      <c r="C33" s="490">
        <v>7</v>
      </c>
      <c r="D33" s="490">
        <v>4</v>
      </c>
      <c r="E33" s="491" t="s">
        <v>1378</v>
      </c>
      <c r="F33" s="490">
        <v>33126</v>
      </c>
      <c r="G33" s="490">
        <v>15069</v>
      </c>
      <c r="H33" s="6">
        <f>SUM(C33:G33)</f>
        <v>48206</v>
      </c>
      <c r="I33" s="129">
        <f t="shared" si="1"/>
        <v>6.0999928914823736</v>
      </c>
      <c r="J33" s="55"/>
      <c r="K33" s="58"/>
    </row>
    <row r="34" spans="1:11">
      <c r="A34" s="47">
        <v>27</v>
      </c>
      <c r="B34" s="82" t="s">
        <v>668</v>
      </c>
      <c r="C34" s="490">
        <v>31524</v>
      </c>
      <c r="D34" s="491">
        <v>0</v>
      </c>
      <c r="E34" s="491" t="s">
        <v>1378</v>
      </c>
      <c r="F34" s="491">
        <v>2</v>
      </c>
      <c r="G34" s="491" t="s">
        <v>1378</v>
      </c>
      <c r="H34" s="6">
        <f t="shared" si="0"/>
        <v>31526</v>
      </c>
      <c r="I34" s="129">
        <f t="shared" si="1"/>
        <v>3.9893037359845938</v>
      </c>
      <c r="J34" s="55"/>
      <c r="K34" s="58"/>
    </row>
    <row r="35" spans="1:11">
      <c r="A35" s="47"/>
      <c r="B35" s="130"/>
      <c r="C35" s="68"/>
      <c r="D35" s="66"/>
      <c r="E35" s="181"/>
      <c r="F35" s="66"/>
      <c r="G35" s="66"/>
      <c r="H35" s="6"/>
      <c r="I35" s="129"/>
      <c r="J35" s="55"/>
      <c r="K35" s="58"/>
    </row>
    <row r="36" spans="1:11">
      <c r="A36" s="488"/>
      <c r="B36" s="488" t="s">
        <v>1844</v>
      </c>
      <c r="C36" s="131">
        <v>502529.13</v>
      </c>
      <c r="D36" s="131">
        <v>166948.641</v>
      </c>
      <c r="E36" s="131">
        <v>27589.371999999999</v>
      </c>
      <c r="F36" s="131">
        <v>39573.686999999998</v>
      </c>
      <c r="G36" s="131">
        <v>53622.383999999998</v>
      </c>
      <c r="H36" s="131">
        <v>790263.21600000001</v>
      </c>
      <c r="I36" s="129">
        <f t="shared" si="1"/>
        <v>100</v>
      </c>
      <c r="J36" s="58"/>
      <c r="K36" s="58"/>
    </row>
    <row r="37" spans="1:11" ht="13.5" thickBot="1">
      <c r="A37" s="32"/>
      <c r="B37" s="32" t="s">
        <v>1810</v>
      </c>
      <c r="C37" s="489">
        <f>C36/$H$36*100</f>
        <v>63.590095024744265</v>
      </c>
      <c r="D37" s="489">
        <f t="shared" ref="D37:H37" si="2">D36/$H$36*100</f>
        <v>21.125700604543894</v>
      </c>
      <c r="E37" s="489">
        <f t="shared" si="2"/>
        <v>3.4911623673497663</v>
      </c>
      <c r="F37" s="489">
        <f t="shared" si="2"/>
        <v>5.0076589924438535</v>
      </c>
      <c r="G37" s="489">
        <f t="shared" si="2"/>
        <v>6.7853827578379908</v>
      </c>
      <c r="H37" s="489">
        <f t="shared" si="2"/>
        <v>100</v>
      </c>
      <c r="I37" s="32"/>
      <c r="J37" s="58"/>
      <c r="K37" s="58"/>
    </row>
    <row r="38" spans="1:11">
      <c r="A38" s="46" t="s">
        <v>179</v>
      </c>
      <c r="B38" s="4"/>
      <c r="C38" s="3"/>
      <c r="D38" s="3"/>
      <c r="E38" s="3"/>
      <c r="F38" s="3"/>
      <c r="G38" s="3"/>
      <c r="H38" s="6"/>
      <c r="I38" s="4"/>
      <c r="J38" s="58"/>
      <c r="K38" s="58"/>
    </row>
    <row r="39" spans="1:11">
      <c r="A39" s="42" t="s">
        <v>539</v>
      </c>
      <c r="B39" s="4"/>
      <c r="C39" s="3"/>
      <c r="D39" s="3"/>
      <c r="E39" s="3"/>
      <c r="F39" s="3"/>
      <c r="G39" s="3"/>
      <c r="H39" s="6"/>
      <c r="I39" s="4"/>
      <c r="J39" s="58"/>
      <c r="K39" s="58"/>
    </row>
    <row r="40" spans="1:11">
      <c r="A40" s="4"/>
      <c r="B40" s="4"/>
      <c r="C40" s="4"/>
      <c r="D40" s="4"/>
      <c r="E40" s="4"/>
      <c r="F40" s="4"/>
      <c r="G40" s="4"/>
      <c r="H40" s="4"/>
      <c r="I40" s="4"/>
      <c r="J40" s="58"/>
      <c r="K40" s="63"/>
    </row>
    <row r="41" spans="1:11">
      <c r="J41" s="473"/>
      <c r="K41" s="473"/>
    </row>
    <row r="42" spans="1:11">
      <c r="C42" s="61"/>
      <c r="D42" s="61"/>
      <c r="E42" s="61"/>
      <c r="F42" s="61"/>
      <c r="G42" s="61"/>
      <c r="H42" s="61"/>
      <c r="I42" s="61"/>
      <c r="J42" s="473"/>
      <c r="K42" s="473"/>
    </row>
    <row r="43" spans="1:11">
      <c r="C43" s="61"/>
      <c r="D43" s="61"/>
      <c r="E43" s="61"/>
      <c r="F43" s="61"/>
      <c r="G43" s="61"/>
      <c r="H43" s="61"/>
      <c r="I43" s="61"/>
      <c r="J43" s="473"/>
      <c r="K43" s="473"/>
    </row>
    <row r="44" spans="1:11">
      <c r="C44" s="61"/>
      <c r="D44" s="61"/>
      <c r="E44" s="61"/>
      <c r="F44" s="61"/>
      <c r="G44" s="61"/>
      <c r="H44" s="61"/>
      <c r="I44" s="61"/>
      <c r="J44" s="473"/>
      <c r="K44" s="473"/>
    </row>
    <row r="45" spans="1:11">
      <c r="C45" s="61"/>
      <c r="D45" s="61"/>
      <c r="E45" s="61"/>
      <c r="F45" s="61"/>
      <c r="G45" s="61"/>
      <c r="H45" s="61"/>
      <c r="I45" s="61"/>
      <c r="J45" s="473"/>
      <c r="K45" s="473"/>
    </row>
    <row r="46" spans="1:11">
      <c r="C46" s="61"/>
      <c r="D46" s="61"/>
      <c r="E46" s="61"/>
      <c r="F46" s="61"/>
      <c r="G46" s="61"/>
      <c r="H46" s="61"/>
      <c r="I46" s="61"/>
      <c r="J46" s="473"/>
      <c r="K46" s="473"/>
    </row>
    <row r="47" spans="1:11">
      <c r="C47" s="61"/>
      <c r="D47" s="61"/>
      <c r="E47" s="61"/>
      <c r="F47" s="61"/>
      <c r="G47" s="61"/>
      <c r="H47" s="61"/>
      <c r="I47" s="61"/>
      <c r="J47" s="473"/>
      <c r="K47" s="473"/>
    </row>
    <row r="48" spans="1:11">
      <c r="C48" s="61"/>
      <c r="D48" s="61"/>
      <c r="E48" s="61"/>
      <c r="F48" s="61"/>
      <c r="G48" s="61"/>
      <c r="H48" s="61"/>
      <c r="I48" s="61"/>
      <c r="J48" s="473"/>
      <c r="K48" s="473"/>
    </row>
    <row r="49" spans="3:11">
      <c r="C49" s="61"/>
      <c r="D49" s="61"/>
      <c r="E49" s="61"/>
      <c r="F49" s="61"/>
      <c r="G49" s="61"/>
      <c r="H49" s="61"/>
      <c r="I49" s="61"/>
      <c r="J49" s="473"/>
      <c r="K49" s="473"/>
    </row>
    <row r="50" spans="3:11">
      <c r="C50" s="61"/>
      <c r="D50" s="61"/>
      <c r="E50" s="61"/>
      <c r="F50" s="61"/>
      <c r="G50" s="61"/>
      <c r="H50" s="61"/>
      <c r="I50" s="61"/>
      <c r="J50" s="473"/>
      <c r="K50" s="473"/>
    </row>
    <row r="51" spans="3:11">
      <c r="C51" s="61"/>
      <c r="D51" s="61"/>
      <c r="E51" s="61"/>
      <c r="F51" s="61"/>
      <c r="G51" s="61"/>
      <c r="H51" s="61"/>
      <c r="I51" s="61"/>
      <c r="J51" s="473"/>
      <c r="K51" s="473"/>
    </row>
    <row r="52" spans="3:11">
      <c r="C52" s="61"/>
      <c r="D52" s="61"/>
      <c r="E52" s="61"/>
      <c r="F52" s="61"/>
      <c r="G52" s="61"/>
      <c r="H52" s="61"/>
      <c r="I52" s="61"/>
      <c r="J52" s="473"/>
      <c r="K52" s="473"/>
    </row>
    <row r="53" spans="3:11">
      <c r="C53" s="61"/>
      <c r="D53" s="61"/>
      <c r="E53" s="61"/>
      <c r="F53" s="61"/>
      <c r="G53" s="61"/>
      <c r="H53" s="61"/>
      <c r="I53" s="61"/>
      <c r="J53" s="473"/>
      <c r="K53" s="473"/>
    </row>
    <row r="54" spans="3:11">
      <c r="C54" s="61"/>
      <c r="D54" s="61"/>
      <c r="E54" s="61"/>
      <c r="F54" s="61"/>
      <c r="G54" s="61"/>
      <c r="H54" s="61"/>
      <c r="I54" s="61"/>
      <c r="J54" s="473"/>
      <c r="K54" s="473"/>
    </row>
    <row r="55" spans="3:11">
      <c r="C55" s="61"/>
      <c r="D55" s="61"/>
      <c r="E55" s="61"/>
      <c r="F55" s="61"/>
      <c r="G55" s="61"/>
      <c r="H55" s="61"/>
      <c r="I55" s="61"/>
      <c r="J55" s="473"/>
      <c r="K55" s="473"/>
    </row>
    <row r="56" spans="3:11">
      <c r="C56" s="61"/>
      <c r="D56" s="61"/>
      <c r="E56" s="61"/>
      <c r="F56" s="61"/>
      <c r="G56" s="61"/>
      <c r="H56" s="61"/>
      <c r="I56" s="61"/>
      <c r="J56" s="473"/>
      <c r="K56" s="473"/>
    </row>
    <row r="57" spans="3:11">
      <c r="C57" s="61"/>
      <c r="D57" s="61"/>
      <c r="E57" s="61"/>
      <c r="F57" s="61"/>
      <c r="G57" s="61"/>
      <c r="H57" s="61"/>
      <c r="I57" s="61"/>
      <c r="J57" s="473"/>
      <c r="K57" s="473"/>
    </row>
    <row r="58" spans="3:11">
      <c r="C58" s="61"/>
      <c r="D58" s="61"/>
      <c r="E58" s="61"/>
      <c r="F58" s="61"/>
      <c r="G58" s="61"/>
      <c r="H58" s="61"/>
      <c r="I58" s="61"/>
      <c r="J58" s="473"/>
      <c r="K58" s="473"/>
    </row>
    <row r="59" spans="3:11">
      <c r="C59" s="61"/>
      <c r="D59" s="61"/>
      <c r="E59" s="61"/>
      <c r="F59" s="61"/>
      <c r="G59" s="61"/>
      <c r="H59" s="61"/>
      <c r="I59" s="61"/>
      <c r="J59" s="473"/>
      <c r="K59" s="473"/>
    </row>
    <row r="60" spans="3:11">
      <c r="C60" s="61"/>
      <c r="D60" s="61"/>
      <c r="E60" s="61"/>
      <c r="F60" s="61"/>
      <c r="G60" s="61"/>
      <c r="H60" s="61"/>
      <c r="I60" s="61"/>
      <c r="J60" s="473"/>
      <c r="K60" s="473"/>
    </row>
    <row r="61" spans="3:11">
      <c r="C61" s="61"/>
      <c r="D61" s="61"/>
      <c r="E61" s="61"/>
      <c r="F61" s="61"/>
      <c r="G61" s="61"/>
      <c r="H61" s="61"/>
      <c r="I61" s="61"/>
      <c r="J61" s="473"/>
      <c r="K61" s="473"/>
    </row>
    <row r="62" spans="3:11">
      <c r="C62" s="61"/>
      <c r="D62" s="61"/>
      <c r="E62" s="61"/>
      <c r="F62" s="61"/>
      <c r="G62" s="61"/>
      <c r="H62" s="61"/>
      <c r="I62" s="61"/>
      <c r="J62" s="473"/>
      <c r="K62" s="473"/>
    </row>
    <row r="63" spans="3:11">
      <c r="C63" s="61"/>
      <c r="D63" s="61"/>
      <c r="E63" s="61"/>
      <c r="F63" s="61"/>
      <c r="G63" s="61"/>
      <c r="H63" s="61"/>
      <c r="I63" s="61"/>
      <c r="J63" s="473"/>
      <c r="K63" s="473"/>
    </row>
    <row r="64" spans="3:11">
      <c r="C64" s="61"/>
      <c r="D64" s="61"/>
      <c r="E64" s="61"/>
      <c r="F64" s="61"/>
      <c r="G64" s="61"/>
      <c r="H64" s="61"/>
      <c r="I64" s="61"/>
      <c r="J64" s="473"/>
      <c r="K64" s="473"/>
    </row>
    <row r="65" spans="3:11">
      <c r="C65" s="61"/>
      <c r="D65" s="61"/>
      <c r="E65" s="61"/>
      <c r="F65" s="61"/>
      <c r="G65" s="61"/>
      <c r="H65" s="61"/>
      <c r="I65" s="61"/>
      <c r="J65" s="473"/>
      <c r="K65" s="473"/>
    </row>
    <row r="66" spans="3:11">
      <c r="C66" s="61"/>
      <c r="D66" s="61"/>
      <c r="E66" s="61"/>
      <c r="F66" s="61"/>
      <c r="G66" s="61"/>
      <c r="H66" s="61"/>
      <c r="I66" s="61"/>
      <c r="J66" s="473"/>
      <c r="K66" s="473"/>
    </row>
    <row r="67" spans="3:11">
      <c r="C67" s="61"/>
      <c r="D67" s="61"/>
      <c r="E67" s="61"/>
      <c r="F67" s="61"/>
      <c r="G67" s="61"/>
      <c r="H67" s="61"/>
      <c r="J67" s="58"/>
      <c r="K67" s="58"/>
    </row>
    <row r="68" spans="3:11">
      <c r="J68" s="58"/>
      <c r="K68" s="58"/>
    </row>
    <row r="69" spans="3:11">
      <c r="J69" s="58"/>
      <c r="K69" s="58"/>
    </row>
    <row r="70" spans="3:11">
      <c r="J70" s="58"/>
      <c r="K70" s="58"/>
    </row>
    <row r="71" spans="3:11">
      <c r="J71" s="58"/>
      <c r="K71" s="58"/>
    </row>
    <row r="72" spans="3:11">
      <c r="J72" s="58"/>
      <c r="K72" s="58"/>
    </row>
    <row r="73" spans="3:11">
      <c r="J73" s="58"/>
      <c r="K73" s="58"/>
    </row>
    <row r="74" spans="3:11">
      <c r="J74" s="58"/>
      <c r="K74" s="58"/>
    </row>
    <row r="75" spans="3:11">
      <c r="J75" s="58"/>
      <c r="K75" s="58"/>
    </row>
    <row r="76" spans="3:11">
      <c r="J76" s="58"/>
      <c r="K76" s="63"/>
    </row>
    <row r="77" spans="3:11">
      <c r="D77" s="61"/>
      <c r="E77" s="61"/>
      <c r="F77" s="61"/>
      <c r="G77" s="61"/>
      <c r="H77" s="61"/>
      <c r="I77" s="61"/>
      <c r="J77" s="473"/>
      <c r="K77" s="473"/>
    </row>
    <row r="78" spans="3:11">
      <c r="D78" s="61"/>
      <c r="E78" s="61"/>
      <c r="F78" s="61"/>
      <c r="G78" s="61"/>
      <c r="H78" s="61"/>
      <c r="I78" s="61"/>
      <c r="J78" s="473"/>
      <c r="K78" s="473"/>
    </row>
    <row r="79" spans="3:11">
      <c r="D79" s="61"/>
      <c r="E79" s="61"/>
      <c r="F79" s="61"/>
      <c r="G79" s="61"/>
      <c r="H79" s="61"/>
      <c r="I79" s="61"/>
      <c r="J79" s="473"/>
      <c r="K79" s="473"/>
    </row>
    <row r="80" spans="3:11">
      <c r="D80" s="61"/>
      <c r="E80" s="61"/>
      <c r="F80" s="61"/>
      <c r="G80" s="61"/>
      <c r="H80" s="61"/>
      <c r="I80" s="61"/>
      <c r="J80" s="473"/>
      <c r="K80" s="473"/>
    </row>
    <row r="81" spans="4:11">
      <c r="D81" s="61"/>
      <c r="E81" s="61"/>
      <c r="F81" s="61"/>
      <c r="G81" s="61"/>
      <c r="H81" s="61"/>
      <c r="I81" s="61"/>
      <c r="J81" s="473"/>
      <c r="K81" s="473"/>
    </row>
    <row r="82" spans="4:11">
      <c r="D82" s="61"/>
      <c r="E82" s="61"/>
      <c r="F82" s="61"/>
      <c r="G82" s="61"/>
      <c r="H82" s="61"/>
      <c r="I82" s="61"/>
      <c r="J82" s="473"/>
      <c r="K82" s="473"/>
    </row>
    <row r="83" spans="4:11">
      <c r="D83" s="61"/>
      <c r="E83" s="61"/>
      <c r="F83" s="61"/>
      <c r="G83" s="61"/>
      <c r="H83" s="61"/>
      <c r="I83" s="61"/>
      <c r="J83" s="473"/>
      <c r="K83" s="473"/>
    </row>
    <row r="84" spans="4:11">
      <c r="D84" s="61"/>
      <c r="E84" s="61"/>
      <c r="F84" s="61"/>
      <c r="G84" s="61"/>
      <c r="H84" s="61"/>
      <c r="I84" s="61"/>
      <c r="J84" s="473"/>
      <c r="K84" s="473"/>
    </row>
    <row r="85" spans="4:11">
      <c r="D85" s="61"/>
      <c r="E85" s="61"/>
      <c r="F85" s="61"/>
      <c r="G85" s="61"/>
      <c r="H85" s="61"/>
      <c r="I85" s="61"/>
      <c r="J85" s="473"/>
      <c r="K85" s="473"/>
    </row>
    <row r="86" spans="4:11">
      <c r="D86" s="61"/>
      <c r="E86" s="61"/>
      <c r="F86" s="61"/>
      <c r="G86" s="61"/>
      <c r="H86" s="61"/>
      <c r="I86" s="61"/>
      <c r="J86" s="473"/>
      <c r="K86" s="473"/>
    </row>
    <row r="87" spans="4:11">
      <c r="D87" s="61"/>
      <c r="E87" s="61"/>
      <c r="F87" s="61"/>
      <c r="G87" s="61"/>
      <c r="H87" s="61"/>
      <c r="I87" s="61"/>
      <c r="J87" s="473"/>
      <c r="K87" s="473"/>
    </row>
    <row r="88" spans="4:11">
      <c r="D88" s="61"/>
      <c r="E88" s="61"/>
      <c r="F88" s="61"/>
      <c r="G88" s="61"/>
      <c r="H88" s="61"/>
      <c r="I88" s="61"/>
      <c r="J88" s="473"/>
      <c r="K88" s="473"/>
    </row>
    <row r="89" spans="4:11">
      <c r="D89" s="61"/>
      <c r="E89" s="61"/>
      <c r="F89" s="61"/>
      <c r="G89" s="61"/>
      <c r="H89" s="61"/>
      <c r="I89" s="61"/>
      <c r="J89" s="473"/>
      <c r="K89" s="473"/>
    </row>
    <row r="90" spans="4:11">
      <c r="D90" s="61"/>
      <c r="E90" s="61"/>
      <c r="F90" s="61"/>
      <c r="G90" s="61"/>
      <c r="H90" s="61"/>
      <c r="I90" s="61"/>
      <c r="J90" s="473"/>
      <c r="K90" s="473"/>
    </row>
    <row r="91" spans="4:11">
      <c r="D91" s="61"/>
      <c r="E91" s="61"/>
      <c r="F91" s="61"/>
      <c r="G91" s="61"/>
      <c r="H91" s="61"/>
      <c r="I91" s="61"/>
      <c r="J91" s="473"/>
      <c r="K91" s="473"/>
    </row>
    <row r="92" spans="4:11">
      <c r="D92" s="61"/>
      <c r="E92" s="61"/>
      <c r="F92" s="61"/>
      <c r="G92" s="61"/>
      <c r="H92" s="61"/>
      <c r="I92" s="61"/>
      <c r="J92" s="473"/>
      <c r="K92" s="473"/>
    </row>
    <row r="93" spans="4:11">
      <c r="D93" s="61"/>
      <c r="E93" s="61"/>
      <c r="F93" s="61"/>
      <c r="G93" s="61"/>
      <c r="H93" s="61"/>
      <c r="I93" s="61"/>
      <c r="J93" s="473"/>
      <c r="K93" s="473"/>
    </row>
    <row r="94" spans="4:11">
      <c r="D94" s="61"/>
      <c r="E94" s="61"/>
      <c r="F94" s="61"/>
      <c r="G94" s="61"/>
      <c r="H94" s="61"/>
      <c r="I94" s="61"/>
      <c r="J94" s="473"/>
      <c r="K94" s="473"/>
    </row>
    <row r="95" spans="4:11">
      <c r="D95" s="61"/>
      <c r="E95" s="61"/>
      <c r="F95" s="61"/>
      <c r="G95" s="61"/>
      <c r="H95" s="61"/>
      <c r="I95" s="61"/>
      <c r="J95" s="473"/>
      <c r="K95" s="473"/>
    </row>
    <row r="96" spans="4:11">
      <c r="D96" s="61"/>
      <c r="E96" s="61"/>
      <c r="F96" s="61"/>
      <c r="G96" s="61"/>
      <c r="H96" s="61"/>
      <c r="I96" s="61"/>
      <c r="J96" s="473"/>
      <c r="K96" s="473"/>
    </row>
    <row r="97" spans="4:11">
      <c r="D97" s="61"/>
      <c r="E97" s="61"/>
      <c r="F97" s="61"/>
      <c r="G97" s="61"/>
      <c r="H97" s="61"/>
      <c r="I97" s="61"/>
      <c r="J97" s="473"/>
      <c r="K97" s="473"/>
    </row>
    <row r="98" spans="4:11">
      <c r="D98" s="61"/>
      <c r="E98" s="61"/>
      <c r="F98" s="61"/>
      <c r="G98" s="61"/>
      <c r="H98" s="61"/>
      <c r="I98" s="61"/>
      <c r="J98" s="473"/>
      <c r="K98" s="473"/>
    </row>
    <row r="99" spans="4:11">
      <c r="D99" s="61"/>
      <c r="E99" s="61"/>
      <c r="F99" s="61"/>
      <c r="G99" s="61"/>
      <c r="H99" s="61"/>
      <c r="I99" s="61"/>
      <c r="J99" s="473"/>
      <c r="K99" s="473"/>
    </row>
    <row r="100" spans="4:11">
      <c r="D100" s="61"/>
      <c r="E100" s="61"/>
      <c r="F100" s="61"/>
      <c r="G100" s="61"/>
      <c r="H100" s="61"/>
      <c r="I100" s="61"/>
      <c r="J100" s="473"/>
      <c r="K100" s="473"/>
    </row>
    <row r="101" spans="4:11">
      <c r="D101" s="61"/>
      <c r="E101" s="61"/>
      <c r="F101" s="61"/>
      <c r="G101" s="61"/>
      <c r="H101" s="61"/>
      <c r="I101" s="61"/>
      <c r="J101" s="473"/>
      <c r="K101" s="473"/>
    </row>
    <row r="102" spans="4:11">
      <c r="D102" s="61"/>
      <c r="E102" s="61"/>
      <c r="F102" s="61"/>
      <c r="G102" s="61"/>
      <c r="H102" s="61"/>
      <c r="I102" s="61"/>
      <c r="J102" s="473"/>
      <c r="K102" s="473"/>
    </row>
    <row r="103" spans="4:11">
      <c r="D103" s="61"/>
      <c r="E103" s="61"/>
      <c r="F103" s="61"/>
      <c r="G103" s="61"/>
      <c r="H103" s="61"/>
      <c r="I103" s="61"/>
      <c r="J103" s="473"/>
      <c r="K103" s="473"/>
    </row>
    <row r="104" spans="4:11">
      <c r="D104" s="61"/>
      <c r="E104" s="61"/>
      <c r="F104" s="61"/>
      <c r="G104" s="61"/>
      <c r="H104" s="61"/>
      <c r="I104" s="61"/>
      <c r="J104" s="473"/>
      <c r="K104" s="473"/>
    </row>
    <row r="105" spans="4:11">
      <c r="D105" s="61"/>
      <c r="E105" s="61"/>
      <c r="F105" s="61"/>
      <c r="G105" s="61"/>
      <c r="H105" s="61"/>
      <c r="I105" s="61"/>
      <c r="J105" s="473"/>
      <c r="K105" s="473"/>
    </row>
    <row r="106" spans="4:11">
      <c r="D106" s="61"/>
      <c r="E106" s="61"/>
      <c r="F106" s="61"/>
      <c r="G106" s="61"/>
      <c r="H106" s="61"/>
      <c r="I106" s="61"/>
      <c r="J106" s="473"/>
      <c r="K106" s="473"/>
    </row>
    <row r="107" spans="4:11">
      <c r="J107" s="58"/>
      <c r="K107" s="58"/>
    </row>
    <row r="108" spans="4:11">
      <c r="J108" s="58"/>
      <c r="K108" s="58"/>
    </row>
    <row r="109" spans="4:11">
      <c r="J109" s="58"/>
      <c r="K109" s="58"/>
    </row>
    <row r="110" spans="4:11">
      <c r="J110" s="58"/>
      <c r="K110" s="58"/>
    </row>
    <row r="111" spans="4:11" ht="11.25" customHeight="1">
      <c r="J111" s="58"/>
      <c r="K111" s="58"/>
    </row>
    <row r="112" spans="4:11" ht="11.25" customHeight="1">
      <c r="J112" s="58"/>
      <c r="K112" s="58"/>
    </row>
    <row r="113" spans="10:12" ht="11.25" customHeight="1">
      <c r="J113" s="58"/>
      <c r="K113" s="58"/>
    </row>
    <row r="114" spans="10:12" ht="11.25" customHeight="1">
      <c r="J114" s="58"/>
      <c r="K114" s="58"/>
    </row>
    <row r="115" spans="10:12" ht="11.25" customHeight="1">
      <c r="J115" s="58"/>
      <c r="K115" s="58"/>
    </row>
    <row r="116" spans="10:12" ht="11.25" customHeight="1">
      <c r="J116" s="58"/>
      <c r="K116" s="58"/>
    </row>
    <row r="117" spans="10:12" ht="11.25" customHeight="1">
      <c r="J117" s="58"/>
      <c r="K117" s="58"/>
      <c r="L117" s="59"/>
    </row>
    <row r="118" spans="10:12" ht="11.25" customHeight="1">
      <c r="J118" s="58"/>
      <c r="K118" s="58"/>
      <c r="L118" s="58"/>
    </row>
    <row r="119" spans="10:12" ht="11.25" customHeight="1">
      <c r="J119" s="58"/>
      <c r="K119" s="58"/>
      <c r="L119" s="58"/>
    </row>
    <row r="120" spans="10:12" ht="11.25" customHeight="1">
      <c r="J120" s="58"/>
      <c r="K120" s="58"/>
      <c r="L120" s="58"/>
    </row>
    <row r="121" spans="10:12" ht="11.25" customHeight="1">
      <c r="J121" s="58"/>
      <c r="K121" s="58"/>
      <c r="L121" s="58"/>
    </row>
    <row r="122" spans="10:12" ht="11.25" customHeight="1">
      <c r="J122" s="58"/>
      <c r="K122" s="58"/>
      <c r="L122" s="58"/>
    </row>
    <row r="123" spans="10:12" ht="11.25" customHeight="1">
      <c r="J123" s="58"/>
      <c r="K123" s="58"/>
      <c r="L123" s="58"/>
    </row>
    <row r="124" spans="10:12" ht="11.25" customHeight="1">
      <c r="J124" s="58"/>
      <c r="K124" s="58"/>
      <c r="L124" s="58"/>
    </row>
    <row r="125" spans="10:12" ht="11.25" customHeight="1">
      <c r="J125" s="58"/>
      <c r="K125" s="58"/>
      <c r="L125" s="58"/>
    </row>
    <row r="126" spans="10:12" ht="11.25" customHeight="1">
      <c r="J126" s="58"/>
      <c r="K126" s="58"/>
      <c r="L126" s="58"/>
    </row>
    <row r="127" spans="10:12" ht="11.25" customHeight="1">
      <c r="J127" s="58"/>
      <c r="K127" s="58"/>
      <c r="L127" s="58"/>
    </row>
    <row r="128" spans="10:12" ht="11.25" customHeight="1">
      <c r="J128" s="58"/>
      <c r="K128" s="58"/>
      <c r="L128" s="58"/>
    </row>
    <row r="129" spans="10:12" ht="11.25" customHeight="1">
      <c r="J129" s="58"/>
      <c r="K129" s="58"/>
      <c r="L129" s="58"/>
    </row>
    <row r="130" spans="10:12" ht="11.25" customHeight="1">
      <c r="J130" s="58"/>
      <c r="K130" s="58"/>
      <c r="L130" s="58"/>
    </row>
    <row r="131" spans="10:12" ht="11.25" customHeight="1">
      <c r="J131" s="58"/>
      <c r="K131" s="58"/>
      <c r="L131" s="58"/>
    </row>
    <row r="132" spans="10:12" ht="11.25" customHeight="1">
      <c r="J132" s="58"/>
      <c r="K132" s="58"/>
      <c r="L132" s="58"/>
    </row>
    <row r="133" spans="10:12" ht="11.25" customHeight="1">
      <c r="J133" s="58"/>
      <c r="K133" s="58"/>
      <c r="L133" s="58"/>
    </row>
    <row r="134" spans="10:12" ht="11.25" customHeight="1">
      <c r="J134" s="58"/>
      <c r="K134" s="58"/>
      <c r="L134" s="58"/>
    </row>
    <row r="135" spans="10:12" ht="11.25" customHeight="1">
      <c r="J135" s="58"/>
      <c r="K135" s="58"/>
      <c r="L135" s="58"/>
    </row>
    <row r="136" spans="10:12" ht="11.25" customHeight="1">
      <c r="J136" s="58"/>
      <c r="K136" s="58"/>
      <c r="L136" s="58"/>
    </row>
    <row r="137" spans="10:12" ht="11.25" customHeight="1">
      <c r="J137" s="58"/>
      <c r="K137" s="58"/>
      <c r="L137" s="58"/>
    </row>
    <row r="138" spans="10:12" ht="11.25" customHeight="1">
      <c r="J138" s="58"/>
      <c r="K138" s="58"/>
      <c r="L138" s="58"/>
    </row>
    <row r="139" spans="10:12" ht="11.25" customHeight="1">
      <c r="J139" s="58"/>
      <c r="K139" s="58"/>
      <c r="L139" s="58"/>
    </row>
    <row r="140" spans="10:12" ht="11.25" customHeight="1">
      <c r="J140" s="58"/>
      <c r="K140" s="58"/>
      <c r="L140" s="58"/>
    </row>
    <row r="141" spans="10:12" ht="11.25" customHeight="1">
      <c r="J141" s="58"/>
      <c r="K141" s="58"/>
      <c r="L141" s="58"/>
    </row>
    <row r="142" spans="10:12" ht="11.25" customHeight="1">
      <c r="J142" s="58"/>
      <c r="K142" s="58"/>
      <c r="L142" s="58"/>
    </row>
    <row r="143" spans="10:12" ht="11.25" customHeight="1">
      <c r="J143" s="58"/>
      <c r="K143" s="58"/>
      <c r="L143" s="58"/>
    </row>
    <row r="144" spans="10:12" ht="11.25" customHeight="1">
      <c r="J144" s="58"/>
      <c r="K144" s="58"/>
      <c r="L144" s="58"/>
    </row>
    <row r="145" spans="10:12" ht="11.25" customHeight="1">
      <c r="J145" s="58"/>
      <c r="K145" s="58"/>
      <c r="L145" s="58"/>
    </row>
    <row r="146" spans="10:12" ht="11.25" customHeight="1">
      <c r="J146" s="58"/>
      <c r="K146" s="58"/>
      <c r="L146" s="58"/>
    </row>
    <row r="147" spans="10:12" ht="11.25" customHeight="1">
      <c r="J147" s="58"/>
      <c r="K147" s="58"/>
      <c r="L147" s="58"/>
    </row>
    <row r="148" spans="10:12" ht="11.25" customHeight="1">
      <c r="J148" s="58"/>
      <c r="K148" s="58"/>
      <c r="L148" s="58"/>
    </row>
    <row r="149" spans="10:12" ht="11.25" customHeight="1">
      <c r="J149" s="58"/>
      <c r="K149" s="58"/>
      <c r="L149" s="58"/>
    </row>
    <row r="150" spans="10:12" ht="11.25" customHeight="1">
      <c r="J150" s="58"/>
      <c r="K150" s="58"/>
      <c r="L150" s="58"/>
    </row>
    <row r="151" spans="10:12" ht="11.25" customHeight="1">
      <c r="J151" s="58"/>
      <c r="K151" s="58"/>
      <c r="L151" s="58"/>
    </row>
    <row r="152" spans="10:12" ht="11.25" customHeight="1">
      <c r="J152" s="58"/>
      <c r="K152" s="58"/>
      <c r="L152" s="58"/>
    </row>
    <row r="153" spans="10:12" ht="11.25" customHeight="1">
      <c r="J153" s="58"/>
      <c r="K153" s="58"/>
      <c r="L153" s="58"/>
    </row>
    <row r="154" spans="10:12" ht="11.25" customHeight="1">
      <c r="J154" s="58"/>
      <c r="K154" s="58"/>
      <c r="L154" s="58"/>
    </row>
    <row r="155" spans="10:12" ht="11.25" customHeight="1">
      <c r="J155" s="58"/>
      <c r="K155" s="58"/>
      <c r="L155" s="58"/>
    </row>
    <row r="156" spans="10:12" ht="11.25" customHeight="1">
      <c r="J156" s="58"/>
      <c r="K156" s="58"/>
      <c r="L156" s="58"/>
    </row>
    <row r="157" spans="10:12" ht="11.25" customHeight="1">
      <c r="J157" s="58"/>
      <c r="K157" s="58"/>
      <c r="L157" s="58"/>
    </row>
    <row r="158" spans="10:12" ht="11.25" customHeight="1">
      <c r="J158" s="58"/>
      <c r="K158" s="58"/>
      <c r="L158" s="58"/>
    </row>
    <row r="159" spans="10:12" ht="11.25" customHeight="1">
      <c r="J159" s="58"/>
      <c r="K159" s="58"/>
      <c r="L159" s="58"/>
    </row>
    <row r="160" spans="10:12" ht="11.25" customHeight="1">
      <c r="J160" s="58"/>
      <c r="K160" s="58"/>
      <c r="L160" s="58"/>
    </row>
    <row r="161" spans="10:12" ht="11.25" customHeight="1">
      <c r="J161" s="58"/>
      <c r="K161" s="58"/>
      <c r="L161" s="58"/>
    </row>
    <row r="162" spans="10:12" ht="11.25" customHeight="1">
      <c r="J162" s="58"/>
      <c r="K162" s="58"/>
      <c r="L162" s="58"/>
    </row>
    <row r="163" spans="10:12" ht="11.25" customHeight="1">
      <c r="J163" s="58"/>
      <c r="K163" s="58"/>
      <c r="L163" s="58"/>
    </row>
    <row r="164" spans="10:12" ht="11.25" customHeight="1">
      <c r="J164" s="58"/>
      <c r="K164" s="58"/>
      <c r="L164" s="58"/>
    </row>
    <row r="165" spans="10:12" ht="11.25" customHeight="1">
      <c r="J165" s="58"/>
      <c r="K165" s="58"/>
      <c r="L165" s="58"/>
    </row>
    <row r="166" spans="10:12" ht="11.25" customHeight="1">
      <c r="J166" s="58"/>
      <c r="K166" s="58"/>
      <c r="L166" s="58"/>
    </row>
    <row r="167" spans="10:12" ht="11.25" customHeight="1">
      <c r="J167" s="58"/>
      <c r="K167" s="58"/>
      <c r="L167" s="58"/>
    </row>
    <row r="168" spans="10:12" ht="11.25" customHeight="1">
      <c r="J168" s="58"/>
      <c r="K168" s="58"/>
      <c r="L168" s="58"/>
    </row>
    <row r="169" spans="10:12" ht="11.25" customHeight="1">
      <c r="J169" s="58"/>
      <c r="K169" s="58"/>
      <c r="L169" s="58"/>
    </row>
    <row r="170" spans="10:12" ht="11.25" customHeight="1">
      <c r="J170" s="58"/>
      <c r="K170" s="58"/>
      <c r="L170" s="58"/>
    </row>
    <row r="171" spans="10:12" ht="11.25" customHeight="1">
      <c r="J171" s="58"/>
      <c r="K171" s="58"/>
      <c r="L171" s="58"/>
    </row>
    <row r="172" spans="10:12" ht="11.25" customHeight="1">
      <c r="J172" s="58"/>
      <c r="K172" s="58"/>
      <c r="L172" s="58"/>
    </row>
    <row r="173" spans="10:12" ht="11.25" customHeight="1">
      <c r="J173" s="58"/>
      <c r="K173" s="58"/>
      <c r="L173" s="58"/>
    </row>
    <row r="174" spans="10:12" ht="11.25" customHeight="1">
      <c r="J174" s="58"/>
      <c r="K174" s="58"/>
      <c r="L174" s="58"/>
    </row>
    <row r="175" spans="10:12" ht="11.25" customHeight="1">
      <c r="J175" s="58"/>
      <c r="K175" s="58"/>
      <c r="L175" s="58"/>
    </row>
    <row r="176" spans="10:12" ht="11.25" customHeight="1">
      <c r="J176" s="58"/>
      <c r="K176" s="58"/>
      <c r="L176" s="58"/>
    </row>
    <row r="177" spans="10:12" ht="11.25" customHeight="1">
      <c r="J177" s="58"/>
      <c r="K177" s="58"/>
      <c r="L177" s="58"/>
    </row>
    <row r="178" spans="10:12" ht="11.25" customHeight="1">
      <c r="J178" s="58"/>
      <c r="K178" s="58"/>
      <c r="L178" s="58"/>
    </row>
    <row r="179" spans="10:12" ht="11.25" customHeight="1">
      <c r="J179" s="58"/>
      <c r="K179" s="58"/>
      <c r="L179" s="58"/>
    </row>
    <row r="180" spans="10:12" ht="11.25" customHeight="1">
      <c r="J180" s="58"/>
      <c r="K180" s="58"/>
      <c r="L180" s="58"/>
    </row>
    <row r="181" spans="10:12" ht="11.25" customHeight="1">
      <c r="J181" s="58"/>
      <c r="K181" s="58"/>
      <c r="L181" s="58"/>
    </row>
    <row r="182" spans="10:12" ht="11.25" customHeight="1">
      <c r="J182" s="58"/>
      <c r="K182" s="58"/>
      <c r="L182" s="58"/>
    </row>
    <row r="183" spans="10:12" ht="11.25" customHeight="1">
      <c r="J183" s="58"/>
      <c r="K183" s="58"/>
      <c r="L183" s="58"/>
    </row>
    <row r="184" spans="10:12" ht="11.25" customHeight="1">
      <c r="J184" s="58"/>
      <c r="K184" s="58"/>
      <c r="L184" s="58"/>
    </row>
    <row r="185" spans="10:12" ht="11.25" customHeight="1">
      <c r="J185" s="58"/>
      <c r="K185" s="58"/>
      <c r="L185" s="58"/>
    </row>
    <row r="186" spans="10:12" ht="11.25" customHeight="1">
      <c r="J186" s="58"/>
      <c r="K186" s="58"/>
      <c r="L186" s="58"/>
    </row>
    <row r="187" spans="10:12" ht="11.25" customHeight="1">
      <c r="J187" s="58"/>
      <c r="K187" s="58"/>
      <c r="L187" s="58"/>
    </row>
    <row r="188" spans="10:12" ht="11.25" customHeight="1">
      <c r="J188" s="58"/>
      <c r="K188" s="58"/>
      <c r="L188" s="58"/>
    </row>
    <row r="189" spans="10:12" ht="11.25" customHeight="1">
      <c r="J189" s="58"/>
      <c r="K189" s="58"/>
      <c r="L189" s="58"/>
    </row>
    <row r="190" spans="10:12" ht="11.25" customHeight="1">
      <c r="J190" s="58"/>
      <c r="K190" s="58"/>
      <c r="L190" s="58"/>
    </row>
    <row r="191" spans="10:12" ht="11.25" customHeight="1">
      <c r="J191" s="58"/>
      <c r="K191" s="58"/>
      <c r="L191" s="58"/>
    </row>
    <row r="192" spans="10:12" ht="11.25" customHeight="1">
      <c r="J192" s="58"/>
      <c r="K192" s="58"/>
      <c r="L192" s="58"/>
    </row>
    <row r="193" spans="10:12" ht="11.25" customHeight="1">
      <c r="J193" s="58"/>
      <c r="K193" s="58"/>
      <c r="L193" s="58"/>
    </row>
    <row r="194" spans="10:12" ht="11.25" customHeight="1">
      <c r="J194" s="58"/>
      <c r="K194" s="58"/>
      <c r="L194" s="58"/>
    </row>
    <row r="195" spans="10:12" ht="11.25" customHeight="1">
      <c r="J195" s="58"/>
      <c r="K195" s="58"/>
      <c r="L195" s="58"/>
    </row>
    <row r="196" spans="10:12" ht="11.25" customHeight="1">
      <c r="J196" s="58"/>
      <c r="K196" s="58"/>
      <c r="L196" s="58"/>
    </row>
    <row r="197" spans="10:12" ht="11.25" customHeight="1">
      <c r="J197" s="58"/>
      <c r="K197" s="58"/>
      <c r="L197" s="58"/>
    </row>
    <row r="198" spans="10:12" ht="11.25" customHeight="1">
      <c r="J198" s="58"/>
      <c r="K198" s="58"/>
      <c r="L198" s="58"/>
    </row>
    <row r="199" spans="10:12" ht="11.25" customHeight="1">
      <c r="J199" s="58"/>
      <c r="K199" s="58"/>
      <c r="L199" s="58"/>
    </row>
    <row r="200" spans="10:12" ht="11.25" customHeight="1">
      <c r="J200" s="58"/>
      <c r="K200" s="58"/>
      <c r="L200" s="58"/>
    </row>
    <row r="201" spans="10:12" ht="11.25" customHeight="1">
      <c r="J201" s="58"/>
      <c r="K201" s="58"/>
      <c r="L201" s="58"/>
    </row>
    <row r="202" spans="10:12" ht="11.25" customHeight="1">
      <c r="J202" s="58"/>
      <c r="K202" s="58"/>
      <c r="L202" s="58"/>
    </row>
    <row r="203" spans="10:12" ht="11.25" customHeight="1">
      <c r="J203" s="58"/>
      <c r="K203" s="58"/>
      <c r="L203" s="58"/>
    </row>
    <row r="204" spans="10:12" ht="11.25" customHeight="1">
      <c r="J204" s="58"/>
      <c r="K204" s="58"/>
      <c r="L204" s="58"/>
    </row>
    <row r="205" spans="10:12" ht="11.25" customHeight="1">
      <c r="J205" s="58"/>
      <c r="K205" s="58"/>
      <c r="L205" s="58"/>
    </row>
    <row r="206" spans="10:12" ht="11.25" customHeight="1">
      <c r="J206" s="58"/>
      <c r="K206" s="58"/>
      <c r="L206" s="58"/>
    </row>
    <row r="207" spans="10:12" ht="11.25" customHeight="1">
      <c r="J207" s="58"/>
      <c r="K207" s="58"/>
      <c r="L207" s="58"/>
    </row>
    <row r="208" spans="10:12" ht="11.25" customHeight="1">
      <c r="J208" s="58"/>
      <c r="K208" s="58"/>
      <c r="L208" s="58"/>
    </row>
    <row r="209" spans="10:12" ht="11.25" customHeight="1">
      <c r="J209" s="58"/>
      <c r="K209" s="58"/>
      <c r="L209" s="58"/>
    </row>
    <row r="210" spans="10:12" ht="11.25" customHeight="1">
      <c r="J210" s="58"/>
      <c r="K210" s="58"/>
      <c r="L210" s="58"/>
    </row>
    <row r="211" spans="10:12" ht="11.25" customHeight="1">
      <c r="J211" s="58"/>
      <c r="K211" s="58"/>
      <c r="L211" s="58"/>
    </row>
    <row r="212" spans="10:12" ht="11.25" customHeight="1">
      <c r="J212" s="58"/>
      <c r="K212" s="58"/>
      <c r="L212" s="58"/>
    </row>
    <row r="213" spans="10:12" ht="11.25" customHeight="1">
      <c r="J213" s="58"/>
      <c r="K213" s="58"/>
      <c r="L213" s="58"/>
    </row>
    <row r="214" spans="10:12" ht="11.25" customHeight="1">
      <c r="J214" s="58"/>
      <c r="K214" s="58"/>
      <c r="L214" s="58"/>
    </row>
    <row r="215" spans="10:12" ht="11.25" customHeight="1">
      <c r="J215" s="58"/>
      <c r="K215" s="58"/>
      <c r="L215" s="58"/>
    </row>
    <row r="216" spans="10:12" ht="11.25" customHeight="1">
      <c r="J216" s="58"/>
      <c r="K216" s="58"/>
      <c r="L216" s="58"/>
    </row>
    <row r="217" spans="10:12" ht="11.25" customHeight="1">
      <c r="J217" s="58"/>
      <c r="K217" s="58"/>
      <c r="L217" s="58"/>
    </row>
    <row r="218" spans="10:12" ht="11.25" customHeight="1">
      <c r="J218" s="58"/>
      <c r="K218" s="58"/>
      <c r="L218" s="58"/>
    </row>
    <row r="219" spans="10:12" ht="11.25" customHeight="1">
      <c r="J219" s="58"/>
      <c r="K219" s="58"/>
      <c r="L219" s="58"/>
    </row>
    <row r="220" spans="10:12" ht="11.25" customHeight="1">
      <c r="J220" s="58"/>
      <c r="K220" s="58"/>
      <c r="L220" s="58"/>
    </row>
    <row r="221" spans="10:12" ht="11.25" customHeight="1">
      <c r="J221" s="58"/>
      <c r="K221" s="58"/>
      <c r="L221" s="58"/>
    </row>
    <row r="222" spans="10:12" ht="11.25" customHeight="1">
      <c r="J222" s="58"/>
      <c r="K222" s="58"/>
      <c r="L222" s="58"/>
    </row>
    <row r="223" spans="10:12" ht="11.25" customHeight="1">
      <c r="J223" s="58"/>
      <c r="K223" s="58"/>
      <c r="L223" s="58"/>
    </row>
    <row r="224" spans="10:12" ht="11.25" customHeight="1">
      <c r="J224" s="58"/>
      <c r="K224" s="58"/>
      <c r="L224" s="58"/>
    </row>
    <row r="225" spans="10:12" ht="11.25" customHeight="1">
      <c r="J225" s="58"/>
      <c r="K225" s="58"/>
      <c r="L225" s="58"/>
    </row>
    <row r="226" spans="10:12" ht="11.25" customHeight="1">
      <c r="J226" s="58"/>
      <c r="K226" s="58"/>
      <c r="L226" s="58"/>
    </row>
    <row r="227" spans="10:12" ht="11.25" customHeight="1">
      <c r="J227" s="58"/>
      <c r="K227" s="58"/>
      <c r="L227" s="58"/>
    </row>
    <row r="228" spans="10:12" ht="11.25" customHeight="1">
      <c r="J228" s="58"/>
      <c r="K228" s="58"/>
      <c r="L228" s="58"/>
    </row>
    <row r="229" spans="10:12" ht="11.25" customHeight="1">
      <c r="J229" s="58"/>
      <c r="K229" s="58"/>
      <c r="L229" s="58"/>
    </row>
    <row r="230" spans="10:12" ht="11.25" customHeight="1">
      <c r="J230" s="58"/>
      <c r="K230" s="58"/>
      <c r="L230" s="58"/>
    </row>
    <row r="231" spans="10:12" ht="11.25" customHeight="1">
      <c r="J231" s="58"/>
      <c r="K231" s="58"/>
      <c r="L231" s="58"/>
    </row>
    <row r="232" spans="10:12" ht="11.25" customHeight="1">
      <c r="J232" s="58"/>
      <c r="K232" s="58"/>
      <c r="L232" s="58"/>
    </row>
    <row r="233" spans="10:12" ht="11.25" customHeight="1">
      <c r="J233" s="58"/>
      <c r="K233" s="58"/>
      <c r="L233" s="58"/>
    </row>
    <row r="234" spans="10:12" ht="11.25" customHeight="1">
      <c r="J234" s="58"/>
      <c r="K234" s="58"/>
      <c r="L234" s="58"/>
    </row>
    <row r="235" spans="10:12" ht="11.25" customHeight="1">
      <c r="J235" s="58"/>
      <c r="K235" s="58"/>
      <c r="L235" s="58"/>
    </row>
    <row r="236" spans="10:12" ht="11.25" customHeight="1">
      <c r="J236" s="58"/>
      <c r="K236" s="58"/>
      <c r="L236" s="58"/>
    </row>
    <row r="237" spans="10:12" ht="11.25" customHeight="1">
      <c r="J237" s="58"/>
      <c r="K237" s="58"/>
      <c r="L237" s="58"/>
    </row>
    <row r="238" spans="10:12" ht="11.25" customHeight="1">
      <c r="J238" s="58"/>
      <c r="K238" s="58"/>
      <c r="L238" s="58"/>
    </row>
    <row r="239" spans="10:12" ht="11.25" customHeight="1">
      <c r="J239" s="58"/>
      <c r="K239" s="58"/>
      <c r="L239" s="58"/>
    </row>
    <row r="240" spans="10:12" ht="11.25" customHeight="1">
      <c r="J240" s="58"/>
      <c r="K240" s="58"/>
      <c r="L240" s="58"/>
    </row>
    <row r="241" spans="10:12" ht="11.25" customHeight="1">
      <c r="J241" s="58"/>
      <c r="K241" s="58"/>
      <c r="L241" s="58"/>
    </row>
    <row r="242" spans="10:12" ht="11.25" customHeight="1">
      <c r="J242" s="58"/>
      <c r="K242" s="58"/>
      <c r="L242" s="58"/>
    </row>
    <row r="243" spans="10:12" ht="11.25" customHeight="1">
      <c r="J243" s="58"/>
      <c r="K243" s="58"/>
      <c r="L243" s="58"/>
    </row>
    <row r="244" spans="10:12" ht="11.25" customHeight="1">
      <c r="J244" s="58"/>
      <c r="K244" s="58"/>
      <c r="L244" s="58"/>
    </row>
    <row r="245" spans="10:12" ht="11.25" customHeight="1">
      <c r="J245" s="58"/>
      <c r="K245" s="58"/>
      <c r="L245" s="58"/>
    </row>
    <row r="246" spans="10:12" ht="11.25" customHeight="1">
      <c r="J246" s="58"/>
      <c r="K246" s="58"/>
      <c r="L246" s="58"/>
    </row>
    <row r="247" spans="10:12" ht="11.25" customHeight="1">
      <c r="J247" s="58"/>
      <c r="K247" s="58"/>
      <c r="L247" s="58"/>
    </row>
    <row r="248" spans="10:12" ht="11.25" customHeight="1">
      <c r="J248" s="58"/>
      <c r="K248" s="58"/>
      <c r="L248" s="58"/>
    </row>
    <row r="249" spans="10:12" ht="11.25" customHeight="1">
      <c r="J249" s="58"/>
      <c r="K249" s="58"/>
      <c r="L249" s="58"/>
    </row>
    <row r="250" spans="10:12" ht="11.25" customHeight="1">
      <c r="J250" s="58"/>
      <c r="K250" s="58"/>
      <c r="L250" s="58"/>
    </row>
    <row r="251" spans="10:12" ht="11.25" customHeight="1">
      <c r="J251" s="58"/>
      <c r="K251" s="58"/>
      <c r="L251" s="58"/>
    </row>
    <row r="252" spans="10:12" ht="11.25" customHeight="1">
      <c r="J252" s="58"/>
      <c r="K252" s="58"/>
      <c r="L252" s="58"/>
    </row>
    <row r="253" spans="10:12" ht="11.25" customHeight="1">
      <c r="J253" s="58"/>
      <c r="K253" s="58"/>
      <c r="L253" s="58"/>
    </row>
    <row r="254" spans="10:12" ht="11.25" customHeight="1">
      <c r="J254" s="58"/>
      <c r="K254" s="58"/>
      <c r="L254" s="58"/>
    </row>
    <row r="255" spans="10:12" ht="11.25" customHeight="1">
      <c r="J255" s="58"/>
      <c r="K255" s="58"/>
      <c r="L255" s="58"/>
    </row>
    <row r="256" spans="10:12" ht="11.25" customHeight="1">
      <c r="J256" s="58"/>
      <c r="K256" s="58"/>
      <c r="L256" s="58"/>
    </row>
    <row r="257" spans="10:12" ht="11.25" customHeight="1">
      <c r="J257" s="58"/>
      <c r="K257" s="58"/>
      <c r="L257" s="58"/>
    </row>
    <row r="258" spans="10:12" ht="11.25" customHeight="1">
      <c r="J258" s="58"/>
      <c r="K258" s="58"/>
      <c r="L258" s="58"/>
    </row>
    <row r="259" spans="10:12" ht="11.25" customHeight="1">
      <c r="J259" s="58"/>
      <c r="K259" s="58"/>
      <c r="L259" s="58"/>
    </row>
    <row r="260" spans="10:12" ht="11.25" customHeight="1">
      <c r="J260" s="58"/>
      <c r="K260" s="58"/>
      <c r="L260" s="58"/>
    </row>
    <row r="261" spans="10:12" ht="11.25" customHeight="1">
      <c r="J261" s="58"/>
      <c r="K261" s="58"/>
      <c r="L261" s="58"/>
    </row>
    <row r="262" spans="10:12" ht="11.25" customHeight="1">
      <c r="J262" s="58"/>
      <c r="K262" s="58"/>
      <c r="L262" s="58"/>
    </row>
    <row r="263" spans="10:12" ht="11.25" customHeight="1">
      <c r="J263" s="58"/>
      <c r="K263" s="58"/>
      <c r="L263" s="58"/>
    </row>
    <row r="264" spans="10:12" ht="11.25" customHeight="1">
      <c r="J264" s="58"/>
      <c r="K264" s="58"/>
      <c r="L264" s="58"/>
    </row>
    <row r="265" spans="10:12" ht="11.25" customHeight="1">
      <c r="J265" s="58"/>
      <c r="K265" s="58"/>
      <c r="L265" s="58"/>
    </row>
    <row r="266" spans="10:12" ht="11.25" customHeight="1">
      <c r="J266" s="58"/>
      <c r="K266" s="58"/>
      <c r="L266" s="58"/>
    </row>
    <row r="267" spans="10:12" ht="11.25" customHeight="1">
      <c r="J267" s="58"/>
      <c r="K267" s="58"/>
      <c r="L267" s="58"/>
    </row>
    <row r="268" spans="10:12" ht="11.25" customHeight="1">
      <c r="J268" s="58"/>
      <c r="K268" s="58"/>
      <c r="L268" s="58"/>
    </row>
    <row r="269" spans="10:12" ht="11.25" customHeight="1">
      <c r="J269" s="58"/>
      <c r="K269" s="58"/>
      <c r="L269" s="58"/>
    </row>
    <row r="270" spans="10:12" ht="11.25" customHeight="1">
      <c r="J270" s="58"/>
      <c r="K270" s="58"/>
      <c r="L270" s="58"/>
    </row>
    <row r="271" spans="10:12" ht="11.25" customHeight="1">
      <c r="J271" s="58"/>
      <c r="K271" s="58"/>
      <c r="L271" s="58"/>
    </row>
    <row r="272" spans="10:12" ht="11.25" customHeight="1">
      <c r="J272" s="58"/>
      <c r="K272" s="58"/>
      <c r="L272" s="58"/>
    </row>
    <row r="273" spans="10:12" ht="11.25" customHeight="1">
      <c r="J273" s="58"/>
      <c r="K273" s="58"/>
      <c r="L273" s="58"/>
    </row>
    <row r="274" spans="10:12" ht="11.25" customHeight="1">
      <c r="J274" s="58"/>
      <c r="K274" s="58"/>
      <c r="L274" s="58"/>
    </row>
    <row r="275" spans="10:12" ht="11.25" customHeight="1">
      <c r="J275" s="58"/>
      <c r="K275" s="58"/>
      <c r="L275" s="58"/>
    </row>
    <row r="276" spans="10:12" ht="11.25" customHeight="1">
      <c r="J276" s="58"/>
      <c r="K276" s="58"/>
      <c r="L276" s="58"/>
    </row>
    <row r="277" spans="10:12" ht="11.25" customHeight="1">
      <c r="J277" s="58"/>
      <c r="K277" s="58"/>
      <c r="L277" s="58"/>
    </row>
    <row r="278" spans="10:12" ht="11.25" customHeight="1">
      <c r="J278" s="58"/>
      <c r="K278" s="58"/>
      <c r="L278" s="58"/>
    </row>
    <row r="279" spans="10:12" ht="11.25" customHeight="1">
      <c r="J279" s="58"/>
      <c r="K279" s="58"/>
      <c r="L279" s="58"/>
    </row>
    <row r="280" spans="10:12" ht="11.25" customHeight="1">
      <c r="J280" s="58"/>
      <c r="K280" s="58"/>
      <c r="L280" s="58"/>
    </row>
    <row r="281" spans="10:12" ht="11.25" customHeight="1">
      <c r="J281" s="58"/>
      <c r="K281" s="58"/>
      <c r="L281" s="58"/>
    </row>
    <row r="282" spans="10:12" ht="11.25" customHeight="1">
      <c r="J282" s="58"/>
      <c r="K282" s="58"/>
      <c r="L282" s="58"/>
    </row>
    <row r="283" spans="10:12" ht="11.25" customHeight="1">
      <c r="J283" s="58"/>
      <c r="K283" s="58"/>
      <c r="L283" s="58"/>
    </row>
    <row r="284" spans="10:12" ht="11.25" customHeight="1">
      <c r="J284" s="58"/>
      <c r="K284" s="58"/>
      <c r="L284" s="58"/>
    </row>
    <row r="285" spans="10:12" ht="11.25" customHeight="1">
      <c r="J285" s="58"/>
      <c r="K285" s="58"/>
      <c r="L285" s="58"/>
    </row>
    <row r="286" spans="10:12" ht="11.25" customHeight="1">
      <c r="J286" s="58"/>
      <c r="K286" s="58"/>
      <c r="L286" s="58"/>
    </row>
    <row r="287" spans="10:12" ht="11.25" customHeight="1">
      <c r="J287" s="58"/>
      <c r="K287" s="58"/>
      <c r="L287" s="58"/>
    </row>
    <row r="288" spans="10:12" ht="11.25" customHeight="1">
      <c r="J288" s="58"/>
      <c r="K288" s="58"/>
      <c r="L288" s="58"/>
    </row>
    <row r="289" spans="10:12" ht="11.25" customHeight="1">
      <c r="J289" s="58"/>
      <c r="K289" s="58"/>
      <c r="L289" s="58"/>
    </row>
    <row r="290" spans="10:12" ht="11.25" customHeight="1">
      <c r="J290" s="58"/>
      <c r="K290" s="58"/>
      <c r="L290" s="58"/>
    </row>
    <row r="291" spans="10:12" ht="11.25" customHeight="1">
      <c r="J291" s="58"/>
      <c r="K291" s="58"/>
      <c r="L291" s="58"/>
    </row>
    <row r="292" spans="10:12" ht="11.25" customHeight="1">
      <c r="J292" s="58"/>
      <c r="K292" s="58"/>
      <c r="L292" s="58"/>
    </row>
    <row r="293" spans="10:12" ht="11.25" customHeight="1">
      <c r="J293" s="58"/>
      <c r="K293" s="58"/>
      <c r="L293" s="58"/>
    </row>
    <row r="294" spans="10:12" ht="11.25" customHeight="1">
      <c r="J294" s="58"/>
      <c r="K294" s="58"/>
      <c r="L294" s="58"/>
    </row>
    <row r="295" spans="10:12" ht="11.25" customHeight="1">
      <c r="J295" s="58"/>
      <c r="K295" s="58"/>
      <c r="L295" s="58"/>
    </row>
    <row r="296" spans="10:12" ht="11.25" customHeight="1">
      <c r="J296" s="58"/>
      <c r="K296" s="58"/>
      <c r="L296" s="58"/>
    </row>
    <row r="297" spans="10:12" ht="11.25" customHeight="1">
      <c r="J297" s="58"/>
      <c r="K297" s="58"/>
      <c r="L297" s="58"/>
    </row>
    <row r="298" spans="10:12" ht="11.25" customHeight="1">
      <c r="J298" s="58"/>
      <c r="K298" s="58"/>
      <c r="L298" s="58"/>
    </row>
    <row r="299" spans="10:12" ht="11.25" customHeight="1">
      <c r="J299" s="58"/>
      <c r="K299" s="58"/>
      <c r="L299" s="58"/>
    </row>
    <row r="300" spans="10:12" ht="11.25" customHeight="1">
      <c r="J300" s="58"/>
      <c r="K300" s="58"/>
      <c r="L300" s="58"/>
    </row>
    <row r="301" spans="10:12" ht="11.25" customHeight="1">
      <c r="J301" s="58"/>
      <c r="K301" s="58"/>
      <c r="L301" s="58"/>
    </row>
    <row r="302" spans="10:12" ht="11.25" customHeight="1">
      <c r="J302" s="58"/>
      <c r="K302" s="58"/>
      <c r="L302" s="58"/>
    </row>
    <row r="303" spans="10:12" ht="11.25" customHeight="1">
      <c r="J303" s="58"/>
      <c r="K303" s="58"/>
      <c r="L303" s="58"/>
    </row>
    <row r="304" spans="10:12" ht="11.25" customHeight="1">
      <c r="J304" s="58"/>
      <c r="K304" s="58"/>
      <c r="L304" s="58"/>
    </row>
    <row r="305" spans="10:12" ht="11.25" customHeight="1">
      <c r="J305" s="58"/>
      <c r="K305" s="58"/>
      <c r="L305" s="58"/>
    </row>
    <row r="306" spans="10:12" ht="11.25" customHeight="1">
      <c r="J306" s="58"/>
      <c r="K306" s="58"/>
      <c r="L306" s="58"/>
    </row>
    <row r="307" spans="10:12" ht="11.25" customHeight="1">
      <c r="J307" s="58"/>
      <c r="K307" s="58"/>
      <c r="L307" s="58"/>
    </row>
    <row r="308" spans="10:12" ht="11.25" customHeight="1">
      <c r="J308" s="58"/>
      <c r="K308" s="58"/>
      <c r="L308" s="58"/>
    </row>
    <row r="309" spans="10:12" ht="11.25" customHeight="1">
      <c r="J309" s="58"/>
      <c r="K309" s="58"/>
      <c r="L309" s="58"/>
    </row>
    <row r="310" spans="10:12" ht="11.25" customHeight="1">
      <c r="J310" s="58"/>
      <c r="K310" s="58"/>
      <c r="L310" s="58"/>
    </row>
    <row r="311" spans="10:12" ht="11.25" customHeight="1">
      <c r="J311" s="58"/>
      <c r="K311" s="58"/>
      <c r="L311" s="58"/>
    </row>
    <row r="312" spans="10:12" ht="11.25" customHeight="1">
      <c r="J312" s="58"/>
      <c r="K312" s="58"/>
      <c r="L312" s="58"/>
    </row>
    <row r="313" spans="10:12" ht="11.25" customHeight="1">
      <c r="J313" s="58"/>
      <c r="K313" s="58"/>
      <c r="L313" s="58"/>
    </row>
    <row r="314" spans="10:12" ht="11.25" customHeight="1">
      <c r="J314" s="58"/>
      <c r="K314" s="58"/>
      <c r="L314" s="58"/>
    </row>
    <row r="315" spans="10:12" ht="11.25" customHeight="1">
      <c r="J315" s="58"/>
      <c r="K315" s="58"/>
      <c r="L315" s="58"/>
    </row>
    <row r="316" spans="10:12" ht="11.25" customHeight="1">
      <c r="J316" s="58"/>
      <c r="K316" s="58"/>
      <c r="L316" s="58"/>
    </row>
    <row r="317" spans="10:12" ht="11.25" customHeight="1">
      <c r="J317" s="58"/>
      <c r="K317" s="58"/>
      <c r="L317" s="58"/>
    </row>
    <row r="318" spans="10:12" ht="11.25" customHeight="1">
      <c r="J318" s="58"/>
      <c r="K318" s="58"/>
      <c r="L318" s="58"/>
    </row>
    <row r="319" spans="10:12" ht="11.25" customHeight="1">
      <c r="J319" s="58"/>
      <c r="K319" s="58"/>
      <c r="L319" s="58"/>
    </row>
    <row r="320" spans="10:12" ht="11.25" customHeight="1">
      <c r="J320" s="58"/>
      <c r="K320" s="58"/>
      <c r="L320" s="58"/>
    </row>
    <row r="321" spans="10:12" ht="11.25" customHeight="1">
      <c r="J321" s="58"/>
      <c r="K321" s="58"/>
      <c r="L321" s="58"/>
    </row>
    <row r="322" spans="10:12" ht="11.25" customHeight="1">
      <c r="J322" s="58"/>
      <c r="K322" s="58"/>
      <c r="L322" s="58"/>
    </row>
    <row r="323" spans="10:12" ht="11.25" customHeight="1">
      <c r="J323" s="58"/>
      <c r="K323" s="58"/>
      <c r="L323" s="58"/>
    </row>
    <row r="324" spans="10:12" ht="11.25" customHeight="1">
      <c r="J324" s="58"/>
      <c r="K324" s="58"/>
      <c r="L324" s="58"/>
    </row>
    <row r="325" spans="10:12" ht="11.25" customHeight="1">
      <c r="J325" s="58"/>
      <c r="K325" s="58"/>
      <c r="L325" s="58"/>
    </row>
    <row r="326" spans="10:12" ht="11.25" customHeight="1">
      <c r="J326" s="58"/>
      <c r="K326" s="58"/>
      <c r="L326" s="58"/>
    </row>
    <row r="327" spans="10:12" ht="11.25" customHeight="1">
      <c r="J327" s="58"/>
      <c r="K327" s="58"/>
      <c r="L327" s="58"/>
    </row>
    <row r="328" spans="10:12" ht="11.25" customHeight="1">
      <c r="J328" s="58"/>
      <c r="K328" s="58"/>
      <c r="L328" s="58"/>
    </row>
    <row r="329" spans="10:12" ht="11.25" customHeight="1">
      <c r="J329" s="58"/>
      <c r="K329" s="58"/>
      <c r="L329" s="58"/>
    </row>
    <row r="330" spans="10:12" ht="11.25" customHeight="1">
      <c r="J330" s="58"/>
      <c r="K330" s="58"/>
      <c r="L330" s="58"/>
    </row>
    <row r="331" spans="10:12" ht="11.25" customHeight="1">
      <c r="J331" s="58"/>
      <c r="K331" s="58"/>
      <c r="L331" s="58"/>
    </row>
    <row r="332" spans="10:12" ht="11.25" customHeight="1">
      <c r="J332" s="58"/>
      <c r="K332" s="58"/>
      <c r="L332" s="58"/>
    </row>
    <row r="333" spans="10:12" ht="11.25" customHeight="1">
      <c r="J333" s="58"/>
      <c r="K333" s="58"/>
      <c r="L333" s="58"/>
    </row>
    <row r="334" spans="10:12" ht="11.25" customHeight="1">
      <c r="J334" s="58"/>
      <c r="K334" s="58"/>
      <c r="L334" s="58"/>
    </row>
    <row r="335" spans="10:12" ht="11.25" customHeight="1">
      <c r="J335" s="58"/>
      <c r="K335" s="58"/>
      <c r="L335" s="58"/>
    </row>
    <row r="336" spans="10:12" ht="11.25" customHeight="1">
      <c r="J336" s="58"/>
      <c r="K336" s="58"/>
      <c r="L336" s="58"/>
    </row>
    <row r="337" spans="10:12" ht="11.25" customHeight="1">
      <c r="J337" s="58"/>
      <c r="K337" s="58"/>
      <c r="L337" s="58"/>
    </row>
    <row r="338" spans="10:12" ht="11.25" customHeight="1">
      <c r="J338" s="58"/>
      <c r="K338" s="58"/>
      <c r="L338" s="58"/>
    </row>
    <row r="339" spans="10:12" ht="11.25" customHeight="1">
      <c r="J339" s="58"/>
      <c r="K339" s="58"/>
      <c r="L339" s="58"/>
    </row>
    <row r="340" spans="10:12" ht="11.25" customHeight="1">
      <c r="J340" s="58"/>
      <c r="K340" s="58"/>
      <c r="L340" s="58"/>
    </row>
    <row r="341" spans="10:12" ht="11.25" customHeight="1">
      <c r="J341" s="58"/>
      <c r="K341" s="58"/>
      <c r="L341" s="58"/>
    </row>
    <row r="342" spans="10:12" ht="11.25" customHeight="1">
      <c r="J342" s="58"/>
      <c r="K342" s="58"/>
      <c r="L342" s="58"/>
    </row>
    <row r="343" spans="10:12" ht="11.25" customHeight="1">
      <c r="J343" s="58"/>
      <c r="K343" s="58"/>
      <c r="L343" s="58"/>
    </row>
    <row r="344" spans="10:12" ht="11.25" customHeight="1">
      <c r="J344" s="58"/>
      <c r="K344" s="58"/>
      <c r="L344" s="58"/>
    </row>
    <row r="345" spans="10:12" ht="11.25" customHeight="1">
      <c r="J345" s="58"/>
      <c r="K345" s="58"/>
      <c r="L345" s="58"/>
    </row>
    <row r="346" spans="10:12" ht="11.25" customHeight="1">
      <c r="J346" s="58"/>
      <c r="K346" s="58"/>
      <c r="L346" s="58"/>
    </row>
    <row r="347" spans="10:12" ht="11.25" customHeight="1">
      <c r="J347" s="58"/>
      <c r="K347" s="58"/>
      <c r="L347" s="58"/>
    </row>
    <row r="348" spans="10:12" ht="11.25" customHeight="1">
      <c r="J348" s="58"/>
      <c r="K348" s="58"/>
      <c r="L348" s="58"/>
    </row>
    <row r="349" spans="10:12" ht="11.25" customHeight="1">
      <c r="J349" s="58"/>
      <c r="K349" s="58"/>
      <c r="L349" s="58"/>
    </row>
    <row r="350" spans="10:12" ht="11.25" customHeight="1">
      <c r="J350" s="58"/>
      <c r="K350" s="58"/>
      <c r="L350" s="58"/>
    </row>
    <row r="351" spans="10:12" ht="11.25" customHeight="1">
      <c r="J351" s="58"/>
      <c r="K351" s="58"/>
      <c r="L351" s="58"/>
    </row>
    <row r="352" spans="10:12" ht="11.25" customHeight="1">
      <c r="J352" s="58"/>
      <c r="K352" s="58"/>
      <c r="L352" s="58"/>
    </row>
    <row r="353" spans="10:12" ht="11.25" customHeight="1">
      <c r="J353" s="58"/>
      <c r="K353" s="58"/>
      <c r="L353" s="58"/>
    </row>
    <row r="354" spans="10:12" ht="11.25" customHeight="1">
      <c r="J354" s="58"/>
      <c r="K354" s="58"/>
      <c r="L354" s="58"/>
    </row>
    <row r="355" spans="10:12" ht="11.25" customHeight="1">
      <c r="J355" s="58"/>
      <c r="K355" s="58"/>
      <c r="L355" s="58"/>
    </row>
    <row r="356" spans="10:12" ht="11.25" customHeight="1">
      <c r="J356" s="58"/>
      <c r="K356" s="58"/>
      <c r="L356" s="58"/>
    </row>
    <row r="357" spans="10:12" ht="11.25" customHeight="1">
      <c r="J357" s="58"/>
      <c r="K357" s="58"/>
      <c r="L357" s="58"/>
    </row>
    <row r="358" spans="10:12" ht="11.25" customHeight="1">
      <c r="J358" s="58"/>
      <c r="K358" s="58"/>
      <c r="L358" s="58"/>
    </row>
    <row r="359" spans="10:12" ht="11.25" customHeight="1">
      <c r="J359" s="58"/>
      <c r="K359" s="58"/>
      <c r="L359" s="58"/>
    </row>
    <row r="360" spans="10:12" ht="11.25" customHeight="1">
      <c r="J360" s="58"/>
      <c r="K360" s="58"/>
      <c r="L360" s="58"/>
    </row>
    <row r="361" spans="10:12" ht="11.25" customHeight="1">
      <c r="J361" s="58"/>
      <c r="K361" s="58"/>
      <c r="L361" s="58"/>
    </row>
    <row r="362" spans="10:12" ht="11.25" customHeight="1">
      <c r="J362" s="58"/>
      <c r="K362" s="58"/>
      <c r="L362" s="58"/>
    </row>
    <row r="363" spans="10:12" ht="11.25" customHeight="1">
      <c r="J363" s="58"/>
      <c r="K363" s="58"/>
      <c r="L363" s="58"/>
    </row>
    <row r="364" spans="10:12" ht="11.25" customHeight="1">
      <c r="J364" s="58"/>
      <c r="K364" s="58"/>
      <c r="L364" s="58"/>
    </row>
    <row r="365" spans="10:12" ht="11.25" customHeight="1">
      <c r="J365" s="58"/>
      <c r="K365" s="58"/>
      <c r="L365" s="58"/>
    </row>
    <row r="366" spans="10:12" ht="11.25" customHeight="1">
      <c r="J366" s="58"/>
      <c r="K366" s="58"/>
      <c r="L366" s="58"/>
    </row>
    <row r="367" spans="10:12" ht="11.25" customHeight="1">
      <c r="J367" s="58"/>
      <c r="K367" s="58"/>
      <c r="L367" s="58"/>
    </row>
    <row r="368" spans="10:12" ht="11.25" customHeight="1">
      <c r="J368" s="58"/>
      <c r="K368" s="58"/>
      <c r="L368" s="58"/>
    </row>
    <row r="369" spans="10:12" ht="11.25" customHeight="1">
      <c r="J369" s="58"/>
      <c r="K369" s="58"/>
      <c r="L369" s="58"/>
    </row>
    <row r="370" spans="10:12" ht="11.25" customHeight="1">
      <c r="J370" s="58"/>
      <c r="K370" s="58"/>
      <c r="L370" s="58"/>
    </row>
    <row r="371" spans="10:12" ht="11.25" customHeight="1">
      <c r="J371" s="58"/>
      <c r="K371" s="58"/>
      <c r="L371" s="58"/>
    </row>
    <row r="372" spans="10:12" ht="11.25" customHeight="1">
      <c r="J372" s="58"/>
      <c r="K372" s="58"/>
      <c r="L372" s="58"/>
    </row>
    <row r="373" spans="10:12" ht="11.25" customHeight="1">
      <c r="J373" s="58"/>
      <c r="K373" s="58"/>
      <c r="L373" s="58"/>
    </row>
    <row r="374" spans="10:12" ht="11.25" customHeight="1">
      <c r="J374" s="58"/>
      <c r="K374" s="58"/>
      <c r="L374" s="58"/>
    </row>
    <row r="375" spans="10:12" ht="11.25" customHeight="1">
      <c r="J375" s="58"/>
      <c r="K375" s="58"/>
      <c r="L375" s="58"/>
    </row>
    <row r="376" spans="10:12" ht="11.25" customHeight="1">
      <c r="J376" s="58"/>
      <c r="K376" s="58"/>
      <c r="L376" s="58"/>
    </row>
    <row r="377" spans="10:12" ht="11.25" customHeight="1">
      <c r="J377" s="58"/>
      <c r="K377" s="58"/>
      <c r="L377" s="58"/>
    </row>
    <row r="378" spans="10:12" ht="11.25" customHeight="1">
      <c r="J378" s="58"/>
      <c r="K378" s="58"/>
      <c r="L378" s="58"/>
    </row>
    <row r="379" spans="10:12" ht="11.25" customHeight="1">
      <c r="J379" s="58"/>
      <c r="K379" s="58"/>
      <c r="L379" s="58"/>
    </row>
    <row r="380" spans="10:12" ht="11.25" customHeight="1">
      <c r="J380" s="58"/>
      <c r="K380" s="58"/>
      <c r="L380" s="58"/>
    </row>
    <row r="381" spans="10:12" ht="11.25" customHeight="1">
      <c r="J381" s="58"/>
      <c r="K381" s="58"/>
      <c r="L381" s="58"/>
    </row>
    <row r="382" spans="10:12" ht="11.25" customHeight="1">
      <c r="J382" s="58"/>
      <c r="K382" s="58"/>
      <c r="L382" s="58"/>
    </row>
    <row r="383" spans="10:12" ht="11.25" customHeight="1">
      <c r="J383" s="58"/>
      <c r="K383" s="58"/>
      <c r="L383" s="58"/>
    </row>
    <row r="384" spans="10:12" ht="11.25" customHeight="1">
      <c r="J384" s="58"/>
      <c r="K384" s="58"/>
      <c r="L384" s="58"/>
    </row>
    <row r="385" spans="10:12" ht="11.25" customHeight="1">
      <c r="J385" s="58"/>
      <c r="K385" s="58"/>
      <c r="L385" s="58"/>
    </row>
    <row r="386" spans="10:12" ht="11.25" customHeight="1">
      <c r="J386" s="58"/>
      <c r="K386" s="58"/>
      <c r="L386" s="58"/>
    </row>
    <row r="387" spans="10:12" ht="11.25" customHeight="1">
      <c r="J387" s="58"/>
      <c r="K387" s="58"/>
      <c r="L387" s="58"/>
    </row>
    <row r="388" spans="10:12" ht="11.25" customHeight="1">
      <c r="J388" s="58"/>
      <c r="K388" s="58"/>
      <c r="L388" s="58"/>
    </row>
    <row r="389" spans="10:12" ht="11.25" customHeight="1">
      <c r="J389" s="58"/>
      <c r="K389" s="58"/>
      <c r="L389" s="58"/>
    </row>
    <row r="390" spans="10:12" ht="11.25" customHeight="1">
      <c r="J390" s="58"/>
      <c r="K390" s="58"/>
      <c r="L390" s="58"/>
    </row>
    <row r="391" spans="10:12" ht="11.25" customHeight="1">
      <c r="J391" s="58"/>
      <c r="K391" s="58"/>
      <c r="L391" s="58"/>
    </row>
    <row r="392" spans="10:12" ht="11.25" customHeight="1">
      <c r="J392" s="58"/>
      <c r="K392" s="58"/>
      <c r="L392" s="58"/>
    </row>
    <row r="393" spans="10:12" ht="11.25" customHeight="1">
      <c r="J393" s="58"/>
      <c r="K393" s="58"/>
      <c r="L393" s="58"/>
    </row>
    <row r="394" spans="10:12" ht="11.25" customHeight="1">
      <c r="J394" s="58"/>
      <c r="K394" s="58"/>
      <c r="L394" s="58"/>
    </row>
    <row r="395" spans="10:12" ht="11.25" customHeight="1">
      <c r="J395" s="58"/>
      <c r="K395" s="58"/>
      <c r="L395" s="58"/>
    </row>
    <row r="396" spans="10:12" ht="11.25" customHeight="1">
      <c r="J396" s="58"/>
      <c r="K396" s="58"/>
      <c r="L396" s="58"/>
    </row>
    <row r="397" spans="10:12" ht="11.25" customHeight="1">
      <c r="J397" s="58"/>
      <c r="K397" s="58"/>
      <c r="L397" s="58"/>
    </row>
    <row r="398" spans="10:12" ht="11.25" customHeight="1">
      <c r="J398" s="58"/>
      <c r="K398" s="58"/>
      <c r="L398" s="58"/>
    </row>
    <row r="399" spans="10:12" ht="11.25" customHeight="1">
      <c r="J399" s="58"/>
      <c r="K399" s="58"/>
      <c r="L399" s="58"/>
    </row>
    <row r="400" spans="10:12" ht="11.25" customHeight="1">
      <c r="J400" s="58"/>
      <c r="K400" s="58"/>
      <c r="L400" s="58"/>
    </row>
    <row r="401" spans="10:12" ht="11.25" customHeight="1">
      <c r="J401" s="58"/>
      <c r="K401" s="58"/>
      <c r="L401" s="58"/>
    </row>
    <row r="402" spans="10:12" ht="11.25" customHeight="1">
      <c r="J402" s="58"/>
      <c r="K402" s="58"/>
      <c r="L402" s="58"/>
    </row>
    <row r="403" spans="10:12" ht="11.25" customHeight="1">
      <c r="J403" s="58"/>
      <c r="K403" s="58"/>
      <c r="L403" s="58"/>
    </row>
    <row r="404" spans="10:12" ht="11.25" customHeight="1">
      <c r="J404" s="58"/>
      <c r="K404" s="58"/>
      <c r="L404" s="58"/>
    </row>
    <row r="405" spans="10:12" ht="11.25" customHeight="1">
      <c r="J405" s="58"/>
      <c r="K405" s="58"/>
      <c r="L405" s="58"/>
    </row>
    <row r="406" spans="10:12" ht="11.25" customHeight="1">
      <c r="J406" s="58"/>
      <c r="K406" s="58"/>
      <c r="L406" s="58"/>
    </row>
    <row r="407" spans="10:12" ht="11.25" customHeight="1">
      <c r="J407" s="58"/>
      <c r="K407" s="58"/>
      <c r="L407" s="58"/>
    </row>
    <row r="408" spans="10:12" ht="11.25" customHeight="1">
      <c r="J408" s="58"/>
      <c r="K408" s="58"/>
      <c r="L408" s="58"/>
    </row>
    <row r="409" spans="10:12" ht="11.25" customHeight="1">
      <c r="J409" s="58"/>
      <c r="K409" s="58"/>
      <c r="L409" s="58"/>
    </row>
    <row r="410" spans="10:12" ht="11.25" customHeight="1">
      <c r="J410" s="58"/>
      <c r="K410" s="58"/>
      <c r="L410" s="58"/>
    </row>
    <row r="411" spans="10:12" ht="11.25" customHeight="1">
      <c r="J411" s="58"/>
      <c r="K411" s="58"/>
      <c r="L411" s="58"/>
    </row>
    <row r="412" spans="10:12" ht="11.25" customHeight="1">
      <c r="J412" s="58"/>
      <c r="K412" s="58"/>
      <c r="L412" s="58"/>
    </row>
    <row r="413" spans="10:12" ht="11.25" customHeight="1">
      <c r="J413" s="58"/>
      <c r="K413" s="58"/>
      <c r="L413" s="58"/>
    </row>
    <row r="414" spans="10:12" ht="11.25" customHeight="1">
      <c r="J414" s="58"/>
      <c r="K414" s="58"/>
      <c r="L414" s="58"/>
    </row>
    <row r="415" spans="10:12" ht="11.25" customHeight="1">
      <c r="J415" s="58"/>
      <c r="K415" s="58"/>
      <c r="L415" s="58"/>
    </row>
    <row r="416" spans="10:12" ht="11.25" customHeight="1">
      <c r="J416" s="58"/>
      <c r="K416" s="58"/>
      <c r="L416" s="58"/>
    </row>
    <row r="417" spans="10:12" ht="11.25" customHeight="1">
      <c r="J417" s="58"/>
      <c r="K417" s="58"/>
      <c r="L417" s="58"/>
    </row>
    <row r="418" spans="10:12" ht="11.25" customHeight="1">
      <c r="J418" s="58"/>
      <c r="K418" s="58"/>
      <c r="L418" s="58"/>
    </row>
    <row r="419" spans="10:12" ht="11.25" customHeight="1">
      <c r="J419" s="58"/>
      <c r="K419" s="58"/>
      <c r="L419" s="58"/>
    </row>
    <row r="420" spans="10:12" ht="11.25" customHeight="1">
      <c r="J420" s="58"/>
      <c r="K420" s="58"/>
      <c r="L420" s="58"/>
    </row>
    <row r="421" spans="10:12" ht="11.25" customHeight="1">
      <c r="J421" s="58"/>
      <c r="K421" s="58"/>
      <c r="L421" s="58"/>
    </row>
    <row r="422" spans="10:12" ht="11.25" customHeight="1">
      <c r="J422" s="58"/>
      <c r="K422" s="58"/>
      <c r="L422" s="58"/>
    </row>
    <row r="423" spans="10:12" ht="11.25" customHeight="1">
      <c r="J423" s="58"/>
      <c r="K423" s="58"/>
      <c r="L423" s="58"/>
    </row>
    <row r="424" spans="10:12" ht="11.25" customHeight="1">
      <c r="J424" s="58"/>
      <c r="K424" s="58"/>
      <c r="L424" s="58"/>
    </row>
    <row r="425" spans="10:12" ht="11.25" customHeight="1">
      <c r="J425" s="58"/>
      <c r="K425" s="58"/>
      <c r="L425" s="58"/>
    </row>
    <row r="426" spans="10:12" ht="11.25" customHeight="1">
      <c r="J426" s="58"/>
      <c r="K426" s="58"/>
      <c r="L426" s="58"/>
    </row>
    <row r="427" spans="10:12" ht="11.25" customHeight="1">
      <c r="J427" s="58"/>
      <c r="K427" s="58"/>
      <c r="L427" s="58"/>
    </row>
    <row r="428" spans="10:12" ht="11.25" customHeight="1">
      <c r="J428" s="58"/>
      <c r="K428" s="58"/>
      <c r="L428" s="58"/>
    </row>
    <row r="429" spans="10:12" ht="11.25" customHeight="1">
      <c r="J429" s="58"/>
      <c r="K429" s="58"/>
      <c r="L429" s="58"/>
    </row>
    <row r="430" spans="10:12" ht="11.25" customHeight="1">
      <c r="J430" s="58"/>
      <c r="K430" s="58"/>
      <c r="L430" s="58"/>
    </row>
    <row r="431" spans="10:12" ht="11.25" customHeight="1">
      <c r="J431" s="58"/>
      <c r="K431" s="58"/>
      <c r="L431" s="58"/>
    </row>
    <row r="432" spans="10:12" ht="11.25" customHeight="1">
      <c r="J432" s="58"/>
      <c r="K432" s="58"/>
      <c r="L432" s="58"/>
    </row>
    <row r="433" spans="10:12" ht="11.25" customHeight="1">
      <c r="J433" s="58"/>
      <c r="K433" s="58"/>
      <c r="L433" s="58"/>
    </row>
    <row r="434" spans="10:12" ht="11.25" customHeight="1">
      <c r="J434" s="58"/>
      <c r="K434" s="58"/>
      <c r="L434" s="58"/>
    </row>
    <row r="435" spans="10:12" ht="11.25" customHeight="1">
      <c r="J435" s="58"/>
      <c r="K435" s="58"/>
      <c r="L435" s="58"/>
    </row>
    <row r="436" spans="10:12" ht="11.25" customHeight="1">
      <c r="J436" s="58"/>
      <c r="K436" s="58"/>
      <c r="L436" s="58"/>
    </row>
    <row r="437" spans="10:12" ht="11.25" customHeight="1">
      <c r="J437" s="58"/>
      <c r="K437" s="58"/>
      <c r="L437" s="58"/>
    </row>
    <row r="438" spans="10:12" ht="11.25" customHeight="1">
      <c r="J438" s="58"/>
      <c r="K438" s="58"/>
      <c r="L438" s="58"/>
    </row>
    <row r="439" spans="10:12" ht="11.25" customHeight="1">
      <c r="J439" s="58"/>
      <c r="K439" s="58"/>
      <c r="L439" s="58"/>
    </row>
    <row r="440" spans="10:12" ht="11.25" customHeight="1">
      <c r="J440" s="58"/>
      <c r="K440" s="58"/>
      <c r="L440" s="58"/>
    </row>
    <row r="441" spans="10:12" ht="11.25" customHeight="1">
      <c r="J441" s="58"/>
      <c r="K441" s="58"/>
      <c r="L441" s="58"/>
    </row>
    <row r="442" spans="10:12" ht="11.25" customHeight="1">
      <c r="J442" s="58"/>
      <c r="K442" s="58"/>
      <c r="L442" s="58"/>
    </row>
    <row r="443" spans="10:12" ht="11.25" customHeight="1">
      <c r="J443" s="58"/>
      <c r="K443" s="58"/>
      <c r="L443" s="58"/>
    </row>
    <row r="444" spans="10:12" ht="11.25" customHeight="1">
      <c r="J444" s="58"/>
      <c r="K444" s="58"/>
      <c r="L444" s="58"/>
    </row>
    <row r="445" spans="10:12" ht="11.25" customHeight="1">
      <c r="J445" s="58"/>
      <c r="K445" s="58"/>
      <c r="L445" s="58"/>
    </row>
    <row r="446" spans="10:12" ht="11.25" customHeight="1">
      <c r="J446" s="58"/>
      <c r="K446" s="58"/>
      <c r="L446" s="58"/>
    </row>
    <row r="447" spans="10:12" ht="11.25" customHeight="1">
      <c r="J447" s="58"/>
      <c r="K447" s="58"/>
      <c r="L447" s="58"/>
    </row>
    <row r="448" spans="10:12" ht="11.25" customHeight="1">
      <c r="J448" s="58"/>
      <c r="K448" s="58"/>
      <c r="L448" s="58"/>
    </row>
    <row r="449" spans="10:12" ht="11.25" customHeight="1">
      <c r="J449" s="58"/>
      <c r="K449" s="58"/>
      <c r="L449" s="58"/>
    </row>
    <row r="450" spans="10:12" ht="11.25" customHeight="1">
      <c r="J450" s="58"/>
      <c r="K450" s="58"/>
      <c r="L450" s="58"/>
    </row>
    <row r="451" spans="10:12" ht="11.25" customHeight="1">
      <c r="J451" s="58"/>
      <c r="K451" s="58"/>
      <c r="L451" s="58"/>
    </row>
    <row r="452" spans="10:12" ht="11.25" customHeight="1">
      <c r="J452" s="58"/>
      <c r="K452" s="58"/>
      <c r="L452" s="58"/>
    </row>
    <row r="453" spans="10:12" ht="11.25" customHeight="1">
      <c r="J453" s="58"/>
      <c r="K453" s="58"/>
      <c r="L453" s="58"/>
    </row>
    <row r="454" spans="10:12" ht="11.25" customHeight="1">
      <c r="J454" s="58"/>
      <c r="K454" s="58"/>
      <c r="L454" s="58"/>
    </row>
    <row r="455" spans="10:12" ht="11.25" customHeight="1">
      <c r="J455" s="58"/>
      <c r="K455" s="58"/>
      <c r="L455" s="58"/>
    </row>
    <row r="456" spans="10:12" ht="11.25" customHeight="1">
      <c r="J456" s="58"/>
      <c r="K456" s="58"/>
      <c r="L456" s="58"/>
    </row>
    <row r="457" spans="10:12" ht="11.25" customHeight="1">
      <c r="J457" s="58"/>
      <c r="K457" s="58"/>
      <c r="L457" s="58"/>
    </row>
    <row r="458" spans="10:12" ht="11.25" customHeight="1">
      <c r="J458" s="58"/>
      <c r="K458" s="58"/>
      <c r="L458" s="58"/>
    </row>
    <row r="459" spans="10:12" ht="11.25" customHeight="1">
      <c r="J459" s="58"/>
      <c r="K459" s="58"/>
      <c r="L459" s="58"/>
    </row>
    <row r="460" spans="10:12" ht="11.25" customHeight="1">
      <c r="J460" s="58"/>
      <c r="K460" s="58"/>
      <c r="L460" s="58"/>
    </row>
    <row r="461" spans="10:12" ht="11.25" customHeight="1">
      <c r="J461" s="58"/>
      <c r="K461" s="58"/>
      <c r="L461" s="58"/>
    </row>
    <row r="462" spans="10:12" ht="11.25" customHeight="1">
      <c r="J462" s="58"/>
      <c r="K462" s="58"/>
      <c r="L462" s="58"/>
    </row>
    <row r="463" spans="10:12" ht="11.25" customHeight="1">
      <c r="J463" s="58"/>
      <c r="K463" s="58"/>
      <c r="L463" s="58"/>
    </row>
    <row r="464" spans="10:12" ht="11.25" customHeight="1">
      <c r="J464" s="58"/>
      <c r="K464" s="58"/>
      <c r="L464" s="58"/>
    </row>
    <row r="465" spans="10:12" ht="11.25" customHeight="1">
      <c r="J465" s="58"/>
      <c r="K465" s="58"/>
      <c r="L465" s="58"/>
    </row>
    <row r="466" spans="10:12" ht="11.25" customHeight="1">
      <c r="J466" s="58"/>
      <c r="K466" s="58"/>
      <c r="L466" s="58"/>
    </row>
    <row r="467" spans="10:12" ht="11.25" customHeight="1">
      <c r="J467" s="58"/>
      <c r="K467" s="58"/>
      <c r="L467" s="58"/>
    </row>
    <row r="468" spans="10:12" ht="11.25" customHeight="1">
      <c r="J468" s="58"/>
      <c r="K468" s="58"/>
      <c r="L468" s="58"/>
    </row>
    <row r="469" spans="10:12" ht="11.25" customHeight="1">
      <c r="J469" s="58"/>
      <c r="K469" s="58"/>
      <c r="L469" s="58"/>
    </row>
    <row r="470" spans="10:12" ht="11.25" customHeight="1">
      <c r="J470" s="58"/>
      <c r="K470" s="58"/>
      <c r="L470" s="58"/>
    </row>
    <row r="471" spans="10:12" ht="11.25" customHeight="1">
      <c r="J471" s="58"/>
      <c r="K471" s="58"/>
      <c r="L471" s="58"/>
    </row>
    <row r="472" spans="10:12" ht="11.25" customHeight="1">
      <c r="J472" s="58"/>
      <c r="K472" s="58"/>
      <c r="L472" s="58"/>
    </row>
    <row r="473" spans="10:12" ht="11.25" customHeight="1">
      <c r="J473" s="58"/>
      <c r="K473" s="58"/>
      <c r="L473" s="58"/>
    </row>
    <row r="474" spans="10:12" ht="11.25" customHeight="1">
      <c r="J474" s="58"/>
      <c r="K474" s="58"/>
      <c r="L474" s="58"/>
    </row>
    <row r="475" spans="10:12" ht="11.25" customHeight="1">
      <c r="J475" s="58"/>
      <c r="K475" s="58"/>
      <c r="L475" s="58"/>
    </row>
    <row r="476" spans="10:12" ht="11.25" customHeight="1">
      <c r="J476" s="58"/>
      <c r="K476" s="58"/>
      <c r="L476" s="58"/>
    </row>
    <row r="477" spans="10:12" ht="11.25" customHeight="1">
      <c r="J477" s="58"/>
      <c r="K477" s="58"/>
      <c r="L477" s="58"/>
    </row>
    <row r="478" spans="10:12" ht="11.25" customHeight="1">
      <c r="J478" s="58"/>
      <c r="K478" s="58"/>
      <c r="L478" s="58"/>
    </row>
    <row r="479" spans="10:12" ht="11.25" customHeight="1">
      <c r="J479" s="58"/>
      <c r="K479" s="58"/>
      <c r="L479" s="58"/>
    </row>
    <row r="480" spans="10:12" ht="11.25" customHeight="1">
      <c r="J480" s="58"/>
      <c r="K480" s="58"/>
      <c r="L480" s="58"/>
    </row>
    <row r="481" spans="10:12" ht="11.25" customHeight="1">
      <c r="J481" s="58"/>
      <c r="K481" s="58"/>
      <c r="L481" s="58"/>
    </row>
    <row r="482" spans="10:12" ht="11.25" customHeight="1">
      <c r="J482" s="58"/>
      <c r="K482" s="58"/>
      <c r="L482" s="58"/>
    </row>
    <row r="483" spans="10:12" ht="11.25" customHeight="1">
      <c r="J483" s="58"/>
      <c r="K483" s="58"/>
      <c r="L483" s="58"/>
    </row>
    <row r="484" spans="10:12" ht="11.25" customHeight="1">
      <c r="J484" s="58"/>
      <c r="K484" s="58"/>
      <c r="L484" s="58"/>
    </row>
    <row r="485" spans="10:12" ht="11.25" customHeight="1">
      <c r="J485" s="58"/>
      <c r="K485" s="58"/>
      <c r="L485" s="58"/>
    </row>
    <row r="486" spans="10:12" ht="11.25" customHeight="1">
      <c r="J486" s="58"/>
      <c r="K486" s="58"/>
      <c r="L486" s="58"/>
    </row>
    <row r="487" spans="10:12" ht="11.25" customHeight="1">
      <c r="J487" s="58"/>
      <c r="K487" s="58"/>
      <c r="L487" s="58"/>
    </row>
    <row r="488" spans="10:12" ht="11.25" customHeight="1">
      <c r="J488" s="58"/>
      <c r="K488" s="58"/>
      <c r="L488" s="58"/>
    </row>
    <row r="489" spans="10:12" ht="11.25" customHeight="1">
      <c r="J489" s="58"/>
      <c r="K489" s="58"/>
      <c r="L489" s="58"/>
    </row>
    <row r="490" spans="10:12" ht="11.25" customHeight="1">
      <c r="J490" s="58"/>
      <c r="K490" s="58"/>
      <c r="L490" s="58"/>
    </row>
    <row r="491" spans="10:12" ht="11.25" customHeight="1">
      <c r="J491" s="58"/>
      <c r="K491" s="58"/>
      <c r="L491" s="58"/>
    </row>
    <row r="492" spans="10:12" ht="11.25" customHeight="1">
      <c r="J492" s="58"/>
      <c r="K492" s="58"/>
      <c r="L492" s="58"/>
    </row>
    <row r="493" spans="10:12" ht="11.25" customHeight="1">
      <c r="J493" s="58"/>
      <c r="K493" s="58"/>
      <c r="L493" s="58"/>
    </row>
    <row r="494" spans="10:12" ht="11.25" customHeight="1">
      <c r="J494" s="58"/>
      <c r="K494" s="58"/>
      <c r="L494" s="58"/>
    </row>
    <row r="495" spans="10:12" ht="11.25" customHeight="1">
      <c r="J495" s="58"/>
      <c r="K495" s="58"/>
      <c r="L495" s="58"/>
    </row>
    <row r="496" spans="10:12" ht="11.25" customHeight="1">
      <c r="J496" s="58"/>
      <c r="K496" s="58"/>
      <c r="L496" s="58"/>
    </row>
    <row r="497" spans="10:12" ht="11.25" customHeight="1">
      <c r="J497" s="58"/>
      <c r="K497" s="58"/>
      <c r="L497" s="58"/>
    </row>
    <row r="498" spans="10:12" ht="11.25" customHeight="1">
      <c r="J498" s="58"/>
      <c r="K498" s="58"/>
      <c r="L498" s="58"/>
    </row>
    <row r="499" spans="10:12" ht="11.25" customHeight="1">
      <c r="J499" s="58"/>
      <c r="K499" s="58"/>
      <c r="L499" s="58"/>
    </row>
    <row r="500" spans="10:12" ht="11.25" customHeight="1">
      <c r="J500" s="58"/>
      <c r="K500" s="58"/>
      <c r="L500" s="58"/>
    </row>
    <row r="501" spans="10:12" ht="11.25" customHeight="1">
      <c r="J501" s="58"/>
      <c r="K501" s="58"/>
      <c r="L501" s="58"/>
    </row>
    <row r="502" spans="10:12" ht="11.25" customHeight="1">
      <c r="J502" s="58"/>
      <c r="K502" s="58"/>
      <c r="L502" s="58"/>
    </row>
    <row r="503" spans="10:12" ht="11.25" customHeight="1">
      <c r="J503" s="58"/>
      <c r="K503" s="58"/>
      <c r="L503" s="58"/>
    </row>
    <row r="504" spans="10:12" ht="11.25" customHeight="1">
      <c r="J504" s="58"/>
      <c r="K504" s="58"/>
      <c r="L504" s="58"/>
    </row>
    <row r="505" spans="10:12" ht="11.25" customHeight="1">
      <c r="J505" s="58"/>
      <c r="K505" s="58"/>
      <c r="L505" s="58"/>
    </row>
    <row r="506" spans="10:12" ht="11.25" customHeight="1">
      <c r="J506" s="58"/>
      <c r="K506" s="58"/>
      <c r="L506" s="58"/>
    </row>
    <row r="507" spans="10:12" ht="11.25" customHeight="1">
      <c r="J507" s="58"/>
      <c r="K507" s="58"/>
      <c r="L507" s="58"/>
    </row>
    <row r="508" spans="10:12" ht="11.25" customHeight="1">
      <c r="J508" s="58"/>
      <c r="K508" s="58"/>
      <c r="L508" s="58"/>
    </row>
    <row r="509" spans="10:12" ht="11.25" customHeight="1">
      <c r="J509" s="58"/>
      <c r="K509" s="58"/>
      <c r="L509" s="58"/>
    </row>
    <row r="510" spans="10:12" ht="11.25" customHeight="1">
      <c r="J510" s="58"/>
      <c r="K510" s="58"/>
      <c r="L510" s="58"/>
    </row>
    <row r="511" spans="10:12" ht="11.25" customHeight="1">
      <c r="J511" s="58"/>
      <c r="K511" s="58"/>
      <c r="L511" s="58"/>
    </row>
    <row r="512" spans="10:12" ht="11.25" customHeight="1">
      <c r="J512" s="58"/>
      <c r="K512" s="58"/>
      <c r="L512" s="58"/>
    </row>
    <row r="513" spans="10:12" ht="11.25" customHeight="1">
      <c r="J513" s="58"/>
      <c r="K513" s="58"/>
      <c r="L513" s="58"/>
    </row>
    <row r="514" spans="10:12" ht="11.25" customHeight="1">
      <c r="J514" s="58"/>
      <c r="K514" s="58"/>
      <c r="L514" s="58"/>
    </row>
    <row r="515" spans="10:12" ht="11.25" customHeight="1">
      <c r="J515" s="58"/>
      <c r="K515" s="58"/>
      <c r="L515" s="58"/>
    </row>
    <row r="516" spans="10:12" ht="11.25" customHeight="1">
      <c r="J516" s="58"/>
      <c r="K516" s="58"/>
      <c r="L516" s="58"/>
    </row>
    <row r="517" spans="10:12" ht="11.25" customHeight="1">
      <c r="J517" s="58"/>
      <c r="K517" s="58"/>
      <c r="L517" s="58"/>
    </row>
    <row r="518" spans="10:12" ht="11.25" customHeight="1">
      <c r="J518" s="58"/>
      <c r="K518" s="58"/>
      <c r="L518" s="58"/>
    </row>
    <row r="519" spans="10:12" ht="11.25" customHeight="1">
      <c r="J519" s="58"/>
      <c r="K519" s="58"/>
      <c r="L519" s="58"/>
    </row>
    <row r="520" spans="10:12" ht="11.25" customHeight="1">
      <c r="J520" s="58"/>
      <c r="K520" s="58"/>
      <c r="L520" s="58"/>
    </row>
    <row r="521" spans="10:12" ht="11.25" customHeight="1">
      <c r="J521" s="58"/>
      <c r="K521" s="58"/>
      <c r="L521" s="58"/>
    </row>
    <row r="522" spans="10:12" ht="11.25" customHeight="1">
      <c r="J522" s="58"/>
      <c r="K522" s="58"/>
      <c r="L522" s="58"/>
    </row>
    <row r="523" spans="10:12" ht="11.25" customHeight="1">
      <c r="J523" s="58"/>
      <c r="K523" s="58"/>
      <c r="L523" s="58"/>
    </row>
    <row r="524" spans="10:12" ht="11.25" customHeight="1">
      <c r="J524" s="58"/>
      <c r="K524" s="58"/>
      <c r="L524" s="58"/>
    </row>
    <row r="525" spans="10:12" ht="11.25" customHeight="1">
      <c r="J525" s="58"/>
      <c r="K525" s="58"/>
      <c r="L525" s="58"/>
    </row>
    <row r="526" spans="10:12" ht="11.25" customHeight="1">
      <c r="J526" s="58"/>
      <c r="K526" s="58"/>
      <c r="L526" s="58"/>
    </row>
    <row r="527" spans="10:12" ht="11.25" customHeight="1">
      <c r="J527" s="58"/>
      <c r="K527" s="58"/>
      <c r="L527" s="58"/>
    </row>
    <row r="528" spans="10:12" ht="11.25" customHeight="1">
      <c r="J528" s="58"/>
      <c r="K528" s="58"/>
      <c r="L528" s="58"/>
    </row>
    <row r="529" spans="10:12" ht="11.25" customHeight="1">
      <c r="J529" s="58"/>
      <c r="K529" s="58"/>
      <c r="L529" s="58"/>
    </row>
    <row r="530" spans="10:12" ht="11.25" customHeight="1">
      <c r="J530" s="58"/>
      <c r="K530" s="58"/>
      <c r="L530" s="58"/>
    </row>
    <row r="531" spans="10:12" ht="11.25" customHeight="1">
      <c r="J531" s="58"/>
      <c r="K531" s="58"/>
      <c r="L531" s="58"/>
    </row>
    <row r="532" spans="10:12" ht="11.25" customHeight="1">
      <c r="J532" s="58"/>
      <c r="K532" s="58"/>
      <c r="L532" s="58"/>
    </row>
    <row r="533" spans="10:12" ht="11.25" customHeight="1">
      <c r="J533" s="58"/>
      <c r="K533" s="58"/>
      <c r="L533" s="58"/>
    </row>
    <row r="534" spans="10:12" ht="11.25" customHeight="1">
      <c r="J534" s="58"/>
      <c r="K534" s="58"/>
      <c r="L534" s="58"/>
    </row>
    <row r="535" spans="10:12" ht="11.25" customHeight="1">
      <c r="J535" s="58"/>
      <c r="K535" s="58"/>
      <c r="L535" s="58"/>
    </row>
    <row r="536" spans="10:12" ht="11.25" customHeight="1">
      <c r="J536" s="58"/>
      <c r="K536" s="58"/>
      <c r="L536" s="58"/>
    </row>
    <row r="537" spans="10:12" ht="11.25" customHeight="1">
      <c r="J537" s="58"/>
      <c r="K537" s="58"/>
      <c r="L537" s="58"/>
    </row>
    <row r="538" spans="10:12" ht="11.25" customHeight="1">
      <c r="J538" s="58"/>
      <c r="K538" s="58"/>
      <c r="L538" s="58"/>
    </row>
    <row r="539" spans="10:12" ht="11.25" customHeight="1">
      <c r="J539" s="58"/>
      <c r="K539" s="58"/>
      <c r="L539" s="58"/>
    </row>
    <row r="540" spans="10:12" ht="11.25" customHeight="1">
      <c r="J540" s="58"/>
      <c r="K540" s="58"/>
      <c r="L540" s="58"/>
    </row>
    <row r="541" spans="10:12" ht="11.25" customHeight="1">
      <c r="J541" s="58"/>
      <c r="K541" s="58"/>
      <c r="L541" s="58"/>
    </row>
    <row r="542" spans="10:12" ht="11.25" customHeight="1">
      <c r="J542" s="58"/>
      <c r="K542" s="58"/>
      <c r="L542" s="58"/>
    </row>
    <row r="543" spans="10:12" ht="11.25" customHeight="1">
      <c r="J543" s="58"/>
      <c r="K543" s="58"/>
      <c r="L543" s="58"/>
    </row>
    <row r="544" spans="10:12" ht="11.25" customHeight="1">
      <c r="K544" s="58"/>
      <c r="L544" s="58"/>
    </row>
    <row r="545" spans="11:12" ht="11.25" customHeight="1">
      <c r="K545" s="58"/>
      <c r="L545" s="58"/>
    </row>
    <row r="546" spans="11:12" ht="11.25" customHeight="1">
      <c r="K546" s="58"/>
      <c r="L546" s="58"/>
    </row>
    <row r="547" spans="11:12" ht="11.25" customHeight="1">
      <c r="K547" s="58"/>
      <c r="L547" s="58"/>
    </row>
    <row r="548" spans="11:12" ht="11.25" customHeight="1">
      <c r="K548" s="58"/>
      <c r="L548" s="58"/>
    </row>
    <row r="549" spans="11:12" ht="11.25" customHeight="1">
      <c r="K549" s="58"/>
      <c r="L549" s="58"/>
    </row>
    <row r="550" spans="11:12" ht="11.25" customHeight="1">
      <c r="K550" s="58"/>
      <c r="L550" s="58"/>
    </row>
    <row r="551" spans="11:12" ht="11.25" customHeight="1">
      <c r="K551" s="58"/>
      <c r="L551" s="58"/>
    </row>
    <row r="552" spans="11:12" ht="11.25" customHeight="1">
      <c r="K552" s="58"/>
      <c r="L552" s="58"/>
    </row>
    <row r="553" spans="11:12" ht="11.25" customHeight="1">
      <c r="K553" s="58"/>
      <c r="L553" s="58"/>
    </row>
    <row r="554" spans="11:12" ht="11.25" customHeight="1">
      <c r="K554" s="58"/>
      <c r="L554" s="58"/>
    </row>
    <row r="555" spans="11:12" ht="11.25" customHeight="1">
      <c r="K555" s="58"/>
      <c r="L555" s="58"/>
    </row>
    <row r="556" spans="11:12" ht="11.25" customHeight="1">
      <c r="K556" s="58"/>
      <c r="L556" s="58"/>
    </row>
    <row r="557" spans="11:12" ht="11.25" customHeight="1">
      <c r="K557" s="58"/>
      <c r="L557" s="58"/>
    </row>
    <row r="558" spans="11:12" ht="11.25" customHeight="1">
      <c r="K558" s="58"/>
      <c r="L558" s="58"/>
    </row>
    <row r="559" spans="11:12" ht="11.25" customHeight="1">
      <c r="K559" s="58"/>
      <c r="L559" s="58"/>
    </row>
    <row r="560" spans="11:12" ht="11.25" customHeight="1">
      <c r="K560" s="58"/>
      <c r="L560" s="58"/>
    </row>
    <row r="561" spans="11:12" ht="11.25" customHeight="1">
      <c r="K561" s="58"/>
      <c r="L561" s="58"/>
    </row>
    <row r="562" spans="11:12" ht="11.25" customHeight="1">
      <c r="K562" s="58"/>
      <c r="L562" s="58"/>
    </row>
    <row r="563" spans="11:12" ht="11.25" customHeight="1">
      <c r="K563" s="58"/>
      <c r="L563" s="58"/>
    </row>
    <row r="564" spans="11:12" ht="11.25" customHeight="1">
      <c r="K564" s="58"/>
      <c r="L564" s="58"/>
    </row>
    <row r="565" spans="11:12" ht="11.25" customHeight="1">
      <c r="K565" s="58"/>
      <c r="L565" s="58"/>
    </row>
    <row r="566" spans="11:12" ht="11.25" customHeight="1">
      <c r="K566" s="58"/>
      <c r="L566" s="58"/>
    </row>
    <row r="567" spans="11:12" ht="11.25" customHeight="1">
      <c r="K567" s="58"/>
      <c r="L567" s="58"/>
    </row>
    <row r="568" spans="11:12" ht="11.25" customHeight="1">
      <c r="K568" s="58"/>
      <c r="L568" s="58"/>
    </row>
    <row r="569" spans="11:12" ht="11.25" customHeight="1">
      <c r="K569" s="58"/>
      <c r="L569" s="58"/>
    </row>
    <row r="570" spans="11:12" ht="11.25" customHeight="1">
      <c r="K570" s="58"/>
      <c r="L570" s="58"/>
    </row>
    <row r="571" spans="11:12" ht="11.25" customHeight="1">
      <c r="K571" s="58"/>
      <c r="L571" s="58"/>
    </row>
    <row r="572" spans="11:12" ht="11.25" customHeight="1">
      <c r="K572" s="58"/>
      <c r="L572" s="58"/>
    </row>
    <row r="573" spans="11:12" ht="11.25" customHeight="1">
      <c r="K573" s="58"/>
      <c r="L573" s="58"/>
    </row>
    <row r="574" spans="11:12" ht="11.25" customHeight="1">
      <c r="K574" s="58"/>
      <c r="L574" s="58"/>
    </row>
    <row r="575" spans="11:12" ht="11.25" customHeight="1">
      <c r="K575" s="58"/>
      <c r="L575" s="58"/>
    </row>
    <row r="576" spans="11:12" ht="11.25" customHeight="1">
      <c r="K576" s="58"/>
      <c r="L576" s="58"/>
    </row>
    <row r="577" spans="11:12" ht="11.25" customHeight="1">
      <c r="K577" s="58"/>
      <c r="L577" s="58"/>
    </row>
    <row r="578" spans="11:12" ht="11.25" customHeight="1">
      <c r="K578" s="58"/>
      <c r="L578" s="58"/>
    </row>
    <row r="579" spans="11:12" ht="11.25" customHeight="1">
      <c r="K579" s="58"/>
      <c r="L579" s="58"/>
    </row>
    <row r="580" spans="11:12" ht="11.25" customHeight="1">
      <c r="K580" s="58"/>
      <c r="L580" s="58"/>
    </row>
    <row r="581" spans="11:12" ht="11.25" customHeight="1">
      <c r="K581" s="58"/>
      <c r="L581" s="58"/>
    </row>
    <row r="582" spans="11:12" ht="11.25" customHeight="1">
      <c r="K582" s="58"/>
      <c r="L582" s="58"/>
    </row>
    <row r="583" spans="11:12" ht="11.25" customHeight="1">
      <c r="K583" s="58"/>
      <c r="L583" s="58"/>
    </row>
    <row r="584" spans="11:12" ht="11.25" customHeight="1">
      <c r="K584" s="58"/>
      <c r="L584" s="58"/>
    </row>
    <row r="585" spans="11:12" ht="11.25" customHeight="1">
      <c r="K585" s="58"/>
      <c r="L585" s="58"/>
    </row>
    <row r="586" spans="11:12" ht="11.25" customHeight="1">
      <c r="K586" s="58"/>
      <c r="L586" s="58"/>
    </row>
    <row r="587" spans="11:12" ht="11.25" customHeight="1">
      <c r="K587" s="58"/>
      <c r="L587" s="58"/>
    </row>
    <row r="588" spans="11:12" ht="11.25" customHeight="1">
      <c r="K588" s="58"/>
      <c r="L588" s="58"/>
    </row>
    <row r="589" spans="11:12" ht="11.25" customHeight="1">
      <c r="K589" s="58"/>
      <c r="L589" s="58"/>
    </row>
    <row r="590" spans="11:12" ht="11.25" customHeight="1">
      <c r="K590" s="58"/>
      <c r="L590" s="58"/>
    </row>
    <row r="591" spans="11:12" ht="11.25" customHeight="1">
      <c r="K591" s="58"/>
      <c r="L591" s="58"/>
    </row>
    <row r="592" spans="11:12" ht="11.25" customHeight="1">
      <c r="K592" s="58"/>
      <c r="L592" s="58"/>
    </row>
    <row r="593" spans="11:12" ht="11.25" customHeight="1">
      <c r="K593" s="58"/>
      <c r="L593" s="58"/>
    </row>
    <row r="594" spans="11:12" ht="11.25" customHeight="1">
      <c r="K594" s="58"/>
      <c r="L594" s="58"/>
    </row>
    <row r="595" spans="11:12" ht="11.25" customHeight="1">
      <c r="K595" s="58"/>
      <c r="L595" s="58"/>
    </row>
    <row r="596" spans="11:12" ht="11.25" customHeight="1">
      <c r="K596" s="58"/>
      <c r="L596" s="58"/>
    </row>
    <row r="597" spans="11:12" ht="11.25" customHeight="1">
      <c r="K597" s="58"/>
      <c r="L597" s="58"/>
    </row>
    <row r="598" spans="11:12" ht="11.25" customHeight="1">
      <c r="K598" s="58"/>
      <c r="L598" s="58"/>
    </row>
    <row r="599" spans="11:12" ht="11.25" customHeight="1">
      <c r="K599" s="58"/>
      <c r="L599" s="58"/>
    </row>
    <row r="600" spans="11:12" ht="11.25" customHeight="1">
      <c r="K600" s="58"/>
      <c r="L600" s="58"/>
    </row>
    <row r="601" spans="11:12" ht="11.25" customHeight="1">
      <c r="K601" s="58"/>
      <c r="L601" s="58"/>
    </row>
    <row r="602" spans="11:12" ht="11.25" customHeight="1">
      <c r="K602" s="58"/>
      <c r="L602" s="58"/>
    </row>
    <row r="603" spans="11:12" ht="11.25" customHeight="1">
      <c r="K603" s="58"/>
      <c r="L603" s="58"/>
    </row>
    <row r="604" spans="11:12" ht="11.25" customHeight="1">
      <c r="K604" s="58"/>
      <c r="L604" s="58"/>
    </row>
    <row r="605" spans="11:12" ht="11.25" customHeight="1">
      <c r="K605" s="58"/>
      <c r="L605" s="58"/>
    </row>
    <row r="606" spans="11:12" ht="11.25" customHeight="1">
      <c r="K606" s="58"/>
      <c r="L606" s="58"/>
    </row>
    <row r="607" spans="11:12" ht="11.25" customHeight="1">
      <c r="K607" s="58"/>
      <c r="L607" s="58"/>
    </row>
    <row r="608" spans="11:12" ht="11.25" customHeight="1">
      <c r="K608" s="58"/>
      <c r="L608" s="58"/>
    </row>
    <row r="609" spans="11:12" ht="11.25" customHeight="1">
      <c r="K609" s="58"/>
      <c r="L609" s="58"/>
    </row>
    <row r="610" spans="11:12" ht="11.25" customHeight="1">
      <c r="K610" s="58"/>
      <c r="L610" s="58"/>
    </row>
    <row r="611" spans="11:12" ht="11.25" customHeight="1">
      <c r="K611" s="58"/>
      <c r="L611" s="58"/>
    </row>
    <row r="612" spans="11:12" ht="11.25" customHeight="1">
      <c r="K612" s="58"/>
      <c r="L612" s="58"/>
    </row>
    <row r="613" spans="11:12" ht="11.25" customHeight="1">
      <c r="K613" s="58"/>
      <c r="L613" s="58"/>
    </row>
    <row r="614" spans="11:12" ht="11.25" customHeight="1">
      <c r="K614" s="58"/>
      <c r="L614" s="58"/>
    </row>
    <row r="615" spans="11:12" ht="11.25" customHeight="1">
      <c r="K615" s="58"/>
      <c r="L615" s="58"/>
    </row>
    <row r="616" spans="11:12" ht="11.25" customHeight="1">
      <c r="K616" s="58"/>
      <c r="L616" s="58"/>
    </row>
    <row r="617" spans="11:12" ht="11.25" customHeight="1">
      <c r="K617" s="58"/>
      <c r="L617" s="58"/>
    </row>
    <row r="618" spans="11:12" ht="11.25" customHeight="1">
      <c r="K618" s="58"/>
      <c r="L618" s="58"/>
    </row>
    <row r="619" spans="11:12" ht="11.25" customHeight="1">
      <c r="K619" s="58"/>
      <c r="L619" s="58"/>
    </row>
    <row r="620" spans="11:12" ht="11.25" customHeight="1">
      <c r="K620" s="58"/>
      <c r="L620" s="58"/>
    </row>
    <row r="621" spans="11:12" ht="11.25" customHeight="1">
      <c r="K621" s="58"/>
      <c r="L621" s="58"/>
    </row>
    <row r="622" spans="11:12" ht="11.25" customHeight="1">
      <c r="K622" s="58"/>
      <c r="L622" s="58"/>
    </row>
    <row r="623" spans="11:12" ht="11.25" customHeight="1">
      <c r="K623" s="58"/>
      <c r="L623" s="58"/>
    </row>
    <row r="624" spans="11:12" ht="11.25" customHeight="1">
      <c r="K624" s="58"/>
      <c r="L624" s="58"/>
    </row>
    <row r="625" spans="11:12" ht="11.25" customHeight="1">
      <c r="K625" s="58"/>
      <c r="L625" s="58"/>
    </row>
    <row r="626" spans="11:12" ht="11.25" customHeight="1">
      <c r="K626" s="58"/>
      <c r="L626" s="58"/>
    </row>
    <row r="627" spans="11:12" ht="11.25" customHeight="1">
      <c r="K627" s="58"/>
      <c r="L627" s="58"/>
    </row>
    <row r="628" spans="11:12" ht="11.25" customHeight="1">
      <c r="K628" s="58"/>
      <c r="L628" s="58"/>
    </row>
    <row r="629" spans="11:12" ht="11.25" customHeight="1">
      <c r="K629" s="58"/>
      <c r="L629" s="58"/>
    </row>
    <row r="630" spans="11:12" ht="11.25" customHeight="1">
      <c r="K630" s="58"/>
      <c r="L630" s="58"/>
    </row>
    <row r="631" spans="11:12" ht="11.25" customHeight="1">
      <c r="K631" s="58"/>
      <c r="L631" s="58"/>
    </row>
    <row r="632" spans="11:12" ht="11.25" customHeight="1">
      <c r="K632" s="58"/>
      <c r="L632" s="58"/>
    </row>
    <row r="633" spans="11:12" ht="11.25" customHeight="1">
      <c r="K633" s="58"/>
      <c r="L633" s="58"/>
    </row>
    <row r="634" spans="11:12" ht="11.25" customHeight="1">
      <c r="K634" s="58"/>
      <c r="L634" s="58"/>
    </row>
    <row r="635" spans="11:12" ht="11.25" customHeight="1">
      <c r="K635" s="58"/>
      <c r="L635" s="58"/>
    </row>
    <row r="636" spans="11:12" ht="11.25" customHeight="1">
      <c r="K636" s="58"/>
      <c r="L636" s="58"/>
    </row>
    <row r="637" spans="11:12" ht="11.25" customHeight="1">
      <c r="K637" s="58"/>
      <c r="L637" s="58"/>
    </row>
    <row r="638" spans="11:12" ht="11.25" customHeight="1">
      <c r="K638" s="58"/>
      <c r="L638" s="58"/>
    </row>
    <row r="639" spans="11:12" ht="11.25" customHeight="1">
      <c r="K639" s="58"/>
      <c r="L639" s="58"/>
    </row>
    <row r="640" spans="11:12" ht="11.25" customHeight="1">
      <c r="K640" s="58"/>
      <c r="L640" s="58"/>
    </row>
    <row r="641" spans="11:12" ht="11.25" customHeight="1">
      <c r="K641" s="58"/>
      <c r="L641" s="58"/>
    </row>
    <row r="642" spans="11:12" ht="11.25" customHeight="1">
      <c r="K642" s="58"/>
      <c r="L642" s="58"/>
    </row>
    <row r="643" spans="11:12" ht="11.25" customHeight="1">
      <c r="K643" s="58"/>
      <c r="L643" s="58"/>
    </row>
    <row r="644" spans="11:12" ht="11.25" customHeight="1">
      <c r="K644" s="58"/>
      <c r="L644" s="58"/>
    </row>
    <row r="645" spans="11:12" ht="11.25" customHeight="1">
      <c r="K645" s="58"/>
      <c r="L645" s="58"/>
    </row>
    <row r="646" spans="11:12" ht="11.25" customHeight="1">
      <c r="K646" s="58"/>
      <c r="L646" s="58"/>
    </row>
    <row r="647" spans="11:12" ht="11.25" customHeight="1">
      <c r="K647" s="58"/>
      <c r="L647" s="58"/>
    </row>
    <row r="648" spans="11:12" ht="11.25" customHeight="1">
      <c r="K648" s="58"/>
      <c r="L648" s="58"/>
    </row>
    <row r="649" spans="11:12" ht="11.25" customHeight="1">
      <c r="K649" s="58"/>
      <c r="L649" s="58"/>
    </row>
    <row r="650" spans="11:12" ht="11.25" customHeight="1">
      <c r="K650" s="58"/>
      <c r="L650" s="58"/>
    </row>
    <row r="651" spans="11:12" ht="11.25" customHeight="1">
      <c r="K651" s="58"/>
      <c r="L651" s="58"/>
    </row>
    <row r="652" spans="11:12" ht="11.25" customHeight="1">
      <c r="K652" s="58"/>
      <c r="L652" s="58"/>
    </row>
    <row r="653" spans="11:12" ht="11.25" customHeight="1">
      <c r="K653" s="58"/>
      <c r="L653" s="58"/>
    </row>
    <row r="654" spans="11:12" ht="11.25" customHeight="1">
      <c r="K654" s="58"/>
      <c r="L654" s="58"/>
    </row>
    <row r="655" spans="11:12" ht="11.25" customHeight="1">
      <c r="K655" s="58"/>
      <c r="L655" s="58"/>
    </row>
    <row r="656" spans="11:12" ht="11.25" customHeight="1">
      <c r="K656" s="58"/>
      <c r="L656" s="58"/>
    </row>
    <row r="657" spans="11:12" ht="11.25" customHeight="1">
      <c r="K657" s="58"/>
      <c r="L657" s="58"/>
    </row>
    <row r="658" spans="11:12" ht="11.25" customHeight="1">
      <c r="K658" s="58"/>
      <c r="L658" s="58"/>
    </row>
    <row r="659" spans="11:12" ht="11.25" customHeight="1">
      <c r="K659" s="58"/>
      <c r="L659" s="58"/>
    </row>
    <row r="660" spans="11:12" ht="11.25" customHeight="1">
      <c r="K660" s="58"/>
      <c r="L660" s="58"/>
    </row>
    <row r="661" spans="11:12" ht="11.25" customHeight="1">
      <c r="K661" s="58"/>
      <c r="L661" s="58"/>
    </row>
    <row r="662" spans="11:12" ht="11.25" customHeight="1">
      <c r="K662" s="58"/>
      <c r="L662" s="58"/>
    </row>
    <row r="663" spans="11:12" ht="11.25" customHeight="1">
      <c r="K663" s="58"/>
      <c r="L663" s="58"/>
    </row>
    <row r="664" spans="11:12" ht="11.25" customHeight="1">
      <c r="K664" s="58"/>
      <c r="L664" s="58"/>
    </row>
    <row r="665" spans="11:12" ht="11.25" customHeight="1">
      <c r="K665" s="58"/>
      <c r="L665" s="58"/>
    </row>
    <row r="666" spans="11:12" ht="11.25" customHeight="1">
      <c r="K666" s="58"/>
      <c r="L666" s="58"/>
    </row>
    <row r="667" spans="11:12" ht="11.25" customHeight="1">
      <c r="K667" s="58"/>
      <c r="L667" s="58"/>
    </row>
    <row r="668" spans="11:12" ht="11.25" customHeight="1">
      <c r="K668" s="58"/>
      <c r="L668" s="58"/>
    </row>
    <row r="669" spans="11:12" ht="11.25" customHeight="1">
      <c r="K669" s="58"/>
      <c r="L669" s="58"/>
    </row>
    <row r="670" spans="11:12" ht="11.25" customHeight="1">
      <c r="K670" s="58"/>
      <c r="L670" s="58"/>
    </row>
    <row r="671" spans="11:12" ht="11.25" customHeight="1">
      <c r="K671" s="58"/>
      <c r="L671" s="58"/>
    </row>
    <row r="672" spans="11:12" ht="11.25" customHeight="1">
      <c r="K672" s="58"/>
      <c r="L672" s="58"/>
    </row>
    <row r="673" spans="11:12" ht="11.25" customHeight="1">
      <c r="K673" s="58"/>
      <c r="L673" s="58"/>
    </row>
    <row r="674" spans="11:12" ht="11.25" customHeight="1">
      <c r="K674" s="58"/>
      <c r="L674" s="58"/>
    </row>
    <row r="675" spans="11:12" ht="11.25" customHeight="1">
      <c r="K675" s="58"/>
      <c r="L675" s="58"/>
    </row>
    <row r="676" spans="11:12" ht="11.25" customHeight="1">
      <c r="K676" s="58"/>
      <c r="L676" s="58"/>
    </row>
    <row r="677" spans="11:12" ht="11.25" customHeight="1">
      <c r="K677" s="58"/>
      <c r="L677" s="58"/>
    </row>
    <row r="678" spans="11:12" ht="11.25" customHeight="1">
      <c r="K678" s="58"/>
      <c r="L678" s="58"/>
    </row>
    <row r="679" spans="11:12" ht="11.25" customHeight="1">
      <c r="K679" s="58"/>
      <c r="L679" s="58"/>
    </row>
    <row r="680" spans="11:12" ht="11.25" customHeight="1">
      <c r="K680" s="58"/>
      <c r="L680" s="58"/>
    </row>
    <row r="681" spans="11:12" ht="11.25" customHeight="1">
      <c r="K681" s="58"/>
      <c r="L681" s="58"/>
    </row>
    <row r="682" spans="11:12" ht="11.25" customHeight="1">
      <c r="K682" s="58"/>
      <c r="L682" s="58"/>
    </row>
    <row r="683" spans="11:12" ht="11.25" customHeight="1">
      <c r="K683" s="58"/>
      <c r="L683" s="58"/>
    </row>
    <row r="684" spans="11:12" ht="11.25" customHeight="1">
      <c r="K684" s="58"/>
      <c r="L684" s="58"/>
    </row>
    <row r="685" spans="11:12" ht="11.25" customHeight="1">
      <c r="K685" s="58"/>
      <c r="L685" s="58"/>
    </row>
    <row r="686" spans="11:12" ht="11.25" customHeight="1">
      <c r="K686" s="58"/>
      <c r="L686" s="58"/>
    </row>
    <row r="687" spans="11:12" ht="11.25" customHeight="1">
      <c r="K687" s="58"/>
      <c r="L687" s="58"/>
    </row>
    <row r="688" spans="11:12" ht="11.25" customHeight="1">
      <c r="K688" s="58"/>
      <c r="L688" s="58"/>
    </row>
    <row r="689" spans="11:12" ht="11.25" customHeight="1">
      <c r="K689" s="58"/>
      <c r="L689" s="58"/>
    </row>
    <row r="690" spans="11:12" ht="11.25" customHeight="1">
      <c r="K690" s="58"/>
      <c r="L690" s="58"/>
    </row>
    <row r="691" spans="11:12" ht="11.25" customHeight="1">
      <c r="K691" s="58"/>
      <c r="L691" s="58"/>
    </row>
    <row r="692" spans="11:12" ht="11.25" customHeight="1">
      <c r="K692" s="58"/>
      <c r="L692" s="58"/>
    </row>
    <row r="693" spans="11:12" ht="11.25" customHeight="1">
      <c r="K693" s="58"/>
      <c r="L693" s="58"/>
    </row>
    <row r="694" spans="11:12" ht="11.25" customHeight="1">
      <c r="K694" s="58"/>
      <c r="L694" s="58"/>
    </row>
    <row r="695" spans="11:12" ht="11.25" customHeight="1">
      <c r="K695" s="58"/>
      <c r="L695" s="58"/>
    </row>
    <row r="696" spans="11:12" ht="11.25" customHeight="1">
      <c r="K696" s="58"/>
      <c r="L696" s="58"/>
    </row>
    <row r="697" spans="11:12" ht="11.25" customHeight="1">
      <c r="K697" s="58"/>
      <c r="L697" s="58"/>
    </row>
    <row r="698" spans="11:12" ht="11.25" customHeight="1">
      <c r="K698" s="58"/>
      <c r="L698" s="58"/>
    </row>
    <row r="699" spans="11:12" ht="11.25" customHeight="1">
      <c r="K699" s="58"/>
      <c r="L699" s="58"/>
    </row>
    <row r="700" spans="11:12" ht="11.25" customHeight="1">
      <c r="K700" s="58"/>
      <c r="L700" s="58"/>
    </row>
    <row r="701" spans="11:12" ht="11.25" customHeight="1">
      <c r="K701" s="58"/>
      <c r="L701" s="58"/>
    </row>
    <row r="702" spans="11:12" ht="11.25" customHeight="1">
      <c r="K702" s="58"/>
      <c r="L702" s="58"/>
    </row>
    <row r="703" spans="11:12" ht="11.25" customHeight="1">
      <c r="K703" s="58"/>
      <c r="L703" s="58"/>
    </row>
    <row r="704" spans="11:12" ht="11.25" customHeight="1">
      <c r="K704" s="58"/>
      <c r="L704" s="58"/>
    </row>
    <row r="705" spans="11:12" ht="11.25" customHeight="1">
      <c r="K705" s="58"/>
      <c r="L705" s="58"/>
    </row>
    <row r="706" spans="11:12" ht="11.25" customHeight="1">
      <c r="K706" s="58"/>
      <c r="L706" s="58"/>
    </row>
    <row r="707" spans="11:12" ht="11.25" customHeight="1">
      <c r="K707" s="58"/>
      <c r="L707" s="58"/>
    </row>
    <row r="708" spans="11:12" ht="11.25" customHeight="1">
      <c r="K708" s="58"/>
      <c r="L708" s="58"/>
    </row>
    <row r="709" spans="11:12" ht="11.25" customHeight="1">
      <c r="K709" s="58"/>
      <c r="L709" s="58"/>
    </row>
    <row r="710" spans="11:12" ht="11.25" customHeight="1">
      <c r="K710" s="58"/>
      <c r="L710" s="58"/>
    </row>
    <row r="711" spans="11:12" ht="11.25" customHeight="1">
      <c r="K711" s="58"/>
      <c r="L711" s="58"/>
    </row>
    <row r="712" spans="11:12" ht="11.25" customHeight="1">
      <c r="K712" s="58"/>
      <c r="L712" s="58"/>
    </row>
    <row r="713" spans="11:12" ht="11.25" customHeight="1">
      <c r="K713" s="58"/>
      <c r="L713" s="58"/>
    </row>
    <row r="714" spans="11:12" ht="11.25" customHeight="1">
      <c r="K714" s="58"/>
      <c r="L714" s="58"/>
    </row>
    <row r="715" spans="11:12" ht="11.25" customHeight="1">
      <c r="K715" s="58"/>
      <c r="L715" s="58"/>
    </row>
    <row r="716" spans="11:12" ht="11.25" customHeight="1">
      <c r="K716" s="58"/>
      <c r="L716" s="58"/>
    </row>
    <row r="717" spans="11:12" ht="11.25" customHeight="1">
      <c r="K717" s="58"/>
      <c r="L717" s="58"/>
    </row>
    <row r="718" spans="11:12" ht="11.25" customHeight="1">
      <c r="K718" s="58"/>
      <c r="L718" s="58"/>
    </row>
    <row r="719" spans="11:12" ht="11.25" customHeight="1">
      <c r="K719" s="58"/>
      <c r="L719" s="58"/>
    </row>
    <row r="720" spans="11:12" ht="11.25" customHeight="1">
      <c r="K720" s="58"/>
      <c r="L720" s="58"/>
    </row>
    <row r="721" spans="11:12" ht="11.25" customHeight="1">
      <c r="K721" s="58"/>
      <c r="L721" s="58"/>
    </row>
    <row r="722" spans="11:12" ht="11.25" customHeight="1">
      <c r="K722" s="58"/>
      <c r="L722" s="58"/>
    </row>
    <row r="723" spans="11:12" ht="11.25" customHeight="1">
      <c r="K723" s="58"/>
      <c r="L723" s="58"/>
    </row>
    <row r="724" spans="11:12" ht="11.25" customHeight="1">
      <c r="K724" s="58"/>
      <c r="L724" s="58"/>
    </row>
    <row r="725" spans="11:12" ht="11.25" customHeight="1">
      <c r="K725" s="58"/>
      <c r="L725" s="58"/>
    </row>
    <row r="726" spans="11:12" ht="11.25" customHeight="1">
      <c r="K726" s="58"/>
      <c r="L726" s="58"/>
    </row>
    <row r="727" spans="11:12" ht="11.25" customHeight="1">
      <c r="K727" s="58"/>
      <c r="L727" s="58"/>
    </row>
    <row r="728" spans="11:12" ht="11.25" customHeight="1">
      <c r="K728" s="58"/>
      <c r="L728" s="58"/>
    </row>
    <row r="729" spans="11:12" ht="11.25" customHeight="1">
      <c r="K729" s="58"/>
      <c r="L729" s="58"/>
    </row>
    <row r="730" spans="11:12" ht="11.25" customHeight="1">
      <c r="K730" s="58"/>
      <c r="L730" s="58"/>
    </row>
    <row r="731" spans="11:12" ht="11.25" customHeight="1">
      <c r="K731" s="58"/>
      <c r="L731" s="58"/>
    </row>
    <row r="732" spans="11:12" ht="11.25" customHeight="1">
      <c r="K732" s="58"/>
      <c r="L732" s="58"/>
    </row>
    <row r="733" spans="11:12" ht="11.25" customHeight="1">
      <c r="K733" s="58"/>
      <c r="L733" s="58"/>
    </row>
    <row r="734" spans="11:12" ht="11.25" customHeight="1">
      <c r="K734" s="58"/>
      <c r="L734" s="58"/>
    </row>
    <row r="735" spans="11:12" ht="11.25" customHeight="1">
      <c r="K735" s="58"/>
      <c r="L735" s="58"/>
    </row>
    <row r="736" spans="11:12" ht="11.25" customHeight="1">
      <c r="K736" s="58"/>
      <c r="L736" s="58"/>
    </row>
    <row r="737" spans="11:12" ht="11.25" customHeight="1">
      <c r="K737" s="58"/>
      <c r="L737" s="58"/>
    </row>
    <row r="738" spans="11:12" ht="11.25" customHeight="1">
      <c r="K738" s="58"/>
      <c r="L738" s="58"/>
    </row>
    <row r="739" spans="11:12" ht="11.25" customHeight="1">
      <c r="K739" s="58"/>
      <c r="L739" s="58"/>
    </row>
    <row r="740" spans="11:12" ht="11.25" customHeight="1">
      <c r="K740" s="58"/>
      <c r="L740" s="58"/>
    </row>
    <row r="741" spans="11:12" ht="11.25" customHeight="1">
      <c r="K741" s="58"/>
      <c r="L741" s="58"/>
    </row>
    <row r="742" spans="11:12" ht="11.25" customHeight="1">
      <c r="K742" s="58"/>
      <c r="L742" s="58"/>
    </row>
    <row r="743" spans="11:12" ht="11.25" customHeight="1">
      <c r="K743" s="58"/>
      <c r="L743" s="58"/>
    </row>
    <row r="744" spans="11:12" ht="11.25" customHeight="1">
      <c r="K744" s="58"/>
      <c r="L744" s="58"/>
    </row>
    <row r="745" spans="11:12" ht="11.25" customHeight="1">
      <c r="K745" s="58"/>
      <c r="L745" s="58"/>
    </row>
    <row r="746" spans="11:12" ht="11.25" customHeight="1">
      <c r="K746" s="58"/>
      <c r="L746" s="58"/>
    </row>
    <row r="747" spans="11:12" ht="11.25" customHeight="1">
      <c r="K747" s="58"/>
      <c r="L747" s="58"/>
    </row>
    <row r="748" spans="11:12" ht="11.25" customHeight="1">
      <c r="K748" s="58"/>
      <c r="L748" s="58"/>
    </row>
    <row r="749" spans="11:12" ht="11.25" customHeight="1">
      <c r="K749" s="58"/>
      <c r="L749" s="58"/>
    </row>
    <row r="750" spans="11:12" ht="11.25" customHeight="1">
      <c r="K750" s="58"/>
      <c r="L750" s="58"/>
    </row>
    <row r="751" spans="11:12" ht="11.25" customHeight="1">
      <c r="K751" s="58"/>
      <c r="L751" s="58"/>
    </row>
    <row r="752" spans="11:12" ht="11.25" customHeight="1">
      <c r="K752" s="58"/>
      <c r="L752" s="58"/>
    </row>
    <row r="753" spans="11:12" ht="11.25" customHeight="1">
      <c r="K753" s="58"/>
      <c r="L753" s="58"/>
    </row>
    <row r="754" spans="11:12" ht="11.25" customHeight="1">
      <c r="K754" s="58"/>
      <c r="L754" s="58"/>
    </row>
    <row r="755" spans="11:12" ht="11.25" customHeight="1">
      <c r="K755" s="58"/>
      <c r="L755" s="58"/>
    </row>
    <row r="756" spans="11:12" ht="11.25" customHeight="1">
      <c r="K756" s="58"/>
      <c r="L756" s="58"/>
    </row>
    <row r="757" spans="11:12" ht="11.25" customHeight="1">
      <c r="K757" s="58"/>
      <c r="L757" s="58"/>
    </row>
    <row r="758" spans="11:12" ht="11.25" customHeight="1">
      <c r="K758" s="58"/>
      <c r="L758" s="58"/>
    </row>
    <row r="759" spans="11:12" ht="11.25" customHeight="1">
      <c r="K759" s="58"/>
      <c r="L759" s="58"/>
    </row>
    <row r="760" spans="11:12" ht="11.25" customHeight="1">
      <c r="K760" s="58"/>
      <c r="L760" s="58"/>
    </row>
    <row r="761" spans="11:12" ht="11.25" customHeight="1">
      <c r="K761" s="58"/>
      <c r="L761" s="58"/>
    </row>
    <row r="762" spans="11:12" ht="11.25" customHeight="1">
      <c r="K762" s="58"/>
      <c r="L762" s="58"/>
    </row>
    <row r="763" spans="11:12" ht="11.25" customHeight="1">
      <c r="K763" s="58"/>
      <c r="L763" s="58"/>
    </row>
    <row r="764" spans="11:12" ht="11.25" customHeight="1">
      <c r="K764" s="58"/>
      <c r="L764" s="58"/>
    </row>
    <row r="765" spans="11:12" ht="11.25" customHeight="1">
      <c r="K765" s="58"/>
      <c r="L765" s="58"/>
    </row>
    <row r="766" spans="11:12" ht="11.25" customHeight="1">
      <c r="K766" s="58"/>
      <c r="L766" s="58"/>
    </row>
    <row r="767" spans="11:12" ht="11.25" customHeight="1">
      <c r="K767" s="58"/>
      <c r="L767" s="58"/>
    </row>
    <row r="768" spans="11:12" ht="11.25" customHeight="1">
      <c r="K768" s="58"/>
      <c r="L768" s="58"/>
    </row>
    <row r="769" spans="11:12" ht="11.25" customHeight="1">
      <c r="K769" s="58"/>
      <c r="L769" s="58"/>
    </row>
    <row r="770" spans="11:12" ht="11.25" customHeight="1">
      <c r="K770" s="58"/>
      <c r="L770" s="58"/>
    </row>
    <row r="771" spans="11:12" ht="11.25" customHeight="1">
      <c r="K771" s="58"/>
      <c r="L771" s="58"/>
    </row>
    <row r="772" spans="11:12" ht="11.25" customHeight="1">
      <c r="K772" s="58"/>
      <c r="L772" s="58"/>
    </row>
    <row r="773" spans="11:12" ht="11.25" customHeight="1">
      <c r="K773" s="58"/>
      <c r="L773" s="58"/>
    </row>
    <row r="774" spans="11:12" ht="11.25" customHeight="1">
      <c r="K774" s="58"/>
      <c r="L774" s="58"/>
    </row>
    <row r="775" spans="11:12" ht="11.25" customHeight="1">
      <c r="K775" s="58"/>
      <c r="L775" s="58"/>
    </row>
    <row r="776" spans="11:12" ht="11.25" customHeight="1">
      <c r="K776" s="58"/>
      <c r="L776" s="58"/>
    </row>
    <row r="777" spans="11:12" ht="11.25" customHeight="1">
      <c r="K777" s="58"/>
      <c r="L777" s="58"/>
    </row>
    <row r="778" spans="11:12" ht="11.25" customHeight="1">
      <c r="K778" s="58"/>
      <c r="L778" s="58"/>
    </row>
    <row r="779" spans="11:12" ht="11.25" customHeight="1">
      <c r="K779" s="58"/>
      <c r="L779" s="58"/>
    </row>
    <row r="780" spans="11:12" ht="11.25" customHeight="1">
      <c r="K780" s="58"/>
      <c r="L780" s="58"/>
    </row>
    <row r="781" spans="11:12" ht="11.25" customHeight="1">
      <c r="K781" s="58"/>
      <c r="L781" s="58"/>
    </row>
    <row r="782" spans="11:12" ht="11.25" customHeight="1">
      <c r="K782" s="58"/>
      <c r="L782" s="58"/>
    </row>
    <row r="783" spans="11:12" ht="11.25" customHeight="1">
      <c r="K783" s="58"/>
      <c r="L783" s="58"/>
    </row>
    <row r="784" spans="11:12" ht="11.25" customHeight="1">
      <c r="K784" s="58"/>
      <c r="L784" s="58"/>
    </row>
    <row r="785" spans="11:12" ht="11.25" customHeight="1">
      <c r="K785" s="58"/>
      <c r="L785" s="58"/>
    </row>
    <row r="786" spans="11:12" ht="11.25" customHeight="1">
      <c r="K786" s="58"/>
      <c r="L786" s="58"/>
    </row>
    <row r="787" spans="11:12" ht="11.25" customHeight="1">
      <c r="K787" s="58"/>
      <c r="L787" s="58"/>
    </row>
    <row r="788" spans="11:12" ht="11.25" customHeight="1">
      <c r="K788" s="58"/>
      <c r="L788" s="58"/>
    </row>
    <row r="789" spans="11:12" ht="11.25" customHeight="1">
      <c r="K789" s="58"/>
      <c r="L789" s="58"/>
    </row>
    <row r="790" spans="11:12" ht="11.25" customHeight="1">
      <c r="K790" s="58"/>
      <c r="L790" s="58"/>
    </row>
    <row r="791" spans="11:12" ht="11.25" customHeight="1">
      <c r="K791" s="58"/>
      <c r="L791" s="58"/>
    </row>
    <row r="792" spans="11:12" ht="11.25" customHeight="1">
      <c r="K792" s="58"/>
      <c r="L792" s="58"/>
    </row>
    <row r="793" spans="11:12" ht="11.25" customHeight="1">
      <c r="K793" s="58"/>
      <c r="L793" s="58"/>
    </row>
    <row r="794" spans="11:12" ht="11.25" customHeight="1">
      <c r="K794" s="58"/>
      <c r="L794" s="58"/>
    </row>
    <row r="795" spans="11:12" ht="11.25" customHeight="1">
      <c r="K795" s="58"/>
      <c r="L795" s="58"/>
    </row>
    <row r="796" spans="11:12" ht="11.25" customHeight="1">
      <c r="K796" s="58"/>
      <c r="L796" s="58"/>
    </row>
    <row r="797" spans="11:12" ht="11.25" customHeight="1">
      <c r="K797" s="58"/>
      <c r="L797" s="58"/>
    </row>
    <row r="798" spans="11:12" ht="11.25" customHeight="1">
      <c r="K798" s="58"/>
      <c r="L798" s="58"/>
    </row>
    <row r="799" spans="11:12" ht="11.25" customHeight="1">
      <c r="K799" s="58"/>
      <c r="L799" s="58"/>
    </row>
    <row r="800" spans="11:12" ht="11.25" customHeight="1">
      <c r="K800" s="58"/>
      <c r="L800" s="58"/>
    </row>
    <row r="801" spans="11:12" ht="11.25" customHeight="1">
      <c r="K801" s="58"/>
      <c r="L801" s="58"/>
    </row>
    <row r="802" spans="11:12" ht="11.25" customHeight="1">
      <c r="K802" s="58"/>
      <c r="L802" s="58"/>
    </row>
    <row r="803" spans="11:12" ht="11.25" customHeight="1">
      <c r="K803" s="58"/>
      <c r="L803" s="58"/>
    </row>
    <row r="804" spans="11:12" ht="11.25" customHeight="1">
      <c r="K804" s="58"/>
      <c r="L804" s="58"/>
    </row>
    <row r="805" spans="11:12" ht="11.25" customHeight="1">
      <c r="K805" s="58"/>
      <c r="L805" s="58"/>
    </row>
    <row r="806" spans="11:12" ht="11.25" customHeight="1">
      <c r="K806" s="58"/>
      <c r="L806" s="58"/>
    </row>
    <row r="807" spans="11:12" ht="11.25" customHeight="1">
      <c r="K807" s="58"/>
      <c r="L807" s="58"/>
    </row>
    <row r="808" spans="11:12" ht="11.25" customHeight="1">
      <c r="K808" s="58"/>
      <c r="L808" s="58"/>
    </row>
    <row r="809" spans="11:12" ht="11.25" customHeight="1">
      <c r="K809" s="58"/>
      <c r="L809" s="58"/>
    </row>
    <row r="810" spans="11:12" ht="11.25" customHeight="1">
      <c r="K810" s="58"/>
      <c r="L810" s="58"/>
    </row>
    <row r="811" spans="11:12" ht="11.25" customHeight="1">
      <c r="K811" s="58"/>
      <c r="L811" s="58"/>
    </row>
    <row r="812" spans="11:12" ht="11.25" customHeight="1">
      <c r="K812" s="58"/>
      <c r="L812" s="58"/>
    </row>
    <row r="813" spans="11:12" ht="11.25" customHeight="1">
      <c r="K813" s="58"/>
      <c r="L813" s="58"/>
    </row>
    <row r="814" spans="11:12" ht="11.25" customHeight="1">
      <c r="K814" s="58"/>
      <c r="L814" s="58"/>
    </row>
    <row r="815" spans="11:12" ht="11.25" customHeight="1">
      <c r="K815" s="58"/>
      <c r="L815" s="58"/>
    </row>
    <row r="816" spans="11:12" ht="11.25" customHeight="1">
      <c r="K816" s="58"/>
      <c r="L816" s="58"/>
    </row>
    <row r="817" spans="11:12" ht="11.25" customHeight="1">
      <c r="K817" s="58"/>
      <c r="L817" s="58"/>
    </row>
    <row r="818" spans="11:12" ht="11.25" customHeight="1">
      <c r="K818" s="58"/>
      <c r="L818" s="58"/>
    </row>
    <row r="819" spans="11:12" ht="11.25" customHeight="1">
      <c r="K819" s="58"/>
      <c r="L819" s="58"/>
    </row>
    <row r="820" spans="11:12" ht="11.25" customHeight="1">
      <c r="K820" s="58"/>
      <c r="L820" s="58"/>
    </row>
    <row r="821" spans="11:12" ht="11.25" customHeight="1">
      <c r="K821" s="58"/>
      <c r="L821" s="58"/>
    </row>
    <row r="822" spans="11:12" ht="11.25" customHeight="1">
      <c r="K822" s="58"/>
      <c r="L822" s="58"/>
    </row>
    <row r="823" spans="11:12" ht="11.25" customHeight="1">
      <c r="K823" s="58"/>
      <c r="L823" s="58"/>
    </row>
    <row r="824" spans="11:12" ht="11.25" customHeight="1">
      <c r="K824" s="58"/>
      <c r="L824" s="58"/>
    </row>
    <row r="825" spans="11:12" ht="11.25" customHeight="1">
      <c r="K825" s="58"/>
      <c r="L825" s="58"/>
    </row>
    <row r="826" spans="11:12" ht="11.25" customHeight="1">
      <c r="K826" s="58"/>
      <c r="L826" s="58"/>
    </row>
    <row r="827" spans="11:12" ht="11.25" customHeight="1">
      <c r="K827" s="58"/>
      <c r="L827" s="58"/>
    </row>
    <row r="828" spans="11:12" ht="11.25" customHeight="1">
      <c r="K828" s="58"/>
      <c r="L828" s="58"/>
    </row>
    <row r="829" spans="11:12" ht="11.25" customHeight="1">
      <c r="K829" s="58"/>
      <c r="L829" s="58"/>
    </row>
    <row r="830" spans="11:12" ht="11.25" customHeight="1">
      <c r="K830" s="58"/>
      <c r="L830" s="58"/>
    </row>
    <row r="831" spans="11:12" ht="11.25" customHeight="1">
      <c r="K831" s="58"/>
      <c r="L831" s="58"/>
    </row>
    <row r="832" spans="11:12" ht="11.25" customHeight="1">
      <c r="K832" s="58"/>
      <c r="L832" s="58"/>
    </row>
    <row r="833" spans="11:12" ht="11.25" customHeight="1">
      <c r="K833" s="58"/>
      <c r="L833" s="58"/>
    </row>
    <row r="834" spans="11:12" ht="11.25" customHeight="1">
      <c r="K834" s="58"/>
      <c r="L834" s="58"/>
    </row>
    <row r="835" spans="11:12" ht="11.25" customHeight="1">
      <c r="K835" s="58"/>
      <c r="L835" s="58"/>
    </row>
    <row r="836" spans="11:12" ht="11.25" customHeight="1">
      <c r="K836" s="58"/>
      <c r="L836" s="58"/>
    </row>
    <row r="837" spans="11:12" ht="11.25" customHeight="1">
      <c r="K837" s="58"/>
      <c r="L837" s="58"/>
    </row>
    <row r="838" spans="11:12" ht="11.25" customHeight="1">
      <c r="K838" s="58"/>
      <c r="L838" s="58"/>
    </row>
    <row r="839" spans="11:12" ht="11.25" customHeight="1">
      <c r="K839" s="58"/>
      <c r="L839" s="58"/>
    </row>
    <row r="840" spans="11:12" ht="11.25" customHeight="1">
      <c r="K840" s="58"/>
      <c r="L840" s="58"/>
    </row>
    <row r="841" spans="11:12" ht="11.25" customHeight="1">
      <c r="K841" s="58"/>
      <c r="L841" s="58"/>
    </row>
    <row r="842" spans="11:12" ht="11.25" customHeight="1">
      <c r="K842" s="58"/>
      <c r="L842" s="58"/>
    </row>
    <row r="843" spans="11:12" ht="11.25" customHeight="1">
      <c r="K843" s="58"/>
      <c r="L843" s="58"/>
    </row>
    <row r="844" spans="11:12" ht="11.25" customHeight="1">
      <c r="K844" s="58"/>
      <c r="L844" s="58"/>
    </row>
    <row r="845" spans="11:12" ht="11.25" customHeight="1">
      <c r="K845" s="58"/>
      <c r="L845" s="58"/>
    </row>
    <row r="846" spans="11:12" ht="11.25" customHeight="1">
      <c r="K846" s="58"/>
      <c r="L846" s="58"/>
    </row>
    <row r="847" spans="11:12" ht="11.25" customHeight="1">
      <c r="K847" s="58"/>
      <c r="L847" s="58"/>
    </row>
    <row r="848" spans="11:12" ht="11.25" customHeight="1">
      <c r="K848" s="58"/>
      <c r="L848" s="58"/>
    </row>
    <row r="849" spans="11:12" ht="11.25" customHeight="1">
      <c r="K849" s="58"/>
      <c r="L849" s="58"/>
    </row>
    <row r="850" spans="11:12" ht="11.25" customHeight="1">
      <c r="K850" s="58"/>
      <c r="L850" s="58"/>
    </row>
    <row r="851" spans="11:12" ht="11.25" customHeight="1">
      <c r="K851" s="58"/>
      <c r="L851" s="58"/>
    </row>
    <row r="852" spans="11:12" ht="11.25" customHeight="1">
      <c r="K852" s="58"/>
      <c r="L852" s="58"/>
    </row>
    <row r="853" spans="11:12" ht="11.25" customHeight="1">
      <c r="K853" s="58"/>
      <c r="L853" s="58"/>
    </row>
    <row r="854" spans="11:12" ht="11.25" customHeight="1">
      <c r="K854" s="58"/>
      <c r="L854" s="58"/>
    </row>
    <row r="855" spans="11:12" ht="11.25" customHeight="1">
      <c r="K855" s="58"/>
      <c r="L855" s="58"/>
    </row>
    <row r="856" spans="11:12" ht="11.25" customHeight="1">
      <c r="K856" s="58"/>
      <c r="L856" s="58"/>
    </row>
    <row r="857" spans="11:12" ht="11.25" customHeight="1">
      <c r="K857" s="58"/>
      <c r="L857" s="58"/>
    </row>
    <row r="858" spans="11:12" ht="11.25" customHeight="1">
      <c r="K858" s="58"/>
      <c r="L858" s="58"/>
    </row>
    <row r="859" spans="11:12" ht="11.25" customHeight="1">
      <c r="K859" s="58"/>
      <c r="L859" s="58"/>
    </row>
    <row r="860" spans="11:12" ht="11.25" customHeight="1">
      <c r="K860" s="58"/>
      <c r="L860" s="58"/>
    </row>
    <row r="861" spans="11:12" ht="11.25" customHeight="1">
      <c r="K861" s="58"/>
      <c r="L861" s="58"/>
    </row>
    <row r="862" spans="11:12" ht="11.25" customHeight="1">
      <c r="K862" s="58"/>
      <c r="L862" s="58"/>
    </row>
    <row r="863" spans="11:12" ht="11.25" customHeight="1">
      <c r="K863" s="58"/>
      <c r="L863" s="58"/>
    </row>
    <row r="864" spans="11:12" ht="11.25" customHeight="1">
      <c r="K864" s="58"/>
      <c r="L864" s="58"/>
    </row>
    <row r="865" spans="11:12" ht="11.25" customHeight="1">
      <c r="K865" s="58"/>
      <c r="L865" s="58"/>
    </row>
    <row r="866" spans="11:12" ht="11.25" customHeight="1">
      <c r="K866" s="58"/>
      <c r="L866" s="58"/>
    </row>
    <row r="867" spans="11:12" ht="11.25" customHeight="1">
      <c r="K867" s="58"/>
      <c r="L867" s="58"/>
    </row>
    <row r="868" spans="11:12" ht="11.25" customHeight="1">
      <c r="K868" s="58"/>
      <c r="L868" s="58"/>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workbookViewId="0">
      <selection activeCell="F49" sqref="F49"/>
    </sheetView>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1855</v>
      </c>
    </row>
    <row r="2" spans="1:13" s="4" customFormat="1" ht="12.75" customHeight="1">
      <c r="A2" s="1" t="s">
        <v>1856</v>
      </c>
    </row>
    <row r="3" spans="1:13" s="4" customFormat="1" ht="12.75" customHeight="1">
      <c r="A3" s="7" t="s">
        <v>1857</v>
      </c>
    </row>
    <row r="4" spans="1:13" s="4" customFormat="1" ht="13.5" customHeight="1" thickBot="1">
      <c r="A4" s="481"/>
      <c r="B4" s="482"/>
      <c r="C4" s="483"/>
      <c r="D4" s="483"/>
      <c r="E4" s="483"/>
      <c r="F4" s="483"/>
      <c r="G4" s="483"/>
      <c r="H4" s="484"/>
    </row>
    <row r="5" spans="1:13" s="4" customFormat="1" ht="12.75" customHeight="1">
      <c r="A5" s="470" t="s">
        <v>1805</v>
      </c>
      <c r="B5" s="485"/>
      <c r="C5" s="437" t="s">
        <v>1806</v>
      </c>
      <c r="D5" s="437" t="s">
        <v>1807</v>
      </c>
      <c r="E5" s="437" t="s">
        <v>1808</v>
      </c>
      <c r="F5" s="437" t="s">
        <v>1093</v>
      </c>
      <c r="G5" s="437" t="s">
        <v>1809</v>
      </c>
      <c r="H5" s="471" t="s">
        <v>178</v>
      </c>
      <c r="I5" s="437" t="s">
        <v>1810</v>
      </c>
    </row>
    <row r="6" spans="1:13" s="4" customFormat="1" ht="13.5" customHeight="1" thickBot="1">
      <c r="A6" s="495"/>
      <c r="B6" s="496"/>
      <c r="C6" s="39" t="s">
        <v>1811</v>
      </c>
      <c r="D6" s="39" t="s">
        <v>1812</v>
      </c>
      <c r="E6" s="39" t="s">
        <v>1813</v>
      </c>
      <c r="F6" s="39"/>
      <c r="G6" s="39" t="s">
        <v>1814</v>
      </c>
      <c r="H6" s="472"/>
      <c r="I6" s="39"/>
    </row>
    <row r="7" spans="1:13" s="4" customFormat="1" ht="12.75" customHeight="1">
      <c r="A7" s="497"/>
      <c r="B7" s="498"/>
      <c r="C7" s="486"/>
      <c r="D7" s="486"/>
      <c r="E7" s="486"/>
      <c r="F7" s="486"/>
      <c r="G7" s="486"/>
      <c r="H7" s="487"/>
      <c r="I7" s="486"/>
    </row>
    <row r="8" spans="1:13" s="4" customFormat="1" ht="12.75" customHeight="1">
      <c r="A8" s="499">
        <v>1</v>
      </c>
      <c r="B8" s="499" t="s">
        <v>401</v>
      </c>
      <c r="C8" s="201">
        <v>1429</v>
      </c>
      <c r="D8" s="201">
        <v>10305</v>
      </c>
      <c r="E8" s="201">
        <v>17</v>
      </c>
      <c r="F8" s="201">
        <v>-4</v>
      </c>
      <c r="G8" s="201">
        <v>405</v>
      </c>
      <c r="H8" s="500">
        <v>12152</v>
      </c>
      <c r="I8" s="501">
        <f>H8/H36*100</f>
        <v>1.555416766665211</v>
      </c>
    </row>
    <row r="9" spans="1:13" s="4" customFormat="1" ht="12.75" customHeight="1">
      <c r="A9" s="499">
        <v>2</v>
      </c>
      <c r="B9" s="499" t="s">
        <v>402</v>
      </c>
      <c r="C9" s="201">
        <v>10000</v>
      </c>
      <c r="D9" s="201">
        <v>1870</v>
      </c>
      <c r="E9" s="201">
        <v>19</v>
      </c>
      <c r="F9" s="201">
        <v>49</v>
      </c>
      <c r="G9" s="201">
        <v>68</v>
      </c>
      <c r="H9" s="500">
        <v>12006</v>
      </c>
      <c r="I9" s="501">
        <f>H9/H36*100</f>
        <v>1.5367292380334532</v>
      </c>
    </row>
    <row r="10" spans="1:13" s="4" customFormat="1" ht="12.75" customHeight="1">
      <c r="A10" s="499">
        <v>3</v>
      </c>
      <c r="B10" s="499" t="s">
        <v>207</v>
      </c>
      <c r="C10" s="201">
        <v>133</v>
      </c>
      <c r="D10" s="201">
        <v>8813</v>
      </c>
      <c r="E10" s="201">
        <v>12</v>
      </c>
      <c r="F10" s="201">
        <v>8</v>
      </c>
      <c r="G10" s="201">
        <v>468</v>
      </c>
      <c r="H10" s="500">
        <v>9434</v>
      </c>
      <c r="I10" s="501">
        <f>H10/H36*100</f>
        <v>1.207521541863035</v>
      </c>
    </row>
    <row r="11" spans="1:13" s="4" customFormat="1" ht="12.75" customHeight="1">
      <c r="A11" s="499">
        <v>4</v>
      </c>
      <c r="B11" s="499" t="s">
        <v>1267</v>
      </c>
      <c r="C11" s="201">
        <v>372</v>
      </c>
      <c r="D11" s="201">
        <v>31659</v>
      </c>
      <c r="E11" s="201">
        <v>65</v>
      </c>
      <c r="F11" s="201">
        <v>57</v>
      </c>
      <c r="G11" s="201">
        <v>1492</v>
      </c>
      <c r="H11" s="500">
        <v>33645</v>
      </c>
      <c r="I11" s="501">
        <f>H11/H36*100</f>
        <v>4.30645137544857</v>
      </c>
    </row>
    <row r="12" spans="1:13" s="4" customFormat="1" ht="12.75" customHeight="1">
      <c r="A12" s="499">
        <v>5</v>
      </c>
      <c r="B12" s="499" t="s">
        <v>1183</v>
      </c>
      <c r="C12" s="201">
        <v>1515</v>
      </c>
      <c r="D12" s="201">
        <v>296</v>
      </c>
      <c r="E12" s="201">
        <v>1</v>
      </c>
      <c r="F12" s="201">
        <v>0</v>
      </c>
      <c r="G12" s="201">
        <v>3</v>
      </c>
      <c r="H12" s="500">
        <v>1815</v>
      </c>
      <c r="I12" s="501">
        <f>H12/H36*100</f>
        <v>0.23231414018246854</v>
      </c>
    </row>
    <row r="13" spans="1:13" s="4" customFormat="1" ht="12.75" customHeight="1">
      <c r="A13" s="499">
        <v>6</v>
      </c>
      <c r="B13" s="499" t="s">
        <v>1292</v>
      </c>
      <c r="C13" s="201">
        <v>2042</v>
      </c>
      <c r="D13" s="201">
        <v>31982</v>
      </c>
      <c r="E13" s="201">
        <v>6766</v>
      </c>
      <c r="F13" s="201">
        <v>59</v>
      </c>
      <c r="G13" s="201">
        <v>1257</v>
      </c>
      <c r="H13" s="500">
        <v>42106</v>
      </c>
      <c r="I13" s="501">
        <f>H13/H36*100</f>
        <v>5.3894320586903692</v>
      </c>
      <c r="L13" s="3"/>
      <c r="M13" s="3"/>
    </row>
    <row r="14" spans="1:13" s="4" customFormat="1" ht="12.75" customHeight="1">
      <c r="A14" s="499">
        <v>7</v>
      </c>
      <c r="B14" s="499" t="s">
        <v>1269</v>
      </c>
      <c r="C14" s="201">
        <v>26610</v>
      </c>
      <c r="D14" s="201">
        <v>2321</v>
      </c>
      <c r="E14" s="201">
        <v>3</v>
      </c>
      <c r="F14" s="201">
        <v>0</v>
      </c>
      <c r="G14" s="201">
        <v>666</v>
      </c>
      <c r="H14" s="500">
        <v>29600</v>
      </c>
      <c r="I14" s="501">
        <f>H14/H36*100</f>
        <v>3.7887044349317187</v>
      </c>
    </row>
    <row r="15" spans="1:13" s="4" customFormat="1" ht="12.75" customHeight="1">
      <c r="A15" s="499">
        <v>8</v>
      </c>
      <c r="B15" s="499" t="s">
        <v>1231</v>
      </c>
      <c r="C15" s="201">
        <v>2670</v>
      </c>
      <c r="D15" s="201">
        <v>3703</v>
      </c>
      <c r="E15" s="201">
        <v>6</v>
      </c>
      <c r="F15" s="201">
        <v>2</v>
      </c>
      <c r="G15" s="201">
        <v>140</v>
      </c>
      <c r="H15" s="500">
        <v>6521</v>
      </c>
      <c r="I15" s="501">
        <f>H15/H36*100</f>
        <v>0.83466694662803176</v>
      </c>
    </row>
    <row r="16" spans="1:13" s="4" customFormat="1" ht="12.75" customHeight="1">
      <c r="A16" s="499">
        <v>9</v>
      </c>
      <c r="B16" s="499" t="s">
        <v>1271</v>
      </c>
      <c r="C16" s="201">
        <v>45944</v>
      </c>
      <c r="D16" s="201">
        <v>7033</v>
      </c>
      <c r="E16" s="201">
        <v>14</v>
      </c>
      <c r="F16" s="201">
        <v>1</v>
      </c>
      <c r="G16" s="201">
        <v>73</v>
      </c>
      <c r="H16" s="500">
        <v>53065</v>
      </c>
      <c r="I16" s="501">
        <f>H16/H36*100</f>
        <v>6.7921486770152582</v>
      </c>
    </row>
    <row r="17" spans="1:9" s="4" customFormat="1" ht="12.75" customHeight="1">
      <c r="A17" s="499" t="s">
        <v>1858</v>
      </c>
      <c r="B17" s="499" t="s">
        <v>1272</v>
      </c>
      <c r="C17" s="201">
        <v>101589</v>
      </c>
      <c r="D17" s="201">
        <v>7878</v>
      </c>
      <c r="E17" s="201">
        <v>3</v>
      </c>
      <c r="F17" s="201">
        <v>7</v>
      </c>
      <c r="G17" s="201">
        <v>492</v>
      </c>
      <c r="H17" s="500">
        <v>109969</v>
      </c>
      <c r="I17" s="501">
        <f>H17/H36*100</f>
        <v>14.075676959628586</v>
      </c>
    </row>
    <row r="18" spans="1:9" s="4" customFormat="1" ht="12.75" customHeight="1">
      <c r="A18" s="499" t="s">
        <v>1859</v>
      </c>
      <c r="B18" s="499" t="s">
        <v>1273</v>
      </c>
      <c r="C18" s="201">
        <v>42304</v>
      </c>
      <c r="D18" s="491" t="s">
        <v>1378</v>
      </c>
      <c r="E18" s="491" t="s">
        <v>1378</v>
      </c>
      <c r="F18" s="491" t="s">
        <v>1378</v>
      </c>
      <c r="G18" s="491" t="s">
        <v>1378</v>
      </c>
      <c r="H18" s="500">
        <v>42304</v>
      </c>
      <c r="I18" s="501">
        <f>H18/H36*100</f>
        <v>5.4147754194375484</v>
      </c>
    </row>
    <row r="19" spans="1:9" s="4" customFormat="1" ht="12.75" customHeight="1">
      <c r="A19" s="499" t="s">
        <v>1860</v>
      </c>
      <c r="B19" s="499" t="s">
        <v>593</v>
      </c>
      <c r="C19" s="201">
        <v>68080</v>
      </c>
      <c r="D19" s="491" t="s">
        <v>1378</v>
      </c>
      <c r="E19" s="491" t="s">
        <v>1378</v>
      </c>
      <c r="F19" s="201">
        <v>0</v>
      </c>
      <c r="G19" s="491" t="s">
        <v>1378</v>
      </c>
      <c r="H19" s="500">
        <v>68080</v>
      </c>
      <c r="I19" s="501">
        <f>H19/H36*100</f>
        <v>8.7140202003429543</v>
      </c>
    </row>
    <row r="20" spans="1:9" s="4" customFormat="1" ht="12.75" customHeight="1">
      <c r="A20" s="499" t="s">
        <v>1861</v>
      </c>
      <c r="B20" s="499" t="s">
        <v>1214</v>
      </c>
      <c r="C20" s="201">
        <v>4883</v>
      </c>
      <c r="D20" s="201">
        <v>449</v>
      </c>
      <c r="E20" s="201">
        <v>3</v>
      </c>
      <c r="F20" s="201">
        <v>19</v>
      </c>
      <c r="G20" s="201">
        <v>-22</v>
      </c>
      <c r="H20" s="500">
        <v>5332</v>
      </c>
      <c r="I20" s="501">
        <f>H20/H36*100</f>
        <v>0.68247878537351092</v>
      </c>
    </row>
    <row r="21" spans="1:9" s="4" customFormat="1" ht="12.75" customHeight="1">
      <c r="A21" s="499" t="s">
        <v>1862</v>
      </c>
      <c r="B21" s="499" t="s">
        <v>595</v>
      </c>
      <c r="C21" s="201">
        <v>51822</v>
      </c>
      <c r="D21" s="201">
        <v>8602</v>
      </c>
      <c r="E21" s="201">
        <v>19</v>
      </c>
      <c r="F21" s="201">
        <v>2</v>
      </c>
      <c r="G21" s="201">
        <v>175</v>
      </c>
      <c r="H21" s="500">
        <v>60620</v>
      </c>
      <c r="I21" s="501">
        <f>H21/H36*100</f>
        <v>7.7591642853229992</v>
      </c>
    </row>
    <row r="22" spans="1:9" s="4" customFormat="1" ht="12.75" customHeight="1">
      <c r="A22" s="499" t="s">
        <v>1863</v>
      </c>
      <c r="B22" s="499" t="s">
        <v>596</v>
      </c>
      <c r="C22" s="201">
        <v>15746</v>
      </c>
      <c r="D22" s="201">
        <v>42</v>
      </c>
      <c r="E22" s="201"/>
      <c r="F22" s="201">
        <v>5233</v>
      </c>
      <c r="G22" s="201">
        <v>1</v>
      </c>
      <c r="H22" s="500">
        <v>21022</v>
      </c>
      <c r="I22" s="501">
        <f>H22/H36*100</f>
        <v>2.6907481294302227</v>
      </c>
    </row>
    <row r="23" spans="1:9" s="4" customFormat="1" ht="12.75" customHeight="1">
      <c r="A23" s="499" t="s">
        <v>1864</v>
      </c>
      <c r="B23" s="499" t="s">
        <v>73</v>
      </c>
      <c r="C23" s="201">
        <v>12679</v>
      </c>
      <c r="D23" s="201">
        <v>34411</v>
      </c>
      <c r="E23" s="201">
        <v>767</v>
      </c>
      <c r="F23" s="201">
        <v>4</v>
      </c>
      <c r="G23" s="201">
        <v>1402</v>
      </c>
      <c r="H23" s="500">
        <v>49263</v>
      </c>
      <c r="I23" s="501">
        <f>H23/H36*100</f>
        <v>6.3055049519608541</v>
      </c>
    </row>
    <row r="24" spans="1:9" s="4" customFormat="1" ht="12.75" customHeight="1">
      <c r="A24" s="499" t="s">
        <v>1865</v>
      </c>
      <c r="B24" s="499" t="s">
        <v>74</v>
      </c>
      <c r="C24" s="201">
        <v>8248</v>
      </c>
      <c r="D24" s="201">
        <v>1900</v>
      </c>
      <c r="E24" s="201">
        <v>23</v>
      </c>
      <c r="F24" s="201">
        <v>1</v>
      </c>
      <c r="G24" s="201">
        <v>97</v>
      </c>
      <c r="H24" s="500">
        <v>10269</v>
      </c>
      <c r="I24" s="501">
        <f>H24/H36*100</f>
        <v>1.3143988460241154</v>
      </c>
    </row>
    <row r="25" spans="1:9" s="4" customFormat="1" ht="22.5">
      <c r="A25" s="197" t="s">
        <v>1866</v>
      </c>
      <c r="B25" s="197" t="s">
        <v>1203</v>
      </c>
      <c r="C25" s="502">
        <v>1023</v>
      </c>
      <c r="D25" s="502">
        <v>734</v>
      </c>
      <c r="E25" s="502">
        <v>68</v>
      </c>
      <c r="F25" s="502">
        <v>2</v>
      </c>
      <c r="G25" s="502">
        <v>79</v>
      </c>
      <c r="H25" s="493">
        <v>1906</v>
      </c>
      <c r="I25" s="503">
        <f>H25/H36*100</f>
        <v>0.24396184638445459</v>
      </c>
    </row>
    <row r="26" spans="1:9" s="4" customFormat="1" ht="12.75" customHeight="1">
      <c r="A26" s="499" t="s">
        <v>1867</v>
      </c>
      <c r="B26" s="499" t="s">
        <v>1215</v>
      </c>
      <c r="C26" s="201">
        <v>2966</v>
      </c>
      <c r="D26" s="201">
        <v>200</v>
      </c>
      <c r="E26" s="201">
        <v>1</v>
      </c>
      <c r="F26" s="201">
        <v>-1</v>
      </c>
      <c r="G26" s="201">
        <v>38</v>
      </c>
      <c r="H26" s="500">
        <v>3204</v>
      </c>
      <c r="I26" s="501">
        <f>H26/H36*100</f>
        <v>0.41010165572706841</v>
      </c>
    </row>
    <row r="27" spans="1:9" s="4" customFormat="1" ht="12.75" customHeight="1">
      <c r="A27" s="499" t="s">
        <v>1868</v>
      </c>
      <c r="B27" s="499" t="s">
        <v>1869</v>
      </c>
      <c r="C27" s="201">
        <v>1774</v>
      </c>
      <c r="D27" s="201">
        <v>2889</v>
      </c>
      <c r="E27" s="201">
        <v>452</v>
      </c>
      <c r="F27" s="201">
        <v>1</v>
      </c>
      <c r="G27" s="201">
        <v>45</v>
      </c>
      <c r="H27" s="500">
        <v>5161</v>
      </c>
      <c r="I27" s="501">
        <f>H27/H36*100</f>
        <v>0.66059133745549325</v>
      </c>
    </row>
    <row r="28" spans="1:9" s="4" customFormat="1" ht="12.75" customHeight="1">
      <c r="A28" s="499" t="s">
        <v>1870</v>
      </c>
      <c r="B28" s="499" t="s">
        <v>77</v>
      </c>
      <c r="C28" s="201">
        <v>2202</v>
      </c>
      <c r="D28" s="201">
        <v>808</v>
      </c>
      <c r="E28" s="201">
        <v>9</v>
      </c>
      <c r="F28" s="201">
        <v>0</v>
      </c>
      <c r="G28" s="201">
        <v>26</v>
      </c>
      <c r="H28" s="500">
        <v>3045</v>
      </c>
      <c r="I28" s="501">
        <f>H28/H36*100</f>
        <v>0.38975016906645554</v>
      </c>
    </row>
    <row r="29" spans="1:9" s="4" customFormat="1" ht="12.75" customHeight="1">
      <c r="A29" s="499" t="s">
        <v>1871</v>
      </c>
      <c r="B29" s="499" t="s">
        <v>78</v>
      </c>
      <c r="C29" s="201">
        <v>2734</v>
      </c>
      <c r="D29" s="201">
        <v>17551</v>
      </c>
      <c r="E29" s="201">
        <v>18680</v>
      </c>
      <c r="F29" s="201">
        <v>138</v>
      </c>
      <c r="G29" s="201">
        <v>1470</v>
      </c>
      <c r="H29" s="500">
        <v>40573</v>
      </c>
      <c r="I29" s="501">
        <f>H29/H36*100</f>
        <v>5.1932130080569125</v>
      </c>
    </row>
    <row r="30" spans="1:9" s="4" customFormat="1" ht="12.75" customHeight="1">
      <c r="A30" s="499" t="s">
        <v>1872</v>
      </c>
      <c r="B30" s="499" t="s">
        <v>1086</v>
      </c>
      <c r="C30" s="201">
        <v>12307</v>
      </c>
      <c r="D30" s="201">
        <v>3660</v>
      </c>
      <c r="E30" s="201">
        <v>26</v>
      </c>
      <c r="F30" s="201">
        <v>4</v>
      </c>
      <c r="G30" s="201">
        <v>372</v>
      </c>
      <c r="H30" s="500">
        <v>16369</v>
      </c>
      <c r="I30" s="501">
        <f>H30/H36*100</f>
        <v>2.0951791518715304</v>
      </c>
    </row>
    <row r="31" spans="1:9" s="4" customFormat="1" ht="12.75" customHeight="1">
      <c r="A31" s="499" t="s">
        <v>1873</v>
      </c>
      <c r="B31" s="499" t="s">
        <v>1087</v>
      </c>
      <c r="C31" s="201">
        <v>2947</v>
      </c>
      <c r="D31" s="201">
        <v>2249</v>
      </c>
      <c r="E31" s="201">
        <v>11</v>
      </c>
      <c r="F31" s="201">
        <v>0</v>
      </c>
      <c r="G31" s="201">
        <v>1358</v>
      </c>
      <c r="H31" s="500">
        <v>6565</v>
      </c>
      <c r="I31" s="501">
        <f>H31/H36*100</f>
        <v>0.84029880457184913</v>
      </c>
    </row>
    <row r="32" spans="1:9" s="4" customFormat="1" ht="12.75" customHeight="1">
      <c r="A32" s="499" t="s">
        <v>1874</v>
      </c>
      <c r="B32" s="499" t="s">
        <v>1088</v>
      </c>
      <c r="C32" s="201">
        <v>81588</v>
      </c>
      <c r="D32" s="201">
        <v>1</v>
      </c>
      <c r="E32" s="491" t="s">
        <v>1378</v>
      </c>
      <c r="F32" s="491" t="s">
        <v>1378</v>
      </c>
      <c r="G32" s="491" t="s">
        <v>1378</v>
      </c>
      <c r="H32" s="500">
        <v>81589</v>
      </c>
      <c r="I32" s="501">
        <f>H32/H36*100</f>
        <v>10.443128585866351</v>
      </c>
    </row>
    <row r="33" spans="1:9" s="4" customFormat="1" ht="12.75" customHeight="1">
      <c r="A33" s="499" t="s">
        <v>1875</v>
      </c>
      <c r="B33" s="499" t="s">
        <v>422</v>
      </c>
      <c r="C33" s="201">
        <v>1117</v>
      </c>
      <c r="D33" s="201">
        <v>3924</v>
      </c>
      <c r="E33" s="201">
        <v>9</v>
      </c>
      <c r="F33" s="201">
        <v>31143</v>
      </c>
      <c r="G33" s="201">
        <v>270</v>
      </c>
      <c r="H33" s="500">
        <v>36463</v>
      </c>
      <c r="I33" s="501">
        <f>H33/H36*100</f>
        <v>4.6671462773957861</v>
      </c>
    </row>
    <row r="34" spans="1:9" s="4" customFormat="1" ht="12.75" customHeight="1">
      <c r="A34" s="499" t="s">
        <v>1876</v>
      </c>
      <c r="B34" s="499" t="s">
        <v>1089</v>
      </c>
      <c r="C34" s="201">
        <v>19192</v>
      </c>
      <c r="D34" s="491" t="s">
        <v>1378</v>
      </c>
      <c r="E34" s="491" t="s">
        <v>1378</v>
      </c>
      <c r="F34" s="201">
        <v>0</v>
      </c>
      <c r="G34" s="491" t="s">
        <v>1378</v>
      </c>
      <c r="H34" s="500">
        <v>19192</v>
      </c>
      <c r="I34" s="501">
        <f>H34/H36*100</f>
        <v>2.4565140376759982</v>
      </c>
    </row>
    <row r="35" spans="1:9" s="4" customFormat="1" ht="12.75" customHeight="1">
      <c r="A35" s="499"/>
      <c r="B35" s="499"/>
      <c r="C35" s="504"/>
      <c r="D35" s="504"/>
      <c r="E35" s="504"/>
      <c r="F35" s="504"/>
      <c r="G35" s="504"/>
      <c r="H35" s="504"/>
      <c r="I35" s="501"/>
    </row>
    <row r="36" spans="1:9" s="4" customFormat="1" ht="12.75" customHeight="1">
      <c r="A36" s="499"/>
      <c r="B36" s="488" t="s">
        <v>1844</v>
      </c>
      <c r="C36" s="504">
        <v>523915.98200000002</v>
      </c>
      <c r="D36" s="504">
        <v>183279.473</v>
      </c>
      <c r="E36" s="504">
        <v>26974.719000000001</v>
      </c>
      <c r="F36" s="504">
        <v>36726.614000000001</v>
      </c>
      <c r="G36" s="504">
        <v>10372.916999999999</v>
      </c>
      <c r="H36" s="504">
        <v>781269.70600000001</v>
      </c>
      <c r="I36" s="501">
        <v>100</v>
      </c>
    </row>
    <row r="37" spans="1:9" s="4" customFormat="1" ht="12.75" customHeight="1" thickBot="1">
      <c r="A37" s="505"/>
      <c r="B37" s="506" t="s">
        <v>1810</v>
      </c>
      <c r="C37" s="507">
        <f>C36/H36*100</f>
        <v>67.059554207263744</v>
      </c>
      <c r="D37" s="508">
        <f>D36/H36*100</f>
        <v>23.459180817130008</v>
      </c>
      <c r="E37" s="507">
        <f>E36/H36*100</f>
        <v>3.4526769427816517</v>
      </c>
      <c r="F37" s="507">
        <f>F36/H36*100</f>
        <v>4.7008880183049104</v>
      </c>
      <c r="G37" s="507">
        <f>G36/H36*100</f>
        <v>1.3276998865229264</v>
      </c>
      <c r="H37" s="507">
        <f>H36/H36*100</f>
        <v>100</v>
      </c>
      <c r="I37" s="509"/>
    </row>
    <row r="38" spans="1:9" s="4" customFormat="1" ht="12.75" customHeight="1">
      <c r="A38" s="4" t="s">
        <v>179</v>
      </c>
    </row>
    <row r="39" spans="1:9" s="4" customFormat="1" ht="12.75" customHeight="1">
      <c r="A39" s="17" t="s">
        <v>539</v>
      </c>
      <c r="B39" s="448"/>
    </row>
    <row r="40" spans="1:9">
      <c r="A40" s="42"/>
      <c r="B40" s="42"/>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1877</v>
      </c>
      <c r="B1" s="4"/>
      <c r="C1" s="4"/>
      <c r="D1" s="4"/>
      <c r="E1" s="4"/>
      <c r="F1" s="4"/>
      <c r="G1" s="4"/>
      <c r="H1" s="4"/>
      <c r="I1" s="4"/>
    </row>
    <row r="2" spans="1:12" ht="12.75" customHeight="1">
      <c r="A2" s="1" t="s">
        <v>1878</v>
      </c>
      <c r="B2" s="4"/>
      <c r="C2" s="4"/>
      <c r="D2" s="4"/>
      <c r="E2" s="4"/>
      <c r="F2" s="4"/>
      <c r="G2" s="4"/>
      <c r="H2" s="4"/>
      <c r="I2" s="4"/>
    </row>
    <row r="3" spans="1:12" ht="12.75" customHeight="1">
      <c r="A3" s="7" t="s">
        <v>1879</v>
      </c>
      <c r="B3" s="4"/>
      <c r="C3" s="4"/>
      <c r="D3" s="4"/>
      <c r="E3" s="4"/>
      <c r="F3" s="4"/>
      <c r="G3" s="4"/>
      <c r="H3" s="4"/>
      <c r="I3" s="4"/>
    </row>
    <row r="4" spans="1:12" ht="13.5" customHeight="1" thickBot="1">
      <c r="A4" s="481"/>
      <c r="B4" s="482"/>
      <c r="C4" s="483"/>
      <c r="D4" s="483"/>
      <c r="E4" s="483"/>
      <c r="F4" s="483"/>
      <c r="G4" s="483"/>
      <c r="H4" s="484"/>
      <c r="I4" s="4"/>
    </row>
    <row r="5" spans="1:12" ht="12.75" customHeight="1">
      <c r="A5" s="470" t="s">
        <v>1805</v>
      </c>
      <c r="B5" s="485"/>
      <c r="C5" s="437" t="s">
        <v>1806</v>
      </c>
      <c r="D5" s="437" t="s">
        <v>1807</v>
      </c>
      <c r="E5" s="437" t="s">
        <v>1808</v>
      </c>
      <c r="F5" s="437" t="s">
        <v>1093</v>
      </c>
      <c r="G5" s="437" t="s">
        <v>1809</v>
      </c>
      <c r="H5" s="471" t="s">
        <v>178</v>
      </c>
      <c r="I5" s="437" t="s">
        <v>1810</v>
      </c>
    </row>
    <row r="6" spans="1:12" ht="13.5" customHeight="1" thickBot="1">
      <c r="A6" s="495"/>
      <c r="B6" s="496"/>
      <c r="C6" s="39" t="s">
        <v>1811</v>
      </c>
      <c r="D6" s="39" t="s">
        <v>1812</v>
      </c>
      <c r="E6" s="39" t="s">
        <v>1813</v>
      </c>
      <c r="F6" s="39"/>
      <c r="G6" s="39" t="s">
        <v>1814</v>
      </c>
      <c r="H6" s="472"/>
      <c r="I6" s="39"/>
    </row>
    <row r="7" spans="1:12" ht="12.75" customHeight="1">
      <c r="A7" s="497"/>
      <c r="B7" s="498"/>
      <c r="C7" s="486"/>
      <c r="D7" s="486"/>
      <c r="E7" s="486"/>
      <c r="F7" s="486"/>
      <c r="G7" s="486"/>
      <c r="H7" s="487"/>
      <c r="I7" s="486"/>
    </row>
    <row r="8" spans="1:12">
      <c r="A8" s="499">
        <v>1</v>
      </c>
      <c r="B8" s="499" t="s">
        <v>401</v>
      </c>
      <c r="C8" s="201">
        <v>1543</v>
      </c>
      <c r="D8" s="201">
        <v>9694</v>
      </c>
      <c r="E8" s="201">
        <v>26</v>
      </c>
      <c r="F8" s="201">
        <v>-2</v>
      </c>
      <c r="G8" s="201">
        <v>396</v>
      </c>
      <c r="H8" s="500">
        <f t="shared" ref="H8:H18" si="0">SUM(C8:G8)</f>
        <v>11657</v>
      </c>
      <c r="I8" s="501">
        <f>H8/H36*100</f>
        <v>1.4823457020388418</v>
      </c>
      <c r="J8" s="61"/>
    </row>
    <row r="9" spans="1:12">
      <c r="A9" s="499">
        <v>2</v>
      </c>
      <c r="B9" s="499" t="s">
        <v>402</v>
      </c>
      <c r="C9" s="201">
        <v>10060</v>
      </c>
      <c r="D9" s="201">
        <v>1954</v>
      </c>
      <c r="E9" s="201">
        <v>19</v>
      </c>
      <c r="F9" s="201">
        <v>55</v>
      </c>
      <c r="G9" s="201">
        <v>55</v>
      </c>
      <c r="H9" s="500">
        <f t="shared" si="0"/>
        <v>12143</v>
      </c>
      <c r="I9" s="501">
        <f>H9/H36*100</f>
        <v>1.5441471956642063</v>
      </c>
    </row>
    <row r="10" spans="1:12">
      <c r="A10" s="499">
        <v>3</v>
      </c>
      <c r="B10" s="499" t="s">
        <v>207</v>
      </c>
      <c r="C10" s="201">
        <v>142</v>
      </c>
      <c r="D10" s="201">
        <v>8702</v>
      </c>
      <c r="E10" s="201">
        <v>21</v>
      </c>
      <c r="F10" s="201">
        <v>4</v>
      </c>
      <c r="G10" s="201">
        <v>516</v>
      </c>
      <c r="H10" s="500">
        <f t="shared" si="0"/>
        <v>9385</v>
      </c>
      <c r="I10" s="501">
        <f>H10/H36*100</f>
        <v>1.193430077518618</v>
      </c>
    </row>
    <row r="11" spans="1:12">
      <c r="A11" s="499">
        <v>4</v>
      </c>
      <c r="B11" s="499" t="s">
        <v>1267</v>
      </c>
      <c r="C11" s="201">
        <v>284</v>
      </c>
      <c r="D11" s="201">
        <v>33711</v>
      </c>
      <c r="E11" s="201">
        <v>86</v>
      </c>
      <c r="F11" s="201">
        <v>46</v>
      </c>
      <c r="G11" s="201">
        <v>1359</v>
      </c>
      <c r="H11" s="500">
        <f t="shared" si="0"/>
        <v>35486</v>
      </c>
      <c r="I11" s="501">
        <f>H11/H36*100</f>
        <v>4.5125263431886715</v>
      </c>
    </row>
    <row r="12" spans="1:12">
      <c r="A12" s="499">
        <v>5</v>
      </c>
      <c r="B12" s="499" t="s">
        <v>1183</v>
      </c>
      <c r="C12" s="201">
        <v>1718</v>
      </c>
      <c r="D12" s="201">
        <v>290</v>
      </c>
      <c r="E12" s="201">
        <v>1</v>
      </c>
      <c r="F12" s="201">
        <v>1</v>
      </c>
      <c r="G12" s="201">
        <v>-11</v>
      </c>
      <c r="H12" s="500">
        <f t="shared" si="0"/>
        <v>1999</v>
      </c>
      <c r="I12" s="501">
        <f>H12/H36*100</f>
        <v>0.25419997069362998</v>
      </c>
    </row>
    <row r="13" spans="1:12">
      <c r="A13" s="499">
        <v>6</v>
      </c>
      <c r="B13" s="499" t="s">
        <v>1292</v>
      </c>
      <c r="C13" s="201">
        <v>1330</v>
      </c>
      <c r="D13" s="201">
        <v>36381</v>
      </c>
      <c r="E13" s="201">
        <v>6866</v>
      </c>
      <c r="F13" s="201">
        <v>73</v>
      </c>
      <c r="G13" s="201">
        <v>1015</v>
      </c>
      <c r="H13" s="500">
        <f t="shared" si="0"/>
        <v>45665</v>
      </c>
      <c r="I13" s="501">
        <f>H13/H36*100</f>
        <v>5.8069242930088114</v>
      </c>
      <c r="K13" s="61"/>
      <c r="L13" s="61"/>
    </row>
    <row r="14" spans="1:12">
      <c r="A14" s="499">
        <v>7</v>
      </c>
      <c r="B14" s="499" t="s">
        <v>1269</v>
      </c>
      <c r="C14" s="201">
        <v>24425</v>
      </c>
      <c r="D14" s="201">
        <v>2213</v>
      </c>
      <c r="E14" s="201">
        <v>2</v>
      </c>
      <c r="F14" s="201">
        <v>1</v>
      </c>
      <c r="G14" s="201">
        <v>28</v>
      </c>
      <c r="H14" s="500">
        <f t="shared" si="0"/>
        <v>26669</v>
      </c>
      <c r="I14" s="501">
        <f>H14/H36*100</f>
        <v>3.391325171800109</v>
      </c>
    </row>
    <row r="15" spans="1:12" ht="12.75" customHeight="1">
      <c r="A15" s="499">
        <v>8</v>
      </c>
      <c r="B15" s="499" t="s">
        <v>1231</v>
      </c>
      <c r="C15" s="201">
        <v>3115</v>
      </c>
      <c r="D15" s="201">
        <v>3885</v>
      </c>
      <c r="E15" s="201">
        <v>10</v>
      </c>
      <c r="F15" s="201">
        <v>5</v>
      </c>
      <c r="G15" s="201">
        <v>77</v>
      </c>
      <c r="H15" s="500">
        <f t="shared" si="0"/>
        <v>7092</v>
      </c>
      <c r="I15" s="501">
        <f>H15/H36*100</f>
        <v>0.90184401808865622</v>
      </c>
    </row>
    <row r="16" spans="1:12">
      <c r="A16" s="499">
        <v>9</v>
      </c>
      <c r="B16" s="499" t="s">
        <v>1271</v>
      </c>
      <c r="C16" s="201">
        <v>49309</v>
      </c>
      <c r="D16" s="201">
        <v>6577</v>
      </c>
      <c r="E16" s="201">
        <v>19</v>
      </c>
      <c r="F16" s="201">
        <v>4</v>
      </c>
      <c r="G16" s="201">
        <v>105</v>
      </c>
      <c r="H16" s="500">
        <f t="shared" si="0"/>
        <v>56014</v>
      </c>
      <c r="I16" s="501">
        <f>H16/H36*100</f>
        <v>7.122940049241115</v>
      </c>
    </row>
    <row r="17" spans="1:9">
      <c r="A17" s="499" t="s">
        <v>1858</v>
      </c>
      <c r="B17" s="499" t="s">
        <v>1272</v>
      </c>
      <c r="C17" s="201">
        <v>91981</v>
      </c>
      <c r="D17" s="201">
        <v>7174</v>
      </c>
      <c r="E17" s="201">
        <v>10</v>
      </c>
      <c r="F17" s="201">
        <v>6</v>
      </c>
      <c r="G17" s="201">
        <v>763</v>
      </c>
      <c r="H17" s="500">
        <f t="shared" si="0"/>
        <v>99934</v>
      </c>
      <c r="I17" s="501">
        <f>H17/H36*100</f>
        <v>12.707963917607412</v>
      </c>
    </row>
    <row r="18" spans="1:9">
      <c r="A18" s="499" t="s">
        <v>1859</v>
      </c>
      <c r="B18" s="499" t="s">
        <v>1273</v>
      </c>
      <c r="C18" s="201">
        <v>40928</v>
      </c>
      <c r="D18" s="201">
        <v>525</v>
      </c>
      <c r="E18" s="201">
        <v>6</v>
      </c>
      <c r="F18" s="201">
        <v>0</v>
      </c>
      <c r="G18" s="201">
        <v>14</v>
      </c>
      <c r="H18" s="500">
        <f t="shared" si="0"/>
        <v>41473</v>
      </c>
      <c r="I18" s="501">
        <f>H18/H36*100</f>
        <v>5.2738546195982572</v>
      </c>
    </row>
    <row r="19" spans="1:9">
      <c r="A19" s="499" t="s">
        <v>1860</v>
      </c>
      <c r="B19" s="499" t="s">
        <v>593</v>
      </c>
      <c r="C19" s="201">
        <v>70177</v>
      </c>
      <c r="D19" s="491" t="s">
        <v>1378</v>
      </c>
      <c r="E19" s="491" t="s">
        <v>1378</v>
      </c>
      <c r="F19" s="201">
        <v>0</v>
      </c>
      <c r="G19" s="491" t="s">
        <v>1378</v>
      </c>
      <c r="H19" s="500">
        <v>70177</v>
      </c>
      <c r="I19" s="501">
        <f>H19/H36*100</f>
        <v>8.9239576505086884</v>
      </c>
    </row>
    <row r="20" spans="1:9">
      <c r="A20" s="499" t="s">
        <v>1861</v>
      </c>
      <c r="B20" s="499" t="s">
        <v>1214</v>
      </c>
      <c r="C20" s="201">
        <v>4685</v>
      </c>
      <c r="D20" s="201">
        <v>516</v>
      </c>
      <c r="E20" s="201">
        <v>1</v>
      </c>
      <c r="F20" s="201">
        <v>13</v>
      </c>
      <c r="G20" s="201">
        <v>-23</v>
      </c>
      <c r="H20" s="500">
        <f t="shared" ref="H20:H31" si="1">SUM(C20:G20)</f>
        <v>5192</v>
      </c>
      <c r="I20" s="501">
        <f>H20/H36*100</f>
        <v>0.66023324054093391</v>
      </c>
    </row>
    <row r="21" spans="1:9">
      <c r="A21" s="499" t="s">
        <v>1862</v>
      </c>
      <c r="B21" s="499" t="s">
        <v>595</v>
      </c>
      <c r="C21" s="201">
        <v>56917</v>
      </c>
      <c r="D21" s="201">
        <v>11447</v>
      </c>
      <c r="E21" s="201">
        <v>40</v>
      </c>
      <c r="F21" s="201">
        <v>2</v>
      </c>
      <c r="G21" s="201">
        <v>150</v>
      </c>
      <c r="H21" s="500">
        <f t="shared" si="1"/>
        <v>68556</v>
      </c>
      <c r="I21" s="501">
        <f>H21/H36*100</f>
        <v>8.7178255081903444</v>
      </c>
    </row>
    <row r="22" spans="1:9">
      <c r="A22" s="499" t="s">
        <v>1863</v>
      </c>
      <c r="B22" s="499" t="s">
        <v>596</v>
      </c>
      <c r="C22" s="201">
        <v>16406</v>
      </c>
      <c r="D22" s="201">
        <v>689</v>
      </c>
      <c r="E22" s="201">
        <v>1</v>
      </c>
      <c r="F22" s="201">
        <v>5458</v>
      </c>
      <c r="G22" s="201">
        <v>27</v>
      </c>
      <c r="H22" s="500">
        <f t="shared" si="1"/>
        <v>22581</v>
      </c>
      <c r="I22" s="501">
        <f>H22/H36*100</f>
        <v>2.8714805093711151</v>
      </c>
    </row>
    <row r="23" spans="1:9">
      <c r="A23" s="499" t="s">
        <v>1864</v>
      </c>
      <c r="B23" s="499" t="s">
        <v>73</v>
      </c>
      <c r="C23" s="201">
        <v>14997</v>
      </c>
      <c r="D23" s="201">
        <v>36062</v>
      </c>
      <c r="E23" s="201">
        <v>836</v>
      </c>
      <c r="F23" s="201">
        <v>-30</v>
      </c>
      <c r="G23" s="201">
        <v>1369</v>
      </c>
      <c r="H23" s="500">
        <f t="shared" si="1"/>
        <v>53234</v>
      </c>
      <c r="I23" s="501">
        <f>H23/H36*100</f>
        <v>6.7694253326186589</v>
      </c>
    </row>
    <row r="24" spans="1:9">
      <c r="A24" s="499" t="s">
        <v>1865</v>
      </c>
      <c r="B24" s="499" t="s">
        <v>74</v>
      </c>
      <c r="C24" s="201">
        <v>9227</v>
      </c>
      <c r="D24" s="201">
        <v>1983</v>
      </c>
      <c r="E24" s="201">
        <v>21</v>
      </c>
      <c r="F24" s="201">
        <v>2</v>
      </c>
      <c r="G24" s="201">
        <v>105</v>
      </c>
      <c r="H24" s="500">
        <f t="shared" si="1"/>
        <v>11338</v>
      </c>
      <c r="I24" s="501">
        <f>H24/H36*100</f>
        <v>1.4417805241242503</v>
      </c>
    </row>
    <row r="25" spans="1:9" ht="22.5">
      <c r="A25" s="197" t="s">
        <v>1866</v>
      </c>
      <c r="B25" s="499" t="s">
        <v>1203</v>
      </c>
      <c r="C25" s="502">
        <v>680</v>
      </c>
      <c r="D25" s="502">
        <v>834</v>
      </c>
      <c r="E25" s="502">
        <v>17</v>
      </c>
      <c r="F25" s="502">
        <v>0</v>
      </c>
      <c r="G25" s="502">
        <v>28</v>
      </c>
      <c r="H25" s="493">
        <f t="shared" si="1"/>
        <v>1559</v>
      </c>
      <c r="I25" s="503">
        <f>H25/H36*100</f>
        <v>0.1982480011562627</v>
      </c>
    </row>
    <row r="26" spans="1:9">
      <c r="A26" s="499" t="s">
        <v>1867</v>
      </c>
      <c r="B26" s="499" t="s">
        <v>1215</v>
      </c>
      <c r="C26" s="201">
        <v>2989</v>
      </c>
      <c r="D26" s="201">
        <v>161</v>
      </c>
      <c r="E26" s="201">
        <v>0</v>
      </c>
      <c r="F26" s="201">
        <v>-1</v>
      </c>
      <c r="G26" s="201">
        <v>29</v>
      </c>
      <c r="H26" s="500">
        <f t="shared" si="1"/>
        <v>3178</v>
      </c>
      <c r="I26" s="501">
        <f>H26/H36*100</f>
        <v>0.40412581634034822</v>
      </c>
    </row>
    <row r="27" spans="1:9">
      <c r="A27" s="499" t="s">
        <v>1868</v>
      </c>
      <c r="B27" s="499" t="s">
        <v>1869</v>
      </c>
      <c r="C27" s="201">
        <v>1624</v>
      </c>
      <c r="D27" s="201">
        <v>3166</v>
      </c>
      <c r="E27" s="201">
        <v>327</v>
      </c>
      <c r="F27" s="201">
        <v>1</v>
      </c>
      <c r="G27" s="201">
        <v>43</v>
      </c>
      <c r="H27" s="500">
        <f t="shared" si="1"/>
        <v>5161</v>
      </c>
      <c r="I27" s="501">
        <f>H27/H36*100</f>
        <v>0.65629116995989212</v>
      </c>
    </row>
    <row r="28" spans="1:9" ht="12.75" customHeight="1">
      <c r="A28" s="499" t="s">
        <v>1870</v>
      </c>
      <c r="B28" s="499" t="s">
        <v>77</v>
      </c>
      <c r="C28" s="201">
        <v>1770</v>
      </c>
      <c r="D28" s="201">
        <v>902</v>
      </c>
      <c r="E28" s="201">
        <v>21</v>
      </c>
      <c r="F28" s="201">
        <v>0</v>
      </c>
      <c r="G28" s="201">
        <v>11</v>
      </c>
      <c r="H28" s="500">
        <f t="shared" si="1"/>
        <v>2704</v>
      </c>
      <c r="I28" s="501">
        <f>H28/H36*100</f>
        <v>0.34385028552054803</v>
      </c>
    </row>
    <row r="29" spans="1:9">
      <c r="A29" s="499" t="s">
        <v>1871</v>
      </c>
      <c r="B29" s="499" t="s">
        <v>78</v>
      </c>
      <c r="C29" s="201">
        <v>3012</v>
      </c>
      <c r="D29" s="201">
        <v>16883</v>
      </c>
      <c r="E29" s="201">
        <v>18717</v>
      </c>
      <c r="F29" s="201">
        <v>194</v>
      </c>
      <c r="G29" s="201">
        <v>978</v>
      </c>
      <c r="H29" s="500">
        <f t="shared" si="1"/>
        <v>39784</v>
      </c>
      <c r="I29" s="501">
        <f>H29/H36*100</f>
        <v>5.0590753547150449</v>
      </c>
    </row>
    <row r="30" spans="1:9">
      <c r="A30" s="499" t="s">
        <v>1872</v>
      </c>
      <c r="B30" s="499" t="s">
        <v>1318</v>
      </c>
      <c r="C30" s="201">
        <v>13376</v>
      </c>
      <c r="D30" s="201">
        <v>3785</v>
      </c>
      <c r="E30" s="201">
        <v>21</v>
      </c>
      <c r="F30" s="201">
        <v>3</v>
      </c>
      <c r="G30" s="201">
        <v>262</v>
      </c>
      <c r="H30" s="500">
        <f t="shared" si="1"/>
        <v>17447</v>
      </c>
      <c r="I30" s="501">
        <f>H30/H36*100</f>
        <v>2.218622755723743</v>
      </c>
    </row>
    <row r="31" spans="1:9" ht="12.75" customHeight="1">
      <c r="A31" s="499" t="s">
        <v>1873</v>
      </c>
      <c r="B31" s="499" t="s">
        <v>1087</v>
      </c>
      <c r="C31" s="201">
        <v>3233</v>
      </c>
      <c r="D31" s="201">
        <v>2162</v>
      </c>
      <c r="E31" s="201">
        <v>11</v>
      </c>
      <c r="F31" s="201">
        <v>0</v>
      </c>
      <c r="G31" s="201">
        <v>3095</v>
      </c>
      <c r="H31" s="500">
        <f t="shared" si="1"/>
        <v>8501</v>
      </c>
      <c r="I31" s="501">
        <f>H31/H36*100</f>
        <v>1.0810174841753619</v>
      </c>
    </row>
    <row r="32" spans="1:9">
      <c r="A32" s="499" t="s">
        <v>1874</v>
      </c>
      <c r="B32" s="499" t="s">
        <v>1088</v>
      </c>
      <c r="C32" s="201">
        <v>75689</v>
      </c>
      <c r="D32" s="201">
        <v>2</v>
      </c>
      <c r="E32" s="491" t="s">
        <v>1378</v>
      </c>
      <c r="F32" s="491" t="s">
        <v>1378</v>
      </c>
      <c r="G32" s="491" t="s">
        <v>1378</v>
      </c>
      <c r="H32" s="500">
        <v>75691</v>
      </c>
      <c r="I32" s="501">
        <f>H32/H36*100</f>
        <v>9.625137559665605</v>
      </c>
    </row>
    <row r="33" spans="1:9">
      <c r="A33" s="499" t="s">
        <v>1875</v>
      </c>
      <c r="B33" s="499" t="s">
        <v>422</v>
      </c>
      <c r="C33" s="201">
        <v>1</v>
      </c>
      <c r="D33" s="201">
        <v>0</v>
      </c>
      <c r="E33" s="201"/>
      <c r="F33" s="201">
        <v>23252</v>
      </c>
      <c r="G33" s="201">
        <v>109</v>
      </c>
      <c r="H33" s="500">
        <f>SUM(C33:G33)</f>
        <v>23362</v>
      </c>
      <c r="I33" s="501">
        <f>H33/H36*100</f>
        <v>2.9707952552999415</v>
      </c>
    </row>
    <row r="34" spans="1:9">
      <c r="A34" s="499" t="s">
        <v>1876</v>
      </c>
      <c r="B34" s="499" t="s">
        <v>1750</v>
      </c>
      <c r="C34" s="201">
        <v>30407</v>
      </c>
      <c r="D34" s="491" t="s">
        <v>1378</v>
      </c>
      <c r="E34" s="491" t="s">
        <v>1378</v>
      </c>
      <c r="F34" s="201">
        <v>0</v>
      </c>
      <c r="G34" s="491" t="s">
        <v>1378</v>
      </c>
      <c r="H34" s="500">
        <v>30407</v>
      </c>
      <c r="I34" s="501">
        <f>H34/H36*100</f>
        <v>3.86666258573347</v>
      </c>
    </row>
    <row r="35" spans="1:9" ht="12.75" customHeight="1">
      <c r="A35" s="499"/>
      <c r="B35" s="499"/>
      <c r="C35" s="504"/>
      <c r="D35" s="504"/>
      <c r="E35" s="504"/>
      <c r="F35" s="504"/>
      <c r="G35" s="504"/>
      <c r="H35" s="504"/>
      <c r="I35" s="501"/>
    </row>
    <row r="36" spans="1:9">
      <c r="A36" s="499"/>
      <c r="B36" s="488" t="s">
        <v>1844</v>
      </c>
      <c r="C36" s="504">
        <v>530025.375</v>
      </c>
      <c r="D36" s="504">
        <v>189697.41699999999</v>
      </c>
      <c r="E36" s="504">
        <v>27078.879000000001</v>
      </c>
      <c r="F36" s="504">
        <v>29086.626</v>
      </c>
      <c r="G36" s="504">
        <v>10500.462</v>
      </c>
      <c r="H36" s="504">
        <v>786388.76100000006</v>
      </c>
      <c r="I36" s="501">
        <v>100</v>
      </c>
    </row>
    <row r="37" spans="1:9" ht="13.5" thickBot="1">
      <c r="A37" s="505"/>
      <c r="B37" s="506" t="s">
        <v>1810</v>
      </c>
      <c r="C37" s="507">
        <f>C36/H36*100</f>
        <v>67.399917354617429</v>
      </c>
      <c r="D37" s="508">
        <f>D36/H36*100</f>
        <v>24.122600221139219</v>
      </c>
      <c r="E37" s="507">
        <f>E36/H36*100</f>
        <v>3.4434468475319417</v>
      </c>
      <c r="F37" s="507">
        <f>F36/H36*100</f>
        <v>3.6987591179472616</v>
      </c>
      <c r="G37" s="507">
        <f>G36/H36*100</f>
        <v>1.3352762044370061</v>
      </c>
      <c r="H37" s="507">
        <f>H36/H36*100</f>
        <v>100</v>
      </c>
      <c r="I37" s="509"/>
    </row>
    <row r="38" spans="1:9" ht="12.75" customHeight="1">
      <c r="A38" s="4" t="s">
        <v>179</v>
      </c>
      <c r="B38" s="4"/>
      <c r="C38" s="4"/>
      <c r="D38" s="4"/>
      <c r="E38" s="4"/>
      <c r="F38" s="4"/>
      <c r="G38" s="4"/>
      <c r="H38" s="4"/>
      <c r="I38" s="4"/>
    </row>
    <row r="39" spans="1:9" ht="12.75" customHeight="1">
      <c r="A39" s="17" t="s">
        <v>539</v>
      </c>
      <c r="B39" s="448"/>
      <c r="C39" s="4"/>
      <c r="D39" s="4"/>
      <c r="E39" s="4"/>
      <c r="F39" s="4"/>
      <c r="G39" s="4"/>
      <c r="H39" s="4"/>
      <c r="I39" s="4"/>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workbookViewId="0">
      <selection activeCell="F49" sqref="F49"/>
    </sheetView>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1880</v>
      </c>
      <c r="B1" s="4"/>
      <c r="C1" s="4"/>
      <c r="D1" s="4"/>
      <c r="E1" s="4"/>
      <c r="F1" s="4"/>
      <c r="G1" s="4"/>
      <c r="H1" s="4"/>
      <c r="I1" s="4"/>
    </row>
    <row r="2" spans="1:12" ht="12.75" customHeight="1">
      <c r="A2" s="1" t="s">
        <v>1881</v>
      </c>
      <c r="B2" s="4"/>
      <c r="C2" s="4"/>
      <c r="D2" s="4"/>
      <c r="E2" s="4"/>
      <c r="F2" s="4"/>
      <c r="G2" s="4"/>
      <c r="H2" s="4"/>
      <c r="I2" s="4"/>
    </row>
    <row r="3" spans="1:12" ht="12.75" customHeight="1">
      <c r="A3" s="7" t="s">
        <v>1882</v>
      </c>
      <c r="B3" s="4"/>
      <c r="C3" s="4"/>
      <c r="D3" s="4"/>
      <c r="E3" s="4"/>
      <c r="F3" s="4"/>
      <c r="G3" s="4"/>
      <c r="H3" s="4"/>
      <c r="I3" s="4"/>
    </row>
    <row r="4" spans="1:12" ht="13.5" customHeight="1" thickBot="1">
      <c r="A4" s="481"/>
      <c r="B4" s="482"/>
      <c r="C4" s="483"/>
      <c r="D4" s="483"/>
      <c r="E4" s="483"/>
      <c r="F4" s="483"/>
      <c r="G4" s="483"/>
      <c r="H4" s="484"/>
      <c r="I4" s="4"/>
    </row>
    <row r="5" spans="1:12" ht="12.75" customHeight="1">
      <c r="A5" s="470" t="s">
        <v>1805</v>
      </c>
      <c r="B5" s="485"/>
      <c r="C5" s="437" t="s">
        <v>1806</v>
      </c>
      <c r="D5" s="437" t="s">
        <v>1807</v>
      </c>
      <c r="E5" s="437" t="s">
        <v>1808</v>
      </c>
      <c r="F5" s="437" t="s">
        <v>1093</v>
      </c>
      <c r="G5" s="437" t="s">
        <v>1809</v>
      </c>
      <c r="H5" s="471" t="s">
        <v>178</v>
      </c>
      <c r="I5" s="437" t="s">
        <v>1810</v>
      </c>
    </row>
    <row r="6" spans="1:12" ht="13.5" customHeight="1" thickBot="1">
      <c r="A6" s="495"/>
      <c r="B6" s="496"/>
      <c r="C6" s="39" t="s">
        <v>1811</v>
      </c>
      <c r="D6" s="39" t="s">
        <v>1812</v>
      </c>
      <c r="E6" s="39" t="s">
        <v>1813</v>
      </c>
      <c r="F6" s="39"/>
      <c r="G6" s="39" t="s">
        <v>1814</v>
      </c>
      <c r="H6" s="39"/>
      <c r="I6" s="39"/>
    </row>
    <row r="7" spans="1:12" ht="12.75" customHeight="1">
      <c r="A7" s="497"/>
      <c r="B7" s="498"/>
      <c r="C7" s="486"/>
      <c r="D7" s="486"/>
      <c r="E7" s="486"/>
      <c r="F7" s="486"/>
      <c r="G7" s="486"/>
      <c r="H7" s="487"/>
      <c r="I7" s="486"/>
    </row>
    <row r="8" spans="1:12">
      <c r="A8" s="499">
        <v>1</v>
      </c>
      <c r="B8" s="499" t="s">
        <v>401</v>
      </c>
      <c r="C8" s="201">
        <v>1315</v>
      </c>
      <c r="D8" s="201">
        <v>9543</v>
      </c>
      <c r="E8" s="201">
        <v>19</v>
      </c>
      <c r="F8" s="201">
        <v>-11</v>
      </c>
      <c r="G8" s="201">
        <v>323</v>
      </c>
      <c r="H8" s="500">
        <f t="shared" ref="H8:H34" si="0">SUM(C8:G8)</f>
        <v>11189</v>
      </c>
      <c r="I8" s="501">
        <f>H8/H36*100</f>
        <v>1.3960455336477069</v>
      </c>
    </row>
    <row r="9" spans="1:12">
      <c r="A9" s="499">
        <v>2</v>
      </c>
      <c r="B9" s="499" t="s">
        <v>402</v>
      </c>
      <c r="C9" s="201">
        <v>10670</v>
      </c>
      <c r="D9" s="201">
        <v>2126</v>
      </c>
      <c r="E9" s="201">
        <v>15</v>
      </c>
      <c r="F9" s="201">
        <v>19</v>
      </c>
      <c r="G9" s="201">
        <v>64</v>
      </c>
      <c r="H9" s="500">
        <f t="shared" si="0"/>
        <v>12894</v>
      </c>
      <c r="I9" s="501">
        <f>H9/H36*100</f>
        <v>1.6087774699127297</v>
      </c>
    </row>
    <row r="10" spans="1:12">
      <c r="A10" s="499">
        <v>3</v>
      </c>
      <c r="B10" s="499" t="s">
        <v>207</v>
      </c>
      <c r="C10" s="201">
        <v>127</v>
      </c>
      <c r="D10" s="201">
        <v>9175</v>
      </c>
      <c r="E10" s="201">
        <v>57</v>
      </c>
      <c r="F10" s="201">
        <v>3</v>
      </c>
      <c r="G10" s="201">
        <v>548</v>
      </c>
      <c r="H10" s="500">
        <f t="shared" si="0"/>
        <v>9910</v>
      </c>
      <c r="I10" s="501">
        <f>H10/H36*100</f>
        <v>1.2364653890829185</v>
      </c>
    </row>
    <row r="11" spans="1:12">
      <c r="A11" s="499">
        <v>4</v>
      </c>
      <c r="B11" s="499" t="s">
        <v>1267</v>
      </c>
      <c r="C11" s="201">
        <v>232</v>
      </c>
      <c r="D11" s="201">
        <v>35171</v>
      </c>
      <c r="E11" s="201">
        <v>208</v>
      </c>
      <c r="F11" s="201">
        <v>54</v>
      </c>
      <c r="G11" s="201">
        <v>1499</v>
      </c>
      <c r="H11" s="500">
        <f t="shared" si="0"/>
        <v>37164</v>
      </c>
      <c r="I11" s="501">
        <f>H11/H36*100</f>
        <v>4.6369323632570723</v>
      </c>
    </row>
    <row r="12" spans="1:12">
      <c r="A12" s="499">
        <v>5</v>
      </c>
      <c r="B12" s="499" t="s">
        <v>1183</v>
      </c>
      <c r="C12" s="201">
        <v>1559</v>
      </c>
      <c r="D12" s="201">
        <v>328</v>
      </c>
      <c r="E12" s="201">
        <v>1</v>
      </c>
      <c r="F12" s="201">
        <v>0</v>
      </c>
      <c r="G12" s="201">
        <v>4</v>
      </c>
      <c r="H12" s="500">
        <f t="shared" si="0"/>
        <v>1892</v>
      </c>
      <c r="I12" s="501">
        <f>H12/H36*100</f>
        <v>0.23606382604892856</v>
      </c>
    </row>
    <row r="13" spans="1:12">
      <c r="A13" s="499">
        <v>6</v>
      </c>
      <c r="B13" s="499" t="s">
        <v>1292</v>
      </c>
      <c r="C13" s="201">
        <v>1077</v>
      </c>
      <c r="D13" s="201">
        <v>36349</v>
      </c>
      <c r="E13" s="201">
        <v>5467</v>
      </c>
      <c r="F13" s="201">
        <v>63</v>
      </c>
      <c r="G13" s="201">
        <v>1199</v>
      </c>
      <c r="H13" s="500">
        <f t="shared" si="0"/>
        <v>44155</v>
      </c>
      <c r="I13" s="501">
        <f>H13/H36*100</f>
        <v>5.5091956866757084</v>
      </c>
      <c r="K13" s="61"/>
      <c r="L13" s="61"/>
    </row>
    <row r="14" spans="1:12">
      <c r="A14" s="499">
        <v>7</v>
      </c>
      <c r="B14" s="499" t="s">
        <v>1269</v>
      </c>
      <c r="C14" s="201">
        <v>26962</v>
      </c>
      <c r="D14" s="201">
        <v>2207</v>
      </c>
      <c r="E14" s="201">
        <v>2</v>
      </c>
      <c r="F14" s="201">
        <v>1</v>
      </c>
      <c r="G14" s="201">
        <v>25</v>
      </c>
      <c r="H14" s="500">
        <f t="shared" si="0"/>
        <v>29197</v>
      </c>
      <c r="I14" s="501">
        <f>H14/H36*100</f>
        <v>3.6428940428914203</v>
      </c>
    </row>
    <row r="15" spans="1:12" ht="12.75" customHeight="1">
      <c r="A15" s="499">
        <v>8</v>
      </c>
      <c r="B15" s="499" t="s">
        <v>1231</v>
      </c>
      <c r="C15" s="201">
        <v>3243</v>
      </c>
      <c r="D15" s="201">
        <v>4236</v>
      </c>
      <c r="E15" s="201">
        <v>11</v>
      </c>
      <c r="F15" s="201">
        <v>4</v>
      </c>
      <c r="G15" s="201">
        <v>78</v>
      </c>
      <c r="H15" s="500">
        <f t="shared" si="0"/>
        <v>7572</v>
      </c>
      <c r="I15" s="501">
        <f>H15/H36*100</f>
        <v>0.94475438205205431</v>
      </c>
    </row>
    <row r="16" spans="1:12">
      <c r="A16" s="499">
        <v>9</v>
      </c>
      <c r="B16" s="499" t="s">
        <v>1271</v>
      </c>
      <c r="C16" s="201">
        <v>49768</v>
      </c>
      <c r="D16" s="201">
        <v>6655</v>
      </c>
      <c r="E16" s="201">
        <v>26</v>
      </c>
      <c r="F16" s="201">
        <v>-3</v>
      </c>
      <c r="G16" s="201">
        <v>93</v>
      </c>
      <c r="H16" s="500">
        <f t="shared" si="0"/>
        <v>56539</v>
      </c>
      <c r="I16" s="501">
        <f>H16/H36*100</f>
        <v>7.054340729905058</v>
      </c>
    </row>
    <row r="17" spans="1:9">
      <c r="A17" s="499" t="s">
        <v>1858</v>
      </c>
      <c r="B17" s="499" t="s">
        <v>1272</v>
      </c>
      <c r="C17" s="201">
        <v>87890</v>
      </c>
      <c r="D17" s="201">
        <v>7116</v>
      </c>
      <c r="E17" s="201">
        <v>11</v>
      </c>
      <c r="F17" s="201">
        <v>19</v>
      </c>
      <c r="G17" s="201">
        <v>764</v>
      </c>
      <c r="H17" s="500">
        <f t="shared" si="0"/>
        <v>95800</v>
      </c>
      <c r="I17" s="501">
        <f>H17/H36*100</f>
        <v>11.952914659348496</v>
      </c>
    </row>
    <row r="18" spans="1:9">
      <c r="A18" s="499" t="s">
        <v>1859</v>
      </c>
      <c r="B18" s="499" t="s">
        <v>1273</v>
      </c>
      <c r="C18" s="201">
        <v>41052</v>
      </c>
      <c r="D18" s="201">
        <v>508</v>
      </c>
      <c r="E18" s="201">
        <v>9</v>
      </c>
      <c r="F18" s="201">
        <v>0</v>
      </c>
      <c r="G18" s="201">
        <v>20</v>
      </c>
      <c r="H18" s="500">
        <f t="shared" si="0"/>
        <v>41589</v>
      </c>
      <c r="I18" s="501">
        <f>H18/H36*100</f>
        <v>5.1890372418334509</v>
      </c>
    </row>
    <row r="19" spans="1:9">
      <c r="A19" s="499" t="s">
        <v>1860</v>
      </c>
      <c r="B19" s="499" t="s">
        <v>593</v>
      </c>
      <c r="C19" s="201">
        <v>71994</v>
      </c>
      <c r="D19" s="491" t="s">
        <v>1378</v>
      </c>
      <c r="E19" s="491" t="s">
        <v>1378</v>
      </c>
      <c r="F19" s="201">
        <v>0</v>
      </c>
      <c r="G19" s="491" t="s">
        <v>1378</v>
      </c>
      <c r="H19" s="500">
        <f t="shared" si="0"/>
        <v>71994</v>
      </c>
      <c r="I19" s="501">
        <f>H19/H36*100</f>
        <v>8.98265279733962</v>
      </c>
    </row>
    <row r="20" spans="1:9">
      <c r="A20" s="499" t="s">
        <v>1861</v>
      </c>
      <c r="B20" s="499" t="s">
        <v>1214</v>
      </c>
      <c r="C20" s="201">
        <v>4640</v>
      </c>
      <c r="D20" s="201">
        <v>348</v>
      </c>
      <c r="E20" s="201">
        <v>2</v>
      </c>
      <c r="F20" s="201">
        <v>6</v>
      </c>
      <c r="G20" s="201">
        <v>-28</v>
      </c>
      <c r="H20" s="500">
        <f t="shared" si="0"/>
        <v>4968</v>
      </c>
      <c r="I20" s="501">
        <f>H20/H36*100</f>
        <v>0.61985469757456502</v>
      </c>
    </row>
    <row r="21" spans="1:9">
      <c r="A21" s="499" t="s">
        <v>1862</v>
      </c>
      <c r="B21" s="499" t="s">
        <v>595</v>
      </c>
      <c r="C21" s="201">
        <v>52193</v>
      </c>
      <c r="D21" s="201">
        <v>10904</v>
      </c>
      <c r="E21" s="201">
        <v>54</v>
      </c>
      <c r="F21" s="201">
        <v>-5</v>
      </c>
      <c r="G21" s="201">
        <v>139</v>
      </c>
      <c r="H21" s="500">
        <f t="shared" si="0"/>
        <v>63285</v>
      </c>
      <c r="I21" s="501">
        <f>H21/H36*100</f>
        <v>7.8960355346228557</v>
      </c>
    </row>
    <row r="22" spans="1:9">
      <c r="A22" s="499" t="s">
        <v>1863</v>
      </c>
      <c r="B22" s="499" t="s">
        <v>596</v>
      </c>
      <c r="C22" s="201">
        <v>16340</v>
      </c>
      <c r="D22" s="201">
        <v>698</v>
      </c>
      <c r="E22" s="201">
        <v>0</v>
      </c>
      <c r="F22" s="201">
        <v>4749</v>
      </c>
      <c r="G22" s="201">
        <v>26</v>
      </c>
      <c r="H22" s="500">
        <f t="shared" si="0"/>
        <v>21813</v>
      </c>
      <c r="I22" s="501">
        <f>H22/H36*100</f>
        <v>2.7215963200873565</v>
      </c>
    </row>
    <row r="23" spans="1:9">
      <c r="A23" s="499" t="s">
        <v>1864</v>
      </c>
      <c r="B23" s="499" t="s">
        <v>73</v>
      </c>
      <c r="C23" s="201">
        <v>14875</v>
      </c>
      <c r="D23" s="201">
        <v>36469</v>
      </c>
      <c r="E23" s="201">
        <v>984</v>
      </c>
      <c r="F23" s="201">
        <v>-165</v>
      </c>
      <c r="G23" s="201">
        <v>1523</v>
      </c>
      <c r="H23" s="500">
        <f t="shared" si="0"/>
        <v>53686</v>
      </c>
      <c r="I23" s="501">
        <f>H23/H36*100</f>
        <v>6.6983734488703899</v>
      </c>
    </row>
    <row r="24" spans="1:9">
      <c r="A24" s="499" t="s">
        <v>1865</v>
      </c>
      <c r="B24" s="499" t="s">
        <v>74</v>
      </c>
      <c r="C24" s="201">
        <v>9801</v>
      </c>
      <c r="D24" s="201">
        <v>2023</v>
      </c>
      <c r="E24" s="201">
        <v>21</v>
      </c>
      <c r="F24" s="201">
        <v>1</v>
      </c>
      <c r="G24" s="201">
        <v>106</v>
      </c>
      <c r="H24" s="500">
        <f t="shared" si="0"/>
        <v>11952</v>
      </c>
      <c r="I24" s="501">
        <f>H24/H36*100</f>
        <v>1.4912446347446056</v>
      </c>
    </row>
    <row r="25" spans="1:9" ht="22.5">
      <c r="A25" s="197" t="s">
        <v>1866</v>
      </c>
      <c r="B25" s="499" t="s">
        <v>1203</v>
      </c>
      <c r="C25" s="502">
        <v>214</v>
      </c>
      <c r="D25" s="502">
        <v>815</v>
      </c>
      <c r="E25" s="502">
        <v>26</v>
      </c>
      <c r="F25" s="502">
        <v>0</v>
      </c>
      <c r="G25" s="502">
        <v>54</v>
      </c>
      <c r="H25" s="493">
        <f t="shared" si="0"/>
        <v>1109</v>
      </c>
      <c r="I25" s="503">
        <f>H25/H36*100</f>
        <v>0.13836933567032861</v>
      </c>
    </row>
    <row r="26" spans="1:9">
      <c r="A26" s="499" t="s">
        <v>1867</v>
      </c>
      <c r="B26" s="499" t="s">
        <v>1215</v>
      </c>
      <c r="C26" s="201">
        <v>2998</v>
      </c>
      <c r="D26" s="201">
        <v>194</v>
      </c>
      <c r="E26" s="201">
        <v>1</v>
      </c>
      <c r="F26" s="201">
        <v>-1</v>
      </c>
      <c r="G26" s="201">
        <v>31</v>
      </c>
      <c r="H26" s="500">
        <f t="shared" si="0"/>
        <v>3223</v>
      </c>
      <c r="I26" s="501">
        <f>H26/H36*100</f>
        <v>0.40213198274613987</v>
      </c>
    </row>
    <row r="27" spans="1:9">
      <c r="A27" s="499" t="s">
        <v>1868</v>
      </c>
      <c r="B27" s="499" t="s">
        <v>1869</v>
      </c>
      <c r="C27" s="201">
        <v>1089</v>
      </c>
      <c r="D27" s="201">
        <v>3643</v>
      </c>
      <c r="E27" s="201">
        <v>264</v>
      </c>
      <c r="F27" s="201">
        <v>2</v>
      </c>
      <c r="G27" s="201">
        <v>71</v>
      </c>
      <c r="H27" s="500">
        <f t="shared" si="0"/>
        <v>5069</v>
      </c>
      <c r="I27" s="501">
        <f>H27/H36*100</f>
        <v>0.63245641344715575</v>
      </c>
    </row>
    <row r="28" spans="1:9" ht="12.75" customHeight="1">
      <c r="A28" s="499" t="s">
        <v>1870</v>
      </c>
      <c r="B28" s="499" t="s">
        <v>77</v>
      </c>
      <c r="C28" s="201">
        <v>2006</v>
      </c>
      <c r="D28" s="201">
        <v>876</v>
      </c>
      <c r="E28" s="201">
        <v>25</v>
      </c>
      <c r="F28" s="201">
        <v>0</v>
      </c>
      <c r="G28" s="201">
        <v>11</v>
      </c>
      <c r="H28" s="500">
        <f t="shared" si="0"/>
        <v>2918</v>
      </c>
      <c r="I28" s="501">
        <f>H28/H36*100</f>
        <v>0.36407729620019735</v>
      </c>
    </row>
    <row r="29" spans="1:9">
      <c r="A29" s="499" t="s">
        <v>1871</v>
      </c>
      <c r="B29" s="499" t="s">
        <v>78</v>
      </c>
      <c r="C29" s="201">
        <v>1707</v>
      </c>
      <c r="D29" s="201">
        <v>18351</v>
      </c>
      <c r="E29" s="201">
        <v>16845</v>
      </c>
      <c r="F29" s="201">
        <v>274</v>
      </c>
      <c r="G29" s="201">
        <v>1533</v>
      </c>
      <c r="H29" s="500">
        <f t="shared" si="0"/>
        <v>38710</v>
      </c>
      <c r="I29" s="501">
        <f>H29/H36*100</f>
        <v>4.8298259547325708</v>
      </c>
    </row>
    <row r="30" spans="1:9">
      <c r="A30" s="499" t="s">
        <v>1872</v>
      </c>
      <c r="B30" s="499" t="s">
        <v>1318</v>
      </c>
      <c r="C30" s="201">
        <v>12464</v>
      </c>
      <c r="D30" s="201">
        <v>3766</v>
      </c>
      <c r="E30" s="201">
        <v>19</v>
      </c>
      <c r="F30" s="201">
        <v>8</v>
      </c>
      <c r="G30" s="201">
        <v>114</v>
      </c>
      <c r="H30" s="500">
        <f t="shared" si="0"/>
        <v>16371</v>
      </c>
      <c r="I30" s="501">
        <f>H30/H36*100</f>
        <v>2.0426008965364741</v>
      </c>
    </row>
    <row r="31" spans="1:9" ht="12.75" customHeight="1">
      <c r="A31" s="499" t="s">
        <v>1873</v>
      </c>
      <c r="B31" s="499" t="s">
        <v>1087</v>
      </c>
      <c r="C31" s="201">
        <v>3382</v>
      </c>
      <c r="D31" s="201">
        <v>1947</v>
      </c>
      <c r="E31" s="201">
        <v>11</v>
      </c>
      <c r="F31" s="201">
        <v>-1</v>
      </c>
      <c r="G31" s="201">
        <v>30</v>
      </c>
      <c r="H31" s="500">
        <f t="shared" si="0"/>
        <v>5369</v>
      </c>
      <c r="I31" s="501">
        <f>H31/H36*100</f>
        <v>0.66988725267267302</v>
      </c>
    </row>
    <row r="32" spans="1:9">
      <c r="A32" s="499" t="s">
        <v>1874</v>
      </c>
      <c r="B32" s="499" t="s">
        <v>1088</v>
      </c>
      <c r="C32" s="201">
        <v>88022</v>
      </c>
      <c r="D32" s="201">
        <v>1</v>
      </c>
      <c r="E32" s="491" t="s">
        <v>1378</v>
      </c>
      <c r="F32" s="491" t="s">
        <v>1378</v>
      </c>
      <c r="G32" s="491" t="s">
        <v>1378</v>
      </c>
      <c r="H32" s="500">
        <f t="shared" si="0"/>
        <v>88023</v>
      </c>
      <c r="I32" s="501">
        <f>H32/H36*100</f>
        <v>10.982582537159006</v>
      </c>
    </row>
    <row r="33" spans="1:11">
      <c r="A33" s="499" t="s">
        <v>1875</v>
      </c>
      <c r="B33" s="499" t="s">
        <v>422</v>
      </c>
      <c r="C33" s="201">
        <v>0</v>
      </c>
      <c r="D33" s="201">
        <v>0</v>
      </c>
      <c r="E33" s="491" t="s">
        <v>1378</v>
      </c>
      <c r="F33" s="201">
        <v>34374</v>
      </c>
      <c r="G33" s="201">
        <v>117</v>
      </c>
      <c r="H33" s="500">
        <f t="shared" si="0"/>
        <v>34491</v>
      </c>
      <c r="I33" s="501">
        <f>H33/H36*100</f>
        <v>4.3034235857577139</v>
      </c>
    </row>
    <row r="34" spans="1:11">
      <c r="A34" s="499" t="s">
        <v>1876</v>
      </c>
      <c r="B34" s="499" t="s">
        <v>1750</v>
      </c>
      <c r="C34" s="201">
        <v>30596</v>
      </c>
      <c r="D34" s="491" t="s">
        <v>1378</v>
      </c>
      <c r="E34" s="491" t="s">
        <v>1378</v>
      </c>
      <c r="F34" s="201">
        <v>0</v>
      </c>
      <c r="G34" s="491" t="s">
        <v>1378</v>
      </c>
      <c r="H34" s="500">
        <f t="shared" si="0"/>
        <v>30596</v>
      </c>
      <c r="I34" s="501">
        <f>H34/H36*100</f>
        <v>3.817446523146415</v>
      </c>
    </row>
    <row r="35" spans="1:11" ht="12.75" customHeight="1">
      <c r="A35" s="499"/>
      <c r="B35" s="499"/>
      <c r="C35" s="504"/>
      <c r="D35" s="504"/>
      <c r="E35" s="504"/>
      <c r="F35" s="504"/>
      <c r="G35" s="504"/>
      <c r="H35" s="504"/>
      <c r="I35" s="501"/>
      <c r="K35" s="510"/>
    </row>
    <row r="36" spans="1:11">
      <c r="A36" s="499"/>
      <c r="B36" s="488" t="s">
        <v>1844</v>
      </c>
      <c r="C36" s="504">
        <v>536217.27</v>
      </c>
      <c r="D36" s="504">
        <v>193448.14499999999</v>
      </c>
      <c r="E36" s="504">
        <v>24077.937000000002</v>
      </c>
      <c r="F36" s="504">
        <v>39390.453999999998</v>
      </c>
      <c r="G36" s="504">
        <v>8344.3469999999998</v>
      </c>
      <c r="H36" s="504">
        <v>801478.15599999996</v>
      </c>
      <c r="I36" s="501">
        <v>100</v>
      </c>
      <c r="J36" s="61"/>
      <c r="K36" s="510"/>
    </row>
    <row r="37" spans="1:11" ht="13.5" thickBot="1">
      <c r="A37" s="505"/>
      <c r="B37" s="506" t="s">
        <v>1810</v>
      </c>
      <c r="C37" s="507">
        <f>C36/H36*100</f>
        <v>66.903541411052515</v>
      </c>
      <c r="D37" s="508">
        <f>D36/H36*100</f>
        <v>24.136421379898469</v>
      </c>
      <c r="E37" s="507">
        <f>E36/H36*100</f>
        <v>3.004191295763774</v>
      </c>
      <c r="F37" s="507">
        <f>F36/H36*100</f>
        <v>4.9147258356471042</v>
      </c>
      <c r="G37" s="507">
        <f>G36/H36*100</f>
        <v>1.0411197033297561</v>
      </c>
      <c r="H37" s="507">
        <f>H36/H36*100</f>
        <v>100</v>
      </c>
      <c r="I37" s="509"/>
    </row>
    <row r="38" spans="1:11" ht="12.75" customHeight="1">
      <c r="A38" s="4" t="s">
        <v>179</v>
      </c>
      <c r="B38" s="4"/>
      <c r="C38" s="4"/>
      <c r="D38" s="4"/>
      <c r="E38" s="4"/>
      <c r="F38" s="4"/>
      <c r="G38" s="4"/>
      <c r="H38" s="4"/>
      <c r="I38" s="4"/>
    </row>
    <row r="39" spans="1:11" ht="12.75" customHeight="1">
      <c r="A39" s="17" t="s">
        <v>539</v>
      </c>
      <c r="B39" s="448"/>
      <c r="C39" s="4"/>
      <c r="D39" s="4"/>
      <c r="E39" s="4"/>
      <c r="F39" s="4"/>
      <c r="G39" s="4"/>
      <c r="H39" s="4"/>
      <c r="I39" s="4"/>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F49" sqref="F49"/>
    </sheetView>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1883</v>
      </c>
      <c r="B1" s="4"/>
      <c r="C1" s="4"/>
      <c r="D1" s="4"/>
      <c r="E1" s="4"/>
      <c r="F1" s="4"/>
      <c r="G1" s="4"/>
      <c r="H1" s="4"/>
      <c r="I1" s="4"/>
    </row>
    <row r="2" spans="1:21" ht="12.75" customHeight="1">
      <c r="A2" s="1" t="s">
        <v>1884</v>
      </c>
      <c r="B2" s="4"/>
      <c r="C2" s="4"/>
      <c r="D2" s="4"/>
      <c r="E2" s="4"/>
      <c r="F2" s="4"/>
      <c r="G2" s="4"/>
      <c r="H2" s="4"/>
      <c r="I2" s="4"/>
    </row>
    <row r="3" spans="1:21" ht="12.75" customHeight="1">
      <c r="A3" s="7" t="s">
        <v>1885</v>
      </c>
      <c r="B3" s="4"/>
      <c r="C3" s="4"/>
      <c r="D3" s="4"/>
      <c r="E3" s="4"/>
      <c r="F3" s="4"/>
      <c r="G3" s="4"/>
      <c r="H3" s="4"/>
      <c r="I3" s="4"/>
    </row>
    <row r="4" spans="1:21" ht="13.5" thickBot="1">
      <c r="A4" s="481"/>
      <c r="B4" s="482"/>
      <c r="C4" s="483"/>
      <c r="D4" s="483"/>
      <c r="E4" s="483"/>
      <c r="F4" s="483"/>
      <c r="G4" s="483"/>
      <c r="H4" s="484"/>
      <c r="I4" s="4"/>
    </row>
    <row r="5" spans="1:21" ht="12.75" customHeight="1">
      <c r="A5" s="470" t="s">
        <v>1805</v>
      </c>
      <c r="B5" s="485"/>
      <c r="C5" s="511" t="s">
        <v>1806</v>
      </c>
      <c r="D5" s="511" t="s">
        <v>1807</v>
      </c>
      <c r="E5" s="511" t="s">
        <v>1808</v>
      </c>
      <c r="F5" s="511" t="s">
        <v>1093</v>
      </c>
      <c r="G5" s="511" t="s">
        <v>1809</v>
      </c>
      <c r="H5" s="512" t="s">
        <v>178</v>
      </c>
      <c r="I5" s="513" t="s">
        <v>1810</v>
      </c>
    </row>
    <row r="6" spans="1:21" ht="13.5" thickBot="1">
      <c r="A6" s="495"/>
      <c r="B6" s="496"/>
      <c r="C6" s="514" t="s">
        <v>1811</v>
      </c>
      <c r="D6" s="514" t="s">
        <v>1812</v>
      </c>
      <c r="E6" s="514" t="s">
        <v>1813</v>
      </c>
      <c r="F6" s="514"/>
      <c r="G6" s="514" t="s">
        <v>1814</v>
      </c>
      <c r="H6" s="515"/>
      <c r="I6" s="516"/>
    </row>
    <row r="7" spans="1:21" ht="12.75" customHeight="1">
      <c r="A7" s="497"/>
      <c r="B7" s="498"/>
      <c r="C7" s="486"/>
      <c r="D7" s="486"/>
      <c r="E7" s="486"/>
      <c r="F7" s="486"/>
      <c r="G7" s="486"/>
      <c r="H7" s="487"/>
      <c r="I7" s="486"/>
    </row>
    <row r="8" spans="1:21">
      <c r="A8" s="499">
        <v>1</v>
      </c>
      <c r="B8" s="499" t="s">
        <v>401</v>
      </c>
      <c r="C8" s="517">
        <v>1288.396</v>
      </c>
      <c r="D8" s="517">
        <v>9890.4650000000001</v>
      </c>
      <c r="E8" s="490">
        <v>15.19</v>
      </c>
      <c r="F8" s="490">
        <v>0.20699999999999999</v>
      </c>
      <c r="G8" s="517">
        <v>334.62600000000003</v>
      </c>
      <c r="H8" s="518">
        <f t="shared" ref="H8:H34" si="0">SUM(C8:G8)</f>
        <v>11528.884000000002</v>
      </c>
      <c r="I8" s="501">
        <f>H8/H36*100</f>
        <v>1.4214105247950766</v>
      </c>
      <c r="S8" s="490"/>
      <c r="U8" s="61"/>
    </row>
    <row r="9" spans="1:21">
      <c r="A9" s="499">
        <v>2</v>
      </c>
      <c r="B9" s="499" t="s">
        <v>402</v>
      </c>
      <c r="C9" s="517">
        <v>11194.263999999999</v>
      </c>
      <c r="D9" s="517">
        <v>2158.1360000000004</v>
      </c>
      <c r="E9" s="490">
        <v>13.199</v>
      </c>
      <c r="F9" s="490">
        <v>89.28</v>
      </c>
      <c r="G9" s="517">
        <v>55.894000000000005</v>
      </c>
      <c r="H9" s="518">
        <f t="shared" si="0"/>
        <v>13510.773000000001</v>
      </c>
      <c r="I9" s="501">
        <f>H9/H36*100</f>
        <v>1.6657600978826004</v>
      </c>
      <c r="R9" s="61"/>
      <c r="S9" s="490"/>
      <c r="U9" s="61"/>
    </row>
    <row r="10" spans="1:21">
      <c r="A10" s="499">
        <v>3</v>
      </c>
      <c r="B10" s="499" t="s">
        <v>207</v>
      </c>
      <c r="C10" s="517">
        <v>88.543999999999997</v>
      </c>
      <c r="D10" s="517">
        <v>9636.8130000000001</v>
      </c>
      <c r="E10" s="490">
        <v>19.456</v>
      </c>
      <c r="F10" s="490">
        <v>2.4830000000000001</v>
      </c>
      <c r="G10" s="517">
        <v>525.14300000000003</v>
      </c>
      <c r="H10" s="518">
        <f t="shared" si="0"/>
        <v>10272.439</v>
      </c>
      <c r="I10" s="501">
        <f>H10/H36*100</f>
        <v>1.2665018496079419</v>
      </c>
      <c r="O10" s="490"/>
      <c r="P10" s="517"/>
      <c r="Q10" s="61"/>
      <c r="S10" s="490"/>
      <c r="U10" s="61"/>
    </row>
    <row r="11" spans="1:21">
      <c r="A11" s="499">
        <v>4</v>
      </c>
      <c r="B11" s="499" t="s">
        <v>1267</v>
      </c>
      <c r="C11" s="517">
        <v>220.345</v>
      </c>
      <c r="D11" s="517">
        <v>36203.091</v>
      </c>
      <c r="E11" s="490">
        <v>243.12799999999999</v>
      </c>
      <c r="F11" s="490">
        <v>48.671999999999997</v>
      </c>
      <c r="G11" s="517">
        <v>1497.88</v>
      </c>
      <c r="H11" s="518">
        <f t="shared" si="0"/>
        <v>38213.115999999995</v>
      </c>
      <c r="I11" s="501">
        <f>H11/H36*100</f>
        <v>4.7113428557018286</v>
      </c>
      <c r="O11" s="490"/>
      <c r="P11" s="517"/>
      <c r="Q11" s="61"/>
      <c r="S11" s="490"/>
      <c r="U11" s="61"/>
    </row>
    <row r="12" spans="1:21">
      <c r="A12" s="499">
        <v>5</v>
      </c>
      <c r="B12" s="499" t="s">
        <v>1183</v>
      </c>
      <c r="C12" s="517">
        <v>1208.5820000000001</v>
      </c>
      <c r="D12" s="517">
        <v>334.887</v>
      </c>
      <c r="E12" s="490">
        <v>1.0049999999999999</v>
      </c>
      <c r="F12" s="490">
        <v>0.16200000000000001</v>
      </c>
      <c r="G12" s="517">
        <v>5.2839999999999989</v>
      </c>
      <c r="H12" s="518">
        <f t="shared" si="0"/>
        <v>1549.9200000000003</v>
      </c>
      <c r="I12" s="501">
        <f>H12/H36*100</f>
        <v>0.19109157491656478</v>
      </c>
      <c r="O12" s="490"/>
      <c r="P12" s="517"/>
      <c r="Q12" s="61"/>
      <c r="S12" s="490"/>
      <c r="U12" s="61"/>
    </row>
    <row r="13" spans="1:21">
      <c r="A13" s="499">
        <v>6</v>
      </c>
      <c r="B13" s="499" t="s">
        <v>1292</v>
      </c>
      <c r="C13" s="517">
        <v>1112.877</v>
      </c>
      <c r="D13" s="517">
        <v>36882.498999999996</v>
      </c>
      <c r="E13" s="517">
        <v>6053.7550000000001</v>
      </c>
      <c r="F13" s="490">
        <v>30.971</v>
      </c>
      <c r="G13" s="517">
        <v>1381.6279999999999</v>
      </c>
      <c r="H13" s="518">
        <f t="shared" si="0"/>
        <v>45461.729999999989</v>
      </c>
      <c r="I13" s="501">
        <f>H13/H36*100</f>
        <v>5.6050335398805338</v>
      </c>
      <c r="K13" s="61"/>
      <c r="L13" s="61"/>
      <c r="O13" s="490"/>
      <c r="P13" s="517"/>
      <c r="Q13" s="61"/>
      <c r="S13" s="490"/>
      <c r="U13" s="61"/>
    </row>
    <row r="14" spans="1:21">
      <c r="A14" s="499">
        <v>7</v>
      </c>
      <c r="B14" s="499" t="s">
        <v>1269</v>
      </c>
      <c r="C14" s="517">
        <v>27874.880000000001</v>
      </c>
      <c r="D14" s="517">
        <v>2406.6440000000002</v>
      </c>
      <c r="E14" s="490">
        <v>0.94399999999999995</v>
      </c>
      <c r="F14" s="490">
        <v>-0.27500000000000002</v>
      </c>
      <c r="G14" s="517">
        <v>-85.070999999999998</v>
      </c>
      <c r="H14" s="518">
        <f t="shared" si="0"/>
        <v>30197.121999999999</v>
      </c>
      <c r="I14" s="501">
        <f>H14/H36*100</f>
        <v>3.7230409317433448</v>
      </c>
      <c r="O14" s="490"/>
      <c r="P14" s="517"/>
      <c r="Q14" s="61"/>
      <c r="S14" s="490"/>
      <c r="U14" s="61"/>
    </row>
    <row r="15" spans="1:21" ht="12.75" customHeight="1">
      <c r="A15" s="499">
        <v>8</v>
      </c>
      <c r="B15" s="499" t="s">
        <v>1231</v>
      </c>
      <c r="C15" s="517">
        <v>3654.8760000000002</v>
      </c>
      <c r="D15" s="517">
        <v>4469.4989999999998</v>
      </c>
      <c r="E15" s="490">
        <v>24.143999999999998</v>
      </c>
      <c r="F15" s="490">
        <v>3.6429999999999998</v>
      </c>
      <c r="G15" s="517">
        <v>95.538000000000011</v>
      </c>
      <c r="H15" s="518">
        <f t="shared" si="0"/>
        <v>8247.7000000000007</v>
      </c>
      <c r="I15" s="501">
        <f>H15/H36*100</f>
        <v>1.0168692464381073</v>
      </c>
      <c r="O15" s="490"/>
      <c r="P15" s="517"/>
      <c r="Q15" s="61"/>
      <c r="S15" s="490"/>
      <c r="U15" s="61"/>
    </row>
    <row r="16" spans="1:21">
      <c r="A16" s="499">
        <v>9</v>
      </c>
      <c r="B16" s="499" t="s">
        <v>1271</v>
      </c>
      <c r="C16" s="517">
        <v>51796.79</v>
      </c>
      <c r="D16" s="517">
        <v>6797.9229999999998</v>
      </c>
      <c r="E16" s="490">
        <v>21.09</v>
      </c>
      <c r="F16" s="490">
        <v>-7.39</v>
      </c>
      <c r="G16" s="517">
        <v>81.528999999999996</v>
      </c>
      <c r="H16" s="518">
        <f t="shared" si="0"/>
        <v>58689.942000000003</v>
      </c>
      <c r="I16" s="501">
        <f>H16/H36*100</f>
        <v>7.2359563387412509</v>
      </c>
      <c r="O16" s="490"/>
      <c r="P16" s="517"/>
      <c r="Q16" s="61"/>
      <c r="S16" s="490"/>
      <c r="U16" s="61"/>
    </row>
    <row r="17" spans="1:21">
      <c r="A17" s="499" t="s">
        <v>1858</v>
      </c>
      <c r="B17" s="499" t="s">
        <v>1272</v>
      </c>
      <c r="C17" s="517">
        <v>86475.570999999996</v>
      </c>
      <c r="D17" s="517">
        <v>7616.9140000000007</v>
      </c>
      <c r="E17" s="490">
        <v>12.656000000000001</v>
      </c>
      <c r="F17" s="490">
        <v>13.933999999999999</v>
      </c>
      <c r="G17" s="517">
        <v>733.62399999999991</v>
      </c>
      <c r="H17" s="518">
        <f t="shared" si="0"/>
        <v>94852.698999999993</v>
      </c>
      <c r="I17" s="501">
        <f>H17/H36*100</f>
        <v>11.6945078694364</v>
      </c>
      <c r="O17" s="490"/>
      <c r="P17" s="517"/>
      <c r="Q17" s="61"/>
      <c r="S17" s="490"/>
      <c r="U17" s="61"/>
    </row>
    <row r="18" spans="1:21">
      <c r="A18" s="499" t="s">
        <v>1859</v>
      </c>
      <c r="B18" s="499" t="s">
        <v>1273</v>
      </c>
      <c r="C18" s="517">
        <v>40797.087</v>
      </c>
      <c r="D18" s="517">
        <v>520.38800000000003</v>
      </c>
      <c r="E18" s="490">
        <v>10.358000000000001</v>
      </c>
      <c r="F18" s="490">
        <v>-0.85699999999999998</v>
      </c>
      <c r="G18" s="517">
        <v>14.766999999999999</v>
      </c>
      <c r="H18" s="518">
        <f t="shared" si="0"/>
        <v>41341.742999999995</v>
      </c>
      <c r="I18" s="501">
        <f>H18/H36*100</f>
        <v>5.0970751907620171</v>
      </c>
      <c r="O18" s="490"/>
      <c r="P18" s="517"/>
      <c r="Q18" s="61"/>
      <c r="S18" s="490"/>
      <c r="U18" s="61"/>
    </row>
    <row r="19" spans="1:21">
      <c r="A19" s="499" t="s">
        <v>1860</v>
      </c>
      <c r="B19" s="499" t="s">
        <v>593</v>
      </c>
      <c r="C19" s="517">
        <v>75579.395000000004</v>
      </c>
      <c r="D19" s="491" t="s">
        <v>1378</v>
      </c>
      <c r="E19" s="491" t="s">
        <v>1378</v>
      </c>
      <c r="F19" s="490">
        <v>4.3999999999999997E-2</v>
      </c>
      <c r="G19" s="491" t="s">
        <v>1378</v>
      </c>
      <c r="H19" s="518">
        <f t="shared" si="0"/>
        <v>75579.438999999998</v>
      </c>
      <c r="I19" s="501">
        <f>H19/H36*100</f>
        <v>9.3182835435509155</v>
      </c>
      <c r="O19" s="490"/>
      <c r="P19" s="517"/>
      <c r="Q19" s="61"/>
      <c r="S19" s="490"/>
      <c r="U19" s="61"/>
    </row>
    <row r="20" spans="1:21">
      <c r="A20" s="499" t="s">
        <v>1861</v>
      </c>
      <c r="B20" s="499" t="s">
        <v>1214</v>
      </c>
      <c r="C20" s="517">
        <v>4946.9889999999996</v>
      </c>
      <c r="D20" s="517">
        <v>698.322</v>
      </c>
      <c r="E20" s="490">
        <v>0.13500000000000001</v>
      </c>
      <c r="F20" s="490">
        <v>4.2999999999999997E-2</v>
      </c>
      <c r="G20" s="517">
        <v>1107.5309999999999</v>
      </c>
      <c r="H20" s="518">
        <f t="shared" si="0"/>
        <v>6753.0199999999995</v>
      </c>
      <c r="I20" s="501">
        <f>H20/H36*100</f>
        <v>0.83258828019708109</v>
      </c>
      <c r="O20" s="490"/>
      <c r="P20" s="517"/>
      <c r="Q20" s="61"/>
      <c r="S20" s="490"/>
      <c r="U20" s="61"/>
    </row>
    <row r="21" spans="1:21">
      <c r="A21" s="499" t="s">
        <v>1862</v>
      </c>
      <c r="B21" s="499" t="s">
        <v>595</v>
      </c>
      <c r="C21" s="517">
        <v>54646.048000000003</v>
      </c>
      <c r="D21" s="517">
        <v>11760.046999999999</v>
      </c>
      <c r="E21" s="490">
        <v>63.594000000000001</v>
      </c>
      <c r="F21" s="490">
        <v>-6.2430000000000003</v>
      </c>
      <c r="G21" s="517">
        <v>169.46</v>
      </c>
      <c r="H21" s="518">
        <f t="shared" si="0"/>
        <v>66632.906000000003</v>
      </c>
      <c r="I21" s="501">
        <f>H21/H36*100</f>
        <v>8.2152543026784723</v>
      </c>
      <c r="O21" s="490"/>
      <c r="P21" s="517"/>
      <c r="Q21" s="61"/>
      <c r="S21" s="490"/>
      <c r="U21" s="61"/>
    </row>
    <row r="22" spans="1:21">
      <c r="A22" s="499" t="s">
        <v>1863</v>
      </c>
      <c r="B22" s="499" t="s">
        <v>596</v>
      </c>
      <c r="C22" s="517">
        <v>16424.156999999999</v>
      </c>
      <c r="D22" s="517">
        <v>696.21900000000005</v>
      </c>
      <c r="E22" s="490">
        <v>0.34200000000000003</v>
      </c>
      <c r="F22" s="490">
        <v>3925.4960000000001</v>
      </c>
      <c r="G22" s="517">
        <v>21.302</v>
      </c>
      <c r="H22" s="518">
        <f t="shared" si="0"/>
        <v>21067.516</v>
      </c>
      <c r="I22" s="501">
        <f>H22/H36*100</f>
        <v>2.5974403917750117</v>
      </c>
      <c r="O22" s="490"/>
      <c r="P22" s="517"/>
      <c r="Q22" s="61"/>
      <c r="S22" s="490"/>
      <c r="U22" s="61"/>
    </row>
    <row r="23" spans="1:21">
      <c r="A23" s="499" t="s">
        <v>1864</v>
      </c>
      <c r="B23" s="499" t="s">
        <v>73</v>
      </c>
      <c r="C23" s="517">
        <v>14052.88</v>
      </c>
      <c r="D23" s="517">
        <v>37414.080000000002</v>
      </c>
      <c r="E23" s="490">
        <v>1003.443</v>
      </c>
      <c r="F23" s="490">
        <v>-128.83600000000001</v>
      </c>
      <c r="G23" s="517">
        <v>1495.2469999999998</v>
      </c>
      <c r="H23" s="518">
        <f t="shared" si="0"/>
        <v>53836.813999999998</v>
      </c>
      <c r="I23" s="501">
        <f>H23/H36*100</f>
        <v>6.6376081189675347</v>
      </c>
      <c r="O23" s="490"/>
      <c r="P23" s="517"/>
      <c r="Q23" s="61"/>
      <c r="S23" s="490"/>
      <c r="U23" s="61"/>
    </row>
    <row r="24" spans="1:21">
      <c r="A24" s="499" t="s">
        <v>1865</v>
      </c>
      <c r="B24" s="499" t="s">
        <v>74</v>
      </c>
      <c r="C24" s="517">
        <v>10162.782999999999</v>
      </c>
      <c r="D24" s="517">
        <v>2034.48</v>
      </c>
      <c r="E24" s="490">
        <v>18.016999999999999</v>
      </c>
      <c r="F24" s="490">
        <v>-1.4999999999999999E-2</v>
      </c>
      <c r="G24" s="517">
        <v>102.72800000000001</v>
      </c>
      <c r="H24" s="518">
        <f t="shared" si="0"/>
        <v>12317.992999999999</v>
      </c>
      <c r="I24" s="501">
        <f>H24/H36*100</f>
        <v>1.51870076015615</v>
      </c>
      <c r="O24" s="490"/>
      <c r="P24" s="517"/>
      <c r="Q24" s="61"/>
      <c r="S24" s="490"/>
      <c r="U24" s="61"/>
    </row>
    <row r="25" spans="1:21" ht="22.5">
      <c r="A25" s="197" t="s">
        <v>1866</v>
      </c>
      <c r="B25" s="499" t="s">
        <v>1203</v>
      </c>
      <c r="C25" s="519">
        <v>81.241</v>
      </c>
      <c r="D25" s="519">
        <v>812.755</v>
      </c>
      <c r="E25" s="492">
        <v>41.749000000000002</v>
      </c>
      <c r="F25" s="492">
        <v>5.0000000000000001E-3</v>
      </c>
      <c r="G25" s="519">
        <v>44.936</v>
      </c>
      <c r="H25" s="520">
        <f t="shared" si="0"/>
        <v>980.68600000000004</v>
      </c>
      <c r="I25" s="503">
        <f>H25/H36*100</f>
        <v>0.12091000325089438</v>
      </c>
      <c r="O25" s="490"/>
      <c r="P25" s="517"/>
      <c r="Q25" s="61"/>
      <c r="S25" s="490"/>
      <c r="U25" s="61"/>
    </row>
    <row r="26" spans="1:21">
      <c r="A26" s="499" t="s">
        <v>1867</v>
      </c>
      <c r="B26" s="499" t="s">
        <v>1215</v>
      </c>
      <c r="C26" s="517">
        <v>3187.9360000000001</v>
      </c>
      <c r="D26" s="517">
        <v>188.56299999999999</v>
      </c>
      <c r="E26" s="490">
        <v>0.32700000000000001</v>
      </c>
      <c r="F26" s="490">
        <v>-2.2759999999999998</v>
      </c>
      <c r="G26" s="517">
        <v>32.994</v>
      </c>
      <c r="H26" s="518">
        <f t="shared" si="0"/>
        <v>3407.5440000000008</v>
      </c>
      <c r="I26" s="501">
        <f>H26/H36*100</f>
        <v>0.42012036076538845</v>
      </c>
      <c r="O26" s="490"/>
      <c r="P26" s="517"/>
      <c r="Q26" s="61"/>
      <c r="S26" s="490"/>
      <c r="U26" s="61"/>
    </row>
    <row r="27" spans="1:21">
      <c r="A27" s="499" t="s">
        <v>1868</v>
      </c>
      <c r="B27" s="499" t="s">
        <v>1869</v>
      </c>
      <c r="C27" s="517">
        <v>783.54300000000001</v>
      </c>
      <c r="D27" s="517">
        <v>3733.5170000000003</v>
      </c>
      <c r="E27" s="490">
        <v>206.435</v>
      </c>
      <c r="F27" s="490">
        <v>2.5030000000000001</v>
      </c>
      <c r="G27" s="517">
        <v>104.968</v>
      </c>
      <c r="H27" s="518">
        <f t="shared" si="0"/>
        <v>4830.9660000000003</v>
      </c>
      <c r="I27" s="501">
        <f>H27/H36*100</f>
        <v>0.59561583908097016</v>
      </c>
      <c r="O27" s="490"/>
      <c r="P27" s="517"/>
      <c r="Q27" s="61"/>
      <c r="S27" s="490"/>
      <c r="U27" s="61"/>
    </row>
    <row r="28" spans="1:21" ht="12.75" customHeight="1">
      <c r="A28" s="499" t="s">
        <v>1870</v>
      </c>
      <c r="B28" s="499" t="s">
        <v>77</v>
      </c>
      <c r="C28" s="517">
        <v>1527.3779999999999</v>
      </c>
      <c r="D28" s="517">
        <v>1023.528</v>
      </c>
      <c r="E28" s="490">
        <v>12.840999999999999</v>
      </c>
      <c r="F28" s="490">
        <v>-0.59499999999999997</v>
      </c>
      <c r="G28" s="517">
        <v>149.89599999999999</v>
      </c>
      <c r="H28" s="518">
        <f t="shared" si="0"/>
        <v>2713.0480000000002</v>
      </c>
      <c r="I28" s="501">
        <f>H28/H36*100</f>
        <v>0.33449508048430637</v>
      </c>
      <c r="O28" s="490"/>
      <c r="P28" s="517"/>
      <c r="Q28" s="61"/>
      <c r="S28" s="490"/>
      <c r="U28" s="61"/>
    </row>
    <row r="29" spans="1:21">
      <c r="A29" s="499" t="s">
        <v>1871</v>
      </c>
      <c r="B29" s="499" t="s">
        <v>78</v>
      </c>
      <c r="C29" s="517">
        <v>2582.547</v>
      </c>
      <c r="D29" s="517">
        <v>20516.742999999999</v>
      </c>
      <c r="E29" s="490">
        <v>18055.156999999999</v>
      </c>
      <c r="F29" s="490">
        <v>419.92899999999997</v>
      </c>
      <c r="G29" s="517">
        <v>1286.6769999999999</v>
      </c>
      <c r="H29" s="518">
        <f t="shared" si="0"/>
        <v>42861.053</v>
      </c>
      <c r="I29" s="501">
        <f>H29/H36*100</f>
        <v>5.2843928205019308</v>
      </c>
      <c r="O29" s="490"/>
      <c r="P29" s="517"/>
      <c r="Q29" s="61"/>
      <c r="S29" s="490"/>
      <c r="U29" s="61"/>
    </row>
    <row r="30" spans="1:21">
      <c r="A30" s="499" t="s">
        <v>1872</v>
      </c>
      <c r="B30" s="499" t="s">
        <v>1318</v>
      </c>
      <c r="C30" s="517">
        <v>12003.828</v>
      </c>
      <c r="D30" s="517">
        <v>3859.1569999999997</v>
      </c>
      <c r="E30" s="490">
        <v>18.914999999999999</v>
      </c>
      <c r="F30" s="490">
        <v>9.7140000000000004</v>
      </c>
      <c r="G30" s="517">
        <v>495.09399999999999</v>
      </c>
      <c r="H30" s="518">
        <f t="shared" si="0"/>
        <v>16386.707999999999</v>
      </c>
      <c r="I30" s="501">
        <f>H30/H36*100</f>
        <v>2.0203377202809634</v>
      </c>
      <c r="O30" s="490"/>
      <c r="P30" s="517"/>
      <c r="Q30" s="61"/>
      <c r="S30" s="490"/>
      <c r="U30" s="61"/>
    </row>
    <row r="31" spans="1:21" ht="12.75" customHeight="1">
      <c r="A31" s="499" t="s">
        <v>1873</v>
      </c>
      <c r="B31" s="499" t="s">
        <v>1087</v>
      </c>
      <c r="C31" s="517">
        <v>2965.721</v>
      </c>
      <c r="D31" s="517">
        <v>1880.547</v>
      </c>
      <c r="E31" s="490">
        <v>7.2969999999999997</v>
      </c>
      <c r="F31" s="490">
        <v>-0.64700000000000002</v>
      </c>
      <c r="G31" s="517">
        <v>1029.5619999999999</v>
      </c>
      <c r="H31" s="518">
        <f t="shared" si="0"/>
        <v>5882.48</v>
      </c>
      <c r="I31" s="501">
        <f>H31/H36*100</f>
        <v>0.72525831501960991</v>
      </c>
      <c r="O31" s="490"/>
      <c r="P31" s="517"/>
      <c r="Q31" s="61"/>
      <c r="S31" s="490"/>
      <c r="U31" s="61"/>
    </row>
    <row r="32" spans="1:21">
      <c r="A32" s="499" t="s">
        <v>1874</v>
      </c>
      <c r="B32" s="499" t="s">
        <v>1088</v>
      </c>
      <c r="C32" s="517">
        <v>85138.297999999995</v>
      </c>
      <c r="D32" s="491" t="s">
        <v>1378</v>
      </c>
      <c r="E32" s="491" t="s">
        <v>1378</v>
      </c>
      <c r="F32" s="491" t="s">
        <v>1378</v>
      </c>
      <c r="G32" s="491" t="s">
        <v>1378</v>
      </c>
      <c r="H32" s="518">
        <f t="shared" si="0"/>
        <v>85138.297999999995</v>
      </c>
      <c r="I32" s="501">
        <f>H32/H36*100</f>
        <v>10.496807222653953</v>
      </c>
      <c r="O32" s="490"/>
      <c r="P32" s="517"/>
      <c r="Q32" s="61"/>
      <c r="S32" s="45"/>
      <c r="U32" s="61"/>
    </row>
    <row r="33" spans="1:21">
      <c r="A33" s="499" t="s">
        <v>1875</v>
      </c>
      <c r="B33" s="499" t="s">
        <v>422</v>
      </c>
      <c r="C33" s="517">
        <v>0.63900000000000001</v>
      </c>
      <c r="D33" s="491" t="s">
        <v>1378</v>
      </c>
      <c r="E33" s="491" t="s">
        <v>1378</v>
      </c>
      <c r="F33" s="490">
        <v>27298.523000000001</v>
      </c>
      <c r="G33" s="517">
        <v>81.918000000000006</v>
      </c>
      <c r="H33" s="518">
        <f t="shared" si="0"/>
        <v>27381.08</v>
      </c>
      <c r="I33" s="501">
        <f>H33/H36*100</f>
        <v>3.3758475922089222</v>
      </c>
      <c r="O33" s="490"/>
      <c r="P33" s="517"/>
      <c r="Q33" s="61"/>
      <c r="S33" s="490"/>
      <c r="U33" s="61"/>
    </row>
    <row r="34" spans="1:21">
      <c r="A34" s="499" t="s">
        <v>1876</v>
      </c>
      <c r="B34" s="499" t="s">
        <v>1750</v>
      </c>
      <c r="C34" s="517">
        <v>31451.947</v>
      </c>
      <c r="D34" s="491" t="s">
        <v>1378</v>
      </c>
      <c r="E34" s="491" t="s">
        <v>1378</v>
      </c>
      <c r="F34" s="491" t="s">
        <v>1378</v>
      </c>
      <c r="G34" s="491" t="s">
        <v>1378</v>
      </c>
      <c r="H34" s="518">
        <f t="shared" si="0"/>
        <v>31451.947</v>
      </c>
      <c r="I34" s="501">
        <f>H34/H36*100</f>
        <v>3.8777498751047301</v>
      </c>
      <c r="U34" s="61"/>
    </row>
    <row r="35" spans="1:21" ht="12.75" customHeight="1">
      <c r="A35" s="499"/>
      <c r="B35" s="499"/>
      <c r="C35" s="517"/>
      <c r="D35" s="517"/>
      <c r="E35" s="517"/>
      <c r="F35" s="490"/>
      <c r="G35" s="517"/>
      <c r="H35" s="518"/>
      <c r="I35" s="501"/>
      <c r="K35" s="510"/>
      <c r="U35" s="61"/>
    </row>
    <row r="36" spans="1:21">
      <c r="A36" s="499"/>
      <c r="B36" s="488" t="s">
        <v>1844</v>
      </c>
      <c r="C36" s="518">
        <v>541247.54</v>
      </c>
      <c r="D36" s="518">
        <v>201535.508</v>
      </c>
      <c r="E36" s="518">
        <v>25842.884999999998</v>
      </c>
      <c r="F36" s="518">
        <v>31698.474999999999</v>
      </c>
      <c r="G36" s="518">
        <v>10763.155000000001</v>
      </c>
      <c r="H36" s="518">
        <v>811087.56400000001</v>
      </c>
      <c r="I36" s="521">
        <v>100</v>
      </c>
      <c r="J36" s="61"/>
      <c r="K36" s="510"/>
      <c r="U36" s="61"/>
    </row>
    <row r="37" spans="1:21" ht="13.5" thickBot="1">
      <c r="A37" s="505"/>
      <c r="B37" s="506" t="s">
        <v>1810</v>
      </c>
      <c r="C37" s="507">
        <f>C36/H36*100</f>
        <v>66.731086016256569</v>
      </c>
      <c r="D37" s="507">
        <f>D36/H36*100</f>
        <v>24.847564793879641</v>
      </c>
      <c r="E37" s="507">
        <f>E36/H36*100</f>
        <v>3.1862016072040276</v>
      </c>
      <c r="F37" s="507">
        <f>F36/H36*100</f>
        <v>3.9081446204987063</v>
      </c>
      <c r="G37" s="507">
        <f>G36/H36*100</f>
        <v>1.3270028388698116</v>
      </c>
      <c r="H37" s="507">
        <f>H36/H36*100</f>
        <v>100</v>
      </c>
      <c r="I37" s="522"/>
    </row>
    <row r="38" spans="1:21" ht="12.75" customHeight="1">
      <c r="A38" s="4" t="s">
        <v>179</v>
      </c>
      <c r="B38" s="4"/>
      <c r="C38" s="4"/>
      <c r="D38" s="4"/>
      <c r="E38" s="4"/>
      <c r="F38" s="4"/>
      <c r="G38" s="4"/>
      <c r="H38" s="4"/>
      <c r="I38" s="4"/>
    </row>
    <row r="39" spans="1:21" ht="12.75" customHeight="1">
      <c r="A39" s="17" t="s">
        <v>539</v>
      </c>
      <c r="B39" s="448"/>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F49" sqref="F49"/>
    </sheetView>
  </sheetViews>
  <sheetFormatPr defaultRowHeight="12.75"/>
  <cols>
    <col min="1" max="1" width="3.83203125" customWidth="1"/>
    <col min="2" max="2" width="46.83203125" customWidth="1"/>
    <col min="3" max="8" width="8.5" customWidth="1"/>
    <col min="9" max="9" width="7.33203125" customWidth="1"/>
  </cols>
  <sheetData>
    <row r="1" spans="1:21">
      <c r="A1" s="1" t="s">
        <v>1886</v>
      </c>
      <c r="B1" s="4"/>
      <c r="C1" s="4"/>
      <c r="D1" s="4"/>
      <c r="E1" s="4"/>
      <c r="F1" s="4"/>
      <c r="G1" s="4"/>
      <c r="H1" s="4"/>
      <c r="I1" s="4"/>
    </row>
    <row r="2" spans="1:21">
      <c r="A2" s="1" t="s">
        <v>1887</v>
      </c>
      <c r="B2" s="4"/>
      <c r="C2" s="4"/>
      <c r="D2" s="4"/>
      <c r="E2" s="4"/>
      <c r="F2" s="4"/>
      <c r="G2" s="4"/>
      <c r="H2" s="4"/>
      <c r="I2" s="4"/>
    </row>
    <row r="3" spans="1:21">
      <c r="A3" s="7" t="s">
        <v>1888</v>
      </c>
      <c r="B3" s="4"/>
      <c r="C3" s="4"/>
      <c r="D3" s="4"/>
      <c r="E3" s="4"/>
      <c r="F3" s="4"/>
      <c r="G3" s="4"/>
      <c r="H3" s="4"/>
      <c r="I3" s="4"/>
      <c r="L3" s="523"/>
    </row>
    <row r="4" spans="1:21" ht="13.5" thickBot="1">
      <c r="A4" s="481"/>
      <c r="B4" s="482"/>
      <c r="C4" s="483"/>
      <c r="D4" s="483"/>
      <c r="E4" s="483"/>
      <c r="F4" s="483"/>
      <c r="G4" s="483"/>
      <c r="H4" s="484"/>
      <c r="I4" s="4"/>
    </row>
    <row r="5" spans="1:21">
      <c r="A5" s="470" t="s">
        <v>1805</v>
      </c>
      <c r="B5" s="485"/>
      <c r="C5" s="513" t="s">
        <v>1806</v>
      </c>
      <c r="D5" s="513" t="s">
        <v>1807</v>
      </c>
      <c r="E5" s="513" t="s">
        <v>1808</v>
      </c>
      <c r="F5" s="513" t="s">
        <v>1093</v>
      </c>
      <c r="G5" s="513" t="s">
        <v>1809</v>
      </c>
      <c r="H5" s="512" t="s">
        <v>178</v>
      </c>
      <c r="I5" s="513" t="s">
        <v>1810</v>
      </c>
    </row>
    <row r="6" spans="1:21" ht="13.5" thickBot="1">
      <c r="A6" s="495"/>
      <c r="B6" s="496"/>
      <c r="C6" s="524" t="s">
        <v>1811</v>
      </c>
      <c r="D6" s="524" t="s">
        <v>1812</v>
      </c>
      <c r="E6" s="524" t="s">
        <v>1813</v>
      </c>
      <c r="F6" s="524"/>
      <c r="G6" s="524" t="s">
        <v>1814</v>
      </c>
      <c r="H6" s="515"/>
      <c r="I6" s="516"/>
    </row>
    <row r="7" spans="1:21">
      <c r="A7" s="497"/>
      <c r="B7" s="498"/>
      <c r="C7" s="486"/>
      <c r="D7" s="486"/>
      <c r="E7" s="486"/>
      <c r="F7" s="486"/>
      <c r="G7" s="486"/>
      <c r="H7" s="487"/>
      <c r="I7" s="486"/>
    </row>
    <row r="8" spans="1:21">
      <c r="A8" s="499">
        <v>1</v>
      </c>
      <c r="B8" s="499" t="s">
        <v>401</v>
      </c>
      <c r="C8" s="517">
        <v>1273.4981566599999</v>
      </c>
      <c r="D8" s="517">
        <v>10186.48222691</v>
      </c>
      <c r="E8" s="490">
        <v>11.06715384</v>
      </c>
      <c r="F8" s="490">
        <v>-0.34617792000000203</v>
      </c>
      <c r="G8" s="517">
        <v>352.51348856999999</v>
      </c>
      <c r="H8" s="518">
        <f t="shared" ref="H8:H34" si="0">SUM(C8:G8)</f>
        <v>11823.214848060001</v>
      </c>
      <c r="I8" s="501">
        <f>H8/H36*100</f>
        <v>1.4289804392977006</v>
      </c>
      <c r="S8" s="490"/>
      <c r="U8" s="61"/>
    </row>
    <row r="9" spans="1:21">
      <c r="A9" s="499">
        <v>2</v>
      </c>
      <c r="B9" s="499" t="s">
        <v>402</v>
      </c>
      <c r="C9" s="517">
        <v>11353.50509567</v>
      </c>
      <c r="D9" s="517">
        <v>2102.0743650700001</v>
      </c>
      <c r="E9" s="490">
        <v>4.2695730899999997</v>
      </c>
      <c r="F9" s="490">
        <v>2530.0056898100001</v>
      </c>
      <c r="G9" s="517">
        <v>61.820846160000002</v>
      </c>
      <c r="H9" s="518">
        <f t="shared" si="0"/>
        <v>16051.675569800002</v>
      </c>
      <c r="I9" s="501">
        <f>H9/H36*100</f>
        <v>1.9400417485402166</v>
      </c>
      <c r="R9" s="61"/>
      <c r="S9" s="490"/>
      <c r="U9" s="61"/>
    </row>
    <row r="10" spans="1:21">
      <c r="A10" s="499">
        <v>3</v>
      </c>
      <c r="B10" s="499" t="s">
        <v>207</v>
      </c>
      <c r="C10" s="517">
        <v>88.399975819999995</v>
      </c>
      <c r="D10" s="517">
        <v>9811.5236674700009</v>
      </c>
      <c r="E10" s="490">
        <v>20.990955719999999</v>
      </c>
      <c r="F10" s="490">
        <v>2.3024799200000001</v>
      </c>
      <c r="G10" s="517">
        <v>464.92163729999999</v>
      </c>
      <c r="H10" s="518">
        <f t="shared" si="0"/>
        <v>10388.138716230002</v>
      </c>
      <c r="I10" s="501">
        <f>H10/H36*100</f>
        <v>1.2555338980953674</v>
      </c>
      <c r="O10" s="490"/>
      <c r="P10" s="517"/>
      <c r="Q10" s="61"/>
      <c r="S10" s="490"/>
      <c r="U10" s="61"/>
    </row>
    <row r="11" spans="1:21">
      <c r="A11" s="499">
        <v>4</v>
      </c>
      <c r="B11" s="499" t="s">
        <v>1267</v>
      </c>
      <c r="C11" s="517">
        <v>251.70458776999999</v>
      </c>
      <c r="D11" s="517">
        <v>37190.779367089999</v>
      </c>
      <c r="E11" s="490">
        <v>278.18186471000001</v>
      </c>
      <c r="F11" s="490">
        <v>37.754350219999999</v>
      </c>
      <c r="G11" s="517">
        <v>1538.7956216699999</v>
      </c>
      <c r="H11" s="518">
        <f t="shared" si="0"/>
        <v>39297.215791459996</v>
      </c>
      <c r="I11" s="501">
        <f>H11/H36*100</f>
        <v>4.7495502201815407</v>
      </c>
      <c r="O11" s="490"/>
      <c r="P11" s="517"/>
      <c r="Q11" s="61"/>
      <c r="S11" s="490"/>
      <c r="U11" s="61"/>
    </row>
    <row r="12" spans="1:21">
      <c r="A12" s="499">
        <v>5</v>
      </c>
      <c r="B12" s="499" t="s">
        <v>1183</v>
      </c>
      <c r="C12" s="517">
        <v>1496.30635136</v>
      </c>
      <c r="D12" s="517">
        <v>323.33872629000001</v>
      </c>
      <c r="E12" s="490">
        <v>1.2015627</v>
      </c>
      <c r="F12" s="490">
        <v>8.6456569999999996E-2</v>
      </c>
      <c r="G12" s="517">
        <v>5.4683161299999998</v>
      </c>
      <c r="H12" s="518">
        <f t="shared" si="0"/>
        <v>1826.4014130500002</v>
      </c>
      <c r="I12" s="501">
        <f>H12/H36*100</f>
        <v>0.22074299816875709</v>
      </c>
      <c r="O12" s="490"/>
      <c r="P12" s="517"/>
      <c r="Q12" s="61"/>
      <c r="S12" s="490"/>
      <c r="U12" s="61"/>
    </row>
    <row r="13" spans="1:21">
      <c r="A13" s="499">
        <v>6</v>
      </c>
      <c r="B13" s="499" t="s">
        <v>1292</v>
      </c>
      <c r="C13" s="517">
        <v>1062.2478783500001</v>
      </c>
      <c r="D13" s="517">
        <v>35757.870773050003</v>
      </c>
      <c r="E13" s="517">
        <v>7207.05169888</v>
      </c>
      <c r="F13" s="490">
        <v>36.084412499999999</v>
      </c>
      <c r="G13" s="517">
        <v>1347.19838454</v>
      </c>
      <c r="H13" s="518">
        <f t="shared" si="0"/>
        <v>45410.453147320004</v>
      </c>
      <c r="I13" s="501">
        <f>H13/H36*100</f>
        <v>5.4884098886025487</v>
      </c>
      <c r="K13" s="61"/>
      <c r="L13" s="61"/>
      <c r="O13" s="490"/>
      <c r="P13" s="517"/>
      <c r="Q13" s="61"/>
      <c r="S13" s="490"/>
      <c r="U13" s="61"/>
    </row>
    <row r="14" spans="1:21">
      <c r="A14" s="499">
        <v>7</v>
      </c>
      <c r="B14" s="499" t="s">
        <v>1269</v>
      </c>
      <c r="C14" s="517">
        <v>28474.391267390001</v>
      </c>
      <c r="D14" s="517">
        <v>2278.3704628999999</v>
      </c>
      <c r="E14" s="490">
        <v>4.3385647900000004</v>
      </c>
      <c r="F14" s="490">
        <v>5.9626872400000002</v>
      </c>
      <c r="G14" s="517">
        <v>12.49597953</v>
      </c>
      <c r="H14" s="518">
        <f t="shared" si="0"/>
        <v>30775.558961849998</v>
      </c>
      <c r="I14" s="501">
        <f>H14/H36*100</f>
        <v>3.7196035367785543</v>
      </c>
      <c r="O14" s="490"/>
      <c r="P14" s="517"/>
      <c r="Q14" s="61"/>
      <c r="S14" s="490"/>
      <c r="U14" s="61"/>
    </row>
    <row r="15" spans="1:21">
      <c r="A15" s="499">
        <v>8</v>
      </c>
      <c r="B15" s="499" t="s">
        <v>1231</v>
      </c>
      <c r="C15" s="517">
        <v>4260.0588115700002</v>
      </c>
      <c r="D15" s="517">
        <v>5465.8773424600004</v>
      </c>
      <c r="E15" s="490">
        <v>20.282545079999998</v>
      </c>
      <c r="F15" s="490">
        <v>2.4564099399999999</v>
      </c>
      <c r="G15" s="517">
        <v>121.43732624</v>
      </c>
      <c r="H15" s="518">
        <f t="shared" si="0"/>
        <v>9870.1124352900006</v>
      </c>
      <c r="I15" s="501">
        <f>H15/H36*100</f>
        <v>1.1929240722554131</v>
      </c>
      <c r="O15" s="490"/>
      <c r="P15" s="517"/>
      <c r="Q15" s="61"/>
      <c r="S15" s="490"/>
      <c r="U15" s="61"/>
    </row>
    <row r="16" spans="1:21">
      <c r="A16" s="499">
        <v>9</v>
      </c>
      <c r="B16" s="499" t="s">
        <v>1271</v>
      </c>
      <c r="C16" s="517">
        <v>51769.845185749997</v>
      </c>
      <c r="D16" s="517">
        <v>7134.5862615100004</v>
      </c>
      <c r="E16" s="490">
        <v>17.93672213</v>
      </c>
      <c r="F16" s="490">
        <v>-3.5111364200000001</v>
      </c>
      <c r="G16" s="517">
        <v>75.411297939999997</v>
      </c>
      <c r="H16" s="518">
        <f t="shared" si="0"/>
        <v>58994.268330909996</v>
      </c>
      <c r="I16" s="501">
        <f>H16/H36*100</f>
        <v>7.1301804592836886</v>
      </c>
      <c r="O16" s="490"/>
      <c r="P16" s="517"/>
      <c r="Q16" s="61"/>
      <c r="S16" s="490"/>
      <c r="U16" s="61"/>
    </row>
    <row r="17" spans="1:21" ht="12.75" customHeight="1">
      <c r="A17" s="499" t="s">
        <v>1858</v>
      </c>
      <c r="B17" s="499" t="s">
        <v>1751</v>
      </c>
      <c r="C17" s="517">
        <v>87728.813383379995</v>
      </c>
      <c r="D17" s="517">
        <v>8011.92707728</v>
      </c>
      <c r="E17" s="490">
        <v>16.788455280000001</v>
      </c>
      <c r="F17" s="490">
        <v>14.12258044</v>
      </c>
      <c r="G17" s="517">
        <v>622.84714723000002</v>
      </c>
      <c r="H17" s="518">
        <f t="shared" si="0"/>
        <v>96394.498643609986</v>
      </c>
      <c r="I17" s="501">
        <f>H17/H36*100</f>
        <v>11.650456731760167</v>
      </c>
      <c r="O17" s="490"/>
      <c r="P17" s="517"/>
      <c r="Q17" s="61"/>
      <c r="S17" s="490"/>
      <c r="U17" s="61"/>
    </row>
    <row r="18" spans="1:21">
      <c r="A18" s="499" t="s">
        <v>1859</v>
      </c>
      <c r="B18" s="499" t="s">
        <v>1273</v>
      </c>
      <c r="C18" s="517">
        <v>39474.664382269999</v>
      </c>
      <c r="D18" s="517">
        <v>489.77392068</v>
      </c>
      <c r="E18" s="490">
        <v>3.8413526400000002</v>
      </c>
      <c r="F18" s="490">
        <v>-0.51742993000000004</v>
      </c>
      <c r="G18" s="517">
        <v>17.659720790000002</v>
      </c>
      <c r="H18" s="518">
        <f t="shared" si="0"/>
        <v>39985.421946450006</v>
      </c>
      <c r="I18" s="501">
        <f>H18/H36*100</f>
        <v>4.832728369806925</v>
      </c>
      <c r="O18" s="490"/>
      <c r="P18" s="517"/>
      <c r="Q18" s="61"/>
      <c r="S18" s="490"/>
      <c r="U18" s="61"/>
    </row>
    <row r="19" spans="1:21">
      <c r="A19" s="499" t="s">
        <v>1860</v>
      </c>
      <c r="B19" s="499" t="s">
        <v>593</v>
      </c>
      <c r="C19" s="517">
        <v>78532.922803370006</v>
      </c>
      <c r="D19" s="491" t="s">
        <v>1378</v>
      </c>
      <c r="E19" s="491" t="s">
        <v>1378</v>
      </c>
      <c r="F19" s="490">
        <v>4.7324110000000003E-2</v>
      </c>
      <c r="G19" s="491" t="s">
        <v>1378</v>
      </c>
      <c r="H19" s="518">
        <f t="shared" si="0"/>
        <v>78532.970127480003</v>
      </c>
      <c r="I19" s="501">
        <f>H19/H36*100</f>
        <v>9.4916720700997317</v>
      </c>
      <c r="O19" s="490"/>
      <c r="P19" s="517"/>
      <c r="Q19" s="61"/>
      <c r="S19" s="490"/>
      <c r="U19" s="61"/>
    </row>
    <row r="20" spans="1:21">
      <c r="A20" s="499" t="s">
        <v>1861</v>
      </c>
      <c r="B20" s="499" t="s">
        <v>1214</v>
      </c>
      <c r="C20" s="517">
        <v>7583.4569084000004</v>
      </c>
      <c r="D20" s="517">
        <v>1144.4429023099999</v>
      </c>
      <c r="E20" s="490">
        <v>0.38230985000000001</v>
      </c>
      <c r="F20" s="490">
        <v>-7.8669589999999998E-2</v>
      </c>
      <c r="G20" s="517">
        <v>107.93273562</v>
      </c>
      <c r="H20" s="518">
        <f t="shared" si="0"/>
        <v>8836.136186589998</v>
      </c>
      <c r="I20" s="501">
        <f>H20/H36*100</f>
        <v>1.0679553684740419</v>
      </c>
      <c r="O20" s="490"/>
      <c r="P20" s="517"/>
      <c r="Q20" s="61"/>
      <c r="S20" s="490"/>
      <c r="U20" s="61"/>
    </row>
    <row r="21" spans="1:21">
      <c r="A21" s="499" t="s">
        <v>1862</v>
      </c>
      <c r="B21" s="499" t="s">
        <v>595</v>
      </c>
      <c r="C21" s="517">
        <v>56298.421875300002</v>
      </c>
      <c r="D21" s="517">
        <v>13204.45279143</v>
      </c>
      <c r="E21" s="490">
        <v>28.70227732</v>
      </c>
      <c r="F21" s="490">
        <v>3.0032341900000001</v>
      </c>
      <c r="G21" s="517">
        <v>186.55964524000001</v>
      </c>
      <c r="H21" s="518">
        <f t="shared" si="0"/>
        <v>69721.13982348</v>
      </c>
      <c r="I21" s="501">
        <f>H21/H36*100</f>
        <v>8.426654365469858</v>
      </c>
      <c r="O21" s="490"/>
      <c r="P21" s="517"/>
      <c r="Q21" s="61"/>
      <c r="S21" s="490"/>
      <c r="U21" s="61"/>
    </row>
    <row r="22" spans="1:21">
      <c r="A22" s="499" t="s">
        <v>1863</v>
      </c>
      <c r="B22" s="499" t="s">
        <v>596</v>
      </c>
      <c r="C22" s="517">
        <v>16418.58317604</v>
      </c>
      <c r="D22" s="517">
        <v>680.44990288999998</v>
      </c>
      <c r="E22" s="490">
        <v>0.39956754</v>
      </c>
      <c r="F22" s="490">
        <v>3448.5556731199999</v>
      </c>
      <c r="G22" s="517">
        <v>18.94470334</v>
      </c>
      <c r="H22" s="518">
        <f t="shared" si="0"/>
        <v>20566.933022929999</v>
      </c>
      <c r="I22" s="501">
        <f>H22/H36*100</f>
        <v>2.485765958227113</v>
      </c>
      <c r="O22" s="490"/>
      <c r="P22" s="517"/>
      <c r="Q22" s="61"/>
      <c r="S22" s="490"/>
      <c r="U22" s="61"/>
    </row>
    <row r="23" spans="1:21">
      <c r="A23" s="499" t="s">
        <v>1864</v>
      </c>
      <c r="B23" s="499" t="s">
        <v>73</v>
      </c>
      <c r="C23" s="517">
        <v>15254.94732193</v>
      </c>
      <c r="D23" s="517">
        <v>39506.833831239899</v>
      </c>
      <c r="E23" s="490">
        <v>256.71177494</v>
      </c>
      <c r="F23" s="490">
        <v>-80.251574759999897</v>
      </c>
      <c r="G23" s="517">
        <v>1546.08040484</v>
      </c>
      <c r="H23" s="518">
        <f t="shared" si="0"/>
        <v>56484.321758189901</v>
      </c>
      <c r="I23" s="501">
        <f>H23/H36*100</f>
        <v>6.8268226499068403</v>
      </c>
      <c r="O23" s="490"/>
      <c r="P23" s="517"/>
      <c r="Q23" s="61"/>
      <c r="S23" s="490"/>
      <c r="U23" s="61"/>
    </row>
    <row r="24" spans="1:21">
      <c r="A24" s="499" t="s">
        <v>1865</v>
      </c>
      <c r="B24" s="499" t="s">
        <v>74</v>
      </c>
      <c r="C24" s="517">
        <v>10510.86536306</v>
      </c>
      <c r="D24" s="517">
        <v>2090.1477684299998</v>
      </c>
      <c r="E24" s="490">
        <v>25.873040679999999</v>
      </c>
      <c r="F24" s="490">
        <v>0.19062063000000001</v>
      </c>
      <c r="G24" s="517">
        <v>103.03140281</v>
      </c>
      <c r="H24" s="518">
        <f t="shared" si="0"/>
        <v>12730.108195609999</v>
      </c>
      <c r="I24" s="501">
        <f>H24/H36*100</f>
        <v>1.5385896167365085</v>
      </c>
      <c r="O24" s="490"/>
      <c r="P24" s="517"/>
      <c r="Q24" s="61"/>
      <c r="S24" s="490"/>
      <c r="U24" s="61"/>
    </row>
    <row r="25" spans="1:21" ht="22.5">
      <c r="A25" s="197" t="s">
        <v>1866</v>
      </c>
      <c r="B25" s="197" t="s">
        <v>1889</v>
      </c>
      <c r="C25" s="519">
        <v>53.564537569999999</v>
      </c>
      <c r="D25" s="519">
        <v>906.01939390999996</v>
      </c>
      <c r="E25" s="492">
        <v>11.21443148</v>
      </c>
      <c r="F25" s="492">
        <v>0.14120948999999999</v>
      </c>
      <c r="G25" s="519">
        <v>28.476044219999999</v>
      </c>
      <c r="H25" s="520">
        <f t="shared" si="0"/>
        <v>999.41561666999996</v>
      </c>
      <c r="I25" s="503">
        <f>H25/H36*100</f>
        <v>0.12079162776817969</v>
      </c>
      <c r="O25" s="490"/>
      <c r="P25" s="517"/>
      <c r="Q25" s="61"/>
      <c r="S25" s="490"/>
      <c r="U25" s="61"/>
    </row>
    <row r="26" spans="1:21">
      <c r="A26" s="499" t="s">
        <v>1867</v>
      </c>
      <c r="B26" s="499" t="s">
        <v>1215</v>
      </c>
      <c r="C26" s="517">
        <v>3028.5977127199999</v>
      </c>
      <c r="D26" s="517">
        <v>216.00836846000001</v>
      </c>
      <c r="E26" s="490">
        <v>0.46405488</v>
      </c>
      <c r="F26" s="490">
        <v>-1.2022652700000001</v>
      </c>
      <c r="G26" s="517">
        <v>26.166747220000001</v>
      </c>
      <c r="H26" s="518">
        <f t="shared" si="0"/>
        <v>3270.0346180099996</v>
      </c>
      <c r="I26" s="501">
        <f>H26/H36*100</f>
        <v>0.39522376654851632</v>
      </c>
      <c r="O26" s="490"/>
      <c r="P26" s="517"/>
      <c r="Q26" s="61"/>
      <c r="S26" s="490"/>
      <c r="U26" s="61"/>
    </row>
    <row r="27" spans="1:21">
      <c r="A27" s="499" t="s">
        <v>1868</v>
      </c>
      <c r="B27" s="499" t="s">
        <v>1869</v>
      </c>
      <c r="C27" s="517">
        <v>999.03228257000001</v>
      </c>
      <c r="D27" s="517">
        <v>3614.8161365300002</v>
      </c>
      <c r="E27" s="490">
        <v>797.85840928000005</v>
      </c>
      <c r="F27" s="490">
        <v>2.4211869500000001</v>
      </c>
      <c r="G27" s="517">
        <v>-607.27696894999997</v>
      </c>
      <c r="H27" s="518">
        <f t="shared" si="0"/>
        <v>4806.8510463800012</v>
      </c>
      <c r="I27" s="501">
        <f>H27/H36*100</f>
        <v>0.58096686968534461</v>
      </c>
      <c r="O27" s="490"/>
      <c r="P27" s="517"/>
      <c r="Q27" s="61"/>
      <c r="S27" s="490"/>
      <c r="U27" s="61"/>
    </row>
    <row r="28" spans="1:21">
      <c r="A28" s="499" t="s">
        <v>1870</v>
      </c>
      <c r="B28" s="499" t="s">
        <v>77</v>
      </c>
      <c r="C28" s="517">
        <v>1433.61416278</v>
      </c>
      <c r="D28" s="517">
        <v>1070.70009742</v>
      </c>
      <c r="E28" s="490">
        <v>24.90235586</v>
      </c>
      <c r="F28" s="490">
        <v>-0.26017779000000002</v>
      </c>
      <c r="G28" s="517">
        <v>84.395940429999996</v>
      </c>
      <c r="H28" s="518">
        <f t="shared" si="0"/>
        <v>2613.3523786999999</v>
      </c>
      <c r="I28" s="501">
        <f>H28/H36*100</f>
        <v>0.31585566854239955</v>
      </c>
      <c r="O28" s="490"/>
      <c r="P28" s="517"/>
      <c r="Q28" s="61"/>
      <c r="S28" s="490"/>
      <c r="U28" s="61"/>
    </row>
    <row r="29" spans="1:21">
      <c r="A29" s="499" t="s">
        <v>1871</v>
      </c>
      <c r="B29" s="499" t="s">
        <v>78</v>
      </c>
      <c r="C29" s="517">
        <v>3406.7790529200001</v>
      </c>
      <c r="D29" s="517">
        <v>21585.084327619999</v>
      </c>
      <c r="E29" s="490">
        <v>16389.158378939999</v>
      </c>
      <c r="F29" s="490">
        <v>654.08014899</v>
      </c>
      <c r="G29" s="517">
        <v>1619.61322118</v>
      </c>
      <c r="H29" s="518">
        <f t="shared" si="0"/>
        <v>43654.715129649994</v>
      </c>
      <c r="I29" s="501">
        <f>H29/H36*100</f>
        <v>5.2762074279331106</v>
      </c>
      <c r="O29" s="490"/>
      <c r="P29" s="517"/>
      <c r="Q29" s="61"/>
      <c r="S29" s="490"/>
      <c r="U29" s="61"/>
    </row>
    <row r="30" spans="1:21">
      <c r="A30" s="499" t="s">
        <v>1872</v>
      </c>
      <c r="B30" s="499" t="s">
        <v>1318</v>
      </c>
      <c r="C30" s="517">
        <v>11992.534780739999</v>
      </c>
      <c r="D30" s="517">
        <v>3760.01158863</v>
      </c>
      <c r="E30" s="490">
        <v>18.73304984</v>
      </c>
      <c r="F30" s="490">
        <v>7.3471052999999999</v>
      </c>
      <c r="G30" s="517">
        <v>227.6749896</v>
      </c>
      <c r="H30" s="518">
        <f t="shared" si="0"/>
        <v>16006.30151411</v>
      </c>
      <c r="I30" s="501">
        <f>H30/H36*100</f>
        <v>1.9345577377304783</v>
      </c>
      <c r="O30" s="490"/>
      <c r="P30" s="517"/>
      <c r="Q30" s="61"/>
      <c r="S30" s="490"/>
      <c r="U30" s="61"/>
    </row>
    <row r="31" spans="1:21">
      <c r="A31" s="499" t="s">
        <v>1873</v>
      </c>
      <c r="B31" s="499" t="s">
        <v>1087</v>
      </c>
      <c r="C31" s="517">
        <v>3296.09842355</v>
      </c>
      <c r="D31" s="517">
        <v>1916.32919124</v>
      </c>
      <c r="E31" s="490">
        <v>9.1612550600000002</v>
      </c>
      <c r="F31" s="490">
        <v>-0.45571895000000001</v>
      </c>
      <c r="G31" s="517">
        <v>26.81771762</v>
      </c>
      <c r="H31" s="518">
        <f t="shared" si="0"/>
        <v>5247.9508685199999</v>
      </c>
      <c r="I31" s="501">
        <f>H31/H36*100</f>
        <v>0.63427919004118916</v>
      </c>
      <c r="O31" s="490"/>
      <c r="P31" s="517"/>
      <c r="Q31" s="61"/>
      <c r="S31" s="490"/>
      <c r="U31" s="61"/>
    </row>
    <row r="32" spans="1:21">
      <c r="A32" s="499" t="s">
        <v>1874</v>
      </c>
      <c r="B32" s="499" t="s">
        <v>1088</v>
      </c>
      <c r="C32" s="517">
        <v>88914.664957000001</v>
      </c>
      <c r="D32" s="491" t="s">
        <v>1378</v>
      </c>
      <c r="E32" s="491" t="s">
        <v>1378</v>
      </c>
      <c r="F32" s="491" t="s">
        <v>1378</v>
      </c>
      <c r="G32" s="491" t="s">
        <v>1378</v>
      </c>
      <c r="H32" s="518">
        <f t="shared" si="0"/>
        <v>88914.664957000001</v>
      </c>
      <c r="I32" s="501">
        <f>H32/H36*100</f>
        <v>10.746427145499245</v>
      </c>
      <c r="O32" s="490"/>
      <c r="P32" s="517"/>
      <c r="Q32" s="61"/>
      <c r="S32" s="45"/>
      <c r="U32" s="61"/>
    </row>
    <row r="33" spans="1:21">
      <c r="A33" s="499" t="s">
        <v>1875</v>
      </c>
      <c r="B33" s="499" t="s">
        <v>422</v>
      </c>
      <c r="C33" s="517">
        <v>2.937573</v>
      </c>
      <c r="D33" s="491" t="s">
        <v>1378</v>
      </c>
      <c r="E33" s="491" t="s">
        <v>1378</v>
      </c>
      <c r="F33" s="490">
        <v>16694.364831970001</v>
      </c>
      <c r="G33" s="517">
        <v>76.927659120000001</v>
      </c>
      <c r="H33" s="518">
        <f t="shared" si="0"/>
        <v>16774.230064089999</v>
      </c>
      <c r="I33" s="501">
        <f>H33/H36*100</f>
        <v>2.027371316000159</v>
      </c>
      <c r="O33" s="490"/>
      <c r="P33" s="517"/>
      <c r="Q33" s="61"/>
      <c r="S33" s="490"/>
      <c r="U33" s="61"/>
    </row>
    <row r="34" spans="1:21">
      <c r="A34" s="499" t="s">
        <v>1876</v>
      </c>
      <c r="B34" s="499" t="s">
        <v>1750</v>
      </c>
      <c r="C34" s="517">
        <v>37412.066812509998</v>
      </c>
      <c r="D34" s="491" t="s">
        <v>1378</v>
      </c>
      <c r="E34" s="491" t="s">
        <v>1378</v>
      </c>
      <c r="F34" s="491" t="s">
        <v>1378</v>
      </c>
      <c r="G34" s="491" t="s">
        <v>1378</v>
      </c>
      <c r="H34" s="518">
        <f t="shared" si="0"/>
        <v>37412.066812509998</v>
      </c>
      <c r="I34" s="501">
        <f>H34/H36*100</f>
        <v>4.5217068585662696</v>
      </c>
      <c r="U34" s="61"/>
    </row>
    <row r="35" spans="1:21">
      <c r="A35" s="499"/>
      <c r="B35" s="499"/>
      <c r="C35" s="517"/>
      <c r="D35" s="517"/>
      <c r="E35" s="517"/>
      <c r="F35" s="490"/>
      <c r="G35" s="517"/>
      <c r="H35" s="518"/>
      <c r="I35" s="501"/>
      <c r="K35" s="510"/>
      <c r="U35" s="61"/>
    </row>
    <row r="36" spans="1:21">
      <c r="A36" s="499"/>
      <c r="B36" s="488" t="s">
        <v>1844</v>
      </c>
      <c r="C36" s="518">
        <v>562372.522</v>
      </c>
      <c r="D36" s="518">
        <v>208447.9</v>
      </c>
      <c r="E36" s="518">
        <v>25149.510999999999</v>
      </c>
      <c r="F36" s="518">
        <v>23352.303</v>
      </c>
      <c r="G36" s="518">
        <v>8065.9139999999998</v>
      </c>
      <c r="H36" s="518">
        <v>827388.15192395099</v>
      </c>
      <c r="I36" s="521">
        <v>100</v>
      </c>
      <c r="J36" s="61"/>
      <c r="K36" s="510"/>
      <c r="U36" s="61"/>
    </row>
    <row r="37" spans="1:21" ht="13.5" thickBot="1">
      <c r="A37" s="505"/>
      <c r="B37" s="506" t="s">
        <v>1810</v>
      </c>
      <c r="C37" s="507">
        <f>C36/H36*100</f>
        <v>67.969612653057453</v>
      </c>
      <c r="D37" s="507">
        <f>D36/H36*100</f>
        <v>25.193483797814814</v>
      </c>
      <c r="E37" s="507">
        <f>E36/H36*100</f>
        <v>3.0396266784240349</v>
      </c>
      <c r="F37" s="507">
        <f>F36/H36*100</f>
        <v>2.8224120620652076</v>
      </c>
      <c r="G37" s="507">
        <f>G36/H36*100</f>
        <v>0.97486457610543287</v>
      </c>
      <c r="H37" s="507">
        <f>H36/H36*100</f>
        <v>100</v>
      </c>
      <c r="I37" s="522"/>
    </row>
    <row r="38" spans="1:21">
      <c r="A38" s="4" t="s">
        <v>179</v>
      </c>
      <c r="B38" s="4"/>
      <c r="C38" s="4"/>
      <c r="D38" s="4"/>
      <c r="E38" s="4"/>
      <c r="F38" s="4"/>
      <c r="G38" s="4"/>
      <c r="H38" s="4"/>
      <c r="I38" s="4"/>
    </row>
    <row r="39" spans="1:21">
      <c r="A39" s="525" t="s">
        <v>539</v>
      </c>
      <c r="B39" s="448"/>
      <c r="C39" s="4"/>
      <c r="D39" s="4"/>
      <c r="E39" s="4"/>
      <c r="F39" s="4"/>
      <c r="G39" s="4"/>
      <c r="H39" s="4"/>
      <c r="I39" s="4"/>
    </row>
  </sheetData>
  <pageMargins left="0.7" right="0.7" top="0.75" bottom="0.75" header="0.3" footer="0.3"/>
  <pageSetup paperSize="9" scale="8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election activeCell="F49" sqref="F49"/>
    </sheetView>
  </sheetViews>
  <sheetFormatPr defaultRowHeight="12.75"/>
  <cols>
    <col min="1" max="1" width="3.83203125" customWidth="1"/>
    <col min="2" max="2" width="46.83203125" customWidth="1"/>
    <col min="3" max="8" width="8.5" customWidth="1"/>
    <col min="9" max="9" width="7.33203125" customWidth="1"/>
  </cols>
  <sheetData>
    <row r="1" spans="1:23">
      <c r="A1" s="1" t="s">
        <v>1890</v>
      </c>
      <c r="B1" s="4"/>
      <c r="C1" s="4"/>
      <c r="D1" s="4"/>
      <c r="E1" s="4"/>
      <c r="F1" s="4"/>
      <c r="G1" s="4"/>
      <c r="H1" s="4"/>
      <c r="I1" s="4"/>
    </row>
    <row r="2" spans="1:23">
      <c r="A2" s="1" t="s">
        <v>1891</v>
      </c>
      <c r="B2" s="4"/>
      <c r="C2" s="4"/>
      <c r="D2" s="4"/>
      <c r="E2" s="4"/>
      <c r="F2" s="4"/>
      <c r="G2" s="4"/>
      <c r="H2" s="4"/>
      <c r="I2" s="4"/>
    </row>
    <row r="3" spans="1:23">
      <c r="A3" s="7" t="s">
        <v>1892</v>
      </c>
      <c r="B3" s="4"/>
      <c r="C3" s="4"/>
      <c r="D3" s="4"/>
      <c r="E3" s="4"/>
      <c r="F3" s="4"/>
      <c r="G3" s="4"/>
      <c r="H3" s="4"/>
      <c r="I3" s="4"/>
      <c r="L3" s="523"/>
    </row>
    <row r="4" spans="1:23" ht="13.5" thickBot="1">
      <c r="A4" s="481"/>
      <c r="B4" s="482"/>
      <c r="C4" s="483"/>
      <c r="D4" s="483"/>
      <c r="E4" s="483"/>
      <c r="F4" s="483"/>
      <c r="G4" s="483"/>
      <c r="H4" s="484"/>
      <c r="I4" s="4"/>
    </row>
    <row r="5" spans="1:23">
      <c r="A5" s="470" t="s">
        <v>1805</v>
      </c>
      <c r="B5" s="485"/>
      <c r="C5" s="513" t="s">
        <v>1806</v>
      </c>
      <c r="D5" s="513" t="s">
        <v>1807</v>
      </c>
      <c r="E5" s="513" t="s">
        <v>1808</v>
      </c>
      <c r="F5" s="513" t="s">
        <v>1093</v>
      </c>
      <c r="G5" s="513" t="s">
        <v>1809</v>
      </c>
      <c r="H5" s="512" t="s">
        <v>178</v>
      </c>
      <c r="I5" s="513" t="s">
        <v>1810</v>
      </c>
    </row>
    <row r="6" spans="1:23" ht="13.5" thickBot="1">
      <c r="A6" s="495"/>
      <c r="B6" s="496"/>
      <c r="C6" s="524" t="s">
        <v>1811</v>
      </c>
      <c r="D6" s="524" t="s">
        <v>1812</v>
      </c>
      <c r="E6" s="524" t="s">
        <v>1813</v>
      </c>
      <c r="F6" s="524"/>
      <c r="G6" s="524" t="s">
        <v>1814</v>
      </c>
      <c r="H6" s="515"/>
      <c r="I6" s="516"/>
    </row>
    <row r="7" spans="1:23">
      <c r="A7" s="497"/>
      <c r="B7" s="498"/>
      <c r="C7" s="486"/>
      <c r="D7" s="486"/>
      <c r="E7" s="486"/>
      <c r="F7" s="486"/>
      <c r="G7" s="486"/>
      <c r="H7" s="487"/>
      <c r="I7" s="486"/>
    </row>
    <row r="8" spans="1:23">
      <c r="A8" s="499">
        <v>1</v>
      </c>
      <c r="B8" s="499" t="s">
        <v>401</v>
      </c>
      <c r="C8" s="526">
        <v>1665.2455430499999</v>
      </c>
      <c r="D8" s="526">
        <v>10878.683118000001</v>
      </c>
      <c r="E8" s="526">
        <v>23.03838983</v>
      </c>
      <c r="F8" s="526">
        <v>0.10203766</v>
      </c>
      <c r="G8" s="526">
        <v>335.35041479</v>
      </c>
      <c r="H8" s="518">
        <f t="shared" ref="H8:H34" si="0">SUM(C8:G8)</f>
        <v>12902.419503330002</v>
      </c>
      <c r="I8" s="501">
        <f>H8/H36*100</f>
        <v>1.5344099404156928</v>
      </c>
      <c r="K8" s="526"/>
      <c r="L8" s="526"/>
      <c r="M8" s="526"/>
      <c r="N8" s="526"/>
      <c r="O8" s="526"/>
      <c r="P8" s="526"/>
      <c r="R8" s="61"/>
      <c r="S8" s="61"/>
      <c r="T8" s="61"/>
      <c r="U8" s="61"/>
      <c r="V8" s="61"/>
      <c r="W8" s="61"/>
    </row>
    <row r="9" spans="1:23">
      <c r="A9" s="499">
        <v>2</v>
      </c>
      <c r="B9" s="499" t="s">
        <v>402</v>
      </c>
      <c r="C9" s="526">
        <v>11847.01927841</v>
      </c>
      <c r="D9" s="526">
        <v>2172.5868494199999</v>
      </c>
      <c r="E9" s="526">
        <v>8.4866219699999998</v>
      </c>
      <c r="F9" s="526">
        <v>21.62136143</v>
      </c>
      <c r="G9" s="526">
        <v>72.129011460000001</v>
      </c>
      <c r="H9" s="518">
        <f t="shared" si="0"/>
        <v>14121.843122689999</v>
      </c>
      <c r="I9" s="501">
        <f>H9/H36*100</f>
        <v>1.6794289209751723</v>
      </c>
      <c r="K9" s="526"/>
      <c r="L9" s="526"/>
      <c r="M9" s="526"/>
      <c r="N9" s="526"/>
      <c r="O9" s="526"/>
      <c r="P9" s="526"/>
      <c r="R9" s="61"/>
      <c r="S9" s="61"/>
      <c r="T9" s="61"/>
      <c r="U9" s="61"/>
      <c r="V9" s="61"/>
      <c r="W9" s="61"/>
    </row>
    <row r="10" spans="1:23">
      <c r="A10" s="499">
        <v>3</v>
      </c>
      <c r="B10" s="499" t="s">
        <v>207</v>
      </c>
      <c r="C10" s="526">
        <v>52.902896519999999</v>
      </c>
      <c r="D10" s="526">
        <v>9847.1425663999999</v>
      </c>
      <c r="E10" s="526">
        <v>29.370581080000001</v>
      </c>
      <c r="F10" s="526">
        <v>1.8790886600000001</v>
      </c>
      <c r="G10" s="526">
        <v>452.37042715000001</v>
      </c>
      <c r="H10" s="518">
        <f t="shared" si="0"/>
        <v>10383.665559809999</v>
      </c>
      <c r="I10" s="501">
        <f>H10/H36*100</f>
        <v>1.2348691382118233</v>
      </c>
      <c r="K10" s="526"/>
      <c r="L10" s="526"/>
      <c r="M10" s="526"/>
      <c r="N10" s="526"/>
      <c r="O10" s="526"/>
      <c r="P10" s="526"/>
      <c r="Q10" s="61"/>
      <c r="R10" s="61"/>
      <c r="S10" s="61"/>
      <c r="T10" s="61"/>
      <c r="U10" s="61"/>
      <c r="V10" s="61"/>
      <c r="W10" s="61"/>
    </row>
    <row r="11" spans="1:23">
      <c r="A11" s="499">
        <v>4</v>
      </c>
      <c r="B11" s="499" t="s">
        <v>1267</v>
      </c>
      <c r="C11" s="526">
        <v>225.82690355</v>
      </c>
      <c r="D11" s="526">
        <v>38065.113027910003</v>
      </c>
      <c r="E11" s="526">
        <v>223.08643433</v>
      </c>
      <c r="F11" s="526">
        <v>32.672744190000003</v>
      </c>
      <c r="G11" s="526">
        <v>1647.1442426900001</v>
      </c>
      <c r="H11" s="518">
        <f t="shared" si="0"/>
        <v>40193.843352670003</v>
      </c>
      <c r="I11" s="501">
        <f>H11/H36*100</f>
        <v>4.7800207370354526</v>
      </c>
      <c r="K11" s="526"/>
      <c r="L11" s="526"/>
      <c r="M11" s="526"/>
      <c r="N11" s="526"/>
      <c r="O11" s="526"/>
      <c r="P11" s="526"/>
      <c r="Q11" s="61"/>
      <c r="R11" s="61"/>
      <c r="S11" s="61"/>
      <c r="T11" s="61"/>
      <c r="U11" s="61"/>
      <c r="V11" s="61"/>
      <c r="W11" s="61"/>
    </row>
    <row r="12" spans="1:23">
      <c r="A12" s="499">
        <v>5</v>
      </c>
      <c r="B12" s="499" t="s">
        <v>1183</v>
      </c>
      <c r="C12" s="526">
        <v>1358.8093661600001</v>
      </c>
      <c r="D12" s="526">
        <v>297.62900771</v>
      </c>
      <c r="E12" s="526">
        <v>0.64588995999999999</v>
      </c>
      <c r="F12" s="526">
        <v>3.2437029999999999E-2</v>
      </c>
      <c r="G12" s="526">
        <v>5.3207554500000001</v>
      </c>
      <c r="H12" s="518">
        <f t="shared" si="0"/>
        <v>1662.43745631</v>
      </c>
      <c r="I12" s="501">
        <f>H12/H36*100</f>
        <v>0.1977040474945872</v>
      </c>
      <c r="K12" s="526"/>
      <c r="L12" s="526"/>
      <c r="M12" s="526"/>
      <c r="N12" s="526"/>
      <c r="O12" s="526"/>
      <c r="P12" s="526"/>
      <c r="Q12" s="61"/>
      <c r="R12" s="61"/>
      <c r="S12" s="61"/>
      <c r="T12" s="61"/>
      <c r="U12" s="61"/>
      <c r="V12" s="61"/>
      <c r="W12" s="61"/>
    </row>
    <row r="13" spans="1:23">
      <c r="A13" s="499">
        <v>6</v>
      </c>
      <c r="B13" s="499" t="s">
        <v>1292</v>
      </c>
      <c r="C13" s="526">
        <v>1110.2606985699999</v>
      </c>
      <c r="D13" s="526">
        <v>37073.63416116</v>
      </c>
      <c r="E13" s="526">
        <v>8594.0089169799994</v>
      </c>
      <c r="F13" s="526">
        <v>48.048433340000003</v>
      </c>
      <c r="G13" s="526">
        <v>1151.7201400700001</v>
      </c>
      <c r="H13" s="518">
        <f t="shared" si="0"/>
        <v>47977.672350119996</v>
      </c>
      <c r="I13" s="501">
        <f>H13/H36*100</f>
        <v>5.7057063873199318</v>
      </c>
      <c r="K13" s="526"/>
      <c r="L13" s="526"/>
      <c r="M13" s="526"/>
      <c r="N13" s="526"/>
      <c r="O13" s="526"/>
      <c r="P13" s="526"/>
      <c r="Q13" s="61"/>
      <c r="R13" s="61"/>
      <c r="S13" s="61"/>
      <c r="T13" s="61"/>
      <c r="U13" s="61"/>
      <c r="V13" s="61"/>
      <c r="W13" s="61"/>
    </row>
    <row r="14" spans="1:23">
      <c r="A14" s="499">
        <v>7</v>
      </c>
      <c r="B14" s="499" t="s">
        <v>1269</v>
      </c>
      <c r="C14" s="526">
        <v>28649.446091559999</v>
      </c>
      <c r="D14" s="526">
        <v>2345.3575843799999</v>
      </c>
      <c r="E14" s="526">
        <v>1.6933393400000001</v>
      </c>
      <c r="F14" s="526">
        <v>5.1677787999999998</v>
      </c>
      <c r="G14" s="526">
        <v>25.659408849999998</v>
      </c>
      <c r="H14" s="518">
        <f t="shared" si="0"/>
        <v>31027.324202929998</v>
      </c>
      <c r="I14" s="501">
        <f>H14/H36*100</f>
        <v>3.6898997640860172</v>
      </c>
      <c r="K14" s="526"/>
      <c r="L14" s="526"/>
      <c r="M14" s="526"/>
      <c r="N14" s="526"/>
      <c r="O14" s="526"/>
      <c r="P14" s="526"/>
      <c r="Q14" s="61"/>
      <c r="R14" s="61"/>
      <c r="S14" s="61"/>
      <c r="T14" s="61"/>
      <c r="U14" s="61"/>
      <c r="V14" s="61"/>
      <c r="W14" s="61"/>
    </row>
    <row r="15" spans="1:23">
      <c r="A15" s="499">
        <v>8</v>
      </c>
      <c r="B15" s="499" t="s">
        <v>1231</v>
      </c>
      <c r="C15" s="526">
        <v>5298.2437913699996</v>
      </c>
      <c r="D15" s="526">
        <v>7072.4957758</v>
      </c>
      <c r="E15" s="526">
        <v>35.441605439999996</v>
      </c>
      <c r="F15" s="526">
        <v>4.67309514</v>
      </c>
      <c r="G15" s="526">
        <v>140.29649067</v>
      </c>
      <c r="H15" s="518">
        <f t="shared" si="0"/>
        <v>12551.150758420001</v>
      </c>
      <c r="I15" s="501">
        <f>H15/H36*100</f>
        <v>1.4926355853183297</v>
      </c>
      <c r="K15" s="526"/>
      <c r="L15" s="526"/>
      <c r="M15" s="526"/>
      <c r="N15" s="526"/>
      <c r="O15" s="526"/>
      <c r="P15" s="526"/>
      <c r="Q15" s="61"/>
      <c r="R15" s="61"/>
      <c r="S15" s="61"/>
      <c r="T15" s="61"/>
      <c r="U15" s="61"/>
      <c r="V15" s="61"/>
      <c r="W15" s="61"/>
    </row>
    <row r="16" spans="1:23">
      <c r="A16" s="499">
        <v>9</v>
      </c>
      <c r="B16" s="499" t="s">
        <v>1271</v>
      </c>
      <c r="C16" s="526">
        <v>53915.489990440001</v>
      </c>
      <c r="D16" s="526">
        <v>7546.2822236300099</v>
      </c>
      <c r="E16" s="526">
        <v>23.81945009</v>
      </c>
      <c r="F16" s="526">
        <v>-1.28540564</v>
      </c>
      <c r="G16" s="526">
        <v>104.73459422000001</v>
      </c>
      <c r="H16" s="518">
        <f t="shared" si="0"/>
        <v>61589.040852740007</v>
      </c>
      <c r="I16" s="501">
        <f>H16/H36*100</f>
        <v>7.3244275215762515</v>
      </c>
      <c r="K16" s="526"/>
      <c r="L16" s="526"/>
      <c r="M16" s="526"/>
      <c r="N16" s="526"/>
      <c r="O16" s="526"/>
      <c r="P16" s="526"/>
      <c r="Q16" s="61"/>
      <c r="R16" s="61"/>
      <c r="S16" s="61"/>
      <c r="T16" s="61"/>
      <c r="U16" s="61"/>
      <c r="V16" s="61"/>
      <c r="W16" s="61"/>
    </row>
    <row r="17" spans="1:23" ht="12.75" customHeight="1">
      <c r="A17" s="499" t="s">
        <v>1858</v>
      </c>
      <c r="B17" s="499" t="s">
        <v>1751</v>
      </c>
      <c r="C17" s="526">
        <v>90252.148600810004</v>
      </c>
      <c r="D17" s="526">
        <v>8130.0789197900003</v>
      </c>
      <c r="E17" s="526">
        <v>16.375683370000001</v>
      </c>
      <c r="F17" s="526">
        <v>8.9142907999999998</v>
      </c>
      <c r="G17" s="526">
        <v>628.72430643999996</v>
      </c>
      <c r="H17" s="518">
        <f t="shared" si="0"/>
        <v>99036.24180121001</v>
      </c>
      <c r="I17" s="501">
        <f>H17/H36*100</f>
        <v>11.77780600312745</v>
      </c>
      <c r="K17" s="526"/>
      <c r="L17" s="526"/>
      <c r="M17" s="526"/>
      <c r="N17" s="526"/>
      <c r="O17" s="526"/>
      <c r="P17" s="526"/>
      <c r="Q17" s="61"/>
      <c r="R17" s="61"/>
      <c r="S17" s="61"/>
      <c r="T17" s="61"/>
      <c r="U17" s="61"/>
      <c r="V17" s="61"/>
      <c r="W17" s="61"/>
    </row>
    <row r="18" spans="1:23">
      <c r="A18" s="499" t="s">
        <v>1859</v>
      </c>
      <c r="B18" s="499" t="s">
        <v>1273</v>
      </c>
      <c r="C18" s="526">
        <v>38790.787027079998</v>
      </c>
      <c r="D18" s="526">
        <v>500.71134677999999</v>
      </c>
      <c r="E18" s="526">
        <v>3.09796198</v>
      </c>
      <c r="F18" s="526">
        <v>-0.21634956</v>
      </c>
      <c r="G18" s="526">
        <v>18.511587559999999</v>
      </c>
      <c r="H18" s="518">
        <f t="shared" si="0"/>
        <v>39312.891573839996</v>
      </c>
      <c r="I18" s="501">
        <f>H18/H36*100</f>
        <v>4.6752542499347367</v>
      </c>
      <c r="K18" s="526"/>
      <c r="L18" s="526"/>
      <c r="M18" s="526"/>
      <c r="N18" s="526"/>
      <c r="O18" s="526"/>
      <c r="P18" s="526"/>
      <c r="Q18" s="61"/>
      <c r="R18" s="61"/>
      <c r="S18" s="61"/>
      <c r="T18" s="61"/>
      <c r="U18" s="61"/>
      <c r="V18" s="61"/>
      <c r="W18" s="61"/>
    </row>
    <row r="19" spans="1:23">
      <c r="A19" s="499" t="s">
        <v>1860</v>
      </c>
      <c r="B19" s="499" t="s">
        <v>593</v>
      </c>
      <c r="C19" s="526">
        <v>80809.260854249995</v>
      </c>
      <c r="D19" s="526"/>
      <c r="E19" s="526"/>
      <c r="F19" s="526">
        <v>3.7982670000000003E-2</v>
      </c>
      <c r="G19" s="526"/>
      <c r="H19" s="518">
        <f t="shared" si="0"/>
        <v>80809.298836919988</v>
      </c>
      <c r="I19" s="501">
        <f>H19/H36*100</f>
        <v>9.6101813602782311</v>
      </c>
      <c r="K19" s="526"/>
      <c r="L19" s="526"/>
      <c r="M19" s="526"/>
      <c r="N19" s="526"/>
      <c r="O19" s="526"/>
      <c r="P19" s="526"/>
      <c r="Q19" s="61"/>
      <c r="R19" s="61"/>
      <c r="S19" s="61"/>
      <c r="T19" s="61"/>
      <c r="U19" s="61"/>
      <c r="V19" s="61"/>
      <c r="W19" s="61"/>
    </row>
    <row r="20" spans="1:23">
      <c r="A20" s="499" t="s">
        <v>1861</v>
      </c>
      <c r="B20" s="499" t="s">
        <v>1214</v>
      </c>
      <c r="C20" s="526">
        <v>10213.9669048</v>
      </c>
      <c r="D20" s="526">
        <v>1838.47672188</v>
      </c>
      <c r="E20" s="526">
        <v>8.5744710000000002E-2</v>
      </c>
      <c r="F20" s="526">
        <v>-2.6837819999999998E-2</v>
      </c>
      <c r="G20" s="526">
        <v>172.00548918000001</v>
      </c>
      <c r="H20" s="518">
        <f t="shared" si="0"/>
        <v>12224.50802275</v>
      </c>
      <c r="I20" s="501">
        <f>H20/H36*100</f>
        <v>1.453789858712768</v>
      </c>
      <c r="K20" s="526"/>
      <c r="L20" s="526"/>
      <c r="M20" s="526"/>
      <c r="N20" s="526"/>
      <c r="O20" s="526"/>
      <c r="P20" s="526"/>
      <c r="Q20" s="61"/>
      <c r="R20" s="61"/>
      <c r="S20" s="61"/>
      <c r="T20" s="61"/>
      <c r="U20" s="61"/>
      <c r="V20" s="61"/>
      <c r="W20" s="61"/>
    </row>
    <row r="21" spans="1:23">
      <c r="A21" s="499" t="s">
        <v>1862</v>
      </c>
      <c r="B21" s="499" t="s">
        <v>595</v>
      </c>
      <c r="C21" s="526">
        <v>54541.995373500002</v>
      </c>
      <c r="D21" s="526">
        <v>12136.127599150001</v>
      </c>
      <c r="E21" s="526">
        <v>30.24138056</v>
      </c>
      <c r="F21" s="526">
        <v>-0.63911169000000001</v>
      </c>
      <c r="G21" s="526">
        <v>193.03475222</v>
      </c>
      <c r="H21" s="518">
        <f t="shared" si="0"/>
        <v>66900.759993739994</v>
      </c>
      <c r="I21" s="501">
        <f>H21/H36*100</f>
        <v>7.9561194804792432</v>
      </c>
      <c r="K21" s="526"/>
      <c r="L21" s="526"/>
      <c r="M21" s="526"/>
      <c r="N21" s="526"/>
      <c r="O21" s="526"/>
      <c r="P21" s="526"/>
      <c r="Q21" s="61"/>
      <c r="R21" s="61"/>
      <c r="S21" s="61"/>
      <c r="T21" s="61"/>
      <c r="U21" s="61"/>
      <c r="V21" s="61"/>
      <c r="W21" s="61"/>
    </row>
    <row r="22" spans="1:23">
      <c r="A22" s="499" t="s">
        <v>1863</v>
      </c>
      <c r="B22" s="499" t="s">
        <v>596</v>
      </c>
      <c r="C22" s="526">
        <v>16557.613555029999</v>
      </c>
      <c r="D22" s="526">
        <v>688.89389498000003</v>
      </c>
      <c r="E22" s="526">
        <v>1.86841254</v>
      </c>
      <c r="F22" s="526">
        <v>1603.15780131</v>
      </c>
      <c r="G22" s="526">
        <v>1101.8309718999999</v>
      </c>
      <c r="H22" s="518">
        <f t="shared" si="0"/>
        <v>19953.364635759997</v>
      </c>
      <c r="I22" s="501">
        <f>H22/H36*100</f>
        <v>2.3729379620579847</v>
      </c>
      <c r="K22" s="526"/>
      <c r="L22" s="526"/>
      <c r="M22" s="526"/>
      <c r="N22" s="526"/>
      <c r="O22" s="526"/>
      <c r="P22" s="526"/>
      <c r="Q22" s="61"/>
      <c r="R22" s="61"/>
      <c r="S22" s="61"/>
      <c r="T22" s="61"/>
      <c r="U22" s="61"/>
      <c r="V22" s="61"/>
      <c r="W22" s="61"/>
    </row>
    <row r="23" spans="1:23">
      <c r="A23" s="499" t="s">
        <v>1864</v>
      </c>
      <c r="B23" s="499" t="s">
        <v>73</v>
      </c>
      <c r="C23" s="526">
        <v>16128.76779677</v>
      </c>
      <c r="D23" s="526">
        <v>40797.926409339998</v>
      </c>
      <c r="E23" s="526">
        <v>314.72242738</v>
      </c>
      <c r="F23" s="526">
        <v>-43.785087820000001</v>
      </c>
      <c r="G23" s="526">
        <v>2221.4569052799998</v>
      </c>
      <c r="H23" s="518">
        <f t="shared" si="0"/>
        <v>59419.088450950003</v>
      </c>
      <c r="I23" s="501">
        <f>H23/H36*100</f>
        <v>7.0663676643009445</v>
      </c>
      <c r="K23" s="526"/>
      <c r="L23" s="526"/>
      <c r="M23" s="526"/>
      <c r="N23" s="526"/>
      <c r="O23" s="526"/>
      <c r="P23" s="526"/>
      <c r="Q23" s="61"/>
      <c r="R23" s="61"/>
      <c r="S23" s="61"/>
      <c r="T23" s="61"/>
      <c r="U23" s="61"/>
      <c r="V23" s="61"/>
      <c r="W23" s="61"/>
    </row>
    <row r="24" spans="1:23">
      <c r="A24" s="499" t="s">
        <v>1865</v>
      </c>
      <c r="B24" s="499" t="s">
        <v>74</v>
      </c>
      <c r="C24" s="526">
        <v>10559.085279639999</v>
      </c>
      <c r="D24" s="526">
        <v>2140.4680799799999</v>
      </c>
      <c r="E24" s="526">
        <v>25.40325627</v>
      </c>
      <c r="F24" s="526">
        <v>0.25588550999999998</v>
      </c>
      <c r="G24" s="526">
        <v>101.93036664</v>
      </c>
      <c r="H24" s="518">
        <f t="shared" si="0"/>
        <v>12827.142868039999</v>
      </c>
      <c r="I24" s="501">
        <f>H24/H36*100</f>
        <v>1.5254577266514282</v>
      </c>
      <c r="K24" s="526"/>
      <c r="L24" s="526"/>
      <c r="M24" s="526"/>
      <c r="N24" s="526"/>
      <c r="O24" s="526"/>
      <c r="P24" s="526"/>
      <c r="Q24" s="61"/>
      <c r="R24" s="61"/>
      <c r="S24" s="61"/>
      <c r="T24" s="61"/>
      <c r="U24" s="61"/>
      <c r="V24" s="61"/>
      <c r="W24" s="61"/>
    </row>
    <row r="25" spans="1:23" ht="22.5">
      <c r="A25" s="197" t="s">
        <v>1866</v>
      </c>
      <c r="B25" s="197" t="s">
        <v>1889</v>
      </c>
      <c r="C25" s="526">
        <v>93.837740920000002</v>
      </c>
      <c r="D25" s="526">
        <v>947.30426335000004</v>
      </c>
      <c r="E25" s="526">
        <v>7.8009117799999999</v>
      </c>
      <c r="F25" s="526">
        <v>-4.5238989999999903E-2</v>
      </c>
      <c r="G25" s="526">
        <v>27.500211159999999</v>
      </c>
      <c r="H25" s="520">
        <f t="shared" si="0"/>
        <v>1076.3978882200001</v>
      </c>
      <c r="I25" s="503">
        <f>H25/H36*100</f>
        <v>0.12800975965019237</v>
      </c>
      <c r="K25" s="526"/>
      <c r="L25" s="526"/>
      <c r="M25" s="526"/>
      <c r="N25" s="526"/>
      <c r="O25" s="526"/>
      <c r="P25" s="526"/>
      <c r="Q25" s="61"/>
      <c r="R25" s="61"/>
      <c r="S25" s="61"/>
      <c r="T25" s="61"/>
      <c r="U25" s="61"/>
      <c r="V25" s="61"/>
      <c r="W25" s="61"/>
    </row>
    <row r="26" spans="1:23">
      <c r="A26" s="499" t="s">
        <v>1867</v>
      </c>
      <c r="B26" s="499" t="s">
        <v>1215</v>
      </c>
      <c r="C26" s="526">
        <v>2642.60158318</v>
      </c>
      <c r="D26" s="526">
        <v>220.89129381999999</v>
      </c>
      <c r="E26" s="526">
        <v>0.54234079000000002</v>
      </c>
      <c r="F26" s="526">
        <v>-1.25182232</v>
      </c>
      <c r="G26" s="526">
        <v>15.746650470000001</v>
      </c>
      <c r="H26" s="518">
        <f t="shared" si="0"/>
        <v>2878.53004594</v>
      </c>
      <c r="I26" s="501">
        <f>H26/H36*100</f>
        <v>0.3423268880023338</v>
      </c>
      <c r="K26" s="526"/>
      <c r="L26" s="526"/>
      <c r="M26" s="526"/>
      <c r="N26" s="526"/>
      <c r="O26" s="526"/>
      <c r="P26" s="526"/>
      <c r="Q26" s="61"/>
      <c r="R26" s="61"/>
      <c r="S26" s="61"/>
      <c r="T26" s="61"/>
      <c r="U26" s="61"/>
      <c r="V26" s="61"/>
      <c r="W26" s="61"/>
    </row>
    <row r="27" spans="1:23">
      <c r="A27" s="499" t="s">
        <v>1868</v>
      </c>
      <c r="B27" s="499" t="s">
        <v>1869</v>
      </c>
      <c r="C27" s="526">
        <v>1125.3266086799999</v>
      </c>
      <c r="D27" s="526">
        <v>3710.5805266900002</v>
      </c>
      <c r="E27" s="526">
        <v>184.15400732000001</v>
      </c>
      <c r="F27" s="526">
        <v>3.7265180099999999</v>
      </c>
      <c r="G27" s="526">
        <v>61.314653300000003</v>
      </c>
      <c r="H27" s="518">
        <f t="shared" si="0"/>
        <v>5085.1023140000007</v>
      </c>
      <c r="I27" s="501">
        <f>H27/H36*100</f>
        <v>0.60474173364295369</v>
      </c>
      <c r="K27" s="526"/>
      <c r="L27" s="526"/>
      <c r="M27" s="526"/>
      <c r="N27" s="526"/>
      <c r="O27" s="526"/>
      <c r="P27" s="526"/>
      <c r="Q27" s="61"/>
      <c r="R27" s="61"/>
      <c r="S27" s="61"/>
      <c r="T27" s="61"/>
      <c r="U27" s="61"/>
      <c r="V27" s="61"/>
      <c r="W27" s="61"/>
    </row>
    <row r="28" spans="1:23">
      <c r="A28" s="499" t="s">
        <v>1870</v>
      </c>
      <c r="B28" s="499" t="s">
        <v>77</v>
      </c>
      <c r="C28" s="526">
        <v>1410.24133908</v>
      </c>
      <c r="D28" s="526">
        <v>1222.6697716900001</v>
      </c>
      <c r="E28" s="526">
        <v>10.324112230000001</v>
      </c>
      <c r="F28" s="526">
        <v>-4.9463310000000003E-2</v>
      </c>
      <c r="G28" s="526">
        <v>215.07047385000001</v>
      </c>
      <c r="H28" s="518">
        <f t="shared" si="0"/>
        <v>2858.2562335399998</v>
      </c>
      <c r="I28" s="501">
        <f>H28/H36*100</f>
        <v>0.3399158410457026</v>
      </c>
      <c r="K28" s="526"/>
      <c r="L28" s="526"/>
      <c r="M28" s="526"/>
      <c r="N28" s="526"/>
      <c r="O28" s="526"/>
      <c r="P28" s="526"/>
      <c r="Q28" s="61"/>
      <c r="R28" s="61"/>
      <c r="S28" s="61"/>
      <c r="T28" s="61"/>
      <c r="U28" s="61"/>
      <c r="V28" s="61"/>
      <c r="W28" s="61"/>
    </row>
    <row r="29" spans="1:23">
      <c r="A29" s="499" t="s">
        <v>1871</v>
      </c>
      <c r="B29" s="499" t="s">
        <v>78</v>
      </c>
      <c r="C29" s="526">
        <v>3818.4933102999998</v>
      </c>
      <c r="D29" s="526">
        <v>20650.963358559999</v>
      </c>
      <c r="E29" s="526">
        <v>19403.57992045</v>
      </c>
      <c r="F29" s="526">
        <v>701.98899309000001</v>
      </c>
      <c r="G29" s="526">
        <v>1386.5659509</v>
      </c>
      <c r="H29" s="518">
        <f t="shared" si="0"/>
        <v>45961.591533300001</v>
      </c>
      <c r="I29" s="501">
        <f>H29/H36*100</f>
        <v>5.4659455854632268</v>
      </c>
      <c r="K29" s="526"/>
      <c r="L29" s="526"/>
      <c r="M29" s="526"/>
      <c r="N29" s="526"/>
      <c r="O29" s="526"/>
      <c r="P29" s="526"/>
      <c r="Q29" s="61"/>
      <c r="R29" s="61"/>
      <c r="S29" s="61"/>
      <c r="T29" s="61"/>
      <c r="U29" s="61"/>
      <c r="V29" s="61"/>
      <c r="W29" s="61"/>
    </row>
    <row r="30" spans="1:23">
      <c r="A30" s="499" t="s">
        <v>1872</v>
      </c>
      <c r="B30" s="499" t="s">
        <v>1318</v>
      </c>
      <c r="C30" s="526">
        <v>12096.040199630001</v>
      </c>
      <c r="D30" s="526">
        <v>4003.3535027600001</v>
      </c>
      <c r="E30" s="526">
        <v>21.60342168</v>
      </c>
      <c r="F30" s="526">
        <v>3.9667623999999999</v>
      </c>
      <c r="G30" s="526">
        <v>77.606693829999998</v>
      </c>
      <c r="H30" s="518">
        <f t="shared" si="0"/>
        <v>16202.570580299998</v>
      </c>
      <c r="I30" s="501">
        <f>H30/H36*100</f>
        <v>1.9268777729853435</v>
      </c>
      <c r="K30" s="526"/>
      <c r="L30" s="526"/>
      <c r="M30" s="526"/>
      <c r="N30" s="526"/>
      <c r="O30" s="526"/>
      <c r="P30" s="526"/>
      <c r="Q30" s="61"/>
      <c r="R30" s="61"/>
      <c r="S30" s="61"/>
      <c r="T30" s="61"/>
      <c r="U30" s="61"/>
      <c r="V30" s="61"/>
      <c r="W30" s="61"/>
    </row>
    <row r="31" spans="1:23">
      <c r="A31" s="499" t="s">
        <v>1873</v>
      </c>
      <c r="B31" s="499" t="s">
        <v>1087</v>
      </c>
      <c r="C31" s="526">
        <v>3366.00540176</v>
      </c>
      <c r="D31" s="526">
        <v>2032.8660402200001</v>
      </c>
      <c r="E31" s="526">
        <v>18.395406439999999</v>
      </c>
      <c r="F31" s="526">
        <v>-0.31935127000000002</v>
      </c>
      <c r="G31" s="526">
        <v>22.07442292</v>
      </c>
      <c r="H31" s="518">
        <f t="shared" si="0"/>
        <v>5439.0219200700003</v>
      </c>
      <c r="I31" s="501">
        <f>H31/H36*100</f>
        <v>0.6468313402877891</v>
      </c>
      <c r="K31" s="526"/>
      <c r="L31" s="526"/>
      <c r="M31" s="526"/>
      <c r="N31" s="526"/>
      <c r="O31" s="526"/>
      <c r="P31" s="526"/>
      <c r="Q31" s="61"/>
      <c r="R31" s="61"/>
      <c r="S31" s="61"/>
      <c r="T31" s="61"/>
      <c r="U31" s="61"/>
      <c r="V31" s="61"/>
      <c r="W31" s="61"/>
    </row>
    <row r="32" spans="1:23">
      <c r="A32" s="499" t="s">
        <v>1874</v>
      </c>
      <c r="B32" s="499" t="s">
        <v>1088</v>
      </c>
      <c r="C32" s="526">
        <v>93599.096816000005</v>
      </c>
      <c r="D32" s="526"/>
      <c r="E32" s="526"/>
      <c r="F32" s="526"/>
      <c r="G32" s="526"/>
      <c r="H32" s="518">
        <f t="shared" si="0"/>
        <v>93599.096816000005</v>
      </c>
      <c r="I32" s="501">
        <f>H32/H36*100</f>
        <v>11.131197875819671</v>
      </c>
      <c r="K32" s="526"/>
      <c r="L32" s="526"/>
      <c r="M32" s="526"/>
      <c r="N32" s="526"/>
      <c r="O32" s="526"/>
      <c r="P32" s="526"/>
      <c r="Q32" s="61"/>
      <c r="R32" s="61"/>
      <c r="S32" s="61"/>
      <c r="T32" s="61"/>
      <c r="U32" s="61"/>
      <c r="V32" s="61"/>
      <c r="W32" s="61"/>
    </row>
    <row r="33" spans="1:23">
      <c r="A33" s="499" t="s">
        <v>1875</v>
      </c>
      <c r="B33" s="499" t="s">
        <v>422</v>
      </c>
      <c r="C33" s="526">
        <v>10.432156770000001</v>
      </c>
      <c r="D33" s="526"/>
      <c r="E33" s="526"/>
      <c r="F33" s="526">
        <v>3199.93154534</v>
      </c>
      <c r="G33" s="526">
        <v>115.13211479</v>
      </c>
      <c r="H33" s="518">
        <f t="shared" si="0"/>
        <v>3325.4958168999997</v>
      </c>
      <c r="I33" s="501">
        <f>H33/H36*100</f>
        <v>0.39548193553505284</v>
      </c>
      <c r="K33" s="526"/>
      <c r="L33" s="526"/>
      <c r="M33" s="526"/>
      <c r="N33" s="526"/>
      <c r="O33" s="526"/>
      <c r="P33" s="526"/>
      <c r="Q33" s="61"/>
      <c r="R33" s="61"/>
      <c r="S33" s="61"/>
      <c r="T33" s="61"/>
      <c r="U33" s="61"/>
      <c r="V33" s="61"/>
      <c r="W33" s="61"/>
    </row>
    <row r="34" spans="1:23">
      <c r="A34" s="499" t="s">
        <v>1876</v>
      </c>
      <c r="B34" s="499" t="s">
        <v>1750</v>
      </c>
      <c r="C34" s="526">
        <v>41552.980038840004</v>
      </c>
      <c r="D34" s="526"/>
      <c r="E34" s="526"/>
      <c r="F34" s="526"/>
      <c r="G34" s="526"/>
      <c r="H34" s="518">
        <f t="shared" si="0"/>
        <v>41552.980038840004</v>
      </c>
      <c r="I34" s="501">
        <f>H34/H36*100</f>
        <v>4.9416549825430218</v>
      </c>
      <c r="K34" s="526"/>
      <c r="L34" s="526"/>
      <c r="M34" s="526"/>
      <c r="N34" s="526"/>
      <c r="O34" s="526"/>
      <c r="P34" s="526"/>
      <c r="R34" s="61"/>
      <c r="S34" s="61"/>
      <c r="T34" s="61"/>
      <c r="U34" s="61"/>
      <c r="V34" s="61"/>
      <c r="W34" s="61"/>
    </row>
    <row r="35" spans="1:23">
      <c r="A35" s="499"/>
      <c r="B35" s="499"/>
      <c r="C35" s="517"/>
      <c r="D35" s="517"/>
      <c r="E35" s="517"/>
      <c r="F35" s="490"/>
      <c r="G35" s="517"/>
      <c r="H35" s="518"/>
      <c r="I35" s="501"/>
      <c r="K35" s="526"/>
      <c r="L35" s="526"/>
      <c r="M35" s="526"/>
      <c r="N35" s="526"/>
      <c r="O35" s="526"/>
      <c r="P35" s="526"/>
      <c r="R35" s="61"/>
      <c r="S35" s="61"/>
      <c r="T35" s="61"/>
      <c r="U35" s="61"/>
      <c r="V35" s="61"/>
      <c r="W35" s="61"/>
    </row>
    <row r="36" spans="1:23">
      <c r="A36" s="499"/>
      <c r="B36" s="488" t="s">
        <v>1844</v>
      </c>
      <c r="C36" s="518">
        <v>581691.92500000005</v>
      </c>
      <c r="D36" s="518">
        <v>214320.236</v>
      </c>
      <c r="E36" s="518">
        <v>28977.786</v>
      </c>
      <c r="F36" s="518">
        <v>5588.558</v>
      </c>
      <c r="G36" s="518">
        <v>10293.231</v>
      </c>
      <c r="H36" s="518">
        <v>840871.73600000003</v>
      </c>
      <c r="I36" s="501">
        <v>100</v>
      </c>
      <c r="J36" s="61"/>
      <c r="K36" s="510"/>
      <c r="U36" s="61"/>
    </row>
    <row r="37" spans="1:23" ht="13.5" thickBot="1">
      <c r="A37" s="505"/>
      <c r="B37" s="506" t="s">
        <v>1810</v>
      </c>
      <c r="C37" s="507">
        <f>C36/H36*100</f>
        <v>69.177247860308626</v>
      </c>
      <c r="D37" s="507">
        <f>D36/H36*100</f>
        <v>25.487862990795069</v>
      </c>
      <c r="E37" s="507">
        <f>E36/H36*100</f>
        <v>3.4461600692926608</v>
      </c>
      <c r="F37" s="507">
        <f>F36/H36*100</f>
        <v>0.66461479923021216</v>
      </c>
      <c r="G37" s="507">
        <f>G36/H36*100</f>
        <v>1.2241142803734337</v>
      </c>
      <c r="H37" s="507">
        <f>H36/H36*100</f>
        <v>100</v>
      </c>
      <c r="I37" s="522"/>
    </row>
    <row r="38" spans="1:23">
      <c r="A38" s="4" t="s">
        <v>179</v>
      </c>
      <c r="B38" s="4"/>
      <c r="C38" s="4"/>
      <c r="D38" s="4"/>
      <c r="E38" s="4"/>
      <c r="F38" s="4"/>
      <c r="G38" s="4"/>
      <c r="H38" s="4"/>
      <c r="I38" s="4"/>
    </row>
    <row r="39" spans="1:23">
      <c r="A39" s="525" t="s">
        <v>539</v>
      </c>
      <c r="B39" s="448"/>
      <c r="C39" s="4"/>
      <c r="D39" s="4"/>
      <c r="E39" s="4"/>
      <c r="F39" s="4"/>
      <c r="G39" s="4"/>
      <c r="H39" s="4"/>
      <c r="I39" s="4"/>
    </row>
  </sheetData>
  <pageMargins left="0.7" right="0.7" top="0.75" bottom="0.75" header="0.3" footer="0.3"/>
  <pageSetup paperSize="9"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4"/>
  <sheetViews>
    <sheetView workbookViewId="0">
      <selection activeCell="F49" sqref="F49"/>
    </sheetView>
  </sheetViews>
  <sheetFormatPr defaultRowHeight="12.75"/>
  <cols>
    <col min="1" max="1" width="50.6640625" style="469" customWidth="1"/>
    <col min="2" max="2" width="7.33203125" style="469" bestFit="1" customWidth="1"/>
    <col min="3" max="6" width="6.6640625" style="469" bestFit="1" customWidth="1"/>
    <col min="7" max="15" width="7.33203125" style="469" bestFit="1" customWidth="1"/>
    <col min="16" max="16" width="8.33203125" style="469" bestFit="1" customWidth="1"/>
    <col min="17" max="19" width="7.33203125" style="469" bestFit="1" customWidth="1"/>
    <col min="20" max="20" width="9.33203125" style="469"/>
    <col min="21" max="21" width="7.33203125" style="469" bestFit="1" customWidth="1"/>
    <col min="22" max="16384" width="9.33203125" style="469"/>
  </cols>
  <sheetData>
    <row r="1" spans="1:22">
      <c r="A1" s="83" t="s">
        <v>404</v>
      </c>
      <c r="B1" s="112"/>
      <c r="C1" s="112"/>
      <c r="D1" s="112"/>
      <c r="E1" s="112"/>
      <c r="F1" s="112"/>
      <c r="G1" s="112"/>
      <c r="H1" s="112"/>
      <c r="I1" s="112"/>
      <c r="J1" s="112"/>
      <c r="K1" s="112"/>
      <c r="L1" s="112"/>
      <c r="M1" s="112"/>
      <c r="N1" s="112"/>
      <c r="O1" s="112"/>
      <c r="P1" s="112"/>
      <c r="Q1" s="112"/>
      <c r="R1" s="112"/>
      <c r="S1" s="112"/>
    </row>
    <row r="2" spans="1:22">
      <c r="A2" s="83" t="s">
        <v>1996</v>
      </c>
      <c r="B2" s="112"/>
      <c r="C2" s="112"/>
      <c r="D2" s="112"/>
      <c r="E2" s="112"/>
      <c r="F2" s="112"/>
      <c r="G2" s="112"/>
      <c r="H2" s="112"/>
      <c r="I2" s="112"/>
      <c r="J2" s="112"/>
      <c r="K2" s="112"/>
      <c r="L2" s="112"/>
      <c r="M2" s="112"/>
      <c r="N2" s="112"/>
      <c r="O2" s="112"/>
      <c r="P2" s="112"/>
      <c r="Q2" s="112"/>
      <c r="R2" s="112"/>
      <c r="S2" s="112"/>
    </row>
    <row r="3" spans="1:22">
      <c r="A3" s="112" t="s">
        <v>1997</v>
      </c>
      <c r="B3" s="112"/>
      <c r="C3" s="112"/>
      <c r="D3" s="112"/>
      <c r="E3" s="112"/>
      <c r="F3" s="112"/>
      <c r="G3" s="112"/>
      <c r="H3" s="112"/>
      <c r="I3" s="112"/>
      <c r="J3" s="112"/>
      <c r="K3" s="112"/>
      <c r="L3" s="112"/>
      <c r="M3" s="112"/>
      <c r="N3" s="112"/>
      <c r="O3" s="112"/>
      <c r="P3" s="112"/>
      <c r="Q3" s="112"/>
      <c r="R3" s="112"/>
      <c r="S3" s="112"/>
    </row>
    <row r="4" spans="1:22" ht="13.5" thickBot="1">
      <c r="A4" s="115"/>
      <c r="B4" s="113"/>
      <c r="C4" s="113"/>
      <c r="D4" s="113"/>
      <c r="E4" s="113"/>
      <c r="F4" s="113"/>
      <c r="G4" s="116"/>
      <c r="H4" s="116"/>
      <c r="I4" s="113"/>
      <c r="J4" s="113"/>
      <c r="K4" s="113"/>
      <c r="L4" s="113"/>
      <c r="M4" s="113"/>
      <c r="N4" s="113"/>
      <c r="O4" s="113"/>
      <c r="P4" s="113"/>
      <c r="Q4" s="113"/>
      <c r="R4" s="113"/>
      <c r="S4" s="113"/>
      <c r="T4" s="113"/>
      <c r="U4" s="113"/>
    </row>
    <row r="5" spans="1:22">
      <c r="A5" s="117" t="s">
        <v>452</v>
      </c>
      <c r="B5" s="118">
        <v>1995</v>
      </c>
      <c r="C5" s="118">
        <v>1996</v>
      </c>
      <c r="D5" s="118">
        <v>1997</v>
      </c>
      <c r="E5" s="114">
        <v>1998</v>
      </c>
      <c r="F5" s="114">
        <v>1999</v>
      </c>
      <c r="G5" s="114">
        <v>2000</v>
      </c>
      <c r="H5" s="114">
        <v>2001</v>
      </c>
      <c r="I5" s="114">
        <v>2002</v>
      </c>
      <c r="J5" s="114">
        <v>2003</v>
      </c>
      <c r="K5" s="114">
        <v>2004</v>
      </c>
      <c r="L5" s="114">
        <v>2005</v>
      </c>
      <c r="M5" s="114">
        <v>2006</v>
      </c>
      <c r="N5" s="114">
        <v>2007</v>
      </c>
      <c r="O5" s="114">
        <v>2008</v>
      </c>
      <c r="P5" s="114">
        <v>2009</v>
      </c>
      <c r="Q5" s="114">
        <v>2010</v>
      </c>
      <c r="R5" s="114">
        <v>2011</v>
      </c>
      <c r="S5" s="114">
        <v>2012</v>
      </c>
      <c r="T5" s="114">
        <v>2013</v>
      </c>
      <c r="U5" s="114">
        <v>2014</v>
      </c>
    </row>
    <row r="6" spans="1:22">
      <c r="A6" s="119" t="s">
        <v>1080</v>
      </c>
      <c r="B6" s="85">
        <v>-1842</v>
      </c>
      <c r="C6" s="85">
        <v>-1681</v>
      </c>
      <c r="D6" s="85">
        <v>-876</v>
      </c>
      <c r="E6" s="85">
        <v>-450</v>
      </c>
      <c r="F6" s="85">
        <v>0</v>
      </c>
      <c r="G6" s="85">
        <v>3217</v>
      </c>
      <c r="H6" s="85">
        <v>-5465</v>
      </c>
      <c r="I6" s="85">
        <v>-3779</v>
      </c>
      <c r="J6" s="85">
        <v>9789</v>
      </c>
      <c r="K6" s="85">
        <v>-122</v>
      </c>
      <c r="L6" s="85">
        <v>-3173</v>
      </c>
      <c r="M6" s="85">
        <v>-6073.17</v>
      </c>
      <c r="N6" s="85">
        <v>-12978.83</v>
      </c>
      <c r="O6" s="85">
        <v>-51529</v>
      </c>
      <c r="P6" s="85">
        <v>-7756</v>
      </c>
      <c r="Q6" s="85">
        <v>9937</v>
      </c>
      <c r="R6" s="85">
        <v>0</v>
      </c>
      <c r="S6" s="85">
        <v>-1000</v>
      </c>
      <c r="T6" s="85">
        <v>-2518</v>
      </c>
      <c r="U6" s="85">
        <v>-5789</v>
      </c>
      <c r="V6" s="638"/>
    </row>
    <row r="7" spans="1:22">
      <c r="A7" s="120" t="s">
        <v>1411</v>
      </c>
      <c r="B7" s="84">
        <v>-1842</v>
      </c>
      <c r="C7" s="84">
        <v>-1681</v>
      </c>
      <c r="D7" s="84">
        <v>-876</v>
      </c>
      <c r="E7" s="84"/>
      <c r="F7" s="120"/>
      <c r="G7" s="121"/>
      <c r="H7" s="84"/>
      <c r="I7" s="84"/>
      <c r="J7" s="84"/>
      <c r="K7" s="84"/>
      <c r="L7" s="84"/>
      <c r="M7" s="84"/>
      <c r="N7" s="112"/>
      <c r="O7" s="112"/>
      <c r="P7" s="112"/>
      <c r="Q7" s="112"/>
      <c r="R7" s="112"/>
      <c r="S7" s="112"/>
      <c r="T7" s="84">
        <v>-2518</v>
      </c>
      <c r="U7" s="84"/>
    </row>
    <row r="8" spans="1:22">
      <c r="A8" s="120" t="s">
        <v>453</v>
      </c>
      <c r="B8" s="84"/>
      <c r="C8" s="84"/>
      <c r="D8" s="84"/>
      <c r="E8" s="84">
        <v>-450</v>
      </c>
      <c r="F8" s="120"/>
      <c r="G8" s="121"/>
      <c r="H8" s="84"/>
      <c r="I8" s="84"/>
      <c r="J8" s="84"/>
      <c r="K8" s="84"/>
      <c r="L8" s="84"/>
      <c r="M8" s="84"/>
      <c r="N8" s="112"/>
      <c r="O8" s="112"/>
      <c r="P8" s="112"/>
      <c r="Q8" s="112"/>
      <c r="R8" s="112"/>
      <c r="S8" s="112"/>
      <c r="T8" s="112"/>
      <c r="U8" s="112"/>
    </row>
    <row r="9" spans="1:22">
      <c r="A9" s="120" t="s">
        <v>1133</v>
      </c>
      <c r="B9" s="84"/>
      <c r="C9" s="84"/>
      <c r="D9" s="84"/>
      <c r="E9" s="84"/>
      <c r="F9" s="120"/>
      <c r="G9" s="84">
        <v>3477</v>
      </c>
      <c r="H9" s="84">
        <v>-4025</v>
      </c>
      <c r="I9" s="84">
        <v>25</v>
      </c>
      <c r="J9" s="84">
        <v>4000</v>
      </c>
      <c r="K9" s="84"/>
      <c r="L9" s="84"/>
      <c r="M9" s="84"/>
      <c r="N9" s="112"/>
      <c r="O9" s="112"/>
      <c r="P9" s="84"/>
      <c r="Q9" s="84"/>
      <c r="R9" s="84"/>
      <c r="S9" s="84"/>
      <c r="T9" s="84"/>
      <c r="U9" s="84"/>
    </row>
    <row r="10" spans="1:22">
      <c r="A10" s="120" t="s">
        <v>1433</v>
      </c>
      <c r="B10" s="84"/>
      <c r="C10" s="84"/>
      <c r="D10" s="84"/>
      <c r="E10" s="84"/>
      <c r="F10" s="120"/>
      <c r="G10" s="84"/>
      <c r="H10" s="84"/>
      <c r="I10" s="84"/>
      <c r="J10" s="84"/>
      <c r="K10" s="84">
        <v>2413</v>
      </c>
      <c r="L10" s="84">
        <v>-1908</v>
      </c>
      <c r="M10" s="84">
        <v>-4016</v>
      </c>
      <c r="N10" s="112"/>
      <c r="O10" s="112"/>
      <c r="P10" s="84"/>
      <c r="Q10" s="84"/>
      <c r="R10" s="84"/>
      <c r="S10" s="84"/>
      <c r="T10" s="84"/>
      <c r="U10" s="84"/>
    </row>
    <row r="11" spans="1:22">
      <c r="A11" s="120" t="s">
        <v>1134</v>
      </c>
      <c r="B11" s="84"/>
      <c r="C11" s="84"/>
      <c r="D11" s="84"/>
      <c r="E11" s="84"/>
      <c r="F11" s="120"/>
      <c r="G11" s="84">
        <v>-260</v>
      </c>
      <c r="H11" s="84">
        <v>305</v>
      </c>
      <c r="I11" s="84"/>
      <c r="J11" s="84"/>
      <c r="K11" s="84"/>
      <c r="L11" s="84"/>
      <c r="M11" s="84"/>
      <c r="N11" s="112"/>
      <c r="O11" s="112"/>
      <c r="P11" s="84"/>
      <c r="Q11" s="84"/>
      <c r="R11" s="84"/>
      <c r="S11" s="84"/>
      <c r="T11" s="84"/>
      <c r="U11" s="84"/>
    </row>
    <row r="12" spans="1:22">
      <c r="A12" s="120" t="s">
        <v>784</v>
      </c>
      <c r="B12" s="84"/>
      <c r="C12" s="84"/>
      <c r="D12" s="84"/>
      <c r="E12" s="84"/>
      <c r="F12" s="120"/>
      <c r="G12" s="84"/>
      <c r="H12" s="84">
        <v>-1745</v>
      </c>
      <c r="I12" s="84">
        <v>-1498</v>
      </c>
      <c r="J12" s="84">
        <v>5789</v>
      </c>
      <c r="K12" s="84">
        <v>-2535</v>
      </c>
      <c r="L12" s="84"/>
      <c r="M12" s="84"/>
      <c r="N12" s="112"/>
      <c r="O12" s="112"/>
      <c r="P12" s="84"/>
      <c r="Q12" s="84"/>
      <c r="R12" s="84"/>
      <c r="S12" s="84"/>
      <c r="T12" s="84"/>
      <c r="U12" s="84"/>
    </row>
    <row r="13" spans="1:22">
      <c r="A13" s="120" t="s">
        <v>409</v>
      </c>
      <c r="B13" s="84"/>
      <c r="C13" s="84"/>
      <c r="D13" s="84"/>
      <c r="E13" s="84"/>
      <c r="F13" s="120"/>
      <c r="G13" s="84"/>
      <c r="H13" s="84"/>
      <c r="I13" s="84"/>
      <c r="J13" s="84"/>
      <c r="K13" s="84"/>
      <c r="L13" s="84"/>
      <c r="M13" s="84"/>
      <c r="N13" s="84">
        <v>-3338</v>
      </c>
      <c r="O13" s="84">
        <v>-3230</v>
      </c>
      <c r="P13" s="84">
        <v>6542</v>
      </c>
      <c r="Q13" s="84"/>
      <c r="R13" s="84"/>
      <c r="S13" s="84"/>
      <c r="T13" s="84"/>
      <c r="U13" s="84">
        <v>-3214</v>
      </c>
    </row>
    <row r="14" spans="1:22">
      <c r="A14" s="120" t="s">
        <v>1992</v>
      </c>
      <c r="B14" s="84"/>
      <c r="C14" s="84"/>
      <c r="D14" s="84"/>
      <c r="E14" s="84"/>
      <c r="F14" s="120"/>
      <c r="G14" s="84"/>
      <c r="H14" s="84"/>
      <c r="I14" s="84"/>
      <c r="J14" s="84"/>
      <c r="K14" s="84"/>
      <c r="L14" s="84"/>
      <c r="M14" s="84"/>
      <c r="N14" s="84"/>
      <c r="O14" s="84"/>
      <c r="P14" s="84"/>
      <c r="Q14" s="84"/>
      <c r="R14" s="84"/>
      <c r="S14" s="84"/>
      <c r="T14" s="84"/>
      <c r="U14" s="84">
        <v>-2575</v>
      </c>
    </row>
    <row r="15" spans="1:22">
      <c r="A15" s="120" t="s">
        <v>410</v>
      </c>
      <c r="B15" s="84"/>
      <c r="C15" s="84"/>
      <c r="D15" s="84"/>
      <c r="E15" s="84"/>
      <c r="F15" s="120"/>
      <c r="G15" s="84"/>
      <c r="H15" s="84"/>
      <c r="I15" s="84"/>
      <c r="J15" s="84"/>
      <c r="K15" s="84"/>
      <c r="L15" s="84"/>
      <c r="M15" s="84"/>
      <c r="N15" s="84"/>
      <c r="O15" s="84"/>
      <c r="P15" s="84">
        <v>-13000</v>
      </c>
      <c r="Q15" s="84">
        <v>13000</v>
      </c>
      <c r="R15" s="84"/>
      <c r="S15" s="84"/>
      <c r="T15" s="84"/>
    </row>
    <row r="16" spans="1:22">
      <c r="A16" s="120" t="s">
        <v>454</v>
      </c>
      <c r="B16" s="84"/>
      <c r="C16" s="84"/>
      <c r="D16" s="84"/>
      <c r="E16" s="84"/>
      <c r="F16" s="120"/>
      <c r="G16" s="84"/>
      <c r="H16" s="84"/>
      <c r="I16" s="84">
        <v>-2306</v>
      </c>
      <c r="J16" s="84"/>
      <c r="K16" s="84"/>
      <c r="L16" s="84"/>
      <c r="M16" s="84"/>
      <c r="N16" s="112"/>
      <c r="O16" s="112"/>
      <c r="P16" s="84"/>
      <c r="Q16" s="84"/>
      <c r="R16" s="84"/>
      <c r="S16" s="84"/>
      <c r="T16" s="84"/>
      <c r="U16" s="84"/>
    </row>
    <row r="17" spans="1:21">
      <c r="A17" s="120" t="s">
        <v>785</v>
      </c>
      <c r="B17" s="84"/>
      <c r="C17" s="84"/>
      <c r="D17" s="84"/>
      <c r="E17" s="84"/>
      <c r="F17" s="120"/>
      <c r="G17" s="84"/>
      <c r="H17" s="84"/>
      <c r="I17" s="84"/>
      <c r="J17" s="84"/>
      <c r="K17" s="84"/>
      <c r="L17" s="84">
        <v>-1265</v>
      </c>
      <c r="M17" s="84">
        <v>-1441</v>
      </c>
      <c r="N17" s="84">
        <v>-257</v>
      </c>
      <c r="O17" s="84"/>
      <c r="P17" s="84"/>
      <c r="Q17" s="84"/>
      <c r="R17" s="84"/>
      <c r="S17" s="84"/>
      <c r="T17" s="84"/>
      <c r="U17" s="84"/>
    </row>
    <row r="18" spans="1:21">
      <c r="A18" s="120" t="s">
        <v>1434</v>
      </c>
      <c r="B18" s="84"/>
      <c r="C18" s="84"/>
      <c r="D18" s="84"/>
      <c r="E18" s="84"/>
      <c r="F18" s="120"/>
      <c r="G18" s="84"/>
      <c r="H18" s="84"/>
      <c r="I18" s="84"/>
      <c r="J18" s="84"/>
      <c r="K18" s="84"/>
      <c r="L18" s="84"/>
      <c r="M18" s="84">
        <v>-616.16999999999996</v>
      </c>
      <c r="N18" s="84">
        <v>616.16999999999996</v>
      </c>
      <c r="O18" s="84"/>
      <c r="P18" s="84"/>
      <c r="Q18" s="84"/>
      <c r="R18" s="84"/>
      <c r="S18" s="84"/>
      <c r="T18" s="84"/>
      <c r="U18" s="84"/>
    </row>
    <row r="19" spans="1:21">
      <c r="A19" s="120" t="s">
        <v>1256</v>
      </c>
      <c r="B19" s="84"/>
      <c r="C19" s="84"/>
      <c r="D19" s="84"/>
      <c r="E19" s="84"/>
      <c r="F19" s="120"/>
      <c r="G19" s="84"/>
      <c r="H19" s="84"/>
      <c r="I19" s="84"/>
      <c r="J19" s="84"/>
      <c r="K19" s="84"/>
      <c r="L19" s="84"/>
      <c r="M19" s="84"/>
      <c r="N19" s="84">
        <v>-10000</v>
      </c>
      <c r="O19" s="84">
        <v>-25299</v>
      </c>
      <c r="P19" s="84"/>
      <c r="Q19" s="84"/>
      <c r="R19" s="84"/>
      <c r="S19" s="84"/>
      <c r="T19" s="84"/>
      <c r="U19" s="84"/>
    </row>
    <row r="20" spans="1:21">
      <c r="A20" s="120" t="s">
        <v>411</v>
      </c>
      <c r="B20" s="84"/>
      <c r="C20" s="84"/>
      <c r="D20" s="84"/>
      <c r="E20" s="84"/>
      <c r="F20" s="120"/>
      <c r="G20" s="84"/>
      <c r="H20" s="84"/>
      <c r="I20" s="84"/>
      <c r="J20" s="84"/>
      <c r="K20" s="84"/>
      <c r="L20" s="84"/>
      <c r="M20" s="84"/>
      <c r="N20" s="84"/>
      <c r="O20" s="84">
        <v>-15000</v>
      </c>
      <c r="P20" s="84"/>
      <c r="Q20" s="84"/>
      <c r="R20" s="84"/>
      <c r="S20" s="84"/>
      <c r="T20" s="84"/>
      <c r="U20" s="84"/>
    </row>
    <row r="21" spans="1:21">
      <c r="A21" s="120" t="s">
        <v>677</v>
      </c>
      <c r="B21" s="84"/>
      <c r="C21" s="84"/>
      <c r="D21" s="84"/>
      <c r="E21" s="84"/>
      <c r="F21" s="120"/>
      <c r="G21" s="84"/>
      <c r="H21" s="84"/>
      <c r="I21" s="84"/>
      <c r="J21" s="84"/>
      <c r="K21" s="84"/>
      <c r="L21" s="84"/>
      <c r="M21" s="84"/>
      <c r="N21" s="84"/>
      <c r="O21" s="84">
        <v>-5000</v>
      </c>
      <c r="P21" s="84"/>
      <c r="Q21" s="84"/>
      <c r="R21" s="84"/>
      <c r="S21" s="84"/>
      <c r="T21" s="84"/>
      <c r="U21" s="84"/>
    </row>
    <row r="22" spans="1:21">
      <c r="A22" s="120" t="s">
        <v>678</v>
      </c>
      <c r="B22" s="84"/>
      <c r="C22" s="84"/>
      <c r="D22" s="84"/>
      <c r="E22" s="84"/>
      <c r="F22" s="120"/>
      <c r="G22" s="84"/>
      <c r="H22" s="84"/>
      <c r="I22" s="84"/>
      <c r="J22" s="84"/>
      <c r="K22" s="84"/>
      <c r="L22" s="84"/>
      <c r="M22" s="84"/>
      <c r="N22" s="84"/>
      <c r="O22" s="84">
        <v>-3000</v>
      </c>
      <c r="P22" s="84"/>
      <c r="Q22" s="84"/>
      <c r="R22" s="84"/>
      <c r="S22" s="84"/>
      <c r="T22" s="84"/>
      <c r="U22" s="84"/>
    </row>
    <row r="23" spans="1:21">
      <c r="A23" s="120" t="s">
        <v>412</v>
      </c>
      <c r="B23" s="84"/>
      <c r="C23" s="84"/>
      <c r="D23" s="84"/>
      <c r="E23" s="84"/>
      <c r="F23" s="120"/>
      <c r="G23" s="84"/>
      <c r="H23" s="84"/>
      <c r="I23" s="84"/>
      <c r="J23" s="84"/>
      <c r="K23" s="84"/>
      <c r="L23" s="84"/>
      <c r="M23" s="84"/>
      <c r="N23" s="84"/>
      <c r="O23" s="84"/>
      <c r="P23" s="84">
        <v>-1298</v>
      </c>
      <c r="Q23" s="84">
        <v>-1063</v>
      </c>
      <c r="R23" s="84"/>
      <c r="S23" s="84"/>
      <c r="T23" s="84"/>
      <c r="U23" s="84"/>
    </row>
    <row r="24" spans="1:21">
      <c r="A24" s="120" t="s">
        <v>1326</v>
      </c>
      <c r="B24" s="84"/>
      <c r="C24" s="84"/>
      <c r="D24" s="84"/>
      <c r="E24" s="84"/>
      <c r="F24" s="120"/>
      <c r="G24" s="84"/>
      <c r="H24" s="84"/>
      <c r="I24" s="84"/>
      <c r="J24" s="84"/>
      <c r="K24" s="84"/>
      <c r="L24" s="84"/>
      <c r="M24" s="84"/>
      <c r="N24" s="84"/>
      <c r="O24" s="84"/>
      <c r="P24" s="84"/>
      <c r="Q24" s="84">
        <v>-2000</v>
      </c>
      <c r="R24" s="84"/>
      <c r="S24" s="84"/>
      <c r="T24" s="84"/>
      <c r="U24" s="84"/>
    </row>
    <row r="25" spans="1:21">
      <c r="A25" s="120" t="s">
        <v>1629</v>
      </c>
      <c r="B25" s="84"/>
      <c r="C25" s="84"/>
      <c r="D25" s="84"/>
      <c r="E25" s="84"/>
      <c r="F25" s="120"/>
      <c r="G25" s="84"/>
      <c r="H25" s="84"/>
      <c r="I25" s="84"/>
      <c r="J25" s="84"/>
      <c r="K25" s="84"/>
      <c r="L25" s="84"/>
      <c r="M25" s="84"/>
      <c r="N25" s="84"/>
      <c r="O25" s="84"/>
      <c r="P25" s="84"/>
      <c r="Q25" s="84"/>
      <c r="R25" s="84"/>
      <c r="S25" s="84">
        <v>-1000</v>
      </c>
      <c r="T25" s="84"/>
      <c r="U25" s="84"/>
    </row>
    <row r="26" spans="1:21">
      <c r="A26" s="119" t="s">
        <v>676</v>
      </c>
      <c r="B26" s="85">
        <v>5047</v>
      </c>
      <c r="C26" s="85">
        <v>27229</v>
      </c>
      <c r="D26" s="85">
        <v>23571</v>
      </c>
      <c r="E26" s="85">
        <v>13474</v>
      </c>
      <c r="F26" s="85">
        <v>-535</v>
      </c>
      <c r="G26" s="85">
        <v>74307</v>
      </c>
      <c r="H26" s="85">
        <v>30000</v>
      </c>
      <c r="I26" s="85">
        <v>20600</v>
      </c>
      <c r="J26" s="85">
        <v>0</v>
      </c>
      <c r="K26" s="85">
        <v>3034</v>
      </c>
      <c r="L26" s="85">
        <v>15636</v>
      </c>
      <c r="M26" s="85">
        <v>21607.399999999998</v>
      </c>
      <c r="N26" s="85">
        <v>21594</v>
      </c>
      <c r="O26" s="85">
        <v>87534</v>
      </c>
      <c r="P26" s="85">
        <v>6351</v>
      </c>
      <c r="Q26" s="85">
        <v>2610</v>
      </c>
      <c r="R26" s="85">
        <v>31888.799999999999</v>
      </c>
      <c r="S26" s="85">
        <v>4160</v>
      </c>
      <c r="T26" s="85">
        <v>20578</v>
      </c>
      <c r="U26" s="85">
        <v>11975</v>
      </c>
    </row>
    <row r="27" spans="1:21">
      <c r="A27" s="120" t="s">
        <v>455</v>
      </c>
      <c r="B27" s="84">
        <v>-8200</v>
      </c>
      <c r="C27" s="84"/>
      <c r="D27" s="84"/>
      <c r="E27" s="84"/>
      <c r="F27" s="120"/>
      <c r="G27" s="121"/>
      <c r="H27" s="84"/>
      <c r="I27" s="84"/>
      <c r="J27" s="84"/>
      <c r="K27" s="84"/>
      <c r="L27" s="84"/>
      <c r="M27" s="84"/>
      <c r="N27" s="112"/>
      <c r="O27" s="84"/>
      <c r="P27" s="84"/>
      <c r="Q27" s="84"/>
      <c r="R27" s="84"/>
      <c r="S27" s="84"/>
      <c r="T27" s="84"/>
    </row>
    <row r="28" spans="1:21">
      <c r="A28" s="120" t="s">
        <v>456</v>
      </c>
      <c r="B28" s="84">
        <v>4531</v>
      </c>
      <c r="C28" s="84">
        <v>3622</v>
      </c>
      <c r="D28" s="84">
        <v>657</v>
      </c>
      <c r="E28" s="84">
        <v>275</v>
      </c>
      <c r="F28" s="120"/>
      <c r="G28" s="121"/>
      <c r="H28" s="84"/>
      <c r="I28" s="84"/>
      <c r="J28" s="84"/>
      <c r="K28" s="84"/>
      <c r="L28" s="84"/>
      <c r="M28" s="84"/>
      <c r="N28" s="112"/>
      <c r="O28" s="84"/>
      <c r="P28" s="84"/>
      <c r="Q28" s="84"/>
      <c r="R28" s="84"/>
      <c r="S28" s="84"/>
      <c r="T28" s="84"/>
      <c r="U28" s="84"/>
    </row>
    <row r="29" spans="1:21">
      <c r="A29" s="120" t="s">
        <v>457</v>
      </c>
      <c r="B29" s="84"/>
      <c r="C29" s="84">
        <v>12900</v>
      </c>
      <c r="D29" s="84"/>
      <c r="E29" s="84"/>
      <c r="F29" s="120"/>
      <c r="G29" s="121"/>
      <c r="H29" s="84"/>
      <c r="I29" s="84"/>
      <c r="J29" s="84"/>
      <c r="K29" s="84"/>
      <c r="L29" s="84"/>
      <c r="M29" s="84"/>
      <c r="N29" s="112"/>
      <c r="O29" s="84">
        <v>-6000</v>
      </c>
      <c r="P29" s="84"/>
      <c r="Q29" s="84"/>
      <c r="R29" s="84"/>
      <c r="S29" s="84"/>
      <c r="T29" s="84"/>
      <c r="U29" s="84"/>
    </row>
    <row r="30" spans="1:21">
      <c r="A30" s="120" t="s">
        <v>679</v>
      </c>
      <c r="B30" s="84"/>
      <c r="C30" s="84"/>
      <c r="D30" s="84"/>
      <c r="E30" s="84"/>
      <c r="F30" s="120"/>
      <c r="G30" s="121"/>
      <c r="H30" s="84"/>
      <c r="I30" s="84"/>
      <c r="J30" s="84"/>
      <c r="K30" s="84"/>
      <c r="L30" s="84"/>
      <c r="M30" s="84"/>
      <c r="N30" s="112"/>
      <c r="O30" s="84">
        <v>8000</v>
      </c>
      <c r="P30" s="84">
        <v>2000</v>
      </c>
      <c r="Q30" s="84"/>
      <c r="R30" s="84"/>
      <c r="S30" s="84"/>
      <c r="T30" s="84"/>
      <c r="U30" s="84"/>
    </row>
    <row r="31" spans="1:21">
      <c r="A31" s="120" t="s">
        <v>1569</v>
      </c>
      <c r="B31" s="84"/>
      <c r="C31" s="84"/>
      <c r="D31" s="84"/>
      <c r="E31" s="84"/>
      <c r="F31" s="120"/>
      <c r="G31" s="121"/>
      <c r="H31" s="84"/>
      <c r="I31" s="84"/>
      <c r="J31" s="84"/>
      <c r="K31" s="84"/>
      <c r="L31" s="84"/>
      <c r="M31" s="84"/>
      <c r="N31" s="84">
        <v>-15000</v>
      </c>
      <c r="O31" s="84"/>
      <c r="P31" s="84"/>
      <c r="Q31" s="84"/>
      <c r="R31" s="84"/>
      <c r="S31" s="84"/>
      <c r="T31" s="84"/>
      <c r="U31" s="84"/>
    </row>
    <row r="32" spans="1:21">
      <c r="A32" s="120" t="s">
        <v>458</v>
      </c>
      <c r="B32" s="84"/>
      <c r="C32" s="84">
        <v>3921</v>
      </c>
      <c r="D32" s="84"/>
      <c r="E32" s="84"/>
      <c r="F32" s="120"/>
      <c r="G32" s="121"/>
      <c r="H32" s="84"/>
      <c r="I32" s="84"/>
      <c r="J32" s="84"/>
      <c r="K32" s="84"/>
      <c r="L32" s="84"/>
      <c r="M32" s="84"/>
      <c r="N32" s="112"/>
      <c r="O32" s="84"/>
      <c r="P32" s="84"/>
      <c r="Q32" s="84"/>
      <c r="R32" s="84"/>
      <c r="S32" s="84"/>
      <c r="T32" s="84"/>
      <c r="U32" s="84"/>
    </row>
    <row r="33" spans="1:21">
      <c r="A33" s="120" t="s">
        <v>1798</v>
      </c>
      <c r="B33" s="84">
        <v>6716</v>
      </c>
      <c r="C33" s="84"/>
      <c r="D33" s="84">
        <v>7953</v>
      </c>
      <c r="E33" s="84"/>
      <c r="F33" s="120"/>
      <c r="G33" s="120"/>
      <c r="H33" s="84"/>
      <c r="I33" s="84"/>
      <c r="J33" s="84"/>
      <c r="K33" s="84"/>
      <c r="L33" s="84"/>
      <c r="M33" s="84"/>
      <c r="N33" s="122"/>
      <c r="O33" s="84"/>
      <c r="P33" s="84"/>
      <c r="Q33" s="84"/>
      <c r="R33" s="84"/>
      <c r="S33" s="84"/>
      <c r="T33" s="84">
        <v>19656</v>
      </c>
      <c r="U33" s="84"/>
    </row>
    <row r="34" spans="1:21">
      <c r="A34" s="120" t="s">
        <v>459</v>
      </c>
      <c r="B34" s="84">
        <v>2000</v>
      </c>
      <c r="C34" s="84"/>
      <c r="D34" s="84"/>
      <c r="E34" s="84"/>
      <c r="F34" s="120"/>
      <c r="G34" s="120"/>
      <c r="H34" s="84"/>
      <c r="I34" s="84"/>
      <c r="J34" s="84"/>
      <c r="K34" s="84"/>
      <c r="L34" s="84"/>
      <c r="M34" s="84"/>
      <c r="N34" s="122"/>
      <c r="O34" s="84"/>
      <c r="P34" s="84"/>
      <c r="Q34" s="84"/>
      <c r="R34" s="84"/>
      <c r="S34" s="84"/>
      <c r="T34" s="84"/>
      <c r="U34" s="84"/>
    </row>
    <row r="35" spans="1:21">
      <c r="A35" s="120" t="s">
        <v>460</v>
      </c>
      <c r="B35" s="94"/>
      <c r="C35" s="94">
        <v>5000</v>
      </c>
      <c r="D35" s="94"/>
      <c r="E35" s="94"/>
      <c r="F35" s="120"/>
      <c r="G35" s="121"/>
      <c r="H35" s="84"/>
      <c r="I35" s="84"/>
      <c r="J35" s="84"/>
      <c r="K35" s="84"/>
      <c r="L35" s="84"/>
      <c r="M35" s="84"/>
      <c r="N35" s="112"/>
      <c r="O35" s="84"/>
      <c r="P35" s="84"/>
      <c r="Q35" s="84"/>
      <c r="R35" s="84"/>
      <c r="S35" s="84"/>
      <c r="T35" s="84"/>
      <c r="U35" s="84"/>
    </row>
    <row r="36" spans="1:21">
      <c r="A36" s="120" t="s">
        <v>461</v>
      </c>
      <c r="B36" s="94"/>
      <c r="C36" s="94">
        <v>1786</v>
      </c>
      <c r="D36" s="94"/>
      <c r="E36" s="94"/>
      <c r="F36" s="120"/>
      <c r="G36" s="121"/>
      <c r="H36" s="84"/>
      <c r="I36" s="84"/>
      <c r="J36" s="84"/>
      <c r="K36" s="84"/>
      <c r="L36" s="84"/>
      <c r="M36" s="84"/>
      <c r="N36" s="112"/>
      <c r="O36" s="84"/>
      <c r="P36" s="84"/>
      <c r="Q36" s="84"/>
      <c r="R36" s="84"/>
      <c r="S36" s="84"/>
      <c r="T36" s="84"/>
      <c r="U36" s="84"/>
    </row>
    <row r="37" spans="1:21">
      <c r="A37" s="120" t="s">
        <v>1266</v>
      </c>
      <c r="B37" s="94"/>
      <c r="C37" s="94"/>
      <c r="D37" s="94">
        <v>7560</v>
      </c>
      <c r="E37" s="94"/>
      <c r="F37" s="120"/>
      <c r="G37" s="121"/>
      <c r="H37" s="84"/>
      <c r="I37" s="84"/>
      <c r="J37" s="84"/>
      <c r="K37" s="84"/>
      <c r="L37" s="84"/>
      <c r="M37" s="84"/>
      <c r="N37" s="112"/>
      <c r="O37" s="84"/>
      <c r="P37" s="84"/>
      <c r="Q37" s="84"/>
      <c r="R37" s="84"/>
      <c r="S37" s="84"/>
      <c r="T37" s="84"/>
      <c r="U37" s="84"/>
    </row>
    <row r="38" spans="1:21">
      <c r="A38" s="120" t="s">
        <v>1190</v>
      </c>
      <c r="B38" s="94"/>
      <c r="C38" s="94"/>
      <c r="D38" s="94">
        <v>6300</v>
      </c>
      <c r="E38" s="94">
        <v>3857</v>
      </c>
      <c r="F38" s="120"/>
      <c r="G38" s="121"/>
      <c r="H38" s="84"/>
      <c r="I38" s="84"/>
      <c r="J38" s="84"/>
      <c r="K38" s="84"/>
      <c r="L38" s="84"/>
      <c r="M38" s="84"/>
      <c r="N38" s="112"/>
      <c r="O38" s="84"/>
      <c r="P38" s="84"/>
      <c r="Q38" s="84"/>
      <c r="R38" s="84"/>
      <c r="S38" s="84"/>
      <c r="T38" s="84"/>
      <c r="U38" s="84"/>
    </row>
    <row r="39" spans="1:21">
      <c r="A39" s="120" t="s">
        <v>786</v>
      </c>
      <c r="B39" s="94"/>
      <c r="C39" s="94"/>
      <c r="D39" s="94">
        <v>1101</v>
      </c>
      <c r="E39" s="94"/>
      <c r="F39" s="120"/>
      <c r="G39" s="121"/>
      <c r="H39" s="84"/>
      <c r="I39" s="84">
        <v>600</v>
      </c>
      <c r="J39" s="84"/>
      <c r="K39" s="84"/>
      <c r="L39" s="84">
        <v>710</v>
      </c>
      <c r="M39" s="84"/>
      <c r="N39" s="112"/>
      <c r="O39" s="84"/>
      <c r="P39" s="84"/>
      <c r="Q39" s="84"/>
      <c r="R39" s="84"/>
      <c r="S39" s="84"/>
      <c r="T39" s="84"/>
      <c r="U39" s="84"/>
    </row>
    <row r="40" spans="1:21">
      <c r="A40" s="120" t="s">
        <v>1191</v>
      </c>
      <c r="B40" s="94"/>
      <c r="C40" s="94"/>
      <c r="D40" s="94"/>
      <c r="E40" s="124"/>
      <c r="F40" s="123">
        <v>492</v>
      </c>
      <c r="G40" s="124"/>
      <c r="H40" s="84"/>
      <c r="I40" s="84"/>
      <c r="J40" s="84"/>
      <c r="K40" s="84"/>
      <c r="L40" s="84"/>
      <c r="M40" s="84"/>
      <c r="N40" s="112"/>
      <c r="O40" s="84"/>
      <c r="P40" s="84"/>
      <c r="Q40" s="84"/>
      <c r="R40" s="84"/>
      <c r="S40" s="84"/>
      <c r="T40" s="84"/>
      <c r="U40" s="84"/>
    </row>
    <row r="41" spans="1:21">
      <c r="A41" s="120" t="s">
        <v>1192</v>
      </c>
      <c r="B41" s="94"/>
      <c r="C41" s="94"/>
      <c r="D41" s="94"/>
      <c r="E41" s="124">
        <v>1240</v>
      </c>
      <c r="F41" s="124"/>
      <c r="G41" s="123"/>
      <c r="H41" s="84"/>
      <c r="I41" s="84"/>
      <c r="J41" s="84"/>
      <c r="K41" s="84"/>
      <c r="L41" s="84"/>
      <c r="M41" s="84"/>
      <c r="N41" s="112"/>
      <c r="O41" s="84"/>
      <c r="P41" s="84"/>
      <c r="Q41" s="84"/>
      <c r="R41" s="84"/>
      <c r="S41" s="84"/>
      <c r="T41" s="84"/>
      <c r="U41" s="84"/>
    </row>
    <row r="42" spans="1:21">
      <c r="A42" s="120" t="s">
        <v>50</v>
      </c>
      <c r="B42" s="123"/>
      <c r="C42" s="123"/>
      <c r="D42" s="123"/>
      <c r="E42" s="123"/>
      <c r="F42" s="123">
        <v>273</v>
      </c>
      <c r="G42" s="123"/>
      <c r="H42" s="84"/>
      <c r="I42" s="84"/>
      <c r="J42" s="84"/>
      <c r="K42" s="84"/>
      <c r="L42" s="84"/>
      <c r="M42" s="84"/>
      <c r="N42" s="112"/>
      <c r="O42" s="84"/>
      <c r="P42" s="84"/>
      <c r="Q42" s="84"/>
      <c r="R42" s="84"/>
      <c r="S42" s="84"/>
      <c r="T42" s="84"/>
      <c r="U42" s="84"/>
    </row>
    <row r="43" spans="1:21">
      <c r="A43" s="120" t="s">
        <v>885</v>
      </c>
      <c r="B43" s="123"/>
      <c r="C43" s="123"/>
      <c r="D43" s="123"/>
      <c r="E43" s="123">
        <v>8102</v>
      </c>
      <c r="F43" s="123"/>
      <c r="G43" s="123"/>
      <c r="H43" s="84"/>
      <c r="I43" s="84"/>
      <c r="J43" s="84"/>
      <c r="K43" s="84"/>
      <c r="L43" s="84"/>
      <c r="M43" s="84"/>
      <c r="N43" s="125"/>
      <c r="O43" s="84"/>
      <c r="P43" s="84"/>
      <c r="Q43" s="84"/>
      <c r="R43" s="84"/>
      <c r="S43" s="84"/>
      <c r="T43" s="84"/>
      <c r="U43" s="84"/>
    </row>
    <row r="44" spans="1:21">
      <c r="A44" s="120" t="s">
        <v>886</v>
      </c>
      <c r="B44" s="123"/>
      <c r="C44" s="123"/>
      <c r="D44" s="123"/>
      <c r="E44" s="123"/>
      <c r="F44" s="123">
        <v>-1300</v>
      </c>
      <c r="G44" s="123"/>
      <c r="H44" s="84"/>
      <c r="I44" s="84"/>
      <c r="J44" s="84"/>
      <c r="K44" s="84"/>
      <c r="L44" s="84"/>
      <c r="M44" s="84"/>
      <c r="N44" s="125"/>
      <c r="O44" s="84"/>
      <c r="P44" s="84"/>
      <c r="Q44" s="84"/>
      <c r="R44" s="84"/>
      <c r="S44" s="84"/>
      <c r="T44" s="84"/>
      <c r="U44" s="84"/>
    </row>
    <row r="45" spans="1:21">
      <c r="A45" s="120" t="s">
        <v>51</v>
      </c>
      <c r="B45" s="123"/>
      <c r="C45" s="123"/>
      <c r="D45" s="123"/>
      <c r="E45" s="123"/>
      <c r="F45" s="123"/>
      <c r="G45" s="123">
        <v>12800</v>
      </c>
      <c r="H45" s="94"/>
      <c r="I45" s="94"/>
      <c r="J45" s="84"/>
      <c r="K45" s="84"/>
      <c r="L45" s="84"/>
      <c r="M45" s="84"/>
      <c r="N45" s="125"/>
      <c r="O45" s="84"/>
      <c r="P45" s="84"/>
      <c r="Q45" s="84"/>
      <c r="R45" s="84"/>
      <c r="S45" s="84"/>
      <c r="T45" s="84"/>
      <c r="U45" s="84"/>
    </row>
    <row r="46" spans="1:21">
      <c r="A46" s="120" t="s">
        <v>52</v>
      </c>
      <c r="B46" s="123"/>
      <c r="C46" s="123"/>
      <c r="D46" s="123"/>
      <c r="E46" s="123"/>
      <c r="F46" s="123"/>
      <c r="G46" s="123">
        <v>483</v>
      </c>
      <c r="H46" s="94"/>
      <c r="I46" s="94"/>
      <c r="J46" s="84"/>
      <c r="K46" s="94"/>
      <c r="L46" s="84"/>
      <c r="M46" s="84"/>
      <c r="N46" s="125"/>
      <c r="O46" s="84"/>
      <c r="P46" s="84"/>
      <c r="Q46" s="84"/>
      <c r="R46" s="84"/>
      <c r="S46" s="84"/>
      <c r="T46" s="84"/>
      <c r="U46" s="84"/>
    </row>
    <row r="47" spans="1:21">
      <c r="A47" s="120" t="s">
        <v>1570</v>
      </c>
      <c r="B47" s="123"/>
      <c r="C47" s="123"/>
      <c r="D47" s="123"/>
      <c r="E47" s="123"/>
      <c r="F47" s="123"/>
      <c r="G47" s="123">
        <v>61024</v>
      </c>
      <c r="H47" s="123"/>
      <c r="I47" s="123"/>
      <c r="J47" s="94"/>
      <c r="K47" s="94"/>
      <c r="L47" s="94"/>
      <c r="M47" s="94"/>
      <c r="N47" s="84">
        <v>17963</v>
      </c>
      <c r="O47" s="84"/>
      <c r="P47" s="84"/>
      <c r="Q47" s="84"/>
      <c r="R47" s="84"/>
      <c r="S47" s="84"/>
      <c r="T47" s="84"/>
      <c r="U47" s="84"/>
    </row>
    <row r="48" spans="1:21">
      <c r="A48" s="120" t="s">
        <v>1217</v>
      </c>
      <c r="B48" s="123"/>
      <c r="C48" s="123"/>
      <c r="D48" s="123"/>
      <c r="E48" s="123"/>
      <c r="F48" s="123"/>
      <c r="G48" s="123"/>
      <c r="H48" s="123">
        <v>10000</v>
      </c>
      <c r="I48" s="123"/>
      <c r="J48" s="94"/>
      <c r="K48" s="94"/>
      <c r="L48" s="94"/>
      <c r="M48" s="94"/>
      <c r="N48" s="125"/>
      <c r="O48" s="84"/>
      <c r="P48" s="84"/>
      <c r="Q48" s="84"/>
      <c r="R48" s="84"/>
      <c r="S48" s="84"/>
      <c r="T48" s="84"/>
      <c r="U48" s="84"/>
    </row>
    <row r="49" spans="1:21">
      <c r="A49" s="120" t="s">
        <v>1218</v>
      </c>
      <c r="B49" s="123"/>
      <c r="C49" s="123"/>
      <c r="D49" s="123"/>
      <c r="E49" s="123"/>
      <c r="F49" s="123"/>
      <c r="G49" s="123"/>
      <c r="H49" s="123">
        <v>20000</v>
      </c>
      <c r="I49" s="123">
        <v>20000</v>
      </c>
      <c r="J49" s="94"/>
      <c r="K49" s="94"/>
      <c r="L49" s="94"/>
      <c r="M49" s="94"/>
      <c r="N49" s="125"/>
      <c r="O49" s="84"/>
      <c r="P49" s="84"/>
      <c r="Q49" s="84"/>
      <c r="R49" s="84"/>
      <c r="S49" s="84"/>
      <c r="T49" s="84"/>
      <c r="U49" s="84"/>
    </row>
    <row r="50" spans="1:21">
      <c r="A50" s="120" t="s">
        <v>1135</v>
      </c>
      <c r="B50" s="123"/>
      <c r="C50" s="123"/>
      <c r="D50" s="123"/>
      <c r="E50" s="123"/>
      <c r="F50" s="123"/>
      <c r="G50" s="123"/>
      <c r="H50" s="123"/>
      <c r="I50" s="123"/>
      <c r="J50" s="94"/>
      <c r="K50" s="94">
        <v>1434</v>
      </c>
      <c r="L50" s="94"/>
      <c r="M50" s="94"/>
      <c r="N50" s="125"/>
      <c r="O50" s="84"/>
      <c r="P50" s="84"/>
      <c r="Q50" s="84"/>
      <c r="R50" s="84"/>
      <c r="S50" s="84"/>
      <c r="T50" s="84"/>
      <c r="U50" s="84"/>
    </row>
    <row r="51" spans="1:21">
      <c r="A51" s="120" t="s">
        <v>1136</v>
      </c>
      <c r="B51" s="123"/>
      <c r="C51" s="123"/>
      <c r="D51" s="123"/>
      <c r="E51" s="123"/>
      <c r="F51" s="123"/>
      <c r="G51" s="123"/>
      <c r="H51" s="123"/>
      <c r="I51" s="123"/>
      <c r="J51" s="94"/>
      <c r="K51" s="94">
        <v>1600</v>
      </c>
      <c r="L51" s="94"/>
      <c r="M51" s="94"/>
      <c r="N51" s="125"/>
      <c r="O51" s="84"/>
      <c r="P51" s="84"/>
      <c r="Q51" s="84"/>
      <c r="R51" s="84"/>
      <c r="S51" s="84"/>
      <c r="T51" s="84"/>
      <c r="U51" s="84"/>
    </row>
    <row r="52" spans="1:21">
      <c r="A52" s="120" t="s">
        <v>1435</v>
      </c>
      <c r="B52" s="123"/>
      <c r="C52" s="123"/>
      <c r="D52" s="123"/>
      <c r="E52" s="123"/>
      <c r="F52" s="123"/>
      <c r="G52" s="123"/>
      <c r="H52" s="123"/>
      <c r="I52" s="123"/>
      <c r="J52" s="94"/>
      <c r="K52" s="94"/>
      <c r="L52" s="94">
        <v>4660</v>
      </c>
      <c r="M52" s="94">
        <v>4577</v>
      </c>
      <c r="N52" s="84">
        <v>9150</v>
      </c>
      <c r="O52" s="84">
        <v>3685</v>
      </c>
      <c r="P52" s="84"/>
      <c r="Q52" s="84"/>
      <c r="R52" s="84">
        <v>3707</v>
      </c>
      <c r="S52" s="84"/>
      <c r="T52" s="84"/>
      <c r="U52" s="84"/>
    </row>
    <row r="53" spans="1:21">
      <c r="A53" s="120" t="s">
        <v>746</v>
      </c>
      <c r="B53" s="123"/>
      <c r="C53" s="123"/>
      <c r="D53" s="123"/>
      <c r="E53" s="123"/>
      <c r="F53" s="123"/>
      <c r="G53" s="123"/>
      <c r="H53" s="123"/>
      <c r="I53" s="123"/>
      <c r="J53" s="94"/>
      <c r="K53" s="94"/>
      <c r="L53" s="94">
        <v>1840</v>
      </c>
      <c r="M53" s="94"/>
      <c r="N53" s="125"/>
      <c r="O53" s="84"/>
      <c r="P53" s="84"/>
      <c r="Q53" s="84"/>
      <c r="R53" s="84">
        <v>18981</v>
      </c>
      <c r="S53" s="84"/>
      <c r="T53" s="84"/>
      <c r="U53" s="84"/>
    </row>
    <row r="54" spans="1:21">
      <c r="A54" s="120" t="s">
        <v>1585</v>
      </c>
      <c r="B54" s="123"/>
      <c r="C54" s="123"/>
      <c r="D54" s="123"/>
      <c r="E54" s="123"/>
      <c r="F54" s="123"/>
      <c r="G54" s="123"/>
      <c r="H54" s="123"/>
      <c r="I54" s="123"/>
      <c r="J54" s="94"/>
      <c r="K54" s="94"/>
      <c r="L54" s="94"/>
      <c r="M54" s="94"/>
      <c r="N54" s="125"/>
      <c r="O54" s="84"/>
      <c r="P54" s="84"/>
      <c r="Q54" s="84"/>
      <c r="R54" s="84">
        <v>145</v>
      </c>
      <c r="S54" s="84"/>
      <c r="T54" s="84"/>
      <c r="U54" s="84"/>
    </row>
    <row r="55" spans="1:21">
      <c r="A55" s="120" t="s">
        <v>1571</v>
      </c>
      <c r="B55" s="84"/>
      <c r="C55" s="84"/>
      <c r="D55" s="84"/>
      <c r="E55" s="84"/>
      <c r="F55" s="120"/>
      <c r="G55" s="121"/>
      <c r="H55" s="84"/>
      <c r="I55" s="84"/>
      <c r="J55" s="84"/>
      <c r="K55" s="84"/>
      <c r="L55" s="84"/>
      <c r="M55" s="84"/>
      <c r="N55" s="84">
        <v>4142</v>
      </c>
      <c r="O55" s="84"/>
      <c r="P55" s="84"/>
      <c r="Q55" s="84"/>
      <c r="R55" s="84"/>
      <c r="S55" s="84"/>
      <c r="T55" s="84"/>
      <c r="U55" s="84"/>
    </row>
    <row r="56" spans="1:21">
      <c r="A56" s="120" t="s">
        <v>1572</v>
      </c>
      <c r="B56" s="84"/>
      <c r="C56" s="84"/>
      <c r="D56" s="84"/>
      <c r="E56" s="84"/>
      <c r="F56" s="120"/>
      <c r="G56" s="120"/>
      <c r="H56" s="84"/>
      <c r="I56" s="84"/>
      <c r="J56" s="84"/>
      <c r="K56" s="84"/>
      <c r="L56" s="84"/>
      <c r="M56" s="84">
        <v>3000</v>
      </c>
      <c r="N56" s="84">
        <v>2100</v>
      </c>
      <c r="O56" s="84">
        <v>300</v>
      </c>
      <c r="P56" s="84"/>
      <c r="Q56" s="84"/>
      <c r="R56" s="84"/>
      <c r="S56" s="84"/>
      <c r="T56" s="84"/>
      <c r="U56" s="84"/>
    </row>
    <row r="57" spans="1:21">
      <c r="A57" s="120" t="s">
        <v>747</v>
      </c>
      <c r="B57" s="84"/>
      <c r="C57" s="84"/>
      <c r="D57" s="84"/>
      <c r="E57" s="84"/>
      <c r="F57" s="120"/>
      <c r="G57" s="120"/>
      <c r="H57" s="84"/>
      <c r="I57" s="84"/>
      <c r="J57" s="84"/>
      <c r="K57" s="84"/>
      <c r="L57" s="84">
        <v>14000</v>
      </c>
      <c r="M57" s="84">
        <v>12000</v>
      </c>
      <c r="N57" s="122"/>
      <c r="O57" s="84"/>
      <c r="P57" s="84"/>
      <c r="Q57" s="84"/>
      <c r="R57" s="84"/>
      <c r="S57" s="84"/>
      <c r="T57" s="84"/>
      <c r="U57" s="84"/>
    </row>
    <row r="58" spans="1:21">
      <c r="A58" s="120" t="s">
        <v>1252</v>
      </c>
      <c r="B58" s="94"/>
      <c r="C58" s="94"/>
      <c r="D58" s="94"/>
      <c r="E58" s="94"/>
      <c r="F58" s="123"/>
      <c r="G58" s="123"/>
      <c r="H58" s="94"/>
      <c r="I58" s="94"/>
      <c r="J58" s="94"/>
      <c r="K58" s="94"/>
      <c r="L58" s="94"/>
      <c r="M58" s="94"/>
      <c r="N58" s="122"/>
      <c r="O58" s="84">
        <v>1800</v>
      </c>
      <c r="P58" s="84"/>
      <c r="Q58" s="84"/>
      <c r="R58" s="84"/>
      <c r="S58" s="84"/>
      <c r="T58" s="84"/>
      <c r="U58" s="84"/>
    </row>
    <row r="59" spans="1:21">
      <c r="A59" s="120" t="s">
        <v>1436</v>
      </c>
      <c r="B59" s="84"/>
      <c r="C59" s="84"/>
      <c r="D59" s="84"/>
      <c r="E59" s="84"/>
      <c r="F59" s="120"/>
      <c r="G59" s="120"/>
      <c r="H59" s="84"/>
      <c r="I59" s="84"/>
      <c r="J59" s="84"/>
      <c r="K59" s="84"/>
      <c r="L59" s="84"/>
      <c r="M59" s="84">
        <v>491.6</v>
      </c>
      <c r="N59" s="122"/>
      <c r="O59" s="84"/>
      <c r="P59" s="84"/>
      <c r="Q59" s="84"/>
      <c r="R59" s="84"/>
      <c r="S59" s="84"/>
      <c r="T59" s="84"/>
      <c r="U59" s="84"/>
    </row>
    <row r="60" spans="1:21">
      <c r="A60" s="120" t="s">
        <v>1437</v>
      </c>
      <c r="B60" s="84"/>
      <c r="C60" s="84"/>
      <c r="D60" s="84"/>
      <c r="E60" s="84"/>
      <c r="F60" s="120"/>
      <c r="G60" s="120"/>
      <c r="H60" s="84"/>
      <c r="I60" s="84"/>
      <c r="J60" s="84"/>
      <c r="K60" s="84"/>
      <c r="L60" s="84"/>
      <c r="M60" s="84">
        <v>-1700</v>
      </c>
      <c r="N60" s="84">
        <v>-500</v>
      </c>
      <c r="O60" s="84"/>
      <c r="P60" s="84"/>
      <c r="Q60" s="84"/>
      <c r="R60" s="84"/>
      <c r="S60" s="84"/>
      <c r="T60" s="84"/>
      <c r="U60" s="84"/>
    </row>
    <row r="61" spans="1:21">
      <c r="A61" s="120" t="s">
        <v>748</v>
      </c>
      <c r="B61" s="84"/>
      <c r="C61" s="84"/>
      <c r="D61" s="84"/>
      <c r="E61" s="84"/>
      <c r="F61" s="120"/>
      <c r="G61" s="120"/>
      <c r="H61" s="84"/>
      <c r="I61" s="84"/>
      <c r="J61" s="84"/>
      <c r="K61" s="84"/>
      <c r="L61" s="84">
        <v>-5574</v>
      </c>
      <c r="M61" s="84"/>
      <c r="N61" s="122"/>
      <c r="O61" s="84"/>
      <c r="P61" s="84"/>
      <c r="Q61" s="84"/>
      <c r="R61" s="84"/>
      <c r="S61" s="84"/>
      <c r="T61" s="84"/>
      <c r="U61" s="84"/>
    </row>
    <row r="62" spans="1:21">
      <c r="A62" s="120" t="s">
        <v>1438</v>
      </c>
      <c r="B62" s="84"/>
      <c r="C62" s="84"/>
      <c r="D62" s="84"/>
      <c r="E62" s="84"/>
      <c r="F62" s="120"/>
      <c r="G62" s="120"/>
      <c r="H62" s="84"/>
      <c r="I62" s="84"/>
      <c r="J62" s="84"/>
      <c r="K62" s="84"/>
      <c r="L62" s="84"/>
      <c r="M62" s="84">
        <v>1000</v>
      </c>
      <c r="N62" s="122"/>
      <c r="O62" s="84"/>
      <c r="P62" s="84">
        <v>650</v>
      </c>
      <c r="Q62" s="84"/>
      <c r="R62" s="84"/>
      <c r="S62" s="84"/>
      <c r="T62" s="84"/>
      <c r="U62" s="84"/>
    </row>
    <row r="63" spans="1:21">
      <c r="A63" s="120" t="s">
        <v>413</v>
      </c>
      <c r="B63" s="84"/>
      <c r="C63" s="84"/>
      <c r="D63" s="84"/>
      <c r="E63" s="84"/>
      <c r="F63" s="120"/>
      <c r="G63" s="120"/>
      <c r="H63" s="84"/>
      <c r="I63" s="84"/>
      <c r="J63" s="84"/>
      <c r="K63" s="84"/>
      <c r="L63" s="84"/>
      <c r="M63" s="84"/>
      <c r="N63" s="122"/>
      <c r="O63" s="84"/>
      <c r="P63" s="84">
        <v>2901</v>
      </c>
      <c r="Q63" s="84"/>
      <c r="R63" s="84"/>
      <c r="S63" s="84"/>
      <c r="T63" s="84"/>
      <c r="U63" s="84"/>
    </row>
    <row r="64" spans="1:21">
      <c r="A64" s="120" t="s">
        <v>1327</v>
      </c>
      <c r="B64" s="84"/>
      <c r="C64" s="84"/>
      <c r="D64" s="84"/>
      <c r="E64" s="84"/>
      <c r="F64" s="120"/>
      <c r="G64" s="120"/>
      <c r="H64" s="84"/>
      <c r="I64" s="84"/>
      <c r="J64" s="84"/>
      <c r="K64" s="84"/>
      <c r="L64" s="84"/>
      <c r="M64" s="84"/>
      <c r="N64" s="122"/>
      <c r="O64" s="84"/>
      <c r="P64" s="84">
        <v>800</v>
      </c>
      <c r="Q64" s="84">
        <v>720</v>
      </c>
      <c r="R64" s="84">
        <v>242.8</v>
      </c>
      <c r="S64" s="84"/>
      <c r="T64" s="84"/>
      <c r="U64" s="84"/>
    </row>
    <row r="65" spans="1:21">
      <c r="A65" s="120" t="s">
        <v>1328</v>
      </c>
      <c r="B65" s="84"/>
      <c r="C65" s="84"/>
      <c r="D65" s="84"/>
      <c r="E65" s="84"/>
      <c r="F65" s="120"/>
      <c r="G65" s="120"/>
      <c r="H65" s="84"/>
      <c r="I65" s="84"/>
      <c r="J65" s="84"/>
      <c r="K65" s="84"/>
      <c r="L65" s="84"/>
      <c r="M65" s="84"/>
      <c r="N65" s="122"/>
      <c r="O65" s="84"/>
      <c r="P65" s="84"/>
      <c r="Q65" s="84">
        <v>1890</v>
      </c>
      <c r="R65" s="84"/>
      <c r="S65" s="84"/>
      <c r="T65" s="84"/>
      <c r="U65" s="84"/>
    </row>
    <row r="66" spans="1:21">
      <c r="A66" s="120" t="s">
        <v>1439</v>
      </c>
      <c r="B66" s="84"/>
      <c r="C66" s="84"/>
      <c r="D66" s="84"/>
      <c r="E66" s="84"/>
      <c r="F66" s="120"/>
      <c r="G66" s="120"/>
      <c r="H66" s="84"/>
      <c r="I66" s="84"/>
      <c r="J66" s="84"/>
      <c r="K66" s="84"/>
      <c r="L66" s="84"/>
      <c r="M66" s="84">
        <v>1538.8</v>
      </c>
      <c r="N66" s="84">
        <v>1989</v>
      </c>
      <c r="O66" s="84"/>
      <c r="P66" s="84"/>
      <c r="Q66" s="84"/>
      <c r="R66" s="84"/>
      <c r="S66" s="84">
        <v>4000</v>
      </c>
      <c r="T66" s="84"/>
      <c r="U66" s="84"/>
    </row>
    <row r="67" spans="1:21">
      <c r="A67" s="120" t="s">
        <v>1573</v>
      </c>
      <c r="B67" s="84"/>
      <c r="C67" s="84"/>
      <c r="D67" s="84"/>
      <c r="E67" s="84"/>
      <c r="F67" s="120"/>
      <c r="G67" s="120"/>
      <c r="H67" s="84"/>
      <c r="I67" s="84"/>
      <c r="J67" s="84"/>
      <c r="K67" s="84"/>
      <c r="L67" s="84"/>
      <c r="M67" s="84">
        <v>700</v>
      </c>
      <c r="N67" s="84">
        <v>400</v>
      </c>
      <c r="O67" s="84"/>
      <c r="P67" s="84"/>
      <c r="Q67" s="84"/>
      <c r="R67" s="84"/>
      <c r="S67" s="84"/>
      <c r="T67" s="84"/>
      <c r="U67" s="84">
        <v>47</v>
      </c>
    </row>
    <row r="68" spans="1:21">
      <c r="A68" s="120" t="s">
        <v>1574</v>
      </c>
      <c r="B68" s="84"/>
      <c r="C68" s="84"/>
      <c r="D68" s="84"/>
      <c r="E68" s="84"/>
      <c r="F68" s="120"/>
      <c r="G68" s="120"/>
      <c r="H68" s="84"/>
      <c r="I68" s="84"/>
      <c r="J68" s="84"/>
      <c r="K68" s="84"/>
      <c r="L68" s="84"/>
      <c r="M68" s="84"/>
      <c r="N68" s="84">
        <v>700</v>
      </c>
      <c r="O68" s="84"/>
      <c r="P68" s="84"/>
      <c r="Q68" s="84"/>
      <c r="R68" s="84"/>
      <c r="S68" s="84"/>
      <c r="T68" s="84"/>
      <c r="U68" s="84"/>
    </row>
    <row r="69" spans="1:21">
      <c r="A69" s="120" t="s">
        <v>1575</v>
      </c>
      <c r="B69" s="84"/>
      <c r="C69" s="84"/>
      <c r="D69" s="84"/>
      <c r="E69" s="84"/>
      <c r="F69" s="120"/>
      <c r="G69" s="120"/>
      <c r="H69" s="84"/>
      <c r="I69" s="84"/>
      <c r="J69" s="84"/>
      <c r="K69" s="84"/>
      <c r="L69" s="84"/>
      <c r="M69" s="84"/>
      <c r="N69" s="84">
        <v>300</v>
      </c>
      <c r="O69" s="84"/>
      <c r="P69" s="84"/>
      <c r="Q69" s="84"/>
      <c r="R69" s="84"/>
      <c r="S69" s="84"/>
      <c r="T69" s="84"/>
      <c r="U69" s="84"/>
    </row>
    <row r="70" spans="1:21">
      <c r="A70" s="120" t="s">
        <v>1253</v>
      </c>
      <c r="B70" s="84"/>
      <c r="C70" s="84"/>
      <c r="D70" s="84"/>
      <c r="E70" s="84"/>
      <c r="F70" s="120"/>
      <c r="G70" s="120"/>
      <c r="H70" s="84"/>
      <c r="I70" s="84"/>
      <c r="J70" s="84"/>
      <c r="K70" s="84"/>
      <c r="L70" s="84"/>
      <c r="M70" s="84"/>
      <c r="N70" s="84"/>
      <c r="O70" s="84">
        <v>570</v>
      </c>
      <c r="P70" s="84"/>
      <c r="Q70" s="84"/>
      <c r="R70" s="84"/>
      <c r="S70" s="84"/>
      <c r="T70" s="84"/>
      <c r="U70" s="84"/>
    </row>
    <row r="71" spans="1:21">
      <c r="A71" s="120" t="s">
        <v>1586</v>
      </c>
      <c r="B71" s="84"/>
      <c r="C71" s="84"/>
      <c r="D71" s="84"/>
      <c r="E71" s="84"/>
      <c r="F71" s="120"/>
      <c r="G71" s="120"/>
      <c r="H71" s="84"/>
      <c r="I71" s="84"/>
      <c r="J71" s="84"/>
      <c r="K71" s="84"/>
      <c r="L71" s="84"/>
      <c r="M71" s="84"/>
      <c r="N71" s="84"/>
      <c r="O71" s="84"/>
      <c r="P71" s="84"/>
      <c r="Q71" s="84"/>
      <c r="R71" s="84">
        <v>5400</v>
      </c>
      <c r="S71" s="84"/>
      <c r="T71" s="84"/>
      <c r="U71" s="84"/>
    </row>
    <row r="72" spans="1:21">
      <c r="A72" s="120" t="s">
        <v>1587</v>
      </c>
      <c r="B72" s="84"/>
      <c r="C72" s="84"/>
      <c r="D72" s="84"/>
      <c r="E72" s="84"/>
      <c r="F72" s="120"/>
      <c r="G72" s="120"/>
      <c r="H72" s="84"/>
      <c r="I72" s="84"/>
      <c r="J72" s="84"/>
      <c r="K72" s="84"/>
      <c r="L72" s="84"/>
      <c r="M72" s="84"/>
      <c r="N72" s="84"/>
      <c r="O72" s="84"/>
      <c r="P72" s="84"/>
      <c r="Q72" s="84"/>
      <c r="R72" s="84">
        <v>203</v>
      </c>
      <c r="S72" s="84">
        <v>160</v>
      </c>
      <c r="T72" s="84"/>
      <c r="U72" s="84"/>
    </row>
    <row r="73" spans="1:21">
      <c r="A73" s="120" t="s">
        <v>1588</v>
      </c>
      <c r="B73" s="84"/>
      <c r="C73" s="84"/>
      <c r="D73" s="84"/>
      <c r="E73" s="84"/>
      <c r="F73" s="120"/>
      <c r="G73" s="120"/>
      <c r="H73" s="84"/>
      <c r="I73" s="84"/>
      <c r="J73" s="84"/>
      <c r="K73" s="84"/>
      <c r="L73" s="84"/>
      <c r="M73" s="84"/>
      <c r="N73" s="84"/>
      <c r="O73" s="84"/>
      <c r="P73" s="84"/>
      <c r="Q73" s="84"/>
      <c r="R73" s="84">
        <v>104</v>
      </c>
      <c r="S73" s="84"/>
      <c r="T73" s="84"/>
      <c r="U73" s="84">
        <v>252</v>
      </c>
    </row>
    <row r="74" spans="1:21">
      <c r="A74" s="120" t="s">
        <v>1254</v>
      </c>
      <c r="B74" s="84"/>
      <c r="C74" s="84"/>
      <c r="D74" s="84"/>
      <c r="E74" s="84"/>
      <c r="F74" s="120"/>
      <c r="G74" s="120"/>
      <c r="H74" s="84"/>
      <c r="I74" s="84"/>
      <c r="J74" s="84"/>
      <c r="K74" s="84"/>
      <c r="L74" s="84"/>
      <c r="M74" s="84"/>
      <c r="N74" s="84"/>
      <c r="O74" s="84">
        <v>573</v>
      </c>
      <c r="P74" s="84"/>
      <c r="Q74" s="84"/>
      <c r="R74" s="84"/>
      <c r="S74" s="84"/>
      <c r="T74" s="84"/>
      <c r="U74" s="84"/>
    </row>
    <row r="75" spans="1:21">
      <c r="A75" s="120" t="s">
        <v>1576</v>
      </c>
      <c r="B75" s="94"/>
      <c r="C75" s="94"/>
      <c r="D75" s="94"/>
      <c r="E75" s="94"/>
      <c r="F75" s="123"/>
      <c r="G75" s="123"/>
      <c r="H75" s="94"/>
      <c r="I75" s="94"/>
      <c r="J75" s="94"/>
      <c r="K75" s="94"/>
      <c r="L75" s="94"/>
      <c r="M75" s="94"/>
      <c r="N75" s="94">
        <v>350</v>
      </c>
      <c r="O75" s="84"/>
      <c r="P75" s="84"/>
      <c r="Q75" s="84"/>
      <c r="R75" s="84"/>
      <c r="S75" s="84"/>
      <c r="T75" s="84"/>
    </row>
    <row r="76" spans="1:21">
      <c r="A76" s="120" t="s">
        <v>680</v>
      </c>
      <c r="B76" s="94"/>
      <c r="C76" s="94"/>
      <c r="D76" s="94"/>
      <c r="E76" s="94"/>
      <c r="F76" s="123"/>
      <c r="G76" s="123"/>
      <c r="H76" s="94"/>
      <c r="I76" s="94"/>
      <c r="J76" s="94"/>
      <c r="K76" s="94"/>
      <c r="L76" s="94"/>
      <c r="M76" s="94"/>
      <c r="N76" s="94"/>
      <c r="O76" s="84">
        <v>49784</v>
      </c>
      <c r="P76" s="84"/>
      <c r="Q76" s="84"/>
      <c r="R76" s="84"/>
      <c r="S76" s="84"/>
      <c r="T76" s="84"/>
      <c r="U76" s="84"/>
    </row>
    <row r="77" spans="1:21">
      <c r="A77" s="120" t="s">
        <v>681</v>
      </c>
      <c r="B77" s="94"/>
      <c r="C77" s="94"/>
      <c r="D77" s="94"/>
      <c r="E77" s="94"/>
      <c r="F77" s="123"/>
      <c r="G77" s="123"/>
      <c r="H77" s="94"/>
      <c r="I77" s="94"/>
      <c r="J77" s="94"/>
      <c r="K77" s="94"/>
      <c r="L77" s="94"/>
      <c r="M77" s="94"/>
      <c r="N77" s="94"/>
      <c r="O77" s="84">
        <v>24608</v>
      </c>
      <c r="P77" s="84"/>
      <c r="Q77" s="84"/>
      <c r="R77" s="84"/>
      <c r="S77" s="84"/>
      <c r="T77" s="84"/>
      <c r="U77" s="84"/>
    </row>
    <row r="78" spans="1:21">
      <c r="A78" s="120" t="s">
        <v>1255</v>
      </c>
      <c r="B78" s="123"/>
      <c r="C78" s="123"/>
      <c r="D78" s="123"/>
      <c r="E78" s="123"/>
      <c r="F78" s="123"/>
      <c r="G78" s="123"/>
      <c r="H78" s="123"/>
      <c r="I78" s="123"/>
      <c r="J78" s="94"/>
      <c r="K78" s="94"/>
      <c r="L78" s="94"/>
      <c r="M78" s="94"/>
      <c r="N78" s="84"/>
      <c r="O78" s="84">
        <v>2115</v>
      </c>
      <c r="P78" s="84"/>
      <c r="Q78" s="84"/>
      <c r="R78" s="84"/>
      <c r="S78" s="84"/>
      <c r="T78" s="84"/>
      <c r="U78" s="84"/>
    </row>
    <row r="79" spans="1:21">
      <c r="A79" s="120" t="s">
        <v>1251</v>
      </c>
      <c r="B79" s="94"/>
      <c r="C79" s="94"/>
      <c r="D79" s="94"/>
      <c r="E79" s="94"/>
      <c r="F79" s="123"/>
      <c r="G79" s="123"/>
      <c r="H79" s="94"/>
      <c r="I79" s="94"/>
      <c r="J79" s="94"/>
      <c r="K79" s="94"/>
      <c r="L79" s="94"/>
      <c r="M79" s="94"/>
      <c r="N79" s="94"/>
      <c r="O79" s="84">
        <v>2099</v>
      </c>
      <c r="P79" s="84"/>
      <c r="Q79" s="84"/>
      <c r="R79" s="84">
        <v>3106</v>
      </c>
      <c r="S79" s="84"/>
      <c r="T79" s="84"/>
      <c r="U79" s="84"/>
    </row>
    <row r="80" spans="1:21">
      <c r="A80" s="120" t="s">
        <v>1799</v>
      </c>
      <c r="B80" s="94"/>
      <c r="C80" s="94"/>
      <c r="D80" s="94"/>
      <c r="E80" s="94"/>
      <c r="F80" s="123"/>
      <c r="G80" s="123"/>
      <c r="H80" s="94"/>
      <c r="I80" s="94"/>
      <c r="J80" s="94"/>
      <c r="K80" s="94"/>
      <c r="L80" s="94"/>
      <c r="M80" s="94"/>
      <c r="N80" s="94"/>
      <c r="O80" s="84"/>
      <c r="P80" s="84"/>
      <c r="Q80" s="84"/>
      <c r="R80" s="84"/>
      <c r="S80" s="84"/>
      <c r="T80" s="84">
        <v>922</v>
      </c>
      <c r="U80" s="84"/>
    </row>
    <row r="81" spans="1:22">
      <c r="A81" s="120" t="s">
        <v>1993</v>
      </c>
      <c r="B81" s="94"/>
      <c r="C81" s="94"/>
      <c r="D81" s="94"/>
      <c r="E81" s="94"/>
      <c r="F81" s="123"/>
      <c r="G81" s="123"/>
      <c r="H81" s="94"/>
      <c r="I81" s="94"/>
      <c r="J81" s="94"/>
      <c r="K81" s="94"/>
      <c r="L81" s="94"/>
      <c r="M81" s="94"/>
      <c r="N81" s="94"/>
      <c r="O81" s="84"/>
      <c r="P81" s="84"/>
      <c r="Q81" s="84"/>
      <c r="R81" s="84"/>
      <c r="S81" s="84"/>
      <c r="T81" s="84"/>
      <c r="U81" s="84">
        <v>11676</v>
      </c>
    </row>
    <row r="82" spans="1:22">
      <c r="A82" s="119" t="s">
        <v>1090</v>
      </c>
      <c r="B82" s="85">
        <v>26902</v>
      </c>
      <c r="C82" s="85">
        <v>0</v>
      </c>
      <c r="D82" s="85">
        <v>0</v>
      </c>
      <c r="E82" s="85">
        <v>0</v>
      </c>
      <c r="F82" s="85">
        <v>45000</v>
      </c>
      <c r="G82" s="85">
        <v>45000</v>
      </c>
      <c r="H82" s="85">
        <v>28390</v>
      </c>
      <c r="I82" s="85">
        <v>51564</v>
      </c>
      <c r="J82" s="85">
        <v>7950</v>
      </c>
      <c r="K82" s="85">
        <v>6510</v>
      </c>
      <c r="L82" s="85">
        <v>2043</v>
      </c>
      <c r="M82" s="85">
        <v>0</v>
      </c>
      <c r="N82" s="85">
        <v>-15</v>
      </c>
      <c r="O82" s="85">
        <v>-824</v>
      </c>
      <c r="P82" s="85">
        <v>-1392</v>
      </c>
      <c r="Q82" s="85">
        <v>-604</v>
      </c>
      <c r="R82" s="85">
        <v>-810</v>
      </c>
      <c r="S82" s="85">
        <v>-57</v>
      </c>
      <c r="T82" s="85">
        <v>-440</v>
      </c>
      <c r="U82" s="85">
        <v>0</v>
      </c>
    </row>
    <row r="83" spans="1:22">
      <c r="A83" s="120" t="s">
        <v>1219</v>
      </c>
      <c r="B83" s="126">
        <v>26902</v>
      </c>
      <c r="C83" s="126"/>
      <c r="D83" s="126"/>
      <c r="E83" s="84"/>
      <c r="F83" s="120"/>
      <c r="G83" s="84"/>
      <c r="H83" s="84"/>
      <c r="I83" s="84"/>
      <c r="J83" s="84"/>
      <c r="K83" s="84"/>
      <c r="L83" s="84"/>
      <c r="M83" s="84"/>
      <c r="N83" s="112"/>
      <c r="O83" s="112"/>
      <c r="P83" s="112"/>
      <c r="Q83" s="112"/>
      <c r="R83" s="112"/>
      <c r="S83" s="112"/>
      <c r="T83" s="112"/>
      <c r="U83" s="112"/>
    </row>
    <row r="84" spans="1:22">
      <c r="A84" s="120" t="s">
        <v>1220</v>
      </c>
      <c r="B84" s="123"/>
      <c r="C84" s="123"/>
      <c r="D84" s="123"/>
      <c r="E84" s="123"/>
      <c r="F84" s="123">
        <v>45000</v>
      </c>
      <c r="G84" s="123">
        <v>45000</v>
      </c>
      <c r="H84" s="84">
        <v>46261</v>
      </c>
      <c r="I84" s="84">
        <v>8687</v>
      </c>
      <c r="J84" s="84">
        <v>13728</v>
      </c>
      <c r="K84" s="84">
        <v>3975</v>
      </c>
      <c r="L84" s="84">
        <v>2043</v>
      </c>
      <c r="M84" s="84"/>
      <c r="N84" s="125"/>
      <c r="O84" s="125"/>
      <c r="P84" s="125"/>
      <c r="Q84" s="125"/>
      <c r="R84" s="125"/>
      <c r="S84" s="125"/>
      <c r="T84" s="125"/>
      <c r="U84" s="125"/>
    </row>
    <row r="85" spans="1:22">
      <c r="A85" s="120" t="s">
        <v>1221</v>
      </c>
      <c r="B85" s="123"/>
      <c r="C85" s="123"/>
      <c r="D85" s="123"/>
      <c r="E85" s="123"/>
      <c r="F85" s="123"/>
      <c r="G85" s="123"/>
      <c r="H85" s="84">
        <v>-19616</v>
      </c>
      <c r="I85" s="84"/>
      <c r="J85" s="84"/>
      <c r="K85" s="84"/>
      <c r="L85" s="84"/>
      <c r="M85" s="84"/>
      <c r="N85" s="125"/>
      <c r="O85" s="125"/>
      <c r="P85" s="125"/>
      <c r="Q85" s="125"/>
      <c r="R85" s="125"/>
      <c r="S85" s="125"/>
      <c r="T85" s="125"/>
    </row>
    <row r="86" spans="1:22">
      <c r="A86" s="120" t="s">
        <v>1440</v>
      </c>
      <c r="B86" s="123"/>
      <c r="C86" s="123"/>
      <c r="D86" s="123"/>
      <c r="E86" s="123"/>
      <c r="F86" s="123"/>
      <c r="G86" s="123"/>
      <c r="H86" s="84">
        <v>1745</v>
      </c>
      <c r="I86" s="84">
        <v>1498</v>
      </c>
      <c r="J86" s="84">
        <v>-5778</v>
      </c>
      <c r="K86" s="84">
        <v>2535</v>
      </c>
      <c r="L86" s="84"/>
      <c r="M86" s="84"/>
      <c r="N86" s="125"/>
      <c r="O86" s="125"/>
      <c r="P86" s="125"/>
      <c r="Q86" s="125"/>
      <c r="R86" s="125"/>
      <c r="S86" s="125"/>
      <c r="T86" s="125"/>
    </row>
    <row r="87" spans="1:22">
      <c r="A87" s="120" t="s">
        <v>1137</v>
      </c>
      <c r="B87" s="123"/>
      <c r="C87" s="123"/>
      <c r="D87" s="123"/>
      <c r="E87" s="123"/>
      <c r="F87" s="123"/>
      <c r="G87" s="123"/>
      <c r="H87" s="84"/>
      <c r="I87" s="84">
        <v>39073</v>
      </c>
      <c r="J87" s="84"/>
      <c r="K87" s="84"/>
      <c r="L87" s="84"/>
      <c r="M87" s="84"/>
      <c r="N87" s="125"/>
      <c r="O87" s="125"/>
      <c r="P87" s="125"/>
      <c r="Q87" s="125"/>
      <c r="R87" s="125"/>
      <c r="S87" s="125"/>
      <c r="T87" s="125"/>
      <c r="U87" s="125"/>
    </row>
    <row r="88" spans="1:22">
      <c r="A88" s="120" t="s">
        <v>454</v>
      </c>
      <c r="B88" s="123"/>
      <c r="C88" s="123"/>
      <c r="D88" s="123"/>
      <c r="E88" s="123"/>
      <c r="F88" s="123"/>
      <c r="G88" s="123"/>
      <c r="H88" s="84"/>
      <c r="I88" s="84">
        <v>2306</v>
      </c>
      <c r="J88" s="84"/>
      <c r="K88" s="84"/>
      <c r="L88" s="84"/>
      <c r="M88" s="84"/>
      <c r="N88" s="94"/>
      <c r="O88" s="94"/>
      <c r="P88" s="94"/>
      <c r="Q88" s="94"/>
      <c r="R88" s="94"/>
      <c r="S88" s="94"/>
      <c r="T88" s="94"/>
      <c r="U88" s="94"/>
    </row>
    <row r="89" spans="1:22">
      <c r="A89" s="120" t="s">
        <v>1577</v>
      </c>
      <c r="B89" s="123"/>
      <c r="C89" s="123"/>
      <c r="D89" s="123"/>
      <c r="E89" s="123"/>
      <c r="F89" s="123"/>
      <c r="G89" s="123"/>
      <c r="H89" s="84"/>
      <c r="I89" s="84"/>
      <c r="J89" s="84"/>
      <c r="K89" s="84"/>
      <c r="L89" s="84"/>
      <c r="M89" s="84"/>
      <c r="N89" s="94">
        <v>-15</v>
      </c>
      <c r="O89" s="94">
        <v>-824</v>
      </c>
      <c r="P89" s="94">
        <v>-1392</v>
      </c>
      <c r="Q89" s="94">
        <v>-604</v>
      </c>
      <c r="R89" s="94">
        <v>-810</v>
      </c>
      <c r="S89" s="94">
        <v>-57</v>
      </c>
      <c r="T89" s="94">
        <v>-440</v>
      </c>
      <c r="U89" s="94"/>
    </row>
    <row r="90" spans="1:22">
      <c r="A90" s="119" t="s">
        <v>1091</v>
      </c>
      <c r="B90" s="85">
        <v>-4306</v>
      </c>
      <c r="C90" s="85">
        <v>62661</v>
      </c>
      <c r="D90" s="85">
        <v>30600</v>
      </c>
      <c r="E90" s="85">
        <v>17587</v>
      </c>
      <c r="F90" s="85">
        <v>27555</v>
      </c>
      <c r="G90" s="85">
        <v>-26300</v>
      </c>
      <c r="H90" s="85">
        <v>-16232</v>
      </c>
      <c r="I90" s="85">
        <v>-38989</v>
      </c>
      <c r="J90" s="85">
        <v>662</v>
      </c>
      <c r="K90" s="85">
        <v>-2327</v>
      </c>
      <c r="L90" s="85">
        <v>9324</v>
      </c>
      <c r="M90" s="85">
        <v>-17600</v>
      </c>
      <c r="N90" s="85">
        <v>10327</v>
      </c>
      <c r="O90" s="85">
        <v>35138</v>
      </c>
      <c r="P90" s="85">
        <v>-102477</v>
      </c>
      <c r="Q90" s="85">
        <v>11482</v>
      </c>
      <c r="R90" s="85">
        <v>5195</v>
      </c>
      <c r="S90" s="85">
        <v>4874</v>
      </c>
      <c r="T90" s="85">
        <v>-91422</v>
      </c>
      <c r="U90" s="85">
        <v>-20278.2</v>
      </c>
      <c r="V90" s="638"/>
    </row>
    <row r="91" spans="1:22">
      <c r="A91" s="120" t="s">
        <v>1800</v>
      </c>
      <c r="B91" s="94">
        <v>9110</v>
      </c>
      <c r="C91" s="94">
        <v>10462</v>
      </c>
      <c r="D91" s="94">
        <v>12089</v>
      </c>
      <c r="E91" s="94">
        <v>13689</v>
      </c>
      <c r="F91" s="123">
        <v>26051</v>
      </c>
      <c r="G91" s="94">
        <v>24931</v>
      </c>
      <c r="H91" s="94">
        <v>20253</v>
      </c>
      <c r="I91" s="94">
        <v>22019</v>
      </c>
      <c r="J91" s="94">
        <v>22246</v>
      </c>
      <c r="K91" s="94">
        <v>21414</v>
      </c>
      <c r="L91" s="94">
        <v>25225</v>
      </c>
      <c r="M91" s="94">
        <v>27065</v>
      </c>
      <c r="N91" s="94">
        <v>27193</v>
      </c>
      <c r="O91" s="94">
        <v>29239</v>
      </c>
      <c r="P91" s="94">
        <v>29223</v>
      </c>
      <c r="Q91" s="94">
        <v>30203</v>
      </c>
      <c r="R91" s="94">
        <v>31932</v>
      </c>
      <c r="S91" s="94">
        <v>33086</v>
      </c>
      <c r="T91" s="94">
        <v>34416</v>
      </c>
      <c r="U91" s="94">
        <v>35334</v>
      </c>
    </row>
    <row r="92" spans="1:22">
      <c r="A92" s="120" t="s">
        <v>1094</v>
      </c>
      <c r="B92" s="94"/>
      <c r="C92" s="94"/>
      <c r="D92" s="94"/>
      <c r="E92" s="94"/>
      <c r="F92" s="123"/>
      <c r="G92" s="94">
        <v>-55957</v>
      </c>
      <c r="H92" s="94">
        <v>-18238</v>
      </c>
      <c r="I92" s="94">
        <v>-20326</v>
      </c>
      <c r="J92" s="94">
        <v>-21493</v>
      </c>
      <c r="K92" s="94">
        <v>-22167</v>
      </c>
      <c r="L92" s="94">
        <v>-23081</v>
      </c>
      <c r="M92" s="94">
        <v>-48999</v>
      </c>
      <c r="N92" s="94">
        <v>-27220</v>
      </c>
      <c r="O92" s="94">
        <v>-28606</v>
      </c>
      <c r="P92" s="94">
        <v>-30261</v>
      </c>
      <c r="Q92" s="94">
        <v>-30104</v>
      </c>
      <c r="R92" s="94">
        <v>-31533</v>
      </c>
      <c r="S92" s="94">
        <v>-32563</v>
      </c>
      <c r="T92" s="94">
        <v>-34791</v>
      </c>
      <c r="U92" s="94">
        <v>-35650</v>
      </c>
    </row>
    <row r="93" spans="1:22">
      <c r="A93" s="120" t="s">
        <v>1801</v>
      </c>
      <c r="B93" s="94"/>
      <c r="C93" s="94"/>
      <c r="D93" s="94"/>
      <c r="E93" s="94"/>
      <c r="F93" s="123"/>
      <c r="G93" s="94"/>
      <c r="H93" s="94"/>
      <c r="I93" s="94">
        <v>-7900</v>
      </c>
      <c r="J93" s="94">
        <v>-900</v>
      </c>
      <c r="K93" s="94">
        <v>35</v>
      </c>
      <c r="L93" s="94">
        <v>930</v>
      </c>
      <c r="M93" s="94">
        <v>-490</v>
      </c>
      <c r="N93" s="94">
        <v>-136</v>
      </c>
      <c r="O93" s="94"/>
      <c r="P93" s="94"/>
      <c r="Q93" s="94"/>
      <c r="R93" s="94"/>
      <c r="S93" s="94">
        <v>1128</v>
      </c>
      <c r="T93" s="94">
        <v>-1885</v>
      </c>
      <c r="U93" s="94">
        <v>1074</v>
      </c>
    </row>
    <row r="94" spans="1:22">
      <c r="A94" s="120" t="s">
        <v>53</v>
      </c>
      <c r="B94" s="94"/>
      <c r="C94" s="94">
        <v>19065</v>
      </c>
      <c r="D94" s="94">
        <v>1253</v>
      </c>
      <c r="E94" s="94">
        <v>209</v>
      </c>
      <c r="F94" s="123">
        <v>1881</v>
      </c>
      <c r="G94" s="94">
        <v>650</v>
      </c>
      <c r="H94" s="94">
        <v>891</v>
      </c>
      <c r="I94" s="94">
        <v>2659</v>
      </c>
      <c r="J94" s="94">
        <v>-1103</v>
      </c>
      <c r="K94" s="94">
        <v>-690</v>
      </c>
      <c r="L94" s="94">
        <v>-305</v>
      </c>
      <c r="M94" s="94">
        <v>-349</v>
      </c>
      <c r="N94" s="94">
        <v>-16</v>
      </c>
      <c r="O94" s="94">
        <v>42</v>
      </c>
      <c r="P94" s="94">
        <v>566</v>
      </c>
      <c r="Q94" s="94">
        <v>109</v>
      </c>
      <c r="R94" s="94">
        <v>8945</v>
      </c>
      <c r="S94" s="94">
        <v>441</v>
      </c>
      <c r="T94" s="94">
        <v>-3765</v>
      </c>
      <c r="U94" s="94">
        <v>-4636</v>
      </c>
    </row>
    <row r="95" spans="1:22">
      <c r="A95" s="120" t="s">
        <v>1994</v>
      </c>
      <c r="B95" s="94"/>
      <c r="C95" s="94">
        <v>998</v>
      </c>
      <c r="D95" s="94">
        <v>2097</v>
      </c>
      <c r="E95" s="94">
        <v>2127</v>
      </c>
      <c r="F95" s="123">
        <v>2284</v>
      </c>
      <c r="G95" s="94">
        <v>2320</v>
      </c>
      <c r="H95" s="94">
        <v>922</v>
      </c>
      <c r="I95" s="94">
        <v>-2738</v>
      </c>
      <c r="J95" s="94">
        <v>-428</v>
      </c>
      <c r="K95" s="94">
        <v>156</v>
      </c>
      <c r="L95" s="94">
        <v>-312</v>
      </c>
      <c r="M95" s="94">
        <v>880</v>
      </c>
      <c r="N95" s="94">
        <v>-888</v>
      </c>
      <c r="O95" s="94">
        <v>-39</v>
      </c>
      <c r="P95" s="94">
        <v>4</v>
      </c>
      <c r="Q95" s="94">
        <v>300</v>
      </c>
      <c r="R95" s="94">
        <v>8</v>
      </c>
      <c r="S95" s="94">
        <v>13</v>
      </c>
      <c r="T95" s="94">
        <v>-34</v>
      </c>
      <c r="U95" s="94">
        <v>68</v>
      </c>
    </row>
    <row r="96" spans="1:22">
      <c r="A96" s="120" t="s">
        <v>414</v>
      </c>
      <c r="B96" s="94"/>
      <c r="C96" s="94"/>
      <c r="D96" s="94"/>
      <c r="E96" s="94"/>
      <c r="F96" s="123"/>
      <c r="G96" s="94"/>
      <c r="H96" s="94"/>
      <c r="I96" s="94"/>
      <c r="J96" s="94"/>
      <c r="K96" s="94"/>
      <c r="L96" s="94"/>
      <c r="M96" s="94"/>
      <c r="N96" s="94"/>
      <c r="O96" s="94">
        <v>15000</v>
      </c>
      <c r="P96" s="94"/>
      <c r="Q96" s="94"/>
      <c r="R96" s="94"/>
      <c r="S96" s="94"/>
      <c r="T96" s="94"/>
    </row>
    <row r="97" spans="1:21">
      <c r="A97" s="120" t="s">
        <v>415</v>
      </c>
      <c r="B97" s="94"/>
      <c r="C97" s="94"/>
      <c r="D97" s="94"/>
      <c r="E97" s="94"/>
      <c r="F97" s="123"/>
      <c r="G97" s="94"/>
      <c r="H97" s="94"/>
      <c r="I97" s="94"/>
      <c r="J97" s="94"/>
      <c r="K97" s="94"/>
      <c r="L97" s="94"/>
      <c r="M97" s="94"/>
      <c r="N97" s="94"/>
      <c r="O97" s="94">
        <v>-2255</v>
      </c>
      <c r="P97" s="94">
        <v>1227</v>
      </c>
      <c r="Q97" s="94">
        <v>689</v>
      </c>
      <c r="R97" s="94">
        <v>168</v>
      </c>
      <c r="S97" s="94">
        <v>369</v>
      </c>
      <c r="T97" s="94">
        <v>90</v>
      </c>
      <c r="U97" s="94">
        <v>48.8</v>
      </c>
    </row>
    <row r="98" spans="1:21">
      <c r="A98" s="120" t="s">
        <v>416</v>
      </c>
      <c r="B98" s="94"/>
      <c r="C98" s="94"/>
      <c r="D98" s="94"/>
      <c r="E98" s="94"/>
      <c r="F98" s="123"/>
      <c r="G98" s="94"/>
      <c r="H98" s="94"/>
      <c r="I98" s="94"/>
      <c r="J98" s="94"/>
      <c r="K98" s="94"/>
      <c r="L98" s="94"/>
      <c r="M98" s="94"/>
      <c r="N98" s="94"/>
      <c r="O98" s="94"/>
      <c r="P98" s="94">
        <v>-5610</v>
      </c>
      <c r="Q98" s="94"/>
      <c r="R98" s="94"/>
      <c r="S98" s="94"/>
      <c r="T98" s="94"/>
    </row>
    <row r="99" spans="1:21">
      <c r="A99" s="120" t="s">
        <v>1756</v>
      </c>
      <c r="B99" s="94"/>
      <c r="C99" s="94"/>
      <c r="D99" s="94"/>
      <c r="E99" s="94"/>
      <c r="F99" s="123"/>
      <c r="G99" s="94"/>
      <c r="H99" s="94"/>
      <c r="I99" s="94"/>
      <c r="J99" s="94"/>
      <c r="K99" s="94"/>
      <c r="L99" s="94"/>
      <c r="M99" s="94"/>
      <c r="N99" s="94"/>
      <c r="O99" s="94"/>
      <c r="P99" s="94"/>
      <c r="Q99" s="94"/>
      <c r="R99" s="94"/>
      <c r="S99" s="94"/>
      <c r="T99" s="94">
        <v>21390</v>
      </c>
    </row>
    <row r="100" spans="1:21">
      <c r="A100" s="120" t="s">
        <v>378</v>
      </c>
      <c r="B100" s="94"/>
      <c r="C100" s="94">
        <v>4100</v>
      </c>
      <c r="D100" s="94"/>
      <c r="E100" s="94"/>
      <c r="F100" s="123"/>
      <c r="G100" s="94"/>
      <c r="H100" s="94"/>
      <c r="I100" s="94"/>
      <c r="J100" s="94"/>
      <c r="K100" s="94"/>
      <c r="L100" s="94"/>
      <c r="M100" s="94"/>
      <c r="N100" s="94"/>
      <c r="O100" s="94"/>
      <c r="P100" s="94"/>
      <c r="Q100" s="94"/>
      <c r="R100" s="94"/>
      <c r="S100" s="94"/>
      <c r="T100" s="94"/>
      <c r="U100" s="94"/>
    </row>
    <row r="101" spans="1:21">
      <c r="A101" s="120" t="s">
        <v>379</v>
      </c>
      <c r="B101" s="94"/>
      <c r="C101" s="94"/>
      <c r="D101" s="94"/>
      <c r="E101" s="94">
        <v>1000</v>
      </c>
      <c r="F101" s="123"/>
      <c r="G101" s="94"/>
      <c r="H101" s="94"/>
      <c r="I101" s="94"/>
      <c r="J101" s="94"/>
      <c r="K101" s="94"/>
      <c r="L101" s="94"/>
      <c r="M101" s="94"/>
      <c r="N101" s="94"/>
      <c r="O101" s="94"/>
      <c r="P101" s="94"/>
      <c r="Q101" s="94"/>
      <c r="R101" s="94"/>
      <c r="S101" s="94"/>
      <c r="T101" s="94"/>
    </row>
    <row r="102" spans="1:21">
      <c r="A102" s="120" t="s">
        <v>380</v>
      </c>
      <c r="B102" s="94">
        <v>-20042</v>
      </c>
      <c r="C102" s="94">
        <v>14032</v>
      </c>
      <c r="D102" s="94">
        <v>6010</v>
      </c>
      <c r="E102" s="94"/>
      <c r="F102" s="123"/>
      <c r="G102" s="94"/>
      <c r="H102" s="94"/>
      <c r="I102" s="94"/>
      <c r="J102" s="94"/>
      <c r="K102" s="94"/>
      <c r="L102" s="94"/>
      <c r="M102" s="94"/>
      <c r="N102" s="94"/>
      <c r="O102" s="94"/>
      <c r="P102" s="94"/>
      <c r="Q102" s="94"/>
      <c r="R102" s="94"/>
      <c r="S102" s="94"/>
      <c r="T102" s="94"/>
      <c r="U102" s="94"/>
    </row>
    <row r="103" spans="1:21">
      <c r="A103" s="120" t="s">
        <v>381</v>
      </c>
      <c r="B103" s="94"/>
      <c r="C103" s="94"/>
      <c r="D103" s="94"/>
      <c r="E103" s="94"/>
      <c r="F103" s="123"/>
      <c r="G103" s="94"/>
      <c r="H103" s="94">
        <v>-12000</v>
      </c>
      <c r="I103" s="94">
        <v>12000</v>
      </c>
      <c r="J103" s="94"/>
      <c r="K103" s="94"/>
      <c r="L103" s="94"/>
      <c r="M103" s="94"/>
      <c r="N103" s="94"/>
      <c r="O103" s="94"/>
      <c r="P103" s="94"/>
      <c r="Q103" s="94"/>
      <c r="R103" s="94"/>
      <c r="S103" s="94"/>
      <c r="T103" s="94"/>
      <c r="U103" s="94"/>
    </row>
    <row r="104" spans="1:21">
      <c r="A104" s="120" t="s">
        <v>1578</v>
      </c>
      <c r="B104" s="94"/>
      <c r="C104" s="94"/>
      <c r="D104" s="94"/>
      <c r="E104" s="94"/>
      <c r="F104" s="123"/>
      <c r="G104" s="94"/>
      <c r="H104" s="94"/>
      <c r="I104" s="94">
        <v>-39073</v>
      </c>
      <c r="J104" s="94"/>
      <c r="K104" s="94"/>
      <c r="L104" s="94"/>
      <c r="M104" s="94"/>
      <c r="N104" s="94"/>
      <c r="O104" s="94"/>
      <c r="P104" s="94"/>
      <c r="Q104" s="94"/>
      <c r="R104" s="94"/>
      <c r="S104" s="94"/>
      <c r="T104" s="94"/>
    </row>
    <row r="105" spans="1:21">
      <c r="A105" s="120" t="s">
        <v>666</v>
      </c>
      <c r="B105" s="94"/>
      <c r="C105" s="94"/>
      <c r="D105" s="94"/>
      <c r="E105" s="94"/>
      <c r="F105" s="123"/>
      <c r="G105" s="94"/>
      <c r="H105" s="94"/>
      <c r="I105" s="94"/>
      <c r="J105" s="94">
        <v>2307</v>
      </c>
      <c r="K105" s="94">
        <v>58</v>
      </c>
      <c r="L105" s="94">
        <v>641</v>
      </c>
      <c r="M105" s="94">
        <v>1</v>
      </c>
      <c r="N105" s="94">
        <v>1</v>
      </c>
      <c r="O105" s="94"/>
      <c r="P105" s="94"/>
      <c r="Q105" s="94"/>
      <c r="R105" s="94"/>
      <c r="S105" s="94"/>
      <c r="T105" s="94"/>
      <c r="U105" s="94"/>
    </row>
    <row r="106" spans="1:21">
      <c r="A106" s="120" t="s">
        <v>749</v>
      </c>
      <c r="B106" s="94"/>
      <c r="C106" s="94"/>
      <c r="D106" s="94"/>
      <c r="E106" s="94"/>
      <c r="F106" s="123"/>
      <c r="G106" s="94"/>
      <c r="H106" s="94"/>
      <c r="I106" s="94"/>
      <c r="J106" s="94">
        <v>-2055</v>
      </c>
      <c r="K106" s="94">
        <v>-300</v>
      </c>
      <c r="L106" s="94">
        <v>-600</v>
      </c>
      <c r="M106" s="94">
        <v>-20</v>
      </c>
      <c r="N106" s="94">
        <v>-30</v>
      </c>
      <c r="O106" s="94"/>
      <c r="P106" s="94"/>
      <c r="Q106" s="94"/>
      <c r="R106" s="94"/>
      <c r="S106" s="94"/>
      <c r="T106" s="94"/>
      <c r="U106" s="94"/>
    </row>
    <row r="107" spans="1:21">
      <c r="A107" s="120" t="s">
        <v>750</v>
      </c>
      <c r="B107" s="94"/>
      <c r="C107" s="94"/>
      <c r="D107" s="94"/>
      <c r="E107" s="94"/>
      <c r="F107" s="123"/>
      <c r="G107" s="94"/>
      <c r="H107" s="94"/>
      <c r="I107" s="94"/>
      <c r="J107" s="94"/>
      <c r="K107" s="94"/>
      <c r="L107" s="94">
        <v>-814</v>
      </c>
      <c r="M107" s="94"/>
      <c r="N107" s="94"/>
      <c r="O107" s="94"/>
      <c r="P107" s="94"/>
      <c r="Q107" s="94"/>
      <c r="R107" s="94"/>
      <c r="S107" s="94"/>
      <c r="T107" s="94"/>
      <c r="U107" s="94"/>
    </row>
    <row r="108" spans="1:21">
      <c r="A108" s="120" t="s">
        <v>1441</v>
      </c>
      <c r="B108" s="94"/>
      <c r="C108" s="94"/>
      <c r="D108" s="94"/>
      <c r="E108" s="94"/>
      <c r="F108" s="123"/>
      <c r="G108" s="94"/>
      <c r="H108" s="94"/>
      <c r="I108" s="94"/>
      <c r="J108" s="94"/>
      <c r="K108" s="94"/>
      <c r="L108" s="94">
        <v>-6838</v>
      </c>
      <c r="M108" s="94">
        <v>0</v>
      </c>
      <c r="N108" s="94">
        <v>-1300</v>
      </c>
      <c r="O108" s="94">
        <v>-3595</v>
      </c>
      <c r="P108" s="94"/>
      <c r="Q108" s="94"/>
      <c r="R108" s="94"/>
      <c r="S108" s="94"/>
      <c r="T108" s="94"/>
      <c r="U108" s="94"/>
    </row>
    <row r="109" spans="1:21">
      <c r="A109" s="120" t="s">
        <v>751</v>
      </c>
      <c r="B109" s="94"/>
      <c r="C109" s="94"/>
      <c r="D109" s="94"/>
      <c r="E109" s="94"/>
      <c r="F109" s="123"/>
      <c r="G109" s="94"/>
      <c r="H109" s="94"/>
      <c r="I109" s="94"/>
      <c r="J109" s="94"/>
      <c r="K109" s="94"/>
      <c r="L109" s="94">
        <v>1569</v>
      </c>
      <c r="M109" s="94">
        <v>-255</v>
      </c>
      <c r="N109" s="94">
        <v>-727</v>
      </c>
      <c r="O109" s="94">
        <v>-603</v>
      </c>
      <c r="P109" s="94">
        <v>-56</v>
      </c>
      <c r="Q109" s="94"/>
      <c r="R109" s="94"/>
      <c r="S109" s="94"/>
      <c r="T109" s="94"/>
      <c r="U109" s="94"/>
    </row>
    <row r="110" spans="1:21">
      <c r="A110" s="120" t="s">
        <v>667</v>
      </c>
      <c r="B110" s="94"/>
      <c r="C110" s="94"/>
      <c r="D110" s="94"/>
      <c r="E110" s="94"/>
      <c r="F110" s="123"/>
      <c r="G110" s="94"/>
      <c r="H110" s="94"/>
      <c r="I110" s="94"/>
      <c r="J110" s="94"/>
      <c r="K110" s="94"/>
      <c r="L110" s="94"/>
      <c r="M110" s="94"/>
      <c r="N110" s="94">
        <v>10000</v>
      </c>
      <c r="O110" s="94">
        <v>25299</v>
      </c>
      <c r="P110" s="94"/>
      <c r="Q110" s="94"/>
      <c r="R110" s="94"/>
      <c r="S110" s="94"/>
      <c r="T110" s="94"/>
      <c r="U110" s="94"/>
    </row>
    <row r="111" spans="1:21">
      <c r="A111" s="120" t="s">
        <v>417</v>
      </c>
      <c r="B111" s="94"/>
      <c r="C111" s="94"/>
      <c r="D111" s="94"/>
      <c r="E111" s="94"/>
      <c r="F111" s="123"/>
      <c r="G111" s="94"/>
      <c r="H111" s="94"/>
      <c r="I111" s="94"/>
      <c r="J111" s="94"/>
      <c r="K111" s="94"/>
      <c r="L111" s="94"/>
      <c r="M111" s="94"/>
      <c r="N111" s="94"/>
      <c r="O111" s="94"/>
      <c r="P111" s="94">
        <v>-874</v>
      </c>
      <c r="Q111" s="94">
        <v>-1552</v>
      </c>
      <c r="R111" s="94">
        <v>-2214</v>
      </c>
      <c r="S111" s="94">
        <v>2702</v>
      </c>
      <c r="T111" s="94"/>
      <c r="U111" s="94">
        <v>1939</v>
      </c>
    </row>
    <row r="112" spans="1:21">
      <c r="A112" s="120" t="s">
        <v>1630</v>
      </c>
      <c r="B112" s="94"/>
      <c r="C112" s="94"/>
      <c r="D112" s="94"/>
      <c r="E112" s="94"/>
      <c r="F112" s="123"/>
      <c r="G112" s="94"/>
      <c r="H112" s="94"/>
      <c r="I112" s="94"/>
      <c r="J112" s="94"/>
      <c r="K112" s="94"/>
      <c r="L112" s="94"/>
      <c r="M112" s="94"/>
      <c r="N112" s="94"/>
      <c r="O112" s="94"/>
      <c r="P112" s="94"/>
      <c r="Q112" s="94"/>
      <c r="R112" s="94"/>
      <c r="S112" s="94">
        <v>-2638</v>
      </c>
      <c r="T112" s="94">
        <v>-2605</v>
      </c>
      <c r="U112" s="94"/>
    </row>
    <row r="113" spans="1:21">
      <c r="A113" s="120" t="s">
        <v>418</v>
      </c>
      <c r="B113" s="94"/>
      <c r="C113" s="94"/>
      <c r="D113" s="94"/>
      <c r="E113" s="94"/>
      <c r="F113" s="123"/>
      <c r="G113" s="94"/>
      <c r="H113" s="94"/>
      <c r="I113" s="94"/>
      <c r="J113" s="94"/>
      <c r="K113" s="94"/>
      <c r="L113" s="94"/>
      <c r="M113" s="94"/>
      <c r="N113" s="94"/>
      <c r="O113" s="94"/>
      <c r="P113" s="94">
        <v>-95252</v>
      </c>
      <c r="Q113" s="94">
        <v>4259</v>
      </c>
      <c r="R113" s="94">
        <v>5929</v>
      </c>
      <c r="S113" s="94">
        <v>-5371</v>
      </c>
      <c r="T113" s="94">
        <v>-103621</v>
      </c>
      <c r="U113" s="94">
        <v>-4467</v>
      </c>
    </row>
    <row r="114" spans="1:21">
      <c r="A114" s="120" t="s">
        <v>1329</v>
      </c>
      <c r="B114" s="94"/>
      <c r="C114" s="94"/>
      <c r="D114" s="94"/>
      <c r="E114" s="94"/>
      <c r="F114" s="123"/>
      <c r="G114" s="94"/>
      <c r="H114" s="94"/>
      <c r="I114" s="94"/>
      <c r="J114" s="94"/>
      <c r="K114" s="94"/>
      <c r="L114" s="94"/>
      <c r="M114" s="94"/>
      <c r="N114" s="94"/>
      <c r="O114" s="94"/>
      <c r="P114" s="94"/>
      <c r="Q114" s="94">
        <v>927</v>
      </c>
      <c r="R114" s="94">
        <v>705</v>
      </c>
      <c r="S114" s="94">
        <v>690</v>
      </c>
      <c r="T114" s="94">
        <v>918</v>
      </c>
      <c r="U114" s="94"/>
    </row>
    <row r="115" spans="1:21">
      <c r="A115" s="120" t="s">
        <v>1589</v>
      </c>
      <c r="B115" s="94"/>
      <c r="C115" s="94"/>
      <c r="D115" s="94"/>
      <c r="E115" s="94"/>
      <c r="F115" s="123"/>
      <c r="G115" s="94"/>
      <c r="H115" s="94"/>
      <c r="I115" s="94"/>
      <c r="J115" s="94"/>
      <c r="K115" s="94"/>
      <c r="L115" s="94"/>
      <c r="M115" s="94"/>
      <c r="N115" s="94"/>
      <c r="O115" s="94"/>
      <c r="P115" s="94"/>
      <c r="Q115" s="94">
        <v>5923</v>
      </c>
      <c r="R115" s="94">
        <v>-5923</v>
      </c>
      <c r="S115" s="94"/>
      <c r="T115" s="94"/>
      <c r="U115" s="94"/>
    </row>
    <row r="116" spans="1:21">
      <c r="A116" s="120" t="s">
        <v>752</v>
      </c>
      <c r="B116" s="94"/>
      <c r="C116" s="94"/>
      <c r="D116" s="94"/>
      <c r="E116" s="94"/>
      <c r="F116" s="123"/>
      <c r="G116" s="94"/>
      <c r="H116" s="94"/>
      <c r="I116" s="94"/>
      <c r="J116" s="94"/>
      <c r="K116" s="94"/>
      <c r="L116" s="94">
        <v>1825</v>
      </c>
      <c r="M116" s="94"/>
      <c r="N116" s="94"/>
      <c r="O116" s="94"/>
      <c r="P116" s="94"/>
      <c r="Q116" s="94"/>
      <c r="R116" s="94"/>
      <c r="S116" s="94"/>
      <c r="T116" s="94"/>
      <c r="U116" s="94"/>
    </row>
    <row r="117" spans="1:21">
      <c r="A117" s="120" t="s">
        <v>1631</v>
      </c>
      <c r="B117" s="94"/>
      <c r="C117" s="94"/>
      <c r="D117" s="94"/>
      <c r="E117" s="94"/>
      <c r="F117" s="123"/>
      <c r="G117" s="94"/>
      <c r="H117" s="94"/>
      <c r="I117" s="94"/>
      <c r="J117" s="94"/>
      <c r="K117" s="94"/>
      <c r="L117" s="94"/>
      <c r="M117" s="94"/>
      <c r="N117" s="94"/>
      <c r="O117" s="94"/>
      <c r="P117" s="94"/>
      <c r="Q117" s="94"/>
      <c r="R117" s="94">
        <v>310</v>
      </c>
      <c r="S117" s="94">
        <v>5673</v>
      </c>
      <c r="T117" s="94">
        <v>2616</v>
      </c>
      <c r="U117" s="94">
        <v>1773</v>
      </c>
    </row>
    <row r="118" spans="1:21">
      <c r="A118" s="120" t="s">
        <v>1755</v>
      </c>
      <c r="B118" s="94"/>
      <c r="C118" s="94"/>
      <c r="D118" s="94"/>
      <c r="E118" s="94"/>
      <c r="F118" s="123"/>
      <c r="G118" s="94"/>
      <c r="H118" s="94"/>
      <c r="I118" s="94"/>
      <c r="J118" s="94"/>
      <c r="K118" s="94"/>
      <c r="L118" s="94"/>
      <c r="M118" s="94"/>
      <c r="N118" s="94"/>
      <c r="O118" s="94"/>
      <c r="P118" s="94"/>
      <c r="Q118" s="94"/>
      <c r="R118" s="94"/>
      <c r="S118" s="94">
        <v>276</v>
      </c>
      <c r="T118" s="94">
        <v>-1920</v>
      </c>
      <c r="U118" s="94">
        <v>-2427</v>
      </c>
    </row>
    <row r="119" spans="1:21">
      <c r="A119" s="120" t="s">
        <v>748</v>
      </c>
      <c r="B119" s="94"/>
      <c r="C119" s="94"/>
      <c r="D119" s="94"/>
      <c r="E119" s="94"/>
      <c r="F119" s="123"/>
      <c r="G119" s="94"/>
      <c r="H119" s="94"/>
      <c r="I119" s="94"/>
      <c r="J119" s="94"/>
      <c r="K119" s="94"/>
      <c r="L119" s="94">
        <v>5574</v>
      </c>
      <c r="M119" s="94"/>
      <c r="N119" s="94"/>
      <c r="O119" s="94"/>
      <c r="P119" s="94"/>
      <c r="Q119" s="94"/>
      <c r="R119" s="94"/>
      <c r="S119" s="94"/>
      <c r="T119" s="94"/>
      <c r="U119" s="94"/>
    </row>
    <row r="120" spans="1:21">
      <c r="A120" s="120" t="s">
        <v>1590</v>
      </c>
      <c r="B120" s="94"/>
      <c r="C120" s="94"/>
      <c r="D120" s="94"/>
      <c r="E120" s="94"/>
      <c r="F120" s="123"/>
      <c r="G120" s="94"/>
      <c r="H120" s="94"/>
      <c r="I120" s="94"/>
      <c r="J120" s="94"/>
      <c r="K120" s="94"/>
      <c r="L120" s="94"/>
      <c r="M120" s="94"/>
      <c r="N120" s="94"/>
      <c r="O120" s="94"/>
      <c r="P120" s="94"/>
      <c r="Q120" s="94"/>
      <c r="R120" s="94">
        <v>-2115</v>
      </c>
      <c r="S120" s="94"/>
      <c r="T120" s="94"/>
    </row>
    <row r="121" spans="1:21">
      <c r="A121" s="120" t="s">
        <v>1995</v>
      </c>
      <c r="B121" s="94"/>
      <c r="C121" s="94"/>
      <c r="D121" s="94"/>
      <c r="E121" s="94"/>
      <c r="F121" s="123"/>
      <c r="G121" s="94"/>
      <c r="H121" s="94"/>
      <c r="I121" s="94"/>
      <c r="J121" s="94"/>
      <c r="K121" s="94"/>
      <c r="L121" s="94"/>
      <c r="M121" s="94"/>
      <c r="N121" s="94"/>
      <c r="O121" s="94"/>
      <c r="P121" s="94"/>
      <c r="Q121" s="94"/>
      <c r="R121" s="94"/>
      <c r="S121" s="94"/>
      <c r="T121" s="94"/>
      <c r="U121" s="94">
        <v>-11676</v>
      </c>
    </row>
    <row r="122" spans="1:21">
      <c r="A122" s="120" t="s">
        <v>1442</v>
      </c>
      <c r="B122" s="94">
        <v>6626</v>
      </c>
      <c r="C122" s="94">
        <v>14004</v>
      </c>
      <c r="D122" s="94">
        <v>9151</v>
      </c>
      <c r="E122" s="94">
        <v>562</v>
      </c>
      <c r="F122" s="123">
        <v>-2661</v>
      </c>
      <c r="G122" s="94">
        <v>1756</v>
      </c>
      <c r="H122" s="94">
        <v>-8060</v>
      </c>
      <c r="I122" s="94">
        <v>-5630</v>
      </c>
      <c r="J122" s="94">
        <v>2088</v>
      </c>
      <c r="K122" s="94">
        <v>-833</v>
      </c>
      <c r="L122" s="94">
        <v>5510</v>
      </c>
      <c r="M122" s="94">
        <v>4567</v>
      </c>
      <c r="N122" s="94">
        <v>3450</v>
      </c>
      <c r="O122" s="94">
        <v>656</v>
      </c>
      <c r="P122" s="94">
        <v>-1444</v>
      </c>
      <c r="Q122" s="94">
        <v>728</v>
      </c>
      <c r="R122" s="94">
        <v>-1017</v>
      </c>
      <c r="S122" s="94">
        <v>1068</v>
      </c>
      <c r="T122" s="94">
        <v>-2231</v>
      </c>
      <c r="U122" s="94">
        <v>-1659</v>
      </c>
    </row>
    <row r="123" spans="1:21" ht="13.5" thickBot="1">
      <c r="A123" s="409" t="s">
        <v>382</v>
      </c>
      <c r="B123" s="409">
        <v>25801</v>
      </c>
      <c r="C123" s="409">
        <v>88209</v>
      </c>
      <c r="D123" s="409">
        <v>53295</v>
      </c>
      <c r="E123" s="409">
        <v>30611</v>
      </c>
      <c r="F123" s="409">
        <v>72020</v>
      </c>
      <c r="G123" s="409">
        <v>96224</v>
      </c>
      <c r="H123" s="409">
        <v>36693</v>
      </c>
      <c r="I123" s="409">
        <v>29396</v>
      </c>
      <c r="J123" s="409">
        <v>18401</v>
      </c>
      <c r="K123" s="409">
        <v>7095</v>
      </c>
      <c r="L123" s="409">
        <v>23830</v>
      </c>
      <c r="M123" s="409">
        <v>-2065.7700000000023</v>
      </c>
      <c r="N123" s="409">
        <v>18927.169999999998</v>
      </c>
      <c r="O123" s="409">
        <v>70319</v>
      </c>
      <c r="P123" s="409">
        <v>-105274</v>
      </c>
      <c r="Q123" s="409">
        <v>23425</v>
      </c>
      <c r="R123" s="409">
        <v>36273.800000000003</v>
      </c>
      <c r="S123" s="409">
        <v>7977</v>
      </c>
      <c r="T123" s="409">
        <v>-73802</v>
      </c>
      <c r="U123" s="409">
        <v>-14092.2</v>
      </c>
    </row>
    <row r="124" spans="1:21">
      <c r="A124" s="189" t="s">
        <v>179</v>
      </c>
    </row>
  </sheetData>
  <pageMargins left="0.70866141732283472" right="0.70866141732283472" top="0.74803149606299213" bottom="0.74803149606299213" header="0.31496062992125984" footer="0.31496062992125984"/>
  <pageSetup paperSize="9" scale="74"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8"/>
  <sheetViews>
    <sheetView workbookViewId="0">
      <selection activeCell="F49" sqref="F49"/>
    </sheetView>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2059</v>
      </c>
      <c r="B1" s="1"/>
      <c r="C1" s="4"/>
      <c r="D1" s="4"/>
      <c r="E1" s="4"/>
      <c r="F1" s="4"/>
      <c r="G1" s="4"/>
      <c r="H1" s="4"/>
      <c r="I1" s="4"/>
      <c r="J1" s="4"/>
    </row>
    <row r="2" spans="1:14" ht="12.75" customHeight="1">
      <c r="A2" s="1" t="s">
        <v>1893</v>
      </c>
      <c r="B2" s="1"/>
      <c r="C2" s="4"/>
      <c r="D2" s="4"/>
      <c r="E2" s="4"/>
      <c r="F2" s="4"/>
      <c r="G2" s="4"/>
      <c r="H2" s="4"/>
      <c r="I2" s="4"/>
      <c r="J2" s="4"/>
    </row>
    <row r="3" spans="1:14" ht="12.75" customHeight="1">
      <c r="A3" s="7" t="s">
        <v>1894</v>
      </c>
      <c r="B3" s="7"/>
      <c r="C3" s="4"/>
      <c r="D3" s="4"/>
      <c r="E3" s="4"/>
      <c r="F3" s="4"/>
      <c r="G3" s="4"/>
      <c r="H3" s="4"/>
      <c r="I3" s="4"/>
      <c r="J3" s="55"/>
      <c r="K3" s="58"/>
      <c r="L3" s="58"/>
      <c r="M3" s="58"/>
    </row>
    <row r="4" spans="1:14" ht="12.75" customHeight="1">
      <c r="A4" s="7" t="s">
        <v>1895</v>
      </c>
      <c r="B4" s="7"/>
      <c r="C4" s="4"/>
      <c r="D4" s="4"/>
      <c r="E4" s="4"/>
      <c r="F4" s="4"/>
      <c r="G4" s="4"/>
      <c r="H4" s="4"/>
      <c r="I4" s="4"/>
      <c r="J4" s="55"/>
      <c r="K4" s="58"/>
      <c r="L4" s="58"/>
      <c r="M4" s="58"/>
    </row>
    <row r="5" spans="1:14" ht="13.5" customHeight="1" thickBot="1">
      <c r="A5" s="8"/>
      <c r="B5" s="8"/>
      <c r="C5" s="4"/>
      <c r="D5" s="4"/>
      <c r="E5" s="4"/>
      <c r="F5" s="4"/>
      <c r="G5" s="4"/>
      <c r="H5" s="4"/>
      <c r="I5" s="4"/>
      <c r="J5" s="55"/>
      <c r="K5" s="58"/>
      <c r="L5" s="58"/>
      <c r="M5" s="58"/>
      <c r="N5" s="58"/>
    </row>
    <row r="6" spans="1:14" ht="12.75" customHeight="1">
      <c r="A6" s="470" t="s">
        <v>1896</v>
      </c>
      <c r="B6" s="470"/>
      <c r="C6" s="437" t="s">
        <v>1806</v>
      </c>
      <c r="D6" s="437" t="s">
        <v>1807</v>
      </c>
      <c r="E6" s="437" t="s">
        <v>1808</v>
      </c>
      <c r="F6" s="437" t="s">
        <v>1093</v>
      </c>
      <c r="G6" s="437" t="s">
        <v>1809</v>
      </c>
      <c r="H6" s="471" t="s">
        <v>178</v>
      </c>
      <c r="I6" s="437" t="s">
        <v>1810</v>
      </c>
      <c r="J6" s="58"/>
      <c r="K6" s="58"/>
      <c r="L6" s="58"/>
      <c r="M6" s="59"/>
      <c r="N6" s="58"/>
    </row>
    <row r="7" spans="1:14" ht="13.5" customHeight="1" thickBot="1">
      <c r="A7" s="44"/>
      <c r="B7" s="44"/>
      <c r="C7" s="39" t="s">
        <v>1811</v>
      </c>
      <c r="D7" s="39" t="s">
        <v>1812</v>
      </c>
      <c r="E7" s="39" t="s">
        <v>1813</v>
      </c>
      <c r="F7" s="39"/>
      <c r="G7" s="39" t="s">
        <v>1814</v>
      </c>
      <c r="H7" s="472"/>
      <c r="I7" s="39"/>
      <c r="J7" s="58"/>
      <c r="K7" s="58"/>
      <c r="L7" s="58"/>
      <c r="M7" s="59"/>
      <c r="N7" s="58"/>
    </row>
    <row r="8" spans="1:14" ht="12.75" customHeight="1">
      <c r="B8" s="4"/>
      <c r="C8" s="4"/>
      <c r="D8" s="4"/>
      <c r="E8" s="4"/>
      <c r="F8" s="4"/>
      <c r="G8" s="4"/>
      <c r="H8" s="2"/>
      <c r="I8" s="4"/>
      <c r="J8" s="58"/>
      <c r="K8" s="58"/>
      <c r="L8" s="58"/>
      <c r="M8" s="59"/>
      <c r="N8" s="58"/>
    </row>
    <row r="9" spans="1:14" ht="12.75" customHeight="1">
      <c r="A9" s="15">
        <v>1</v>
      </c>
      <c r="B9" s="4" t="s">
        <v>543</v>
      </c>
      <c r="C9" s="3">
        <v>33407</v>
      </c>
      <c r="D9" s="3">
        <v>14925.284534488799</v>
      </c>
      <c r="E9" s="3">
        <v>141</v>
      </c>
      <c r="F9" s="45" t="s">
        <v>1229</v>
      </c>
      <c r="G9" s="3">
        <v>237</v>
      </c>
      <c r="H9" s="6">
        <v>48710.284534488797</v>
      </c>
      <c r="I9" s="31">
        <v>6.9676305161074419</v>
      </c>
      <c r="J9" s="58"/>
      <c r="K9" s="58"/>
      <c r="L9" s="58"/>
      <c r="M9" s="59"/>
      <c r="N9" s="58"/>
    </row>
    <row r="10" spans="1:14" ht="12.75" customHeight="1">
      <c r="A10" s="15">
        <v>2</v>
      </c>
      <c r="B10" s="4" t="s">
        <v>544</v>
      </c>
      <c r="C10" s="3">
        <v>1454</v>
      </c>
      <c r="D10" s="3">
        <v>25392.601485064202</v>
      </c>
      <c r="E10" s="3">
        <v>15506</v>
      </c>
      <c r="F10" s="45" t="s">
        <v>1229</v>
      </c>
      <c r="G10" s="3">
        <v>291</v>
      </c>
      <c r="H10" s="6">
        <v>42643</v>
      </c>
      <c r="I10" s="31">
        <v>6.0997522584372614</v>
      </c>
      <c r="J10" s="58"/>
      <c r="K10" s="473"/>
      <c r="L10" s="473"/>
      <c r="M10" s="59"/>
      <c r="N10" s="58"/>
    </row>
    <row r="11" spans="1:14" ht="12.75" customHeight="1">
      <c r="A11" s="15">
        <v>3</v>
      </c>
      <c r="B11" s="4" t="s">
        <v>545</v>
      </c>
      <c r="C11" s="3">
        <v>950</v>
      </c>
      <c r="D11" s="3">
        <v>20033.830188176405</v>
      </c>
      <c r="E11" s="3">
        <v>16</v>
      </c>
      <c r="F11" s="45" t="s">
        <v>1229</v>
      </c>
      <c r="G11" s="3">
        <v>602</v>
      </c>
      <c r="H11" s="6">
        <v>21601.830188176405</v>
      </c>
      <c r="I11" s="31">
        <v>3.0899752005418764</v>
      </c>
      <c r="J11" s="58"/>
      <c r="K11" s="58"/>
      <c r="L11" s="58"/>
      <c r="M11" s="59"/>
      <c r="N11" s="58"/>
    </row>
    <row r="12" spans="1:14" ht="12.75" customHeight="1">
      <c r="A12" s="15">
        <v>4</v>
      </c>
      <c r="B12" s="4" t="s">
        <v>73</v>
      </c>
      <c r="C12" s="3">
        <v>28056</v>
      </c>
      <c r="D12" s="3">
        <v>23028</v>
      </c>
      <c r="E12" s="3">
        <v>1625</v>
      </c>
      <c r="F12" s="45" t="s">
        <v>1229</v>
      </c>
      <c r="G12" s="3">
        <v>176</v>
      </c>
      <c r="H12" s="6">
        <v>52886</v>
      </c>
      <c r="I12" s="31">
        <v>7.5649344075161933</v>
      </c>
      <c r="J12" s="58"/>
      <c r="K12" s="58"/>
      <c r="L12" s="58"/>
      <c r="M12" s="59"/>
      <c r="N12" s="58"/>
    </row>
    <row r="13" spans="1:14" ht="12.75" customHeight="1">
      <c r="A13" s="15">
        <v>5</v>
      </c>
      <c r="B13" s="4" t="s">
        <v>546</v>
      </c>
      <c r="C13" s="3">
        <v>14943</v>
      </c>
      <c r="D13" s="3">
        <v>645.51471252049998</v>
      </c>
      <c r="E13" s="3">
        <v>3</v>
      </c>
      <c r="F13" s="45" t="s">
        <v>1229</v>
      </c>
      <c r="G13" s="3">
        <v>3</v>
      </c>
      <c r="H13" s="6">
        <v>15594.5147125205</v>
      </c>
      <c r="I13" s="31">
        <v>2.2306750542159328</v>
      </c>
      <c r="J13" s="58"/>
      <c r="K13" s="58"/>
      <c r="L13" s="58"/>
      <c r="M13" s="59"/>
      <c r="N13" s="58"/>
    </row>
    <row r="14" spans="1:14" ht="12.75" customHeight="1">
      <c r="A14" s="15">
        <v>6</v>
      </c>
      <c r="B14" s="4" t="s">
        <v>547</v>
      </c>
      <c r="C14" s="3">
        <v>193953</v>
      </c>
      <c r="D14" s="3">
        <v>5620.7662992175983</v>
      </c>
      <c r="E14" s="3">
        <v>134</v>
      </c>
      <c r="F14" s="45" t="s">
        <v>1229</v>
      </c>
      <c r="G14" s="3">
        <v>933</v>
      </c>
      <c r="H14" s="6">
        <v>200640.76629921759</v>
      </c>
      <c r="I14" s="31">
        <v>28.7001141422563</v>
      </c>
      <c r="J14" s="58"/>
      <c r="K14" s="58"/>
      <c r="L14" s="58"/>
      <c r="M14" s="59"/>
      <c r="N14" s="58"/>
    </row>
    <row r="15" spans="1:14" ht="12.75" customHeight="1">
      <c r="A15" s="15">
        <v>7</v>
      </c>
      <c r="B15" s="4" t="s">
        <v>548</v>
      </c>
      <c r="C15" s="3">
        <v>16635</v>
      </c>
      <c r="D15" s="3">
        <v>951.90131689400005</v>
      </c>
      <c r="E15" s="3">
        <v>172</v>
      </c>
      <c r="F15" s="45" t="s">
        <v>1229</v>
      </c>
      <c r="G15" s="3">
        <v>99</v>
      </c>
      <c r="H15" s="6">
        <v>17857.901316894</v>
      </c>
      <c r="I15" s="31">
        <v>2.5544350512082623</v>
      </c>
      <c r="J15" s="58"/>
      <c r="K15" s="58"/>
      <c r="L15" s="58"/>
      <c r="M15" s="59"/>
      <c r="N15" s="58"/>
    </row>
    <row r="16" spans="1:14" ht="12.75" customHeight="1">
      <c r="A16" s="15">
        <v>8</v>
      </c>
      <c r="B16" s="4" t="s">
        <v>1424</v>
      </c>
      <c r="C16" s="3">
        <v>4271</v>
      </c>
      <c r="D16" s="3">
        <v>1313.7353691592998</v>
      </c>
      <c r="E16" s="3">
        <v>13</v>
      </c>
      <c r="F16" s="45" t="s">
        <v>1229</v>
      </c>
      <c r="G16" s="3">
        <v>8</v>
      </c>
      <c r="H16" s="6">
        <v>5605.7353691592998</v>
      </c>
      <c r="I16" s="31">
        <v>0.80185720934810112</v>
      </c>
      <c r="J16" s="58"/>
      <c r="K16" s="58"/>
      <c r="L16" s="58"/>
      <c r="M16" s="59"/>
      <c r="N16" s="58"/>
    </row>
    <row r="17" spans="1:14" ht="12.75" customHeight="1">
      <c r="A17" s="15">
        <v>9</v>
      </c>
      <c r="B17" s="4" t="s">
        <v>77</v>
      </c>
      <c r="C17" s="3">
        <v>638</v>
      </c>
      <c r="D17" s="3">
        <v>365.45125285339992</v>
      </c>
      <c r="E17" s="3">
        <v>6</v>
      </c>
      <c r="F17" s="45" t="s">
        <v>1229</v>
      </c>
      <c r="G17" s="3">
        <v>33</v>
      </c>
      <c r="H17" s="6">
        <v>1042.4512528533999</v>
      </c>
      <c r="I17" s="31">
        <v>0.14911461163387377</v>
      </c>
      <c r="J17" s="58"/>
      <c r="K17" s="58"/>
      <c r="L17" s="58"/>
      <c r="M17" s="59"/>
      <c r="N17" s="58"/>
    </row>
    <row r="18" spans="1:14" ht="12.75" customHeight="1">
      <c r="A18" s="15">
        <v>10</v>
      </c>
      <c r="B18" s="4" t="s">
        <v>1425</v>
      </c>
      <c r="C18" s="3">
        <v>9712</v>
      </c>
      <c r="D18" s="3">
        <v>1518.6711458421998</v>
      </c>
      <c r="E18" s="3">
        <v>1</v>
      </c>
      <c r="F18" s="45" t="s">
        <v>1229</v>
      </c>
      <c r="G18" s="3">
        <v>6</v>
      </c>
      <c r="H18" s="6">
        <v>11237.6711458422</v>
      </c>
      <c r="I18" s="31">
        <v>1.6074621849172479</v>
      </c>
      <c r="J18" s="58"/>
      <c r="K18" s="58"/>
      <c r="L18" s="58"/>
      <c r="M18" s="59"/>
      <c r="N18" s="58"/>
    </row>
    <row r="19" spans="1:14" ht="12.75" customHeight="1">
      <c r="A19" s="527">
        <v>11</v>
      </c>
      <c r="B19" s="4" t="s">
        <v>1897</v>
      </c>
      <c r="C19" s="3">
        <v>1020</v>
      </c>
      <c r="D19" s="3">
        <v>529.08608431999994</v>
      </c>
      <c r="E19" s="3">
        <v>10</v>
      </c>
      <c r="F19" s="45" t="s">
        <v>1229</v>
      </c>
      <c r="G19" s="3">
        <v>79</v>
      </c>
      <c r="H19" s="6">
        <v>1639</v>
      </c>
      <c r="I19" s="31">
        <v>0.23444630892710813</v>
      </c>
      <c r="J19" s="58"/>
      <c r="K19" s="58"/>
      <c r="L19" s="58"/>
      <c r="M19" s="59"/>
      <c r="N19" s="58"/>
    </row>
    <row r="20" spans="1:14" ht="12.75" customHeight="1">
      <c r="A20" s="527">
        <v>12</v>
      </c>
      <c r="B20" s="4" t="s">
        <v>78</v>
      </c>
      <c r="C20" s="3">
        <v>4714</v>
      </c>
      <c r="D20" s="3">
        <v>10947</v>
      </c>
      <c r="E20" s="3">
        <v>11886</v>
      </c>
      <c r="F20" s="45" t="s">
        <v>1229</v>
      </c>
      <c r="G20" s="3">
        <v>10</v>
      </c>
      <c r="H20" s="6">
        <v>27557</v>
      </c>
      <c r="I20" s="31">
        <v>3.9418163118391205</v>
      </c>
      <c r="J20" s="58"/>
      <c r="K20" s="58"/>
      <c r="L20" s="58"/>
      <c r="M20" s="59"/>
      <c r="N20" s="58"/>
    </row>
    <row r="21" spans="1:14" ht="12.75" customHeight="1">
      <c r="A21" s="527">
        <v>13</v>
      </c>
      <c r="B21" s="4" t="s">
        <v>1898</v>
      </c>
      <c r="C21" s="3">
        <v>31787</v>
      </c>
      <c r="D21" s="3">
        <v>9478</v>
      </c>
      <c r="E21" s="3">
        <v>72</v>
      </c>
      <c r="F21" s="45" t="s">
        <v>1229</v>
      </c>
      <c r="G21" s="3">
        <v>645</v>
      </c>
      <c r="H21" s="6">
        <v>41982</v>
      </c>
      <c r="I21" s="31">
        <v>6.0052013065148584</v>
      </c>
      <c r="J21" s="58"/>
      <c r="K21" s="58"/>
      <c r="L21" s="58"/>
      <c r="M21" s="59"/>
      <c r="N21" s="58"/>
    </row>
    <row r="22" spans="1:14" ht="12.75" customHeight="1">
      <c r="A22" s="527">
        <v>14</v>
      </c>
      <c r="B22" s="4" t="s">
        <v>188</v>
      </c>
      <c r="C22" s="3">
        <v>96784</v>
      </c>
      <c r="D22" s="3">
        <v>0.81151391680000007</v>
      </c>
      <c r="E22" s="45" t="s">
        <v>1229</v>
      </c>
      <c r="F22" s="3">
        <v>113311</v>
      </c>
      <c r="G22" s="45">
        <v>0</v>
      </c>
      <c r="H22" s="6">
        <v>210095.81151391679</v>
      </c>
      <c r="I22" s="31">
        <v>30.052585436536432</v>
      </c>
      <c r="J22" s="58"/>
      <c r="K22" s="58"/>
      <c r="L22" s="58"/>
      <c r="M22" s="59"/>
      <c r="N22" s="58"/>
    </row>
    <row r="23" spans="1:14" ht="12.75" customHeight="1">
      <c r="A23" s="58"/>
      <c r="B23" s="4"/>
      <c r="C23" s="3"/>
      <c r="D23" s="3"/>
      <c r="E23" s="3"/>
      <c r="F23" s="3"/>
      <c r="G23" s="3"/>
      <c r="H23" s="3"/>
      <c r="I23" s="4"/>
      <c r="J23" s="58"/>
      <c r="K23" s="58"/>
      <c r="L23" s="58"/>
      <c r="M23" s="59"/>
      <c r="N23" s="58"/>
    </row>
    <row r="24" spans="1:14" ht="12.75" customHeight="1" thickBot="1">
      <c r="A24" s="65"/>
      <c r="B24" s="33" t="s">
        <v>178</v>
      </c>
      <c r="C24" s="40">
        <f>SUM(C9:C22)</f>
        <v>438324</v>
      </c>
      <c r="D24" s="40">
        <f>SUM(D9:D22)</f>
        <v>114750.65390245321</v>
      </c>
      <c r="E24" s="40">
        <f>SUM(E9:E22)</f>
        <v>29585</v>
      </c>
      <c r="F24" s="40">
        <f>SUM(F9:F22)</f>
        <v>113311</v>
      </c>
      <c r="G24" s="40">
        <f>SUM(G9:G22)</f>
        <v>3122</v>
      </c>
      <c r="H24" s="40">
        <v>699093.96633306891</v>
      </c>
      <c r="I24" s="479">
        <v>100</v>
      </c>
      <c r="J24" s="58"/>
      <c r="K24" s="58"/>
      <c r="L24" s="58"/>
      <c r="M24" s="59"/>
      <c r="N24" s="58"/>
    </row>
    <row r="25" spans="1:14" ht="12.75" customHeight="1">
      <c r="A25" s="46" t="s">
        <v>179</v>
      </c>
      <c r="C25" s="4"/>
      <c r="D25" s="4"/>
      <c r="E25" s="4"/>
      <c r="F25" s="4"/>
      <c r="G25" s="4"/>
      <c r="H25" s="4"/>
      <c r="I25" s="4"/>
      <c r="J25" s="58"/>
      <c r="K25" s="58"/>
      <c r="L25" s="58"/>
      <c r="M25" s="59"/>
      <c r="N25" s="58"/>
    </row>
    <row r="26" spans="1:14" ht="12.75" customHeight="1">
      <c r="A26" s="42" t="s">
        <v>539</v>
      </c>
      <c r="C26" s="4" t="s">
        <v>189</v>
      </c>
      <c r="D26" s="4" t="s">
        <v>189</v>
      </c>
      <c r="E26" s="4"/>
      <c r="F26" s="4"/>
      <c r="G26" s="4"/>
      <c r="H26" s="4"/>
      <c r="I26" s="4"/>
      <c r="J26" s="58"/>
      <c r="K26" s="58"/>
      <c r="L26" s="58"/>
      <c r="M26" s="59"/>
      <c r="N26" s="58"/>
    </row>
    <row r="27" spans="1:14">
      <c r="B27" s="4"/>
      <c r="C27" s="4"/>
      <c r="D27" s="4"/>
      <c r="E27" s="4"/>
      <c r="F27" s="4"/>
      <c r="G27" s="4"/>
      <c r="H27" s="4"/>
      <c r="I27" s="4"/>
      <c r="J27" s="473"/>
      <c r="K27" s="58"/>
      <c r="L27" s="58"/>
      <c r="M27" s="59"/>
      <c r="N27" s="58"/>
    </row>
    <row r="28" spans="1:14">
      <c r="J28" s="58"/>
      <c r="K28" s="58"/>
      <c r="L28" s="58"/>
      <c r="M28" s="59"/>
      <c r="N28" s="58"/>
    </row>
    <row r="29" spans="1:14">
      <c r="J29" s="58"/>
      <c r="K29" s="58"/>
      <c r="L29" s="58"/>
      <c r="M29" s="59"/>
      <c r="N29" s="58"/>
    </row>
    <row r="30" spans="1:14">
      <c r="J30" s="58"/>
      <c r="K30" s="58"/>
      <c r="L30" s="58"/>
      <c r="M30" s="59"/>
      <c r="N30" s="58"/>
    </row>
    <row r="31" spans="1:14">
      <c r="J31" s="58"/>
      <c r="K31" s="58"/>
      <c r="L31" s="58"/>
      <c r="M31" s="59"/>
      <c r="N31" s="58"/>
    </row>
    <row r="32" spans="1:14">
      <c r="J32" s="58"/>
      <c r="K32" s="58"/>
      <c r="L32" s="58"/>
      <c r="M32" s="59"/>
      <c r="N32" s="58"/>
    </row>
    <row r="33" spans="1:14">
      <c r="J33" s="58"/>
      <c r="K33" s="58"/>
      <c r="L33" s="58"/>
      <c r="M33" s="59"/>
      <c r="N33" s="58"/>
    </row>
    <row r="34" spans="1:14">
      <c r="J34" s="58"/>
      <c r="K34" s="58"/>
      <c r="L34" s="58"/>
      <c r="M34" s="59"/>
      <c r="N34" s="58"/>
    </row>
    <row r="35" spans="1:14">
      <c r="J35" s="58"/>
      <c r="K35" s="58"/>
      <c r="L35" s="58"/>
      <c r="M35" s="59"/>
      <c r="N35" s="58"/>
    </row>
    <row r="36" spans="1:14">
      <c r="J36" s="58"/>
      <c r="K36" s="58"/>
      <c r="L36" s="58"/>
      <c r="M36" s="59"/>
      <c r="N36" s="58"/>
    </row>
    <row r="37" spans="1:14">
      <c r="J37" s="58"/>
      <c r="K37" s="58"/>
      <c r="L37" s="58"/>
      <c r="M37" s="59"/>
      <c r="N37" s="58"/>
    </row>
    <row r="38" spans="1:14">
      <c r="J38" s="58"/>
      <c r="K38" s="58"/>
      <c r="L38" s="58"/>
      <c r="M38" s="59"/>
      <c r="N38" s="58"/>
    </row>
    <row r="39" spans="1:14">
      <c r="J39" s="58"/>
      <c r="K39" s="58"/>
      <c r="L39" s="58"/>
      <c r="M39" s="59"/>
      <c r="N39" s="58"/>
    </row>
    <row r="40" spans="1:14">
      <c r="A40" s="183"/>
      <c r="J40" s="58"/>
      <c r="K40" s="58"/>
      <c r="L40" s="58"/>
      <c r="M40" s="59"/>
      <c r="N40" s="58"/>
    </row>
    <row r="41" spans="1:14">
      <c r="A41" s="183"/>
      <c r="J41" s="58"/>
      <c r="K41" s="58"/>
      <c r="L41" s="58"/>
      <c r="M41" s="59"/>
      <c r="N41" s="58"/>
    </row>
    <row r="42" spans="1:14">
      <c r="J42" s="58"/>
      <c r="K42" s="58"/>
      <c r="L42" s="58"/>
      <c r="M42" s="59"/>
      <c r="N42" s="58"/>
    </row>
    <row r="43" spans="1:14">
      <c r="J43" s="58"/>
      <c r="K43" s="58"/>
      <c r="L43" s="58"/>
      <c r="M43" s="59"/>
      <c r="N43" s="58"/>
    </row>
    <row r="44" spans="1:14">
      <c r="J44" s="58"/>
      <c r="K44" s="58"/>
      <c r="L44" s="58"/>
      <c r="M44" s="59"/>
      <c r="N44" s="58"/>
    </row>
    <row r="45" spans="1:14">
      <c r="J45" s="58"/>
      <c r="K45" s="58"/>
      <c r="L45" s="58"/>
      <c r="M45" s="59"/>
      <c r="N45" s="58"/>
    </row>
    <row r="46" spans="1:14">
      <c r="J46" s="58"/>
      <c r="K46" s="58"/>
      <c r="L46" s="58"/>
      <c r="M46" s="59"/>
      <c r="N46" s="58"/>
    </row>
    <row r="47" spans="1:14">
      <c r="J47" s="58"/>
      <c r="K47" s="58"/>
      <c r="L47" s="58"/>
      <c r="M47" s="59"/>
      <c r="N47" s="58"/>
    </row>
    <row r="48" spans="1:14">
      <c r="J48" s="58"/>
      <c r="K48" s="58"/>
      <c r="L48" s="58"/>
      <c r="M48" s="59"/>
      <c r="N48" s="58"/>
    </row>
    <row r="49" spans="10:14">
      <c r="J49" s="58"/>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473"/>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58"/>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473"/>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8"/>
      <c r="M72" s="59"/>
      <c r="N72" s="58"/>
    </row>
    <row r="73" spans="10:14">
      <c r="J73" s="58"/>
      <c r="K73" s="58"/>
      <c r="L73" s="58"/>
      <c r="M73" s="59"/>
      <c r="N73" s="58"/>
    </row>
    <row r="74" spans="10:14">
      <c r="J74" s="58"/>
      <c r="K74" s="58"/>
      <c r="L74" s="58"/>
      <c r="M74" s="59"/>
      <c r="N74" s="58"/>
    </row>
    <row r="75" spans="10:14">
      <c r="J75" s="58"/>
      <c r="K75" s="58"/>
      <c r="L75" s="58"/>
      <c r="M75" s="59"/>
      <c r="N75" s="58"/>
    </row>
    <row r="76" spans="10:14">
      <c r="J76" s="58"/>
      <c r="K76" s="58"/>
      <c r="L76" s="59"/>
      <c r="M76" s="58"/>
      <c r="N76" s="58"/>
    </row>
    <row r="77" spans="10:14">
      <c r="J77" s="58"/>
      <c r="K77" s="58"/>
      <c r="L77" s="59"/>
      <c r="M77" s="58"/>
      <c r="N77" s="58"/>
    </row>
    <row r="78" spans="10:14">
      <c r="J78" s="58"/>
      <c r="K78" s="58"/>
      <c r="L78" s="59"/>
      <c r="M78" s="58"/>
      <c r="N78" s="58"/>
    </row>
    <row r="79" spans="10:14">
      <c r="J79" s="58"/>
      <c r="K79" s="58"/>
      <c r="L79" s="59"/>
      <c r="M79" s="58"/>
      <c r="N79" s="58"/>
    </row>
    <row r="80" spans="10:14">
      <c r="J80" s="58"/>
      <c r="K80" s="58"/>
      <c r="L80" s="59"/>
      <c r="M80" s="58"/>
      <c r="N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9"/>
      <c r="M234" s="58"/>
    </row>
    <row r="235" spans="10:13">
      <c r="J235" s="58"/>
      <c r="K235" s="58"/>
      <c r="L235" s="59"/>
      <c r="M235" s="58"/>
    </row>
    <row r="236" spans="10:13">
      <c r="J236" s="58"/>
      <c r="K236" s="58"/>
      <c r="L236" s="59"/>
      <c r="M236" s="58"/>
    </row>
    <row r="237" spans="10:13">
      <c r="J237" s="58"/>
      <c r="K237" s="58"/>
      <c r="L237" s="59"/>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row r="635" spans="10:13">
      <c r="J635" s="58"/>
      <c r="K635" s="58"/>
      <c r="L635" s="58"/>
      <c r="M635" s="58"/>
    </row>
    <row r="636" spans="10:13">
      <c r="J636" s="58"/>
      <c r="K636" s="58"/>
      <c r="L636" s="58"/>
      <c r="M636" s="58"/>
    </row>
    <row r="637" spans="10:13">
      <c r="J637" s="58"/>
      <c r="K637" s="58"/>
      <c r="L637" s="58"/>
      <c r="M637" s="58"/>
    </row>
    <row r="638" spans="10:13">
      <c r="J638" s="58"/>
      <c r="K638" s="58"/>
      <c r="L638" s="58"/>
      <c r="M638" s="58"/>
    </row>
  </sheetData>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8"/>
  <sheetViews>
    <sheetView workbookViewId="0">
      <selection activeCell="F49" sqref="F49"/>
    </sheetView>
  </sheetViews>
  <sheetFormatPr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1899</v>
      </c>
      <c r="B1" s="1"/>
      <c r="K1"/>
      <c r="L1"/>
      <c r="M1"/>
      <c r="N1"/>
    </row>
    <row r="2" spans="1:14" ht="12.75" customHeight="1">
      <c r="A2" s="1" t="s">
        <v>1900</v>
      </c>
      <c r="B2" s="1"/>
      <c r="K2"/>
      <c r="L2"/>
      <c r="M2"/>
      <c r="N2"/>
    </row>
    <row r="3" spans="1:14" ht="12.75" customHeight="1">
      <c r="A3" s="7" t="s">
        <v>1901</v>
      </c>
      <c r="B3" s="7"/>
      <c r="J3" s="55"/>
      <c r="K3" s="58"/>
      <c r="L3" s="58"/>
      <c r="M3" s="58"/>
      <c r="N3"/>
    </row>
    <row r="4" spans="1:14" ht="12.75" customHeight="1">
      <c r="A4" s="7" t="s">
        <v>1895</v>
      </c>
      <c r="B4" s="7"/>
      <c r="J4" s="55"/>
      <c r="K4" s="58"/>
      <c r="L4" s="58"/>
      <c r="M4" s="58"/>
      <c r="N4"/>
    </row>
    <row r="5" spans="1:14" ht="13.5" customHeight="1" thickBot="1">
      <c r="A5" s="8"/>
      <c r="B5" s="8"/>
      <c r="J5" s="55"/>
      <c r="K5" s="58"/>
      <c r="L5" s="58"/>
      <c r="M5" s="58"/>
      <c r="N5" s="58"/>
    </row>
    <row r="6" spans="1:14" ht="12.75" customHeight="1">
      <c r="A6" s="470" t="s">
        <v>1896</v>
      </c>
      <c r="B6" s="470"/>
      <c r="C6" s="437" t="s">
        <v>1806</v>
      </c>
      <c r="D6" s="437" t="s">
        <v>1807</v>
      </c>
      <c r="E6" s="437" t="s">
        <v>1808</v>
      </c>
      <c r="F6" s="437" t="s">
        <v>1093</v>
      </c>
      <c r="G6" s="437" t="s">
        <v>1809</v>
      </c>
      <c r="H6" s="471" t="s">
        <v>178</v>
      </c>
      <c r="I6" s="437" t="s">
        <v>1810</v>
      </c>
      <c r="J6" s="58"/>
      <c r="K6" s="58"/>
      <c r="L6" s="58"/>
      <c r="M6" s="59"/>
      <c r="N6" s="58"/>
    </row>
    <row r="7" spans="1:14" ht="13.5" customHeight="1" thickBot="1">
      <c r="A7" s="44"/>
      <c r="B7" s="44"/>
      <c r="C7" s="39" t="s">
        <v>1811</v>
      </c>
      <c r="D7" s="39" t="s">
        <v>1812</v>
      </c>
      <c r="E7" s="39" t="s">
        <v>1813</v>
      </c>
      <c r="F7" s="39"/>
      <c r="G7" s="39" t="s">
        <v>1814</v>
      </c>
      <c r="H7" s="472"/>
      <c r="I7" s="39"/>
      <c r="J7" s="58"/>
      <c r="K7" s="58"/>
      <c r="L7" s="58"/>
      <c r="M7" s="59"/>
      <c r="N7" s="58"/>
    </row>
    <row r="8" spans="1:14" ht="12.75" customHeight="1">
      <c r="H8" s="2"/>
      <c r="J8" s="58"/>
      <c r="K8" s="58"/>
      <c r="L8" s="58"/>
      <c r="M8" s="59"/>
      <c r="N8" s="58"/>
    </row>
    <row r="9" spans="1:14" ht="12.75" customHeight="1">
      <c r="A9" s="15">
        <v>1</v>
      </c>
      <c r="B9" s="4" t="s">
        <v>543</v>
      </c>
      <c r="C9" s="3">
        <v>34352</v>
      </c>
      <c r="D9" s="3">
        <v>14951</v>
      </c>
      <c r="E9" s="3">
        <v>229</v>
      </c>
      <c r="F9" s="3">
        <v>48</v>
      </c>
      <c r="G9" s="3">
        <v>2009</v>
      </c>
      <c r="H9" s="6">
        <v>51589</v>
      </c>
      <c r="I9" s="31">
        <v>7.3152851158925838</v>
      </c>
      <c r="J9" s="58"/>
      <c r="K9" s="58"/>
      <c r="L9" s="58"/>
      <c r="M9" s="59"/>
      <c r="N9" s="58"/>
    </row>
    <row r="10" spans="1:14" ht="12.75" customHeight="1">
      <c r="A10" s="15">
        <v>2</v>
      </c>
      <c r="B10" s="4" t="s">
        <v>544</v>
      </c>
      <c r="C10" s="3">
        <v>1218</v>
      </c>
      <c r="D10" s="3">
        <v>28965</v>
      </c>
      <c r="E10" s="3">
        <v>13856</v>
      </c>
      <c r="F10" s="3">
        <v>8</v>
      </c>
      <c r="G10" s="3">
        <v>520</v>
      </c>
      <c r="H10" s="6">
        <v>44567</v>
      </c>
      <c r="I10" s="31">
        <v>6.3195702913408827</v>
      </c>
      <c r="J10" s="58"/>
      <c r="K10" s="473"/>
      <c r="L10" s="473"/>
      <c r="M10" s="59"/>
      <c r="N10" s="58"/>
    </row>
    <row r="11" spans="1:14" ht="12.75" customHeight="1">
      <c r="A11" s="15">
        <v>3</v>
      </c>
      <c r="B11" s="4" t="s">
        <v>545</v>
      </c>
      <c r="C11" s="3">
        <v>87</v>
      </c>
      <c r="D11" s="3">
        <v>21267</v>
      </c>
      <c r="E11" s="3">
        <v>54</v>
      </c>
      <c r="F11" s="3">
        <v>99</v>
      </c>
      <c r="G11" s="3">
        <v>933</v>
      </c>
      <c r="H11" s="6">
        <v>22440</v>
      </c>
      <c r="I11" s="31">
        <v>3.1819767392395586</v>
      </c>
      <c r="J11" s="58"/>
      <c r="K11" s="58"/>
      <c r="L11" s="58"/>
      <c r="M11" s="59"/>
      <c r="N11" s="58"/>
    </row>
    <row r="12" spans="1:14" ht="12.75" customHeight="1">
      <c r="A12" s="15">
        <v>4</v>
      </c>
      <c r="B12" s="4" t="s">
        <v>73</v>
      </c>
      <c r="C12" s="3">
        <v>28632</v>
      </c>
      <c r="D12" s="3">
        <v>19610</v>
      </c>
      <c r="E12" s="3">
        <v>402</v>
      </c>
      <c r="F12" s="3">
        <v>3248</v>
      </c>
      <c r="G12" s="3">
        <v>257</v>
      </c>
      <c r="H12" s="6">
        <v>52149</v>
      </c>
      <c r="I12" s="31">
        <v>7.3946927350536429</v>
      </c>
      <c r="J12" s="58"/>
      <c r="K12" s="58"/>
      <c r="L12" s="58"/>
      <c r="M12" s="59"/>
      <c r="N12" s="58"/>
    </row>
    <row r="13" spans="1:14" ht="12.75" customHeight="1">
      <c r="A13" s="15">
        <v>5</v>
      </c>
      <c r="B13" s="4" t="s">
        <v>546</v>
      </c>
      <c r="C13" s="3">
        <v>15365</v>
      </c>
      <c r="D13" s="3">
        <v>686</v>
      </c>
      <c r="E13" s="3">
        <v>7</v>
      </c>
      <c r="F13" s="45" t="s">
        <v>1229</v>
      </c>
      <c r="G13" s="3">
        <v>19</v>
      </c>
      <c r="H13" s="6">
        <v>16077</v>
      </c>
      <c r="I13" s="31">
        <v>2.2797076665220315</v>
      </c>
      <c r="J13" s="58"/>
      <c r="K13" s="58"/>
      <c r="L13" s="58"/>
      <c r="M13" s="59"/>
      <c r="N13" s="58"/>
    </row>
    <row r="14" spans="1:14" ht="12.75" customHeight="1">
      <c r="A14" s="15">
        <v>6</v>
      </c>
      <c r="B14" s="4" t="s">
        <v>547</v>
      </c>
      <c r="C14" s="3">
        <v>215069</v>
      </c>
      <c r="D14" s="3">
        <v>13277</v>
      </c>
      <c r="E14" s="3">
        <v>352</v>
      </c>
      <c r="F14" s="45">
        <v>107</v>
      </c>
      <c r="G14" s="3">
        <v>244</v>
      </c>
      <c r="H14" s="6">
        <v>229049</v>
      </c>
      <c r="I14" s="31">
        <v>32.478992430752299</v>
      </c>
      <c r="J14" s="58"/>
      <c r="K14" s="58"/>
      <c r="L14" s="58"/>
      <c r="M14" s="59"/>
      <c r="N14" s="58"/>
    </row>
    <row r="15" spans="1:14" ht="12.75" customHeight="1">
      <c r="A15" s="15">
        <v>7</v>
      </c>
      <c r="B15" s="4" t="s">
        <v>548</v>
      </c>
      <c r="C15" s="3">
        <v>11743</v>
      </c>
      <c r="D15" s="3">
        <v>1314</v>
      </c>
      <c r="E15" s="3">
        <v>209</v>
      </c>
      <c r="F15" s="45" t="s">
        <v>1229</v>
      </c>
      <c r="G15" s="3">
        <v>238</v>
      </c>
      <c r="H15" s="6">
        <v>13504</v>
      </c>
      <c r="I15" s="31">
        <v>1.9148580163409537</v>
      </c>
      <c r="J15" s="58"/>
      <c r="K15" s="58"/>
      <c r="L15" s="58"/>
      <c r="M15" s="59"/>
      <c r="N15" s="58"/>
    </row>
    <row r="16" spans="1:14" ht="12.75" customHeight="1">
      <c r="A16" s="15">
        <v>8</v>
      </c>
      <c r="B16" s="4" t="s">
        <v>1424</v>
      </c>
      <c r="C16" s="3">
        <v>4322</v>
      </c>
      <c r="D16" s="3">
        <v>1377</v>
      </c>
      <c r="E16" s="3">
        <v>21</v>
      </c>
      <c r="F16" s="45">
        <v>5</v>
      </c>
      <c r="G16" s="3">
        <v>39</v>
      </c>
      <c r="H16" s="6">
        <v>5764</v>
      </c>
      <c r="I16" s="31">
        <v>0.81733128007918077</v>
      </c>
      <c r="J16" s="58"/>
      <c r="K16" s="58"/>
      <c r="L16" s="58"/>
      <c r="M16" s="59"/>
      <c r="N16" s="58"/>
    </row>
    <row r="17" spans="1:14" ht="12.75" customHeight="1">
      <c r="A17" s="15">
        <v>9</v>
      </c>
      <c r="B17" s="4" t="s">
        <v>77</v>
      </c>
      <c r="C17" s="3">
        <v>886</v>
      </c>
      <c r="D17" s="3">
        <v>370</v>
      </c>
      <c r="E17" s="3">
        <v>8</v>
      </c>
      <c r="F17" s="45" t="s">
        <v>1229</v>
      </c>
      <c r="G17" s="3">
        <v>20</v>
      </c>
      <c r="H17" s="6">
        <v>1284</v>
      </c>
      <c r="I17" s="31">
        <v>0.18207032679071272</v>
      </c>
      <c r="J17" s="58"/>
      <c r="K17" s="58"/>
      <c r="L17" s="58"/>
      <c r="M17" s="59"/>
      <c r="N17" s="58"/>
    </row>
    <row r="18" spans="1:14" ht="12.75" customHeight="1">
      <c r="A18" s="15">
        <v>10</v>
      </c>
      <c r="B18" s="4" t="s">
        <v>1425</v>
      </c>
      <c r="C18" s="3">
        <v>10295</v>
      </c>
      <c r="D18" s="3">
        <v>1200</v>
      </c>
      <c r="E18" s="3">
        <v>10</v>
      </c>
      <c r="F18" s="3">
        <v>34</v>
      </c>
      <c r="G18" s="3">
        <v>32</v>
      </c>
      <c r="H18" s="6">
        <v>11571</v>
      </c>
      <c r="I18" s="31">
        <v>1.6407599309153713</v>
      </c>
      <c r="J18" s="58"/>
      <c r="K18" s="58"/>
      <c r="L18" s="58"/>
      <c r="M18" s="59"/>
      <c r="N18" s="58"/>
    </row>
    <row r="19" spans="1:14" ht="12.75" customHeight="1">
      <c r="A19" s="527">
        <v>11</v>
      </c>
      <c r="B19" s="4" t="s">
        <v>1897</v>
      </c>
      <c r="C19" s="3">
        <v>946</v>
      </c>
      <c r="D19" s="3">
        <v>933</v>
      </c>
      <c r="E19" s="3">
        <v>9</v>
      </c>
      <c r="F19" s="3">
        <v>1</v>
      </c>
      <c r="G19" s="3">
        <v>19</v>
      </c>
      <c r="H19" s="6">
        <v>1908</v>
      </c>
      <c r="I19" s="31">
        <v>0.27055310242732078</v>
      </c>
      <c r="J19" s="58"/>
      <c r="K19" s="58"/>
      <c r="L19" s="58"/>
      <c r="M19" s="59"/>
      <c r="N19" s="58"/>
    </row>
    <row r="20" spans="1:14" ht="12.75" customHeight="1">
      <c r="A20" s="527">
        <v>12</v>
      </c>
      <c r="B20" s="4" t="s">
        <v>78</v>
      </c>
      <c r="C20" s="3">
        <v>3478</v>
      </c>
      <c r="D20" s="3">
        <v>10958</v>
      </c>
      <c r="E20" s="3">
        <v>8118</v>
      </c>
      <c r="F20" s="3">
        <v>481</v>
      </c>
      <c r="G20" s="3">
        <v>1077</v>
      </c>
      <c r="H20" s="6">
        <v>24112</v>
      </c>
      <c r="I20" s="31">
        <v>3.4190652021632904</v>
      </c>
      <c r="J20" s="58"/>
      <c r="K20" s="58"/>
      <c r="L20" s="58"/>
      <c r="M20" s="59"/>
      <c r="N20" s="58"/>
    </row>
    <row r="21" spans="1:14" ht="12.75" customHeight="1">
      <c r="A21" s="527">
        <v>13</v>
      </c>
      <c r="B21" s="4" t="s">
        <v>1898</v>
      </c>
      <c r="C21" s="3">
        <v>32837</v>
      </c>
      <c r="D21" s="3">
        <v>5863</v>
      </c>
      <c r="E21" s="3">
        <v>26</v>
      </c>
      <c r="F21" s="3">
        <v>11</v>
      </c>
      <c r="G21" s="3">
        <v>103</v>
      </c>
      <c r="H21" s="6">
        <v>38840</v>
      </c>
      <c r="I21" s="31">
        <v>5.5074855860991292</v>
      </c>
      <c r="J21" s="58"/>
      <c r="K21" s="58"/>
      <c r="L21" s="58"/>
      <c r="M21" s="59"/>
      <c r="N21" s="58"/>
    </row>
    <row r="22" spans="1:14" ht="12.75" customHeight="1">
      <c r="A22" s="527">
        <v>14</v>
      </c>
      <c r="B22" s="4" t="s">
        <v>188</v>
      </c>
      <c r="C22" s="3">
        <v>102538</v>
      </c>
      <c r="D22" s="3">
        <v>5</v>
      </c>
      <c r="E22" s="45" t="s">
        <v>1229</v>
      </c>
      <c r="F22" s="3">
        <v>89825</v>
      </c>
      <c r="G22" s="45">
        <v>0</v>
      </c>
      <c r="H22" s="6">
        <v>192368</v>
      </c>
      <c r="I22" s="31">
        <v>27.27765157638304</v>
      </c>
      <c r="J22" s="58"/>
      <c r="K22" s="58"/>
      <c r="L22" s="58"/>
      <c r="M22" s="59"/>
      <c r="N22" s="58"/>
    </row>
    <row r="23" spans="1:14" ht="12.75" customHeight="1">
      <c r="A23" s="58"/>
      <c r="C23" s="3"/>
      <c r="D23" s="3"/>
      <c r="E23" s="3"/>
      <c r="F23" s="3"/>
      <c r="G23" s="3"/>
      <c r="H23" s="3"/>
      <c r="J23" s="58"/>
      <c r="K23" s="58"/>
      <c r="L23" s="58"/>
      <c r="M23" s="59"/>
      <c r="N23" s="58"/>
    </row>
    <row r="24" spans="1:14" ht="12.75" customHeight="1" thickBot="1">
      <c r="A24" s="65"/>
      <c r="B24" s="33" t="s">
        <v>178</v>
      </c>
      <c r="C24" s="40">
        <f>SUM(C9:C22)</f>
        <v>461768</v>
      </c>
      <c r="D24" s="40">
        <f>SUM(D9:D22)</f>
        <v>120776</v>
      </c>
      <c r="E24" s="40">
        <f>SUM(E9:E22)</f>
        <v>23301</v>
      </c>
      <c r="F24" s="40">
        <f>SUM(F9:F22)</f>
        <v>93867</v>
      </c>
      <c r="G24" s="40">
        <f>SUM(G9:G22)</f>
        <v>5510</v>
      </c>
      <c r="H24" s="40">
        <v>705222</v>
      </c>
      <c r="I24" s="479">
        <v>100</v>
      </c>
      <c r="J24" s="58"/>
      <c r="K24" s="58"/>
      <c r="L24" s="58"/>
      <c r="M24" s="59"/>
      <c r="N24" s="58"/>
    </row>
    <row r="25" spans="1:14" ht="12.75" customHeight="1">
      <c r="A25" s="46" t="s">
        <v>179</v>
      </c>
      <c r="B25"/>
      <c r="J25" s="58"/>
      <c r="K25" s="58"/>
      <c r="L25" s="58"/>
      <c r="M25" s="59"/>
      <c r="N25" s="58"/>
    </row>
    <row r="26" spans="1:14" ht="12.75" customHeight="1">
      <c r="A26" s="42" t="s">
        <v>539</v>
      </c>
      <c r="B26"/>
      <c r="C26" s="4" t="s">
        <v>189</v>
      </c>
      <c r="D26" s="4" t="s">
        <v>189</v>
      </c>
      <c r="J26" s="58"/>
      <c r="K26" s="58"/>
      <c r="L26" s="58"/>
      <c r="M26" s="59"/>
      <c r="N26" s="58"/>
    </row>
    <row r="27" spans="1:14">
      <c r="B27"/>
      <c r="C27"/>
      <c r="D27"/>
      <c r="E27"/>
      <c r="F27"/>
      <c r="G27"/>
      <c r="H27"/>
      <c r="I27"/>
      <c r="J27" s="58"/>
      <c r="K27" s="58"/>
      <c r="L27" s="58"/>
      <c r="M27" s="59"/>
      <c r="N27" s="58"/>
    </row>
    <row r="28" spans="1:14">
      <c r="B28"/>
      <c r="C28"/>
      <c r="D28"/>
      <c r="E28"/>
      <c r="F28"/>
      <c r="G28"/>
      <c r="H28"/>
      <c r="I28"/>
      <c r="J28" s="58"/>
      <c r="K28" s="58"/>
      <c r="L28" s="58"/>
      <c r="M28" s="59"/>
      <c r="N28" s="58"/>
    </row>
    <row r="29" spans="1:14">
      <c r="B29"/>
      <c r="C29"/>
      <c r="D29"/>
      <c r="E29"/>
      <c r="F29"/>
      <c r="G29"/>
      <c r="H29"/>
      <c r="I29"/>
      <c r="J29" s="58"/>
      <c r="K29" s="58"/>
      <c r="L29" s="58"/>
      <c r="M29" s="59"/>
      <c r="N29" s="58"/>
    </row>
    <row r="30" spans="1:14">
      <c r="B30"/>
      <c r="C30"/>
      <c r="D30"/>
      <c r="E30"/>
      <c r="F30"/>
      <c r="G30"/>
      <c r="H30"/>
      <c r="I30"/>
      <c r="J30" s="58"/>
      <c r="K30" s="58"/>
      <c r="L30" s="58"/>
      <c r="M30" s="59"/>
      <c r="N30" s="58"/>
    </row>
    <row r="31" spans="1:14">
      <c r="B31"/>
      <c r="C31"/>
      <c r="D31"/>
      <c r="E31"/>
      <c r="F31"/>
      <c r="G31"/>
      <c r="H31"/>
      <c r="I31"/>
      <c r="J31" s="58"/>
      <c r="K31" s="58"/>
      <c r="L31" s="58"/>
      <c r="M31" s="59"/>
      <c r="N31" s="58"/>
    </row>
    <row r="32" spans="1:14">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3"/>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3"/>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8"/>
  <sheetViews>
    <sheetView workbookViewId="0">
      <selection activeCell="F49" sqref="F49"/>
    </sheetView>
  </sheetViews>
  <sheetFormatPr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1902</v>
      </c>
      <c r="B1" s="1"/>
      <c r="K1"/>
      <c r="L1"/>
      <c r="M1"/>
      <c r="N1"/>
    </row>
    <row r="2" spans="1:14" ht="12.75" customHeight="1">
      <c r="A2" s="1" t="s">
        <v>1903</v>
      </c>
      <c r="B2" s="1"/>
      <c r="K2"/>
      <c r="L2"/>
      <c r="M2"/>
      <c r="N2"/>
    </row>
    <row r="3" spans="1:14" ht="12.75" customHeight="1">
      <c r="A3" s="7" t="s">
        <v>1904</v>
      </c>
      <c r="B3" s="7"/>
      <c r="J3" s="55"/>
      <c r="K3" s="58"/>
      <c r="L3" s="58"/>
      <c r="M3" s="58"/>
      <c r="N3"/>
    </row>
    <row r="4" spans="1:14" ht="12.75" customHeight="1">
      <c r="A4" s="7" t="s">
        <v>1895</v>
      </c>
      <c r="B4" s="7"/>
      <c r="J4" s="55"/>
      <c r="K4" s="58"/>
      <c r="L4" s="58"/>
      <c r="M4" s="58"/>
      <c r="N4"/>
    </row>
    <row r="5" spans="1:14" ht="13.5" customHeight="1" thickBot="1">
      <c r="A5" s="8"/>
      <c r="B5" s="8"/>
      <c r="J5" s="55"/>
      <c r="K5" s="58"/>
      <c r="L5" s="58"/>
      <c r="M5" s="58"/>
      <c r="N5" s="58"/>
    </row>
    <row r="6" spans="1:14" ht="12.75" customHeight="1">
      <c r="A6" s="470" t="s">
        <v>1896</v>
      </c>
      <c r="B6" s="470"/>
      <c r="C6" s="437" t="s">
        <v>1806</v>
      </c>
      <c r="D6" s="437" t="s">
        <v>1807</v>
      </c>
      <c r="E6" s="437" t="s">
        <v>1808</v>
      </c>
      <c r="F6" s="437" t="s">
        <v>1093</v>
      </c>
      <c r="G6" s="437" t="s">
        <v>1809</v>
      </c>
      <c r="H6" s="471" t="s">
        <v>178</v>
      </c>
      <c r="I6" s="437" t="s">
        <v>1810</v>
      </c>
      <c r="J6" s="58"/>
      <c r="K6" s="58"/>
      <c r="L6" s="58"/>
      <c r="M6" s="59"/>
      <c r="N6" s="58"/>
    </row>
    <row r="7" spans="1:14" ht="13.5" customHeight="1" thickBot="1">
      <c r="A7" s="44"/>
      <c r="B7" s="44"/>
      <c r="C7" s="39" t="s">
        <v>1811</v>
      </c>
      <c r="D7" s="39" t="s">
        <v>1812</v>
      </c>
      <c r="E7" s="39" t="s">
        <v>1813</v>
      </c>
      <c r="F7" s="39"/>
      <c r="G7" s="39" t="s">
        <v>1814</v>
      </c>
      <c r="H7" s="472"/>
      <c r="I7" s="39"/>
      <c r="J7" s="58"/>
      <c r="K7" s="58"/>
      <c r="L7" s="58"/>
      <c r="M7" s="59"/>
      <c r="N7" s="58"/>
    </row>
    <row r="8" spans="1:14" ht="12.75" customHeight="1">
      <c r="H8" s="2"/>
      <c r="J8" s="58"/>
      <c r="K8" s="58"/>
      <c r="L8" s="58"/>
      <c r="M8" s="59"/>
      <c r="N8" s="58"/>
    </row>
    <row r="9" spans="1:14" ht="12.75" customHeight="1">
      <c r="A9" s="15">
        <v>1</v>
      </c>
      <c r="B9" s="4" t="s">
        <v>543</v>
      </c>
      <c r="C9" s="3">
        <v>38669.032094744922</v>
      </c>
      <c r="D9" s="3">
        <v>15746.28941120948</v>
      </c>
      <c r="E9" s="3">
        <v>166.19028511060003</v>
      </c>
      <c r="F9" s="3">
        <v>52.898575823899989</v>
      </c>
      <c r="G9" s="3">
        <v>2386.5131129541005</v>
      </c>
      <c r="H9" s="6">
        <v>57020.923479842997</v>
      </c>
      <c r="I9" s="31">
        <v>8.0360297464668751</v>
      </c>
      <c r="J9" s="58"/>
      <c r="K9" s="58"/>
      <c r="L9" s="58"/>
      <c r="M9" s="59"/>
      <c r="N9" s="58"/>
    </row>
    <row r="10" spans="1:14" ht="12.75" customHeight="1">
      <c r="A10" s="15">
        <v>2</v>
      </c>
      <c r="B10" s="4" t="s">
        <v>544</v>
      </c>
      <c r="C10" s="3">
        <v>1623.5133873276998</v>
      </c>
      <c r="D10" s="3">
        <v>31879.467637362286</v>
      </c>
      <c r="E10" s="3">
        <v>12086.504473692399</v>
      </c>
      <c r="F10" s="3">
        <v>133.6584165708</v>
      </c>
      <c r="G10" s="3">
        <v>699.86077260060017</v>
      </c>
      <c r="H10" s="6">
        <v>46423.004687553788</v>
      </c>
      <c r="I10" s="31">
        <v>6.5424518549130406</v>
      </c>
      <c r="J10" s="58"/>
      <c r="K10" s="473"/>
      <c r="L10" s="473"/>
      <c r="M10" s="59"/>
      <c r="N10" s="58"/>
    </row>
    <row r="11" spans="1:14" ht="12.75" customHeight="1">
      <c r="A11" s="15">
        <v>3</v>
      </c>
      <c r="B11" s="4" t="s">
        <v>545</v>
      </c>
      <c r="C11" s="3">
        <v>278.5991320549</v>
      </c>
      <c r="D11" s="3">
        <v>22018.518477915</v>
      </c>
      <c r="E11" s="3">
        <v>47.756072494699993</v>
      </c>
      <c r="F11" s="3">
        <v>117.68863762919996</v>
      </c>
      <c r="G11" s="3">
        <v>1060.44406979</v>
      </c>
      <c r="H11" s="6">
        <v>23523.006389883798</v>
      </c>
      <c r="I11" s="31">
        <v>3.3151265805482715</v>
      </c>
      <c r="J11" s="58"/>
      <c r="K11" s="58"/>
      <c r="L11" s="58"/>
      <c r="M11" s="59"/>
      <c r="N11" s="58"/>
    </row>
    <row r="12" spans="1:14" ht="12.75" customHeight="1">
      <c r="A12" s="15">
        <v>4</v>
      </c>
      <c r="B12" s="4" t="s">
        <v>73</v>
      </c>
      <c r="C12" s="3">
        <v>27970.468298919393</v>
      </c>
      <c r="D12" s="3">
        <v>20113.236760310188</v>
      </c>
      <c r="E12" s="3">
        <v>873.04416117689993</v>
      </c>
      <c r="F12" s="3">
        <v>5163.9336533922997</v>
      </c>
      <c r="G12" s="3">
        <v>398.88840893540004</v>
      </c>
      <c r="H12" s="6">
        <v>54519.571282734185</v>
      </c>
      <c r="I12" s="31">
        <v>7.6835110667323656</v>
      </c>
      <c r="J12" s="58"/>
      <c r="K12" s="58"/>
      <c r="L12" s="58"/>
      <c r="M12" s="59"/>
      <c r="N12" s="58"/>
    </row>
    <row r="13" spans="1:14" ht="12.75" customHeight="1">
      <c r="A13" s="15">
        <v>5</v>
      </c>
      <c r="B13" s="4" t="s">
        <v>546</v>
      </c>
      <c r="C13" s="3">
        <v>18022.566378789896</v>
      </c>
      <c r="D13" s="3">
        <v>705.4003629954002</v>
      </c>
      <c r="E13" s="3">
        <v>7.1864791308000004</v>
      </c>
      <c r="F13" s="3">
        <v>1.8687842304</v>
      </c>
      <c r="G13" s="3">
        <v>18.880674713199998</v>
      </c>
      <c r="H13" s="6">
        <v>18755.902679859693</v>
      </c>
      <c r="I13" s="31">
        <v>2.64329271886435</v>
      </c>
      <c r="J13" s="58"/>
      <c r="K13" s="58"/>
      <c r="L13" s="58"/>
      <c r="M13" s="59"/>
      <c r="N13" s="58"/>
    </row>
    <row r="14" spans="1:14" ht="12.75" customHeight="1">
      <c r="A14" s="15">
        <v>6</v>
      </c>
      <c r="B14" s="4" t="s">
        <v>547</v>
      </c>
      <c r="C14" s="3">
        <v>225465.84129982139</v>
      </c>
      <c r="D14" s="3">
        <v>13066.286541158801</v>
      </c>
      <c r="E14" s="3">
        <v>29.33860245</v>
      </c>
      <c r="F14" s="3">
        <v>128.59226467459999</v>
      </c>
      <c r="G14" s="3">
        <v>387.31515170379998</v>
      </c>
      <c r="H14" s="6">
        <v>239077.37385980861</v>
      </c>
      <c r="I14" s="31">
        <v>33.693471988817635</v>
      </c>
      <c r="J14" s="58"/>
      <c r="K14" s="58"/>
      <c r="L14" s="58"/>
      <c r="M14" s="59"/>
      <c r="N14" s="58"/>
    </row>
    <row r="15" spans="1:14" ht="12.75" customHeight="1">
      <c r="A15" s="15">
        <v>7</v>
      </c>
      <c r="B15" s="4" t="s">
        <v>548</v>
      </c>
      <c r="C15" s="3">
        <v>7175.8416239527987</v>
      </c>
      <c r="D15" s="3">
        <v>1073.9946110813</v>
      </c>
      <c r="E15" s="3">
        <v>264.15162289429998</v>
      </c>
      <c r="F15" s="3">
        <v>1.630030471</v>
      </c>
      <c r="G15" s="3">
        <v>96.377311278299999</v>
      </c>
      <c r="H15" s="6">
        <v>8611.9951996776999</v>
      </c>
      <c r="I15" s="31">
        <v>1.2136992068447376</v>
      </c>
      <c r="J15" s="58"/>
      <c r="K15" s="58"/>
      <c r="L15" s="58"/>
      <c r="M15" s="59"/>
      <c r="N15" s="58"/>
    </row>
    <row r="16" spans="1:14" ht="12.75" customHeight="1">
      <c r="A16" s="15">
        <v>8</v>
      </c>
      <c r="B16" s="4" t="s">
        <v>1424</v>
      </c>
      <c r="C16" s="3">
        <v>4240.6347789747024</v>
      </c>
      <c r="D16" s="3">
        <v>1291.6642004946004</v>
      </c>
      <c r="E16" s="3">
        <v>13.990096800999998</v>
      </c>
      <c r="F16" s="3">
        <v>10.207993762900005</v>
      </c>
      <c r="G16" s="3">
        <v>53.305250421199993</v>
      </c>
      <c r="H16" s="6">
        <v>5609.8023204544024</v>
      </c>
      <c r="I16" s="31">
        <v>0.79059642615059589</v>
      </c>
      <c r="J16" s="58"/>
      <c r="K16" s="58"/>
      <c r="L16" s="58"/>
      <c r="M16" s="59"/>
      <c r="N16" s="58"/>
    </row>
    <row r="17" spans="1:14" ht="12.75" customHeight="1">
      <c r="A17" s="15">
        <v>9</v>
      </c>
      <c r="B17" s="4" t="s">
        <v>77</v>
      </c>
      <c r="C17" s="3">
        <v>1436.3416732152991</v>
      </c>
      <c r="D17" s="3">
        <v>415.98760783640006</v>
      </c>
      <c r="E17" s="3">
        <v>14.341278073000002</v>
      </c>
      <c r="F17" s="3">
        <v>0.31878680209999999</v>
      </c>
      <c r="G17" s="3">
        <v>49.709391498499997</v>
      </c>
      <c r="H17" s="6">
        <v>1916.6987374252992</v>
      </c>
      <c r="I17" s="31">
        <v>0.27012273967134309</v>
      </c>
      <c r="J17" s="58"/>
      <c r="K17" s="58"/>
      <c r="L17" s="58"/>
      <c r="M17" s="59"/>
      <c r="N17" s="58"/>
    </row>
    <row r="18" spans="1:14" ht="12.75" customHeight="1">
      <c r="A18" s="15">
        <v>10</v>
      </c>
      <c r="B18" s="4" t="s">
        <v>1425</v>
      </c>
      <c r="C18" s="3">
        <v>7526.0521822331984</v>
      </c>
      <c r="D18" s="3">
        <v>1434.4448795850001</v>
      </c>
      <c r="E18" s="3">
        <v>7.2373719157999989</v>
      </c>
      <c r="F18" s="3">
        <v>26.944135035299997</v>
      </c>
      <c r="G18" s="3">
        <v>23.896415573999999</v>
      </c>
      <c r="H18" s="6">
        <v>9018.5749843432986</v>
      </c>
      <c r="I18" s="31">
        <v>1.2709990021565383</v>
      </c>
      <c r="J18" s="58"/>
      <c r="K18" s="58"/>
      <c r="L18" s="58"/>
      <c r="M18" s="59"/>
      <c r="N18" s="58"/>
    </row>
    <row r="19" spans="1:14" ht="12.75" customHeight="1">
      <c r="A19" s="527">
        <v>11</v>
      </c>
      <c r="B19" s="4" t="s">
        <v>1897</v>
      </c>
      <c r="C19" s="3">
        <v>1789.8646970465002</v>
      </c>
      <c r="D19" s="3">
        <v>432.43963494299987</v>
      </c>
      <c r="E19" s="3">
        <v>5.1934650686999992</v>
      </c>
      <c r="F19" s="3">
        <v>0.87994824310000008</v>
      </c>
      <c r="G19" s="3">
        <v>87.182030983000004</v>
      </c>
      <c r="H19" s="6">
        <v>2315.5597762842999</v>
      </c>
      <c r="I19" s="31">
        <v>0.32633472252550849</v>
      </c>
      <c r="J19" s="58"/>
      <c r="K19" s="58"/>
      <c r="L19" s="58"/>
      <c r="M19" s="59"/>
      <c r="N19" s="58"/>
    </row>
    <row r="20" spans="1:14" ht="12.75" customHeight="1">
      <c r="A20" s="527">
        <v>12</v>
      </c>
      <c r="B20" s="4" t="s">
        <v>78</v>
      </c>
      <c r="C20" s="3">
        <v>4463.3278341031</v>
      </c>
      <c r="D20" s="3">
        <v>10906.686297121201</v>
      </c>
      <c r="E20" s="3">
        <v>7171.2747003710992</v>
      </c>
      <c r="F20" s="3">
        <v>426.74904919829999</v>
      </c>
      <c r="G20" s="3">
        <v>880.98633430039979</v>
      </c>
      <c r="H20" s="6">
        <v>23849.024215094101</v>
      </c>
      <c r="I20" s="31">
        <v>3.3610726786011131</v>
      </c>
      <c r="J20" s="58"/>
      <c r="K20" s="58"/>
      <c r="L20" s="58"/>
      <c r="M20" s="59"/>
      <c r="N20" s="58"/>
    </row>
    <row r="21" spans="1:14" ht="12.75" customHeight="1">
      <c r="A21" s="527">
        <v>13</v>
      </c>
      <c r="B21" s="4" t="s">
        <v>1898</v>
      </c>
      <c r="C21" s="3">
        <v>25930.592836946402</v>
      </c>
      <c r="D21" s="3">
        <v>5062.6746276272997</v>
      </c>
      <c r="E21" s="3">
        <v>15.007819725799999</v>
      </c>
      <c r="F21" s="3">
        <v>12.136219909400001</v>
      </c>
      <c r="G21" s="3">
        <v>173.40857407270002</v>
      </c>
      <c r="H21" s="6">
        <v>31193.820078281602</v>
      </c>
      <c r="I21" s="31">
        <v>4.3961839050821494</v>
      </c>
      <c r="J21" s="58"/>
      <c r="K21" s="58"/>
      <c r="L21" s="58"/>
      <c r="M21" s="59"/>
      <c r="N21" s="58"/>
    </row>
    <row r="22" spans="1:14" ht="12.75" customHeight="1">
      <c r="A22" s="527">
        <v>14</v>
      </c>
      <c r="B22" s="4" t="s">
        <v>188</v>
      </c>
      <c r="C22" s="3">
        <v>98230.029360525004</v>
      </c>
      <c r="D22" s="3">
        <v>9.2490624339999989</v>
      </c>
      <c r="E22" s="45" t="s">
        <v>1229</v>
      </c>
      <c r="F22" s="3">
        <v>90191.942049000005</v>
      </c>
      <c r="G22" s="45">
        <v>-700.61941420000005</v>
      </c>
      <c r="H22" s="6">
        <v>187730.60105775902</v>
      </c>
      <c r="I22" s="31">
        <v>26.457107362625457</v>
      </c>
      <c r="J22" s="58"/>
      <c r="K22" s="58"/>
      <c r="L22" s="58"/>
      <c r="M22" s="59"/>
      <c r="N22" s="58"/>
    </row>
    <row r="23" spans="1:14" ht="12.75" customHeight="1">
      <c r="A23" s="58"/>
      <c r="C23" s="3"/>
      <c r="D23" s="3"/>
      <c r="E23" s="3"/>
      <c r="F23" s="3"/>
      <c r="G23" s="3"/>
      <c r="H23" s="3"/>
      <c r="J23" s="58"/>
      <c r="K23" s="58"/>
      <c r="L23" s="58"/>
      <c r="M23" s="59"/>
      <c r="N23" s="58"/>
    </row>
    <row r="24" spans="1:14" ht="12.75" customHeight="1" thickBot="1">
      <c r="A24" s="65"/>
      <c r="B24" s="33" t="s">
        <v>178</v>
      </c>
      <c r="C24" s="40">
        <f>SUM(C9:C22)</f>
        <v>462822.70557865524</v>
      </c>
      <c r="D24" s="40">
        <f>SUM(D9:D22)</f>
        <v>124156.34011207397</v>
      </c>
      <c r="E24" s="40">
        <f>SUM(E9:E22)</f>
        <v>20701.2164289051</v>
      </c>
      <c r="F24" s="40">
        <f>SUM(F9:F22)</f>
        <v>96269.448544743311</v>
      </c>
      <c r="G24" s="40">
        <f>SUM(G9:G22)</f>
        <v>5616.1480846251998</v>
      </c>
      <c r="H24" s="40">
        <v>709565.85874900292</v>
      </c>
      <c r="I24" s="479">
        <v>100</v>
      </c>
      <c r="J24" s="58"/>
      <c r="K24" s="58"/>
      <c r="L24" s="58"/>
      <c r="M24" s="59"/>
      <c r="N24" s="58"/>
    </row>
    <row r="25" spans="1:14" ht="12.75" customHeight="1">
      <c r="A25" s="46" t="s">
        <v>179</v>
      </c>
      <c r="B25"/>
      <c r="J25" s="58"/>
      <c r="K25" s="58"/>
      <c r="L25" s="58"/>
      <c r="M25" s="59"/>
      <c r="N25" s="58"/>
    </row>
    <row r="26" spans="1:14" ht="12.75" customHeight="1">
      <c r="A26" s="42" t="s">
        <v>539</v>
      </c>
      <c r="B26"/>
      <c r="C26" s="4" t="s">
        <v>189</v>
      </c>
      <c r="D26" s="4" t="s">
        <v>189</v>
      </c>
      <c r="J26" s="58"/>
      <c r="K26" s="58"/>
      <c r="L26" s="58"/>
      <c r="M26" s="59"/>
      <c r="N26" s="58"/>
    </row>
    <row r="27" spans="1:14">
      <c r="B27"/>
      <c r="C27"/>
      <c r="D27"/>
      <c r="E27"/>
      <c r="F27"/>
      <c r="G27"/>
      <c r="H27"/>
      <c r="I27"/>
      <c r="J27" s="58"/>
      <c r="K27" s="58"/>
      <c r="L27" s="58"/>
      <c r="M27" s="59"/>
      <c r="N27" s="58"/>
    </row>
    <row r="28" spans="1:14">
      <c r="B28"/>
      <c r="C28"/>
      <c r="D28"/>
      <c r="E28"/>
      <c r="F28"/>
      <c r="G28"/>
      <c r="H28"/>
      <c r="I28"/>
      <c r="J28" s="58"/>
      <c r="K28" s="58"/>
      <c r="L28" s="58"/>
      <c r="M28" s="59"/>
      <c r="N28" s="58"/>
    </row>
    <row r="29" spans="1:14">
      <c r="B29"/>
      <c r="C29"/>
      <c r="D29"/>
      <c r="E29"/>
      <c r="F29"/>
      <c r="G29"/>
      <c r="H29"/>
      <c r="I29"/>
      <c r="J29" s="58"/>
      <c r="K29" s="58"/>
      <c r="L29" s="58"/>
      <c r="M29" s="59"/>
      <c r="N29" s="58"/>
    </row>
    <row r="30" spans="1:14">
      <c r="B30"/>
      <c r="C30"/>
      <c r="D30"/>
      <c r="E30"/>
      <c r="F30"/>
      <c r="G30"/>
      <c r="H30"/>
      <c r="I30"/>
      <c r="J30" s="58"/>
      <c r="K30" s="58"/>
      <c r="L30" s="58"/>
      <c r="M30" s="59"/>
      <c r="N30" s="58"/>
    </row>
    <row r="31" spans="1:14">
      <c r="B31"/>
      <c r="C31"/>
      <c r="D31"/>
      <c r="E31"/>
      <c r="F31"/>
      <c r="G31"/>
      <c r="H31"/>
      <c r="I31"/>
      <c r="J31" s="58"/>
      <c r="K31" s="58"/>
      <c r="L31" s="58"/>
      <c r="M31" s="59"/>
      <c r="N31" s="58"/>
    </row>
    <row r="32" spans="1:14">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3"/>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3"/>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8"/>
  <sheetViews>
    <sheetView workbookViewId="0">
      <selection activeCell="F49" sqref="F49"/>
    </sheetView>
  </sheetViews>
  <sheetFormatPr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1905</v>
      </c>
      <c r="B1" s="1"/>
      <c r="K1"/>
      <c r="L1"/>
      <c r="M1"/>
      <c r="N1"/>
    </row>
    <row r="2" spans="1:14" ht="12.75" customHeight="1">
      <c r="A2" s="1" t="s">
        <v>1906</v>
      </c>
      <c r="B2" s="1"/>
      <c r="K2"/>
      <c r="L2"/>
      <c r="M2"/>
      <c r="N2"/>
    </row>
    <row r="3" spans="1:14" ht="12.75" customHeight="1">
      <c r="A3" s="7" t="s">
        <v>1907</v>
      </c>
      <c r="B3" s="7"/>
      <c r="J3" s="55"/>
      <c r="K3" s="58"/>
      <c r="L3" s="58"/>
      <c r="M3" s="58"/>
      <c r="N3"/>
    </row>
    <row r="4" spans="1:14" ht="12.75" customHeight="1">
      <c r="A4" s="7" t="s">
        <v>1895</v>
      </c>
      <c r="B4" s="7"/>
      <c r="J4" s="55"/>
      <c r="K4" s="58"/>
      <c r="L4" s="58"/>
      <c r="M4" s="58"/>
      <c r="N4"/>
    </row>
    <row r="5" spans="1:14" ht="13.5" customHeight="1" thickBot="1">
      <c r="A5" s="8"/>
      <c r="B5" s="8"/>
      <c r="J5" s="55"/>
      <c r="K5" s="58"/>
      <c r="L5" s="58"/>
      <c r="M5" s="58"/>
      <c r="N5" s="58"/>
    </row>
    <row r="6" spans="1:14" ht="12.75" customHeight="1">
      <c r="A6" s="470" t="s">
        <v>1896</v>
      </c>
      <c r="B6" s="470"/>
      <c r="C6" s="437" t="s">
        <v>1806</v>
      </c>
      <c r="D6" s="437" t="s">
        <v>1807</v>
      </c>
      <c r="E6" s="437" t="s">
        <v>1808</v>
      </c>
      <c r="F6" s="437" t="s">
        <v>1093</v>
      </c>
      <c r="G6" s="437" t="s">
        <v>1809</v>
      </c>
      <c r="H6" s="471" t="s">
        <v>178</v>
      </c>
      <c r="I6" s="437" t="s">
        <v>1810</v>
      </c>
      <c r="J6" s="58"/>
      <c r="K6" s="58"/>
      <c r="L6" s="58"/>
      <c r="M6" s="59"/>
      <c r="N6" s="58"/>
    </row>
    <row r="7" spans="1:14" ht="13.5" customHeight="1" thickBot="1">
      <c r="A7" s="44"/>
      <c r="B7" s="44"/>
      <c r="C7" s="39" t="s">
        <v>1811</v>
      </c>
      <c r="D7" s="39" t="s">
        <v>1812</v>
      </c>
      <c r="E7" s="39" t="s">
        <v>1813</v>
      </c>
      <c r="F7" s="39"/>
      <c r="G7" s="39" t="s">
        <v>1814</v>
      </c>
      <c r="H7" s="472"/>
      <c r="I7" s="39"/>
      <c r="J7" s="58"/>
      <c r="K7" s="58"/>
      <c r="L7" s="58"/>
      <c r="M7" s="59"/>
      <c r="N7" s="58"/>
    </row>
    <row r="8" spans="1:14" ht="12.75" customHeight="1">
      <c r="H8" s="2"/>
      <c r="J8" s="58"/>
      <c r="K8" s="58"/>
      <c r="L8" s="58"/>
      <c r="M8" s="59"/>
      <c r="N8" s="58"/>
    </row>
    <row r="9" spans="1:14" ht="12.75" customHeight="1">
      <c r="A9" s="15">
        <v>1</v>
      </c>
      <c r="B9" s="4" t="s">
        <v>543</v>
      </c>
      <c r="C9" s="3">
        <v>40986.227653666392</v>
      </c>
      <c r="D9" s="3">
        <v>16566.080230688614</v>
      </c>
      <c r="E9" s="3">
        <v>176.22602014440005</v>
      </c>
      <c r="F9" s="3">
        <v>48.76147041539997</v>
      </c>
      <c r="G9" s="3">
        <v>1861.7330967924991</v>
      </c>
      <c r="H9" s="6">
        <f>SUM(C9:G9)</f>
        <v>59639.028471707301</v>
      </c>
      <c r="I9" s="31">
        <v>8.2598414028812002</v>
      </c>
      <c r="J9" s="58"/>
      <c r="K9" s="58"/>
      <c r="L9" s="58"/>
      <c r="M9" s="59"/>
      <c r="N9" s="58"/>
    </row>
    <row r="10" spans="1:14" ht="12.75" customHeight="1">
      <c r="A10" s="15">
        <v>2</v>
      </c>
      <c r="B10" s="4" t="s">
        <v>544</v>
      </c>
      <c r="C10" s="3">
        <v>1893.5135325587999</v>
      </c>
      <c r="D10" s="3">
        <v>28932.634040863879</v>
      </c>
      <c r="E10" s="3">
        <v>13573.0387392423</v>
      </c>
      <c r="F10" s="3">
        <v>61.689568558300017</v>
      </c>
      <c r="G10" s="3">
        <v>560.69734050109992</v>
      </c>
      <c r="H10" s="6">
        <f t="shared" ref="H10:H22" si="0">SUM(C10:G10)</f>
        <v>45021.573221724379</v>
      </c>
      <c r="I10" s="31">
        <v>6.235364056878657</v>
      </c>
      <c r="J10" s="58"/>
      <c r="K10" s="473"/>
      <c r="L10" s="473"/>
      <c r="M10" s="59"/>
      <c r="N10" s="58"/>
    </row>
    <row r="11" spans="1:14" ht="12.75" customHeight="1">
      <c r="A11" s="15">
        <v>3</v>
      </c>
      <c r="B11" s="4" t="s">
        <v>545</v>
      </c>
      <c r="C11" s="3">
        <v>313.87506429000001</v>
      </c>
      <c r="D11" s="3">
        <v>22868.721527744205</v>
      </c>
      <c r="E11" s="3">
        <v>58.07062119830001</v>
      </c>
      <c r="F11" s="3">
        <v>131.47345563390002</v>
      </c>
      <c r="G11" s="3">
        <v>1056.1763587962998</v>
      </c>
      <c r="H11" s="6">
        <f t="shared" si="0"/>
        <v>24428.317027662706</v>
      </c>
      <c r="I11" s="31">
        <v>3.383254716892607</v>
      </c>
      <c r="J11" s="58"/>
      <c r="K11" s="58"/>
      <c r="L11" s="58"/>
      <c r="M11" s="59"/>
      <c r="N11" s="58"/>
    </row>
    <row r="12" spans="1:14" ht="12.75" customHeight="1">
      <c r="A12" s="15">
        <v>4</v>
      </c>
      <c r="B12" s="4" t="s">
        <v>73</v>
      </c>
      <c r="C12" s="3">
        <v>29769</v>
      </c>
      <c r="D12" s="3">
        <v>21346</v>
      </c>
      <c r="E12" s="3">
        <v>682.76013074329933</v>
      </c>
      <c r="F12" s="3">
        <v>3265.0192369185993</v>
      </c>
      <c r="G12" s="3">
        <v>765.19114953609994</v>
      </c>
      <c r="H12" s="6">
        <f t="shared" si="0"/>
        <v>55827.970517197995</v>
      </c>
      <c r="I12" s="31">
        <v>7.7321281512224171</v>
      </c>
      <c r="J12" s="58"/>
      <c r="K12" s="58"/>
      <c r="L12" s="58"/>
      <c r="M12" s="59"/>
      <c r="N12" s="58"/>
    </row>
    <row r="13" spans="1:14" ht="12.75" customHeight="1">
      <c r="A13" s="15">
        <v>5</v>
      </c>
      <c r="B13" s="4" t="s">
        <v>546</v>
      </c>
      <c r="C13" s="3">
        <v>17583.919201086497</v>
      </c>
      <c r="D13" s="3">
        <v>729.50108539099995</v>
      </c>
      <c r="E13" s="3">
        <v>12.024569666500001</v>
      </c>
      <c r="F13" s="3">
        <v>2.8841677064</v>
      </c>
      <c r="G13" s="3">
        <v>17.4370267826</v>
      </c>
      <c r="H13" s="6">
        <f t="shared" si="0"/>
        <v>18345.766050632999</v>
      </c>
      <c r="I13" s="31">
        <v>2.5408381369672703</v>
      </c>
      <c r="J13" s="58"/>
      <c r="K13" s="58"/>
      <c r="L13" s="58"/>
      <c r="M13" s="59"/>
      <c r="N13" s="58"/>
    </row>
    <row r="14" spans="1:14" ht="12.75" customHeight="1">
      <c r="A14" s="15">
        <v>6</v>
      </c>
      <c r="B14" s="4" t="s">
        <v>547</v>
      </c>
      <c r="C14" s="3">
        <v>243968.22763505642</v>
      </c>
      <c r="D14" s="3">
        <v>13223.9098399135</v>
      </c>
      <c r="E14" s="3">
        <v>61.857498802800002</v>
      </c>
      <c r="F14" s="3">
        <v>116.48630261030002</v>
      </c>
      <c r="G14" s="3">
        <v>448.77383096790004</v>
      </c>
      <c r="H14" s="6">
        <f t="shared" si="0"/>
        <v>257819.25510735094</v>
      </c>
      <c r="I14" s="31">
        <v>35.707257686230456</v>
      </c>
      <c r="J14" s="58"/>
      <c r="K14" s="58"/>
      <c r="L14" s="58"/>
      <c r="M14" s="59"/>
      <c r="N14" s="58"/>
    </row>
    <row r="15" spans="1:14" ht="12.75" customHeight="1">
      <c r="A15" s="15">
        <v>7</v>
      </c>
      <c r="B15" s="4" t="s">
        <v>548</v>
      </c>
      <c r="C15" s="3">
        <v>6104.9765556280963</v>
      </c>
      <c r="D15" s="3">
        <v>1181.7948800391</v>
      </c>
      <c r="E15" s="3">
        <v>336.6253950064999</v>
      </c>
      <c r="F15" s="3">
        <v>3.4831803589000008</v>
      </c>
      <c r="G15" s="3">
        <v>38.9999858937</v>
      </c>
      <c r="H15" s="6">
        <f t="shared" si="0"/>
        <v>7665.8799969262973</v>
      </c>
      <c r="I15" s="31">
        <v>1.0617032941468703</v>
      </c>
      <c r="J15" s="58"/>
      <c r="K15" s="58"/>
      <c r="L15" s="58"/>
      <c r="M15" s="59"/>
      <c r="N15" s="58"/>
    </row>
    <row r="16" spans="1:14" ht="12.75" customHeight="1">
      <c r="A16" s="15">
        <v>8</v>
      </c>
      <c r="B16" s="4" t="s">
        <v>1424</v>
      </c>
      <c r="C16" s="3">
        <v>4372.1248151935979</v>
      </c>
      <c r="D16" s="3">
        <v>1351.4042808311999</v>
      </c>
      <c r="E16" s="3">
        <v>11.815309039100002</v>
      </c>
      <c r="F16" s="3">
        <v>6.5961779268000011</v>
      </c>
      <c r="G16" s="3">
        <v>60.92947293049999</v>
      </c>
      <c r="H16" s="6">
        <f t="shared" si="0"/>
        <v>5802.8700559211975</v>
      </c>
      <c r="I16" s="31">
        <v>0.80368154162966909</v>
      </c>
      <c r="J16" s="58"/>
      <c r="K16" s="58"/>
      <c r="L16" s="58"/>
      <c r="M16" s="59"/>
      <c r="N16" s="58"/>
    </row>
    <row r="17" spans="1:14" ht="12.75" customHeight="1">
      <c r="A17" s="15">
        <v>9</v>
      </c>
      <c r="B17" s="4" t="s">
        <v>77</v>
      </c>
      <c r="C17" s="3">
        <v>1519.6558242510996</v>
      </c>
      <c r="D17" s="3">
        <v>561.63337399750003</v>
      </c>
      <c r="E17" s="3">
        <v>2.6581698018000002</v>
      </c>
      <c r="F17" s="3">
        <v>0.25103671769999997</v>
      </c>
      <c r="G17" s="3">
        <v>57.605665073500006</v>
      </c>
      <c r="H17" s="6">
        <f t="shared" si="0"/>
        <v>2141.8040698415998</v>
      </c>
      <c r="I17" s="31">
        <v>0.29663397252236728</v>
      </c>
      <c r="J17" s="58"/>
      <c r="K17" s="58"/>
      <c r="L17" s="58"/>
      <c r="M17" s="59"/>
      <c r="N17" s="58"/>
    </row>
    <row r="18" spans="1:14" ht="12.75" customHeight="1">
      <c r="A18" s="15">
        <v>10</v>
      </c>
      <c r="B18" s="4" t="s">
        <v>1425</v>
      </c>
      <c r="C18" s="3">
        <v>15009.659046987399</v>
      </c>
      <c r="D18" s="3">
        <v>1335.3015131511993</v>
      </c>
      <c r="E18" s="3">
        <v>11.402945782499998</v>
      </c>
      <c r="F18" s="3">
        <v>34.207845647699997</v>
      </c>
      <c r="G18" s="3">
        <v>19.044487803599999</v>
      </c>
      <c r="H18" s="6">
        <f t="shared" si="0"/>
        <v>16409.6158393724</v>
      </c>
      <c r="I18" s="31">
        <v>2.2726866581960459</v>
      </c>
      <c r="J18" s="58"/>
      <c r="K18" s="58"/>
      <c r="L18" s="58"/>
      <c r="M18" s="59"/>
      <c r="N18" s="58"/>
    </row>
    <row r="19" spans="1:14" ht="12.75" customHeight="1">
      <c r="A19" s="527">
        <v>11</v>
      </c>
      <c r="B19" s="4" t="s">
        <v>1897</v>
      </c>
      <c r="C19" s="3">
        <v>8.601480832</v>
      </c>
      <c r="D19" s="3">
        <v>148.42059443029999</v>
      </c>
      <c r="E19" s="3">
        <v>1.3836597038</v>
      </c>
      <c r="F19" s="3">
        <v>0.76869983570000011</v>
      </c>
      <c r="G19" s="3">
        <v>7.9944782886999999</v>
      </c>
      <c r="H19" s="6">
        <f t="shared" si="0"/>
        <v>167.16891309049998</v>
      </c>
      <c r="I19" s="31">
        <v>2.3152434655681984E-2</v>
      </c>
      <c r="J19" s="58"/>
      <c r="K19" s="58"/>
      <c r="L19" s="58"/>
      <c r="M19" s="59"/>
      <c r="N19" s="58"/>
    </row>
    <row r="20" spans="1:14" ht="12.75" customHeight="1">
      <c r="A20" s="527">
        <v>12</v>
      </c>
      <c r="B20" s="4" t="s">
        <v>78</v>
      </c>
      <c r="C20" s="3">
        <v>3942.8834025208998</v>
      </c>
      <c r="D20" s="3">
        <v>12076.23089126479</v>
      </c>
      <c r="E20" s="3">
        <v>6720.321935977302</v>
      </c>
      <c r="F20" s="3">
        <v>472.55230173780006</v>
      </c>
      <c r="G20" s="3">
        <v>1578.7550002717999</v>
      </c>
      <c r="H20" s="6">
        <f t="shared" si="0"/>
        <v>24790.74353177259</v>
      </c>
      <c r="I20" s="31">
        <v>3.4334497908376576</v>
      </c>
      <c r="J20" s="58"/>
      <c r="K20" s="58"/>
      <c r="L20" s="58"/>
      <c r="M20" s="59"/>
      <c r="N20" s="58"/>
    </row>
    <row r="21" spans="1:14" ht="12.75" customHeight="1">
      <c r="A21" s="527">
        <v>13</v>
      </c>
      <c r="B21" s="4" t="s">
        <v>1898</v>
      </c>
      <c r="C21" s="3">
        <v>15538.767876379086</v>
      </c>
      <c r="D21" s="3">
        <v>6537.8986064276951</v>
      </c>
      <c r="E21" s="3">
        <v>20.3266513885</v>
      </c>
      <c r="F21" s="3">
        <v>8.4905587715000017</v>
      </c>
      <c r="G21" s="3">
        <v>157.45523157119999</v>
      </c>
      <c r="H21" s="6">
        <f t="shared" si="0"/>
        <v>22262.938924537979</v>
      </c>
      <c r="I21" s="31">
        <v>3.0833558056022108</v>
      </c>
      <c r="J21" s="58"/>
      <c r="K21" s="58"/>
      <c r="L21" s="58"/>
      <c r="M21" s="59"/>
      <c r="N21" s="58"/>
    </row>
    <row r="22" spans="1:14" ht="12.75" customHeight="1">
      <c r="A22" s="527">
        <v>14</v>
      </c>
      <c r="B22" s="4" t="s">
        <v>188</v>
      </c>
      <c r="C22" s="3">
        <v>100632.2426801</v>
      </c>
      <c r="D22" s="3">
        <v>9.8872698454000005</v>
      </c>
      <c r="E22" s="45" t="s">
        <v>1229</v>
      </c>
      <c r="F22" s="3">
        <v>81070.600147000005</v>
      </c>
      <c r="G22" s="45" t="s">
        <v>1229</v>
      </c>
      <c r="H22" s="6">
        <f t="shared" si="0"/>
        <v>181712.73009694542</v>
      </c>
      <c r="I22" s="31">
        <v>25.166713307500654</v>
      </c>
      <c r="J22" s="58"/>
      <c r="K22" s="58"/>
      <c r="L22" s="58"/>
      <c r="M22" s="59"/>
      <c r="N22" s="58"/>
    </row>
    <row r="23" spans="1:14" ht="12.75" customHeight="1">
      <c r="A23" s="58"/>
      <c r="C23" s="3"/>
      <c r="D23" s="3"/>
      <c r="E23" s="3"/>
      <c r="F23" s="3"/>
      <c r="G23" s="3"/>
      <c r="H23" s="3"/>
      <c r="J23" s="58"/>
      <c r="K23" s="58"/>
      <c r="L23" s="58"/>
      <c r="M23" s="59"/>
      <c r="N23" s="58"/>
    </row>
    <row r="24" spans="1:14" ht="12.75" customHeight="1" thickBot="1">
      <c r="A24" s="65"/>
      <c r="B24" s="33" t="s">
        <v>178</v>
      </c>
      <c r="C24" s="40">
        <f>SUM(C9:C22)</f>
        <v>481643.67476855032</v>
      </c>
      <c r="D24" s="40">
        <f>SUM(D9:D22)</f>
        <v>126869.41813458837</v>
      </c>
      <c r="E24" s="40">
        <f>SUM(E9:E22)</f>
        <v>21668.511646497103</v>
      </c>
      <c r="F24" s="40">
        <f>SUM(F9:F22)</f>
        <v>85223.264149839</v>
      </c>
      <c r="G24" s="40">
        <f>SUM(G9:G22)</f>
        <v>6630.7931252094977</v>
      </c>
      <c r="H24" s="40">
        <f t="shared" ref="H24:I24" si="1">SUM(H9:H22)</f>
        <v>722035.66182468424</v>
      </c>
      <c r="I24" s="479">
        <f t="shared" si="1"/>
        <v>100.00006095616378</v>
      </c>
      <c r="J24" s="58"/>
      <c r="K24" s="58"/>
      <c r="L24" s="58"/>
      <c r="M24" s="59"/>
      <c r="N24" s="58"/>
    </row>
    <row r="25" spans="1:14" ht="12.75" customHeight="1">
      <c r="A25" s="46" t="s">
        <v>179</v>
      </c>
      <c r="B25"/>
      <c r="J25" s="58"/>
      <c r="K25" s="58"/>
      <c r="L25" s="58"/>
      <c r="M25" s="59"/>
      <c r="N25" s="58"/>
    </row>
    <row r="26" spans="1:14" ht="12.75" customHeight="1">
      <c r="A26" s="42" t="s">
        <v>539</v>
      </c>
      <c r="B26"/>
      <c r="C26" s="4" t="s">
        <v>189</v>
      </c>
      <c r="D26" s="4" t="s">
        <v>189</v>
      </c>
      <c r="J26" s="58"/>
      <c r="K26" s="58"/>
      <c r="L26" s="58"/>
      <c r="M26" s="59"/>
      <c r="N26" s="58"/>
    </row>
    <row r="27" spans="1:14">
      <c r="B27"/>
      <c r="C27"/>
      <c r="D27"/>
      <c r="E27"/>
      <c r="F27"/>
      <c r="G27"/>
      <c r="H27"/>
      <c r="I27"/>
      <c r="J27" s="58"/>
      <c r="K27" s="58"/>
      <c r="L27" s="58"/>
      <c r="M27" s="59"/>
      <c r="N27" s="58"/>
    </row>
    <row r="28" spans="1:14">
      <c r="B28"/>
      <c r="C28"/>
      <c r="D28"/>
      <c r="E28"/>
      <c r="F28"/>
      <c r="G28"/>
      <c r="H28"/>
      <c r="I28"/>
      <c r="J28" s="58"/>
      <c r="K28" s="58"/>
      <c r="L28" s="58"/>
      <c r="M28" s="59"/>
      <c r="N28" s="58"/>
    </row>
    <row r="29" spans="1:14">
      <c r="B29"/>
      <c r="C29"/>
      <c r="D29"/>
      <c r="E29"/>
      <c r="F29"/>
      <c r="G29"/>
      <c r="H29"/>
      <c r="I29"/>
      <c r="J29" s="58"/>
      <c r="K29" s="58"/>
      <c r="L29" s="58"/>
      <c r="M29" s="59"/>
      <c r="N29" s="58"/>
    </row>
    <row r="30" spans="1:14">
      <c r="B30"/>
      <c r="C30"/>
      <c r="D30"/>
      <c r="E30"/>
      <c r="F30"/>
      <c r="G30"/>
      <c r="H30"/>
      <c r="I30"/>
      <c r="J30" s="528"/>
      <c r="K30" s="58"/>
      <c r="L30" s="58"/>
      <c r="M30" s="59"/>
      <c r="N30" s="58"/>
    </row>
    <row r="31" spans="1:14">
      <c r="B31"/>
      <c r="C31"/>
      <c r="D31"/>
      <c r="E31"/>
      <c r="F31"/>
      <c r="G31"/>
      <c r="H31"/>
      <c r="I31"/>
      <c r="J31" s="58"/>
      <c r="K31" s="58"/>
      <c r="L31" s="58"/>
      <c r="M31" s="59"/>
      <c r="N31" s="58"/>
    </row>
    <row r="32" spans="1:14">
      <c r="B32"/>
      <c r="C32"/>
      <c r="D32"/>
      <c r="E32"/>
      <c r="F32"/>
      <c r="G32"/>
      <c r="H32"/>
      <c r="I32"/>
      <c r="J32" s="58"/>
      <c r="K32" s="58"/>
      <c r="L32" s="58"/>
      <c r="M32" s="59"/>
      <c r="N32" s="58"/>
    </row>
    <row r="33" spans="1:14">
      <c r="B33"/>
      <c r="C33"/>
      <c r="D33"/>
      <c r="E33"/>
      <c r="F33"/>
      <c r="G33"/>
      <c r="H33"/>
      <c r="I33"/>
      <c r="J33" s="58"/>
      <c r="K33" s="58"/>
      <c r="L33" s="58"/>
      <c r="M33" s="59"/>
      <c r="N33" s="58"/>
    </row>
    <row r="34" spans="1:14">
      <c r="B34"/>
      <c r="C34"/>
      <c r="D34"/>
      <c r="E34"/>
      <c r="F34"/>
      <c r="G34"/>
      <c r="H34"/>
      <c r="I34"/>
      <c r="J34" s="58"/>
      <c r="K34" s="58"/>
      <c r="L34" s="58"/>
      <c r="M34" s="59"/>
      <c r="N34" s="58"/>
    </row>
    <row r="35" spans="1:14">
      <c r="B35"/>
      <c r="C35"/>
      <c r="D35"/>
      <c r="E35"/>
      <c r="F35"/>
      <c r="G35"/>
      <c r="H35"/>
      <c r="I35"/>
      <c r="J35" s="58"/>
      <c r="K35" s="58"/>
      <c r="L35" s="58"/>
      <c r="M35" s="59"/>
      <c r="N35" s="58"/>
    </row>
    <row r="36" spans="1:14">
      <c r="B36"/>
      <c r="C36"/>
      <c r="D36"/>
      <c r="E36"/>
      <c r="F36"/>
      <c r="G36"/>
      <c r="H36"/>
      <c r="I36"/>
      <c r="J36" s="58"/>
      <c r="K36" s="58"/>
      <c r="L36" s="58"/>
      <c r="M36" s="59"/>
      <c r="N36" s="58"/>
    </row>
    <row r="37" spans="1:14">
      <c r="B37"/>
      <c r="C37"/>
      <c r="D37"/>
      <c r="E37"/>
      <c r="F37"/>
      <c r="G37"/>
      <c r="H37"/>
      <c r="I37"/>
      <c r="J37" s="58"/>
      <c r="K37" s="58"/>
      <c r="L37" s="58"/>
      <c r="M37" s="59"/>
      <c r="N37" s="58"/>
    </row>
    <row r="38" spans="1:14">
      <c r="B38"/>
      <c r="C38"/>
      <c r="D38"/>
      <c r="E38"/>
      <c r="F38"/>
      <c r="G38"/>
      <c r="H38"/>
      <c r="I38"/>
      <c r="J38" s="58"/>
      <c r="K38" s="58"/>
      <c r="L38" s="58"/>
      <c r="M38" s="59"/>
      <c r="N38" s="58"/>
    </row>
    <row r="39" spans="1:14">
      <c r="B39"/>
      <c r="C39"/>
      <c r="D39"/>
      <c r="E39"/>
      <c r="F39"/>
      <c r="G39"/>
      <c r="H39"/>
      <c r="I39"/>
      <c r="J39" s="58"/>
      <c r="K39" s="58"/>
      <c r="L39" s="58"/>
      <c r="M39" s="59"/>
      <c r="N39" s="58"/>
    </row>
    <row r="40" spans="1:14">
      <c r="B40"/>
      <c r="C40"/>
      <c r="D40"/>
      <c r="E40"/>
      <c r="F40"/>
      <c r="G40"/>
      <c r="H40"/>
      <c r="I40"/>
      <c r="J40" s="58"/>
      <c r="K40" s="58"/>
      <c r="L40" s="58"/>
      <c r="M40" s="59"/>
      <c r="N40" s="58"/>
    </row>
    <row r="41" spans="1:14">
      <c r="B41"/>
      <c r="C41"/>
      <c r="D41"/>
      <c r="E41"/>
      <c r="F41"/>
      <c r="G41"/>
      <c r="H41"/>
      <c r="I41"/>
      <c r="J41" s="58"/>
      <c r="K41" s="58"/>
      <c r="L41" s="58"/>
      <c r="M41" s="59"/>
      <c r="N41" s="58"/>
    </row>
    <row r="42" spans="1:14">
      <c r="B42"/>
      <c r="C42"/>
      <c r="D42"/>
      <c r="E42"/>
      <c r="F42"/>
      <c r="G42"/>
      <c r="H42"/>
      <c r="I42"/>
      <c r="J42" s="58"/>
      <c r="K42" s="58"/>
      <c r="L42" s="58"/>
      <c r="M42" s="59"/>
      <c r="N42" s="58"/>
    </row>
    <row r="43" spans="1:14">
      <c r="B43"/>
      <c r="C43"/>
      <c r="D43"/>
      <c r="E43"/>
      <c r="F43"/>
      <c r="G43"/>
      <c r="H43"/>
      <c r="I43"/>
      <c r="J43" s="58"/>
      <c r="K43" s="58"/>
      <c r="L43" s="58"/>
      <c r="M43" s="59"/>
      <c r="N43" s="58"/>
    </row>
    <row r="44" spans="1:14">
      <c r="B44"/>
      <c r="C44"/>
      <c r="D44"/>
      <c r="E44"/>
      <c r="F44"/>
      <c r="G44"/>
      <c r="H44"/>
      <c r="I44"/>
      <c r="J44" s="58"/>
      <c r="K44" s="58"/>
      <c r="L44" s="58"/>
      <c r="M44" s="59"/>
      <c r="N44" s="58"/>
    </row>
    <row r="45" spans="1:14">
      <c r="B45"/>
      <c r="C45"/>
      <c r="D45"/>
      <c r="E45"/>
      <c r="F45"/>
      <c r="G45"/>
      <c r="H45"/>
      <c r="I45"/>
      <c r="J45" s="58"/>
      <c r="K45" s="58"/>
      <c r="L45" s="58"/>
      <c r="M45" s="59"/>
      <c r="N45" s="58"/>
    </row>
    <row r="46" spans="1:14">
      <c r="B46"/>
      <c r="C46"/>
      <c r="D46"/>
      <c r="E46"/>
      <c r="F46"/>
      <c r="G46"/>
      <c r="H46"/>
      <c r="I46"/>
      <c r="J46" s="58"/>
      <c r="K46" s="58"/>
      <c r="L46" s="58"/>
      <c r="M46" s="59"/>
      <c r="N46" s="58"/>
    </row>
    <row r="47" spans="1:14">
      <c r="A47" s="4"/>
      <c r="B47"/>
      <c r="C47"/>
      <c r="D47"/>
      <c r="E47"/>
      <c r="F47"/>
      <c r="G47"/>
      <c r="H47"/>
      <c r="I47"/>
      <c r="J47" s="58"/>
      <c r="K47" s="58"/>
      <c r="L47" s="58"/>
      <c r="M47" s="59"/>
      <c r="N47" s="58"/>
    </row>
    <row r="48" spans="1:14">
      <c r="A48" s="4"/>
      <c r="B48"/>
      <c r="C48"/>
      <c r="D48"/>
      <c r="E48"/>
      <c r="F48"/>
      <c r="G48"/>
      <c r="H48"/>
      <c r="I48"/>
      <c r="J48" s="58"/>
      <c r="K48" s="58"/>
      <c r="L48" s="58"/>
      <c r="M48" s="59"/>
      <c r="N48" s="58"/>
    </row>
    <row r="49" spans="1:14">
      <c r="A49" s="4"/>
      <c r="B49"/>
      <c r="C49"/>
      <c r="D49"/>
      <c r="E49"/>
      <c r="F49"/>
      <c r="G49"/>
      <c r="H49"/>
      <c r="I49"/>
      <c r="J49" s="58"/>
      <c r="K49" s="58"/>
      <c r="L49" s="58"/>
      <c r="M49" s="59"/>
      <c r="N49" s="58"/>
    </row>
    <row r="50" spans="1:14">
      <c r="A50" s="4"/>
      <c r="B50"/>
      <c r="C50"/>
      <c r="D50"/>
      <c r="E50"/>
      <c r="F50"/>
      <c r="G50"/>
      <c r="H50"/>
      <c r="I50"/>
      <c r="J50" s="58"/>
      <c r="K50" s="58"/>
      <c r="L50" s="58"/>
      <c r="M50" s="59"/>
      <c r="N50" s="58"/>
    </row>
    <row r="51" spans="1:14">
      <c r="A51" s="4"/>
      <c r="B51"/>
      <c r="C51"/>
      <c r="D51"/>
      <c r="E51"/>
      <c r="F51"/>
      <c r="G51"/>
      <c r="H51"/>
      <c r="I51"/>
      <c r="J51" s="58"/>
      <c r="K51" s="58"/>
      <c r="L51" s="58"/>
      <c r="M51" s="59"/>
      <c r="N51" s="58"/>
    </row>
    <row r="52" spans="1:14">
      <c r="A52" s="4"/>
      <c r="B52"/>
      <c r="C52"/>
      <c r="D52"/>
      <c r="E52"/>
      <c r="F52"/>
      <c r="G52"/>
      <c r="H52"/>
      <c r="I52"/>
      <c r="J52" s="58"/>
      <c r="K52" s="58"/>
      <c r="L52" s="58"/>
      <c r="M52" s="59"/>
      <c r="N52" s="58"/>
    </row>
    <row r="53" spans="1:14">
      <c r="A53" s="4"/>
      <c r="B53"/>
      <c r="C53"/>
      <c r="D53"/>
      <c r="E53"/>
      <c r="F53"/>
      <c r="G53"/>
      <c r="H53"/>
      <c r="I53"/>
      <c r="J53" s="473"/>
      <c r="K53" s="58"/>
      <c r="L53" s="58"/>
      <c r="M53" s="59"/>
      <c r="N53" s="58"/>
    </row>
    <row r="54" spans="1:14">
      <c r="A54" s="4"/>
      <c r="B54"/>
      <c r="C54"/>
      <c r="D54"/>
      <c r="E54"/>
      <c r="F54"/>
      <c r="G54"/>
      <c r="H54"/>
      <c r="I54"/>
      <c r="J54" s="58"/>
      <c r="K54" s="58"/>
      <c r="L54" s="58"/>
      <c r="M54" s="59"/>
      <c r="N54" s="58"/>
    </row>
    <row r="55" spans="1:14">
      <c r="A55" s="4"/>
      <c r="B55"/>
      <c r="C55"/>
      <c r="D55"/>
      <c r="E55"/>
      <c r="F55"/>
      <c r="G55"/>
      <c r="H55"/>
      <c r="I55"/>
      <c r="J55" s="58"/>
      <c r="K55" s="58"/>
      <c r="L55" s="58"/>
      <c r="M55" s="59"/>
      <c r="N55" s="58"/>
    </row>
    <row r="56" spans="1:14">
      <c r="A56" s="4"/>
      <c r="B56"/>
      <c r="C56"/>
      <c r="D56"/>
      <c r="E56"/>
      <c r="F56"/>
      <c r="G56"/>
      <c r="H56"/>
      <c r="I56"/>
      <c r="J56" s="58"/>
      <c r="K56" s="58"/>
      <c r="L56" s="58"/>
      <c r="M56" s="59"/>
      <c r="N56" s="58"/>
    </row>
    <row r="57" spans="1:14">
      <c r="A57" s="4"/>
      <c r="B57"/>
      <c r="C57"/>
      <c r="D57"/>
      <c r="E57"/>
      <c r="F57"/>
      <c r="G57"/>
      <c r="H57"/>
      <c r="I57"/>
      <c r="J57" s="58"/>
      <c r="K57" s="58"/>
      <c r="L57" s="58"/>
      <c r="M57" s="59"/>
      <c r="N57" s="58"/>
    </row>
    <row r="58" spans="1:14">
      <c r="A58" s="4"/>
      <c r="B58"/>
      <c r="C58"/>
      <c r="D58"/>
      <c r="E58"/>
      <c r="F58"/>
      <c r="G58"/>
      <c r="H58"/>
      <c r="I58"/>
      <c r="J58" s="58"/>
      <c r="K58" s="58"/>
      <c r="L58" s="58"/>
      <c r="M58" s="59"/>
      <c r="N58" s="58"/>
    </row>
    <row r="59" spans="1:14">
      <c r="A59" s="4"/>
      <c r="B59"/>
      <c r="C59"/>
      <c r="D59"/>
      <c r="E59"/>
      <c r="F59"/>
      <c r="G59"/>
      <c r="H59"/>
      <c r="I59"/>
      <c r="J59" s="58"/>
      <c r="K59" s="58"/>
      <c r="L59" s="58"/>
      <c r="M59" s="59"/>
      <c r="N59" s="58"/>
    </row>
    <row r="60" spans="1:14">
      <c r="A60" s="4"/>
      <c r="B60"/>
      <c r="C60"/>
      <c r="D60"/>
      <c r="E60"/>
      <c r="F60"/>
      <c r="G60"/>
      <c r="H60"/>
      <c r="I60"/>
      <c r="J60" s="58"/>
      <c r="K60" s="58"/>
      <c r="L60" s="58"/>
      <c r="M60" s="59"/>
      <c r="N60" s="58"/>
    </row>
    <row r="61" spans="1:14">
      <c r="A61" s="4"/>
      <c r="B61"/>
      <c r="C61"/>
      <c r="D61"/>
      <c r="E61"/>
      <c r="F61"/>
      <c r="G61"/>
      <c r="H61"/>
      <c r="I61"/>
      <c r="J61" s="58"/>
      <c r="K61" s="58"/>
      <c r="L61" s="58"/>
      <c r="M61" s="59"/>
      <c r="N61" s="58"/>
    </row>
    <row r="62" spans="1:14">
      <c r="A62" s="4"/>
      <c r="B62"/>
      <c r="C62"/>
      <c r="D62"/>
      <c r="E62"/>
      <c r="F62"/>
      <c r="G62"/>
      <c r="H62"/>
      <c r="I62"/>
      <c r="J62" s="58"/>
      <c r="K62" s="58"/>
      <c r="L62" s="58"/>
      <c r="M62" s="59"/>
      <c r="N62" s="58"/>
    </row>
    <row r="63" spans="1:14">
      <c r="A63" s="4"/>
      <c r="B63"/>
      <c r="C63"/>
      <c r="D63"/>
      <c r="E63"/>
      <c r="F63"/>
      <c r="G63"/>
      <c r="H63"/>
      <c r="I63"/>
      <c r="J63" s="58"/>
      <c r="K63" s="58"/>
      <c r="L63" s="58"/>
      <c r="M63" s="59"/>
      <c r="N63" s="58"/>
    </row>
    <row r="64" spans="1:14">
      <c r="A64" s="4"/>
      <c r="B64"/>
      <c r="C64"/>
      <c r="D64"/>
      <c r="E64"/>
      <c r="F64"/>
      <c r="G64"/>
      <c r="H64"/>
      <c r="I64"/>
      <c r="J64" s="58"/>
      <c r="K64" s="58"/>
      <c r="L64" s="58"/>
      <c r="M64" s="59"/>
      <c r="N64" s="58"/>
    </row>
    <row r="65" spans="1:14">
      <c r="A65" s="4"/>
      <c r="B65"/>
      <c r="C65"/>
      <c r="D65"/>
      <c r="E65"/>
      <c r="F65"/>
      <c r="G65"/>
      <c r="H65"/>
      <c r="I65"/>
      <c r="J65" s="58"/>
      <c r="K65" s="58"/>
      <c r="L65" s="58"/>
      <c r="M65" s="59"/>
      <c r="N65" s="58"/>
    </row>
    <row r="66" spans="1:14">
      <c r="A66" s="4"/>
      <c r="B66"/>
      <c r="C66"/>
      <c r="D66"/>
      <c r="E66"/>
      <c r="F66"/>
      <c r="G66"/>
      <c r="H66"/>
      <c r="I66"/>
      <c r="J66" s="58"/>
      <c r="K66" s="58"/>
      <c r="L66" s="58"/>
      <c r="M66" s="59"/>
      <c r="N66" s="58"/>
    </row>
    <row r="67" spans="1:14">
      <c r="A67" s="4"/>
      <c r="B67"/>
      <c r="C67"/>
      <c r="D67"/>
      <c r="E67"/>
      <c r="F67"/>
      <c r="G67"/>
      <c r="H67"/>
      <c r="I67"/>
      <c r="J67" s="473"/>
      <c r="K67" s="58"/>
      <c r="L67" s="58"/>
      <c r="M67" s="59"/>
      <c r="N67" s="58"/>
    </row>
    <row r="68" spans="1:14">
      <c r="A68" s="4"/>
      <c r="B68"/>
      <c r="C68"/>
      <c r="D68"/>
      <c r="E68"/>
      <c r="F68"/>
      <c r="G68"/>
      <c r="H68"/>
      <c r="I68"/>
      <c r="J68" s="58"/>
      <c r="K68" s="58"/>
      <c r="L68" s="58"/>
      <c r="M68" s="59"/>
      <c r="N68" s="58"/>
    </row>
    <row r="69" spans="1:14">
      <c r="A69" s="4"/>
      <c r="B69"/>
      <c r="C69"/>
      <c r="D69"/>
      <c r="E69"/>
      <c r="F69"/>
      <c r="G69"/>
      <c r="H69"/>
      <c r="I69"/>
      <c r="J69" s="58"/>
      <c r="K69" s="58"/>
      <c r="L69" s="58"/>
      <c r="M69" s="59"/>
      <c r="N69" s="58"/>
    </row>
    <row r="70" spans="1:14">
      <c r="A70" s="4"/>
      <c r="B70"/>
      <c r="C70"/>
      <c r="D70"/>
      <c r="E70"/>
      <c r="F70"/>
      <c r="G70"/>
      <c r="H70"/>
      <c r="I70"/>
      <c r="J70" s="58"/>
      <c r="K70" s="58"/>
      <c r="L70" s="58"/>
      <c r="M70" s="59"/>
      <c r="N70" s="58"/>
    </row>
    <row r="71" spans="1:14">
      <c r="A71" s="4"/>
      <c r="B71"/>
      <c r="C71"/>
      <c r="D71"/>
      <c r="E71"/>
      <c r="F71"/>
      <c r="G71"/>
      <c r="H71"/>
      <c r="I71"/>
      <c r="J71" s="58"/>
      <c r="K71" s="58"/>
      <c r="L71" s="58"/>
      <c r="M71" s="59"/>
      <c r="N71" s="58"/>
    </row>
    <row r="72" spans="1:14">
      <c r="A72" s="4"/>
      <c r="B72"/>
      <c r="C72"/>
      <c r="D72"/>
      <c r="E72"/>
      <c r="F72"/>
      <c r="G72"/>
      <c r="H72"/>
      <c r="I72"/>
      <c r="J72" s="58"/>
      <c r="K72" s="58"/>
      <c r="L72" s="58"/>
      <c r="M72" s="59"/>
      <c r="N72" s="58"/>
    </row>
    <row r="73" spans="1:14">
      <c r="A73" s="4"/>
      <c r="B73"/>
      <c r="C73"/>
      <c r="D73"/>
      <c r="E73"/>
      <c r="F73"/>
      <c r="G73"/>
      <c r="H73"/>
      <c r="I73"/>
      <c r="J73" s="58"/>
      <c r="K73" s="58"/>
      <c r="L73" s="58"/>
      <c r="M73" s="59"/>
      <c r="N73" s="58"/>
    </row>
    <row r="74" spans="1:14">
      <c r="A74" s="4"/>
      <c r="B74"/>
      <c r="C74"/>
      <c r="D74"/>
      <c r="E74"/>
      <c r="F74"/>
      <c r="G74"/>
      <c r="H74"/>
      <c r="I74"/>
      <c r="J74" s="58"/>
      <c r="K74" s="58"/>
      <c r="L74" s="58"/>
      <c r="M74" s="59"/>
      <c r="N74" s="58"/>
    </row>
    <row r="75" spans="1:14">
      <c r="A75" s="4"/>
      <c r="B75"/>
      <c r="C75"/>
      <c r="D75"/>
      <c r="E75"/>
      <c r="F75"/>
      <c r="G75"/>
      <c r="H75"/>
      <c r="I75"/>
      <c r="J75" s="58"/>
      <c r="K75" s="58"/>
      <c r="L75" s="58"/>
      <c r="M75" s="59"/>
      <c r="N75" s="58"/>
    </row>
    <row r="76" spans="1:14">
      <c r="A76" s="4"/>
      <c r="B76"/>
      <c r="C76"/>
      <c r="D76"/>
      <c r="E76"/>
      <c r="F76"/>
      <c r="G76"/>
      <c r="H76"/>
      <c r="I76"/>
      <c r="J76" s="58"/>
      <c r="K76" s="58"/>
      <c r="L76" s="59"/>
      <c r="M76" s="58"/>
      <c r="N76" s="58"/>
    </row>
    <row r="77" spans="1:14">
      <c r="A77" s="4"/>
      <c r="B77"/>
      <c r="C77"/>
      <c r="D77"/>
      <c r="E77"/>
      <c r="F77"/>
      <c r="G77"/>
      <c r="H77"/>
      <c r="I77"/>
      <c r="J77" s="58"/>
      <c r="K77" s="58"/>
      <c r="L77" s="59"/>
      <c r="M77" s="58"/>
      <c r="N77" s="58"/>
    </row>
    <row r="78" spans="1:14">
      <c r="A78" s="4"/>
      <c r="B78"/>
      <c r="C78"/>
      <c r="D78"/>
      <c r="E78"/>
      <c r="F78"/>
      <c r="G78"/>
      <c r="H78"/>
      <c r="I78"/>
      <c r="J78" s="58"/>
      <c r="K78" s="58"/>
      <c r="L78" s="59"/>
      <c r="M78" s="58"/>
      <c r="N78" s="58"/>
    </row>
    <row r="79" spans="1:14">
      <c r="A79" s="4"/>
      <c r="B79"/>
      <c r="C79"/>
      <c r="D79"/>
      <c r="E79"/>
      <c r="F79"/>
      <c r="G79"/>
      <c r="H79"/>
      <c r="I79"/>
      <c r="J79" s="58"/>
      <c r="K79" s="58"/>
      <c r="L79" s="59"/>
      <c r="M79" s="58"/>
      <c r="N79" s="58"/>
    </row>
    <row r="80" spans="1:14">
      <c r="A80" s="4"/>
      <c r="B80"/>
      <c r="C80"/>
      <c r="D80"/>
      <c r="E80"/>
      <c r="F80"/>
      <c r="G80"/>
      <c r="H80"/>
      <c r="I80"/>
      <c r="J80" s="58"/>
      <c r="K80" s="58"/>
      <c r="L80" s="59"/>
      <c r="M80" s="58"/>
      <c r="N80" s="58"/>
    </row>
    <row r="81" spans="1:14">
      <c r="A81" s="4"/>
      <c r="B81"/>
      <c r="C81"/>
      <c r="D81"/>
      <c r="E81"/>
      <c r="F81"/>
      <c r="G81"/>
      <c r="H81"/>
      <c r="I81"/>
      <c r="J81" s="58"/>
      <c r="K81" s="58"/>
      <c r="L81" s="59"/>
      <c r="M81" s="58"/>
      <c r="N81"/>
    </row>
    <row r="82" spans="1:14">
      <c r="A82" s="4"/>
      <c r="B82"/>
      <c r="C82"/>
      <c r="D82"/>
      <c r="E82"/>
      <c r="F82"/>
      <c r="G82"/>
      <c r="H82"/>
      <c r="I82"/>
      <c r="J82" s="58"/>
      <c r="K82" s="58"/>
      <c r="L82" s="59"/>
      <c r="M82" s="58"/>
      <c r="N82"/>
    </row>
    <row r="83" spans="1:14">
      <c r="A83" s="4"/>
      <c r="B83"/>
      <c r="C83"/>
      <c r="D83"/>
      <c r="E83"/>
      <c r="F83"/>
      <c r="G83"/>
      <c r="H83"/>
      <c r="I83"/>
      <c r="J83" s="58"/>
      <c r="K83" s="58"/>
      <c r="L83" s="59"/>
      <c r="M83" s="58"/>
      <c r="N83"/>
    </row>
    <row r="84" spans="1:14">
      <c r="A84" s="4"/>
      <c r="B84"/>
      <c r="C84"/>
      <c r="D84"/>
      <c r="E84"/>
      <c r="F84"/>
      <c r="G84"/>
      <c r="H84"/>
      <c r="I84"/>
      <c r="J84" s="58"/>
      <c r="K84" s="58"/>
      <c r="L84" s="59"/>
      <c r="M84" s="58"/>
      <c r="N84"/>
    </row>
    <row r="85" spans="1:14">
      <c r="A85" s="4"/>
      <c r="B85"/>
      <c r="C85"/>
      <c r="D85"/>
      <c r="E85"/>
      <c r="F85"/>
      <c r="G85"/>
      <c r="H85"/>
      <c r="I85"/>
      <c r="J85" s="58"/>
      <c r="K85" s="58"/>
      <c r="L85" s="59"/>
      <c r="M85" s="58"/>
      <c r="N85"/>
    </row>
    <row r="86" spans="1:14">
      <c r="A86" s="4"/>
      <c r="B86"/>
      <c r="C86"/>
      <c r="D86"/>
      <c r="E86"/>
      <c r="F86"/>
      <c r="G86"/>
      <c r="H86"/>
      <c r="I86"/>
      <c r="J86" s="58"/>
      <c r="K86" s="58"/>
      <c r="L86" s="59"/>
      <c r="M86" s="58"/>
      <c r="N86"/>
    </row>
    <row r="87" spans="1:14">
      <c r="A87" s="4"/>
      <c r="B87"/>
      <c r="C87"/>
      <c r="D87"/>
      <c r="E87"/>
      <c r="F87"/>
      <c r="G87"/>
      <c r="H87"/>
      <c r="I87"/>
      <c r="J87" s="58"/>
      <c r="K87" s="58"/>
      <c r="L87" s="59"/>
      <c r="M87" s="58"/>
      <c r="N87"/>
    </row>
    <row r="88" spans="1:14">
      <c r="A88" s="4"/>
      <c r="B88"/>
      <c r="C88"/>
      <c r="D88"/>
      <c r="E88"/>
      <c r="F88"/>
      <c r="G88"/>
      <c r="H88"/>
      <c r="I88"/>
      <c r="J88" s="58"/>
      <c r="K88" s="58"/>
      <c r="L88" s="59"/>
      <c r="M88" s="58"/>
      <c r="N88"/>
    </row>
    <row r="89" spans="1:14">
      <c r="A89" s="4"/>
      <c r="B89"/>
      <c r="C89"/>
      <c r="D89"/>
      <c r="E89"/>
      <c r="F89"/>
      <c r="G89"/>
      <c r="H89"/>
      <c r="I89"/>
      <c r="J89" s="58"/>
      <c r="K89" s="58"/>
      <c r="L89" s="59"/>
      <c r="M89" s="58"/>
      <c r="N89"/>
    </row>
    <row r="90" spans="1:14">
      <c r="A90" s="4"/>
      <c r="B90"/>
      <c r="C90"/>
      <c r="D90"/>
      <c r="E90"/>
      <c r="F90"/>
      <c r="G90"/>
      <c r="H90"/>
      <c r="I90"/>
      <c r="J90" s="58"/>
      <c r="K90" s="58"/>
      <c r="L90" s="59"/>
      <c r="M90" s="58"/>
      <c r="N90"/>
    </row>
    <row r="91" spans="1:14">
      <c r="A91" s="4"/>
      <c r="B91"/>
      <c r="C91"/>
      <c r="D91"/>
      <c r="E91"/>
      <c r="F91"/>
      <c r="G91"/>
      <c r="H91"/>
      <c r="I91"/>
      <c r="J91" s="58"/>
      <c r="K91" s="58"/>
      <c r="L91" s="59"/>
      <c r="M91" s="58"/>
      <c r="N91"/>
    </row>
    <row r="92" spans="1:14">
      <c r="A92" s="4"/>
      <c r="B92"/>
      <c r="C92"/>
      <c r="D92"/>
      <c r="E92"/>
      <c r="F92"/>
      <c r="G92"/>
      <c r="H92"/>
      <c r="I92"/>
      <c r="J92" s="58"/>
      <c r="K92" s="58"/>
      <c r="L92" s="59"/>
      <c r="M92" s="58"/>
      <c r="N92"/>
    </row>
    <row r="93" spans="1:14">
      <c r="A93" s="4"/>
      <c r="B93"/>
      <c r="C93"/>
      <c r="D93"/>
      <c r="E93"/>
      <c r="F93"/>
      <c r="G93"/>
      <c r="H93"/>
      <c r="I93"/>
      <c r="J93" s="58"/>
      <c r="K93" s="58"/>
      <c r="L93" s="59"/>
      <c r="M93" s="58"/>
      <c r="N93"/>
    </row>
    <row r="94" spans="1:14">
      <c r="A94" s="4"/>
      <c r="B94"/>
      <c r="C94"/>
      <c r="D94"/>
      <c r="E94"/>
      <c r="F94"/>
      <c r="G94"/>
      <c r="H94"/>
      <c r="I94"/>
      <c r="J94" s="58"/>
      <c r="K94" s="58"/>
      <c r="L94" s="59"/>
      <c r="M94" s="58"/>
      <c r="N94"/>
    </row>
    <row r="95" spans="1:14">
      <c r="A95" s="4"/>
      <c r="B95"/>
      <c r="C95"/>
      <c r="D95"/>
      <c r="E95"/>
      <c r="F95"/>
      <c r="G95"/>
      <c r="H95"/>
      <c r="I95"/>
      <c r="J95" s="58"/>
      <c r="K95" s="58"/>
      <c r="L95" s="59"/>
      <c r="M95" s="58"/>
      <c r="N95"/>
    </row>
    <row r="96" spans="1:14">
      <c r="A96" s="4"/>
      <c r="B96"/>
      <c r="C96"/>
      <c r="D96"/>
      <c r="E96"/>
      <c r="F96"/>
      <c r="G96"/>
      <c r="H96"/>
      <c r="I96"/>
      <c r="J96" s="58"/>
      <c r="K96" s="58"/>
      <c r="L96" s="59"/>
      <c r="M96" s="58"/>
      <c r="N96"/>
    </row>
    <row r="97" spans="1:14">
      <c r="A97" s="4"/>
      <c r="B97"/>
      <c r="C97"/>
      <c r="D97"/>
      <c r="E97"/>
      <c r="F97"/>
      <c r="G97"/>
      <c r="H97"/>
      <c r="I97"/>
      <c r="J97" s="58"/>
      <c r="K97" s="58"/>
      <c r="L97" s="59"/>
      <c r="M97" s="58"/>
      <c r="N97"/>
    </row>
    <row r="98" spans="1:14">
      <c r="A98" s="4"/>
      <c r="B98"/>
      <c r="C98"/>
      <c r="D98"/>
      <c r="E98"/>
      <c r="F98"/>
      <c r="G98"/>
      <c r="H98"/>
      <c r="I98"/>
      <c r="J98" s="58"/>
      <c r="K98" s="58"/>
      <c r="L98" s="59"/>
      <c r="M98" s="58"/>
      <c r="N98"/>
    </row>
    <row r="99" spans="1:14">
      <c r="A99" s="4"/>
      <c r="B99"/>
      <c r="C99"/>
      <c r="D99"/>
      <c r="E99"/>
      <c r="F99"/>
      <c r="G99"/>
      <c r="H99"/>
      <c r="I99"/>
      <c r="J99" s="58"/>
      <c r="K99" s="58"/>
      <c r="L99" s="59"/>
      <c r="M99" s="58"/>
      <c r="N99"/>
    </row>
    <row r="100" spans="1:14">
      <c r="A100" s="4"/>
      <c r="B100"/>
      <c r="C100"/>
      <c r="D100"/>
      <c r="E100"/>
      <c r="F100"/>
      <c r="G100"/>
      <c r="H100"/>
      <c r="I100"/>
      <c r="J100" s="58"/>
      <c r="K100" s="58"/>
      <c r="L100" s="59"/>
      <c r="M100" s="58"/>
      <c r="N100"/>
    </row>
    <row r="101" spans="1:14">
      <c r="A101" s="4"/>
      <c r="B101"/>
      <c r="C101"/>
      <c r="D101"/>
      <c r="E101"/>
      <c r="F101"/>
      <c r="G101"/>
      <c r="H101"/>
      <c r="I101"/>
      <c r="J101" s="58"/>
      <c r="K101" s="58"/>
      <c r="L101" s="59"/>
      <c r="M101" s="58"/>
      <c r="N101"/>
    </row>
    <row r="102" spans="1:14">
      <c r="A102" s="4"/>
      <c r="B102"/>
      <c r="C102"/>
      <c r="D102"/>
      <c r="E102"/>
      <c r="F102"/>
      <c r="G102"/>
      <c r="H102"/>
      <c r="I102"/>
      <c r="J102" s="58"/>
      <c r="K102" s="58"/>
      <c r="L102" s="59"/>
      <c r="M102" s="58"/>
      <c r="N102"/>
    </row>
    <row r="103" spans="1:14">
      <c r="A103" s="4"/>
      <c r="B103"/>
      <c r="C103"/>
      <c r="D103"/>
      <c r="E103"/>
      <c r="F103"/>
      <c r="G103"/>
      <c r="H103"/>
      <c r="I103"/>
      <c r="J103" s="58"/>
      <c r="K103" s="58"/>
      <c r="L103" s="59"/>
      <c r="M103" s="58"/>
      <c r="N103"/>
    </row>
    <row r="104" spans="1:14">
      <c r="A104" s="4"/>
      <c r="B104"/>
      <c r="C104"/>
      <c r="D104"/>
      <c r="E104"/>
      <c r="F104"/>
      <c r="G104"/>
      <c r="H104"/>
      <c r="I104"/>
      <c r="J104" s="58"/>
      <c r="K104" s="58"/>
      <c r="L104" s="59"/>
      <c r="M104" s="58"/>
      <c r="N104"/>
    </row>
    <row r="105" spans="1:14">
      <c r="A105" s="4"/>
      <c r="B105"/>
      <c r="C105"/>
      <c r="D105"/>
      <c r="E105"/>
      <c r="F105"/>
      <c r="G105"/>
      <c r="H105"/>
      <c r="I105"/>
      <c r="J105" s="58"/>
      <c r="K105" s="58"/>
      <c r="L105" s="59"/>
      <c r="M105" s="58"/>
      <c r="N105"/>
    </row>
    <row r="106" spans="1:14">
      <c r="A106" s="4"/>
      <c r="B106"/>
      <c r="C106"/>
      <c r="D106"/>
      <c r="E106"/>
      <c r="F106"/>
      <c r="G106"/>
      <c r="H106"/>
      <c r="I106"/>
      <c r="J106" s="58"/>
      <c r="K106" s="58"/>
      <c r="L106" s="59"/>
      <c r="M106" s="58"/>
      <c r="N106"/>
    </row>
    <row r="107" spans="1:14">
      <c r="A107" s="4"/>
      <c r="B107"/>
      <c r="C107"/>
      <c r="D107"/>
      <c r="E107"/>
      <c r="F107"/>
      <c r="G107"/>
      <c r="H107"/>
      <c r="I107"/>
      <c r="J107" s="58"/>
      <c r="K107" s="58"/>
      <c r="L107" s="59"/>
      <c r="M107" s="58"/>
      <c r="N107"/>
    </row>
    <row r="108" spans="1:14">
      <c r="A108" s="4"/>
      <c r="B108"/>
      <c r="C108"/>
      <c r="D108"/>
      <c r="E108"/>
      <c r="F108"/>
      <c r="G108"/>
      <c r="H108"/>
      <c r="I108"/>
      <c r="J108" s="58"/>
      <c r="K108" s="58"/>
      <c r="L108" s="59"/>
      <c r="M108" s="58"/>
      <c r="N108"/>
    </row>
    <row r="109" spans="1:14">
      <c r="A109" s="4"/>
      <c r="B109"/>
      <c r="C109"/>
      <c r="D109"/>
      <c r="E109"/>
      <c r="F109"/>
      <c r="G109"/>
      <c r="H109"/>
      <c r="I109"/>
      <c r="J109" s="58"/>
      <c r="K109" s="58"/>
      <c r="L109" s="59"/>
      <c r="M109" s="58"/>
      <c r="N109"/>
    </row>
    <row r="110" spans="1:14">
      <c r="A110" s="4"/>
      <c r="B110"/>
      <c r="C110"/>
      <c r="D110"/>
      <c r="E110"/>
      <c r="F110"/>
      <c r="G110"/>
      <c r="H110"/>
      <c r="I110"/>
      <c r="J110" s="58"/>
      <c r="K110" s="58"/>
      <c r="L110" s="59"/>
      <c r="M110" s="58"/>
      <c r="N110"/>
    </row>
    <row r="111" spans="1:14">
      <c r="A111" s="4"/>
      <c r="B111"/>
      <c r="C111"/>
      <c r="D111"/>
      <c r="E111"/>
      <c r="F111"/>
      <c r="G111"/>
      <c r="H111"/>
      <c r="I111"/>
      <c r="J111" s="58"/>
      <c r="K111" s="58"/>
      <c r="L111" s="59"/>
      <c r="M111" s="58"/>
      <c r="N111"/>
    </row>
    <row r="112" spans="1:14">
      <c r="A112" s="4"/>
      <c r="B112"/>
      <c r="C112"/>
      <c r="D112"/>
      <c r="E112"/>
      <c r="F112"/>
      <c r="G112"/>
      <c r="H112"/>
      <c r="I112"/>
      <c r="J112" s="58"/>
      <c r="K112" s="58"/>
      <c r="L112" s="59"/>
      <c r="M112" s="58"/>
      <c r="N112"/>
    </row>
    <row r="113" spans="1:14">
      <c r="A113" s="4"/>
      <c r="B113"/>
      <c r="C113"/>
      <c r="D113"/>
      <c r="E113"/>
      <c r="F113"/>
      <c r="G113"/>
      <c r="H113"/>
      <c r="I113"/>
      <c r="J113" s="58"/>
      <c r="K113" s="58"/>
      <c r="L113" s="59"/>
      <c r="M113" s="58"/>
      <c r="N113"/>
    </row>
    <row r="114" spans="1:14">
      <c r="A114" s="4"/>
      <c r="B114"/>
      <c r="C114"/>
      <c r="D114"/>
      <c r="E114"/>
      <c r="F114"/>
      <c r="G114"/>
      <c r="H114"/>
      <c r="I114"/>
      <c r="J114" s="58"/>
      <c r="K114" s="58"/>
      <c r="L114" s="59"/>
      <c r="M114" s="58"/>
      <c r="N114"/>
    </row>
    <row r="115" spans="1:14">
      <c r="A115" s="4"/>
      <c r="B115"/>
      <c r="C115"/>
      <c r="D115"/>
      <c r="E115"/>
      <c r="F115"/>
      <c r="G115"/>
      <c r="H115"/>
      <c r="I115"/>
      <c r="J115" s="58"/>
      <c r="K115" s="58"/>
      <c r="L115" s="59"/>
      <c r="M115" s="58"/>
      <c r="N115"/>
    </row>
    <row r="116" spans="1:14">
      <c r="A116" s="4"/>
      <c r="B116"/>
      <c r="C116"/>
      <c r="D116"/>
      <c r="E116"/>
      <c r="F116"/>
      <c r="G116"/>
      <c r="H116"/>
      <c r="I116"/>
      <c r="J116" s="58"/>
      <c r="K116" s="58"/>
      <c r="L116" s="59"/>
      <c r="M116" s="58"/>
      <c r="N116"/>
    </row>
    <row r="117" spans="1:14">
      <c r="A117" s="4"/>
      <c r="B117"/>
      <c r="C117"/>
      <c r="D117"/>
      <c r="E117"/>
      <c r="F117"/>
      <c r="G117"/>
      <c r="H117"/>
      <c r="I117"/>
      <c r="J117" s="58"/>
      <c r="K117" s="58"/>
      <c r="L117" s="59"/>
      <c r="M117" s="58"/>
      <c r="N117"/>
    </row>
    <row r="118" spans="1:14">
      <c r="A118" s="4"/>
      <c r="B118"/>
      <c r="C118"/>
      <c r="D118"/>
      <c r="E118"/>
      <c r="F118"/>
      <c r="G118"/>
      <c r="H118"/>
      <c r="I118"/>
      <c r="J118" s="58"/>
      <c r="K118" s="58"/>
      <c r="L118" s="59"/>
      <c r="M118" s="58"/>
      <c r="N118"/>
    </row>
    <row r="119" spans="1:14">
      <c r="A119" s="4"/>
      <c r="B119"/>
      <c r="C119"/>
      <c r="D119"/>
      <c r="E119"/>
      <c r="F119"/>
      <c r="G119"/>
      <c r="H119"/>
      <c r="I119"/>
      <c r="J119" s="58"/>
      <c r="K119" s="58"/>
      <c r="L119" s="59"/>
      <c r="M119" s="58"/>
      <c r="N119"/>
    </row>
    <row r="120" spans="1:14">
      <c r="A120" s="4"/>
      <c r="B120"/>
      <c r="C120"/>
      <c r="D120"/>
      <c r="E120"/>
      <c r="F120"/>
      <c r="G120"/>
      <c r="H120"/>
      <c r="I120"/>
      <c r="J120" s="58"/>
      <c r="K120" s="58"/>
      <c r="L120" s="59"/>
      <c r="M120" s="58"/>
      <c r="N120"/>
    </row>
    <row r="121" spans="1:14">
      <c r="A121" s="4"/>
      <c r="B121"/>
      <c r="C121"/>
      <c r="D121"/>
      <c r="E121"/>
      <c r="F121"/>
      <c r="G121"/>
      <c r="H121"/>
      <c r="I121"/>
      <c r="J121" s="58"/>
      <c r="K121" s="58"/>
      <c r="L121" s="59"/>
      <c r="M121" s="58"/>
      <c r="N121"/>
    </row>
    <row r="122" spans="1:14">
      <c r="A122" s="4"/>
      <c r="B122"/>
      <c r="C122"/>
      <c r="D122"/>
      <c r="E122"/>
      <c r="F122"/>
      <c r="G122"/>
      <c r="H122"/>
      <c r="I122"/>
      <c r="J122" s="58"/>
      <c r="K122" s="58"/>
      <c r="L122" s="59"/>
      <c r="M122" s="58"/>
      <c r="N122"/>
    </row>
    <row r="123" spans="1:14">
      <c r="A123" s="4"/>
      <c r="B123"/>
      <c r="C123"/>
      <c r="D123"/>
      <c r="E123"/>
      <c r="F123"/>
      <c r="G123"/>
      <c r="H123"/>
      <c r="I123"/>
      <c r="J123" s="58"/>
      <c r="K123" s="58"/>
      <c r="L123" s="59"/>
      <c r="M123" s="58"/>
      <c r="N123"/>
    </row>
    <row r="124" spans="1:14">
      <c r="A124" s="4"/>
      <c r="B124"/>
      <c r="C124"/>
      <c r="D124"/>
      <c r="E124"/>
      <c r="F124"/>
      <c r="G124"/>
      <c r="H124"/>
      <c r="I124"/>
      <c r="J124" s="58"/>
      <c r="K124" s="58"/>
      <c r="L124" s="59"/>
      <c r="M124" s="58"/>
      <c r="N124"/>
    </row>
    <row r="125" spans="1:14">
      <c r="A125" s="4"/>
      <c r="B125"/>
      <c r="C125"/>
      <c r="D125"/>
      <c r="E125"/>
      <c r="F125"/>
      <c r="G125"/>
      <c r="H125"/>
      <c r="I125"/>
      <c r="J125" s="58"/>
      <c r="K125" s="58"/>
      <c r="L125" s="59"/>
      <c r="M125" s="58"/>
      <c r="N125"/>
    </row>
    <row r="126" spans="1:14">
      <c r="A126" s="4"/>
      <c r="B126"/>
      <c r="C126"/>
      <c r="D126"/>
      <c r="E126"/>
      <c r="F126"/>
      <c r="G126"/>
      <c r="H126"/>
      <c r="I126"/>
      <c r="J126" s="58"/>
      <c r="K126" s="58"/>
      <c r="L126" s="59"/>
      <c r="M126" s="58"/>
      <c r="N126"/>
    </row>
    <row r="127" spans="1:14">
      <c r="A127" s="4"/>
      <c r="B127"/>
      <c r="C127"/>
      <c r="D127"/>
      <c r="E127"/>
      <c r="F127"/>
      <c r="G127"/>
      <c r="H127"/>
      <c r="I127"/>
      <c r="J127" s="58"/>
      <c r="K127" s="58"/>
      <c r="L127" s="59"/>
      <c r="M127" s="58"/>
      <c r="N127"/>
    </row>
    <row r="128" spans="1:14">
      <c r="A128" s="4"/>
      <c r="B128"/>
      <c r="C128"/>
      <c r="D128"/>
      <c r="E128"/>
      <c r="F128"/>
      <c r="G128"/>
      <c r="H128"/>
      <c r="I128"/>
      <c r="J128" s="58"/>
      <c r="K128" s="58"/>
      <c r="L128" s="59"/>
      <c r="M128" s="58"/>
      <c r="N128"/>
    </row>
    <row r="129" spans="1:14">
      <c r="A129" s="4"/>
      <c r="B129"/>
      <c r="C129"/>
      <c r="D129"/>
      <c r="E129"/>
      <c r="F129"/>
      <c r="G129"/>
      <c r="H129"/>
      <c r="I129"/>
      <c r="J129" s="58"/>
      <c r="K129" s="58"/>
      <c r="L129" s="59"/>
      <c r="M129" s="58"/>
      <c r="N129"/>
    </row>
    <row r="130" spans="1:14">
      <c r="A130" s="4"/>
      <c r="B130"/>
      <c r="C130"/>
      <c r="D130"/>
      <c r="E130"/>
      <c r="F130"/>
      <c r="G130"/>
      <c r="H130"/>
      <c r="I130"/>
      <c r="J130" s="58"/>
      <c r="K130" s="58"/>
      <c r="L130" s="59"/>
      <c r="M130" s="58"/>
      <c r="N130"/>
    </row>
    <row r="131" spans="1:14">
      <c r="A131" s="4"/>
      <c r="B131"/>
      <c r="C131"/>
      <c r="D131"/>
      <c r="E131"/>
      <c r="F131"/>
      <c r="G131"/>
      <c r="H131"/>
      <c r="I131"/>
      <c r="J131" s="58"/>
      <c r="K131" s="58"/>
      <c r="L131" s="59"/>
      <c r="M131" s="58"/>
      <c r="N131"/>
    </row>
    <row r="132" spans="1:14">
      <c r="A132" s="4"/>
      <c r="B132"/>
      <c r="C132"/>
      <c r="D132"/>
      <c r="E132"/>
      <c r="F132"/>
      <c r="G132"/>
      <c r="H132"/>
      <c r="I132"/>
      <c r="J132" s="58"/>
      <c r="K132" s="58"/>
      <c r="L132" s="59"/>
      <c r="M132" s="58"/>
      <c r="N132"/>
    </row>
    <row r="133" spans="1:14">
      <c r="A133" s="4"/>
      <c r="B133"/>
      <c r="C133"/>
      <c r="D133"/>
      <c r="E133"/>
      <c r="F133"/>
      <c r="G133"/>
      <c r="H133"/>
      <c r="I133"/>
      <c r="J133" s="58"/>
      <c r="K133" s="58"/>
      <c r="L133" s="59"/>
      <c r="M133" s="58"/>
      <c r="N133"/>
    </row>
    <row r="134" spans="1:14">
      <c r="A134" s="4"/>
      <c r="B134"/>
      <c r="C134"/>
      <c r="D134"/>
      <c r="E134"/>
      <c r="F134"/>
      <c r="G134"/>
      <c r="H134"/>
      <c r="I134"/>
      <c r="J134" s="58"/>
      <c r="K134" s="58"/>
      <c r="L134" s="59"/>
      <c r="M134" s="58"/>
      <c r="N134"/>
    </row>
    <row r="135" spans="1:14">
      <c r="A135" s="4"/>
      <c r="B135"/>
      <c r="C135"/>
      <c r="D135"/>
      <c r="E135"/>
      <c r="F135"/>
      <c r="G135"/>
      <c r="H135"/>
      <c r="I135"/>
      <c r="J135" s="58"/>
      <c r="K135" s="58"/>
      <c r="L135" s="59"/>
      <c r="M135" s="58"/>
      <c r="N135"/>
    </row>
    <row r="136" spans="1:14">
      <c r="A136" s="4"/>
      <c r="B136"/>
      <c r="C136"/>
      <c r="D136"/>
      <c r="E136"/>
      <c r="F136"/>
      <c r="G136"/>
      <c r="H136"/>
      <c r="I136"/>
      <c r="J136" s="58"/>
      <c r="K136" s="58"/>
      <c r="L136" s="59"/>
      <c r="M136" s="58"/>
      <c r="N136"/>
    </row>
    <row r="137" spans="1:14">
      <c r="A137" s="4"/>
      <c r="B137"/>
      <c r="C137"/>
      <c r="D137"/>
      <c r="E137"/>
      <c r="F137"/>
      <c r="G137"/>
      <c r="H137"/>
      <c r="I137"/>
      <c r="J137" s="58"/>
      <c r="K137" s="58"/>
      <c r="L137" s="59"/>
      <c r="M137" s="58"/>
      <c r="N137"/>
    </row>
    <row r="138" spans="1:14">
      <c r="A138" s="4"/>
      <c r="B138"/>
      <c r="C138"/>
      <c r="D138"/>
      <c r="E138"/>
      <c r="F138"/>
      <c r="G138"/>
      <c r="H138"/>
      <c r="I138"/>
      <c r="J138" s="58"/>
      <c r="K138" s="58"/>
      <c r="L138" s="59"/>
      <c r="M138" s="58"/>
      <c r="N138"/>
    </row>
    <row r="139" spans="1:14">
      <c r="A139" s="4"/>
      <c r="B139"/>
      <c r="C139"/>
      <c r="D139"/>
      <c r="E139"/>
      <c r="F139"/>
      <c r="G139"/>
      <c r="H139"/>
      <c r="I139"/>
      <c r="J139" s="58"/>
      <c r="K139" s="58"/>
      <c r="L139" s="59"/>
      <c r="M139" s="58"/>
      <c r="N139"/>
    </row>
    <row r="140" spans="1:14">
      <c r="A140" s="4"/>
      <c r="B140"/>
      <c r="C140"/>
      <c r="D140"/>
      <c r="E140"/>
      <c r="F140"/>
      <c r="G140"/>
      <c r="H140"/>
      <c r="I140"/>
      <c r="J140" s="58"/>
      <c r="K140" s="58"/>
      <c r="L140" s="59"/>
      <c r="M140" s="58"/>
      <c r="N140"/>
    </row>
    <row r="141" spans="1:14">
      <c r="A141" s="4"/>
      <c r="B141"/>
      <c r="C141"/>
      <c r="D141"/>
      <c r="E141"/>
      <c r="F141"/>
      <c r="G141"/>
      <c r="H141"/>
      <c r="I141"/>
      <c r="J141" s="58"/>
      <c r="K141" s="58"/>
      <c r="L141" s="59"/>
      <c r="M141" s="58"/>
      <c r="N141"/>
    </row>
    <row r="142" spans="1:14">
      <c r="A142" s="4"/>
      <c r="B142"/>
      <c r="C142"/>
      <c r="D142"/>
      <c r="E142"/>
      <c r="F142"/>
      <c r="G142"/>
      <c r="H142"/>
      <c r="I142"/>
      <c r="J142" s="58"/>
      <c r="K142" s="58"/>
      <c r="L142" s="59"/>
      <c r="M142" s="58"/>
      <c r="N142"/>
    </row>
    <row r="143" spans="1:14">
      <c r="A143" s="4"/>
      <c r="B143"/>
      <c r="C143"/>
      <c r="D143"/>
      <c r="E143"/>
      <c r="F143"/>
      <c r="G143"/>
      <c r="H143"/>
      <c r="I143"/>
      <c r="J143" s="58"/>
      <c r="K143" s="58"/>
      <c r="L143" s="59"/>
      <c r="M143" s="58"/>
      <c r="N143"/>
    </row>
    <row r="144" spans="1:14">
      <c r="A144" s="4"/>
      <c r="B144"/>
      <c r="C144"/>
      <c r="D144"/>
      <c r="E144"/>
      <c r="F144"/>
      <c r="G144"/>
      <c r="H144"/>
      <c r="I144"/>
      <c r="J144" s="58"/>
      <c r="K144" s="58"/>
      <c r="L144" s="59"/>
      <c r="M144" s="58"/>
      <c r="N144"/>
    </row>
    <row r="145" spans="1:14">
      <c r="A145" s="4"/>
      <c r="B145"/>
      <c r="C145"/>
      <c r="D145"/>
      <c r="E145"/>
      <c r="F145"/>
      <c r="G145"/>
      <c r="H145"/>
      <c r="I145"/>
      <c r="J145" s="58"/>
      <c r="K145" s="58"/>
      <c r="L145" s="59"/>
      <c r="M145" s="58"/>
      <c r="N145"/>
    </row>
    <row r="146" spans="1:14">
      <c r="A146" s="4"/>
      <c r="B146"/>
      <c r="C146"/>
      <c r="D146"/>
      <c r="E146"/>
      <c r="F146"/>
      <c r="G146"/>
      <c r="H146"/>
      <c r="I146"/>
      <c r="J146" s="58"/>
      <c r="K146" s="58"/>
      <c r="L146" s="59"/>
      <c r="M146" s="58"/>
      <c r="N146"/>
    </row>
    <row r="147" spans="1:14">
      <c r="A147" s="4"/>
      <c r="B147"/>
      <c r="C147"/>
      <c r="D147"/>
      <c r="E147"/>
      <c r="F147"/>
      <c r="G147"/>
      <c r="H147"/>
      <c r="I147"/>
      <c r="J147" s="58"/>
      <c r="K147" s="58"/>
      <c r="L147" s="59"/>
      <c r="M147" s="58"/>
      <c r="N147"/>
    </row>
    <row r="148" spans="1:14">
      <c r="A148" s="4"/>
      <c r="B148"/>
      <c r="C148"/>
      <c r="D148"/>
      <c r="E148"/>
      <c r="F148"/>
      <c r="G148"/>
      <c r="H148"/>
      <c r="I148"/>
      <c r="J148" s="58"/>
      <c r="K148" s="58"/>
      <c r="L148" s="59"/>
      <c r="M148" s="58"/>
      <c r="N148"/>
    </row>
    <row r="149" spans="1:14">
      <c r="A149" s="4"/>
      <c r="B149"/>
      <c r="C149"/>
      <c r="D149"/>
      <c r="E149"/>
      <c r="F149"/>
      <c r="G149"/>
      <c r="H149"/>
      <c r="I149"/>
      <c r="J149" s="58"/>
      <c r="K149" s="58"/>
      <c r="L149" s="59"/>
      <c r="M149" s="58"/>
      <c r="N149"/>
    </row>
    <row r="150" spans="1:14">
      <c r="A150" s="4"/>
      <c r="B150"/>
      <c r="C150"/>
      <c r="D150"/>
      <c r="E150"/>
      <c r="F150"/>
      <c r="G150"/>
      <c r="H150"/>
      <c r="I150"/>
      <c r="J150" s="58"/>
      <c r="K150" s="58"/>
      <c r="L150" s="59"/>
      <c r="M150" s="58"/>
      <c r="N150"/>
    </row>
    <row r="151" spans="1:14">
      <c r="A151" s="4"/>
      <c r="B151"/>
      <c r="C151"/>
      <c r="D151"/>
      <c r="E151"/>
      <c r="F151"/>
      <c r="G151"/>
      <c r="H151"/>
      <c r="I151"/>
      <c r="J151" s="58"/>
      <c r="K151" s="58"/>
      <c r="L151" s="59"/>
      <c r="M151" s="58"/>
      <c r="N151"/>
    </row>
    <row r="152" spans="1:14">
      <c r="A152" s="4"/>
      <c r="B152"/>
      <c r="C152"/>
      <c r="D152"/>
      <c r="E152"/>
      <c r="F152"/>
      <c r="G152"/>
      <c r="H152"/>
      <c r="I152"/>
      <c r="J152" s="58"/>
      <c r="K152" s="58"/>
      <c r="L152" s="59"/>
      <c r="M152" s="58"/>
      <c r="N152"/>
    </row>
    <row r="153" spans="1:14">
      <c r="A153" s="4"/>
      <c r="B153"/>
      <c r="C153"/>
      <c r="D153"/>
      <c r="E153"/>
      <c r="F153"/>
      <c r="G153"/>
      <c r="H153"/>
      <c r="I153"/>
      <c r="J153" s="58"/>
      <c r="K153" s="58"/>
      <c r="L153" s="59"/>
      <c r="M153" s="58"/>
      <c r="N153"/>
    </row>
    <row r="154" spans="1:14">
      <c r="A154" s="4"/>
      <c r="B154"/>
      <c r="C154"/>
      <c r="D154"/>
      <c r="E154"/>
      <c r="F154"/>
      <c r="G154"/>
      <c r="H154"/>
      <c r="I154"/>
      <c r="J154" s="58"/>
      <c r="K154" s="58"/>
      <c r="L154" s="59"/>
      <c r="M154" s="58"/>
      <c r="N154"/>
    </row>
    <row r="155" spans="1:14">
      <c r="A155" s="4"/>
      <c r="B155"/>
      <c r="C155"/>
      <c r="D155"/>
      <c r="E155"/>
      <c r="F155"/>
      <c r="G155"/>
      <c r="H155"/>
      <c r="I155"/>
      <c r="J155" s="58"/>
      <c r="K155" s="58"/>
      <c r="L155" s="59"/>
      <c r="M155" s="58"/>
      <c r="N155"/>
    </row>
    <row r="156" spans="1:14">
      <c r="A156" s="4"/>
      <c r="B156"/>
      <c r="C156"/>
      <c r="D156"/>
      <c r="E156"/>
      <c r="F156"/>
      <c r="G156"/>
      <c r="H156"/>
      <c r="I156"/>
      <c r="J156" s="58"/>
      <c r="K156" s="58"/>
      <c r="L156" s="59"/>
      <c r="M156" s="58"/>
      <c r="N156"/>
    </row>
    <row r="157" spans="1:14">
      <c r="A157" s="4"/>
      <c r="B157"/>
      <c r="C157"/>
      <c r="D157"/>
      <c r="E157"/>
      <c r="F157"/>
      <c r="G157"/>
      <c r="H157"/>
      <c r="I157"/>
      <c r="J157" s="58"/>
      <c r="K157" s="58"/>
      <c r="L157" s="59"/>
      <c r="M157" s="58"/>
      <c r="N157"/>
    </row>
    <row r="158" spans="1:14">
      <c r="A158" s="4"/>
      <c r="B158"/>
      <c r="C158"/>
      <c r="D158"/>
      <c r="E158"/>
      <c r="F158"/>
      <c r="G158"/>
      <c r="H158"/>
      <c r="I158"/>
      <c r="J158" s="58"/>
      <c r="K158" s="58"/>
      <c r="L158" s="59"/>
      <c r="M158" s="58"/>
      <c r="N158"/>
    </row>
    <row r="159" spans="1:14">
      <c r="A159" s="4"/>
      <c r="B159"/>
      <c r="C159"/>
      <c r="D159"/>
      <c r="E159"/>
      <c r="F159"/>
      <c r="G159"/>
      <c r="H159"/>
      <c r="I159"/>
      <c r="J159" s="58"/>
      <c r="K159" s="58"/>
      <c r="L159" s="59"/>
      <c r="M159" s="58"/>
      <c r="N159"/>
    </row>
    <row r="160" spans="1:14">
      <c r="A160" s="4"/>
      <c r="B160"/>
      <c r="C160"/>
      <c r="D160"/>
      <c r="E160"/>
      <c r="F160"/>
      <c r="G160"/>
      <c r="H160"/>
      <c r="I160"/>
      <c r="J160" s="58"/>
      <c r="K160" s="58"/>
      <c r="L160" s="59"/>
      <c r="M160" s="58"/>
      <c r="N160"/>
    </row>
    <row r="161" spans="1:14">
      <c r="A161" s="4"/>
      <c r="B161"/>
      <c r="C161"/>
      <c r="D161"/>
      <c r="E161"/>
      <c r="F161"/>
      <c r="G161"/>
      <c r="H161"/>
      <c r="I161"/>
      <c r="J161" s="58"/>
      <c r="K161" s="58"/>
      <c r="L161" s="59"/>
      <c r="M161" s="58"/>
      <c r="N161"/>
    </row>
    <row r="162" spans="1:14">
      <c r="A162" s="4"/>
      <c r="B162"/>
      <c r="C162"/>
      <c r="D162"/>
      <c r="E162"/>
      <c r="F162"/>
      <c r="G162"/>
      <c r="H162"/>
      <c r="I162"/>
      <c r="J162" s="58"/>
      <c r="K162" s="58"/>
      <c r="L162" s="59"/>
      <c r="M162" s="58"/>
      <c r="N162"/>
    </row>
    <row r="163" spans="1:14">
      <c r="A163" s="4"/>
      <c r="B163"/>
      <c r="C163"/>
      <c r="D163"/>
      <c r="E163"/>
      <c r="F163"/>
      <c r="G163"/>
      <c r="H163"/>
      <c r="I163"/>
      <c r="J163" s="58"/>
      <c r="K163" s="58"/>
      <c r="L163" s="59"/>
      <c r="M163" s="58"/>
      <c r="N163"/>
    </row>
    <row r="164" spans="1:14">
      <c r="A164" s="4"/>
      <c r="B164"/>
      <c r="C164"/>
      <c r="D164"/>
      <c r="E164"/>
      <c r="F164"/>
      <c r="G164"/>
      <c r="H164"/>
      <c r="I164"/>
      <c r="J164" s="58"/>
      <c r="K164" s="58"/>
      <c r="L164" s="59"/>
      <c r="M164" s="58"/>
      <c r="N164"/>
    </row>
    <row r="165" spans="1:14">
      <c r="A165" s="4"/>
      <c r="B165"/>
      <c r="C165"/>
      <c r="D165"/>
      <c r="E165"/>
      <c r="F165"/>
      <c r="G165"/>
      <c r="H165"/>
      <c r="I165"/>
      <c r="J165" s="58"/>
      <c r="K165" s="58"/>
      <c r="L165" s="59"/>
      <c r="M165" s="58"/>
      <c r="N165"/>
    </row>
    <row r="166" spans="1:14">
      <c r="A166" s="4"/>
      <c r="B166"/>
      <c r="C166"/>
      <c r="D166"/>
      <c r="E166"/>
      <c r="F166"/>
      <c r="G166"/>
      <c r="H166"/>
      <c r="I166"/>
      <c r="J166" s="58"/>
      <c r="K166" s="58"/>
      <c r="L166" s="59"/>
      <c r="M166" s="58"/>
      <c r="N166"/>
    </row>
    <row r="167" spans="1:14">
      <c r="A167" s="4"/>
      <c r="B167"/>
      <c r="C167"/>
      <c r="D167"/>
      <c r="E167"/>
      <c r="F167"/>
      <c r="G167"/>
      <c r="H167"/>
      <c r="I167"/>
      <c r="J167" s="58"/>
      <c r="K167" s="58"/>
      <c r="L167" s="59"/>
      <c r="M167" s="58"/>
      <c r="N167"/>
    </row>
    <row r="168" spans="1:14">
      <c r="A168" s="4"/>
      <c r="B168"/>
      <c r="C168"/>
      <c r="D168"/>
      <c r="E168"/>
      <c r="F168"/>
      <c r="G168"/>
      <c r="H168"/>
      <c r="I168"/>
      <c r="J168" s="58"/>
      <c r="K168" s="58"/>
      <c r="L168" s="59"/>
      <c r="M168" s="58"/>
      <c r="N168"/>
    </row>
    <row r="169" spans="1:14">
      <c r="A169" s="4"/>
      <c r="B169"/>
      <c r="C169"/>
      <c r="D169"/>
      <c r="E169"/>
      <c r="F169"/>
      <c r="G169"/>
      <c r="H169"/>
      <c r="I169"/>
      <c r="J169" s="58"/>
      <c r="K169" s="58"/>
      <c r="L169" s="59"/>
      <c r="M169" s="58"/>
      <c r="N169"/>
    </row>
    <row r="170" spans="1:14">
      <c r="A170" s="4"/>
      <c r="B170"/>
      <c r="C170"/>
      <c r="D170"/>
      <c r="E170"/>
      <c r="F170"/>
      <c r="G170"/>
      <c r="H170"/>
      <c r="I170"/>
      <c r="J170" s="58"/>
      <c r="K170" s="58"/>
      <c r="L170" s="59"/>
      <c r="M170" s="58"/>
      <c r="N170"/>
    </row>
    <row r="171" spans="1:14">
      <c r="A171" s="4"/>
      <c r="B171"/>
      <c r="C171"/>
      <c r="D171"/>
      <c r="E171"/>
      <c r="F171"/>
      <c r="G171"/>
      <c r="H171"/>
      <c r="I171"/>
      <c r="J171" s="58"/>
      <c r="K171" s="58"/>
      <c r="L171" s="59"/>
      <c r="M171" s="58"/>
      <c r="N171"/>
    </row>
    <row r="172" spans="1:14">
      <c r="A172" s="4"/>
      <c r="B172"/>
      <c r="C172"/>
      <c r="D172"/>
      <c r="E172"/>
      <c r="F172"/>
      <c r="G172"/>
      <c r="H172"/>
      <c r="I172"/>
      <c r="J172" s="58"/>
      <c r="K172" s="58"/>
      <c r="L172" s="59"/>
      <c r="M172" s="58"/>
      <c r="N172"/>
    </row>
    <row r="173" spans="1:14">
      <c r="A173" s="4"/>
      <c r="B173"/>
      <c r="C173"/>
      <c r="D173"/>
      <c r="E173"/>
      <c r="F173"/>
      <c r="G173"/>
      <c r="H173"/>
      <c r="I173"/>
      <c r="J173" s="58"/>
      <c r="K173" s="58"/>
      <c r="L173" s="59"/>
      <c r="M173" s="58"/>
      <c r="N173"/>
    </row>
    <row r="174" spans="1:14">
      <c r="A174" s="4"/>
      <c r="B174"/>
      <c r="C174"/>
      <c r="D174"/>
      <c r="E174"/>
      <c r="F174"/>
      <c r="G174"/>
      <c r="H174"/>
      <c r="I174"/>
      <c r="J174" s="58"/>
      <c r="K174" s="58"/>
      <c r="L174" s="59"/>
      <c r="M174" s="58"/>
      <c r="N174"/>
    </row>
    <row r="175" spans="1:14">
      <c r="A175" s="4"/>
      <c r="B175"/>
      <c r="C175"/>
      <c r="D175"/>
      <c r="E175"/>
      <c r="F175"/>
      <c r="G175"/>
      <c r="H175"/>
      <c r="I175"/>
      <c r="J175" s="58"/>
      <c r="K175" s="58"/>
      <c r="L175" s="59"/>
      <c r="M175" s="58"/>
      <c r="N175"/>
    </row>
    <row r="176" spans="1:14">
      <c r="A176" s="4"/>
      <c r="B176"/>
      <c r="C176"/>
      <c r="D176"/>
      <c r="E176"/>
      <c r="F176"/>
      <c r="G176"/>
      <c r="H176"/>
      <c r="I176"/>
      <c r="J176" s="58"/>
      <c r="K176" s="58"/>
      <c r="L176" s="59"/>
      <c r="M176" s="58"/>
      <c r="N176"/>
    </row>
    <row r="177" spans="1:14">
      <c r="A177" s="4"/>
      <c r="B177"/>
      <c r="C177"/>
      <c r="D177"/>
      <c r="E177"/>
      <c r="F177"/>
      <c r="G177"/>
      <c r="H177"/>
      <c r="I177"/>
      <c r="J177" s="58"/>
      <c r="K177" s="58"/>
      <c r="L177" s="59"/>
      <c r="M177" s="58"/>
      <c r="N177"/>
    </row>
    <row r="178" spans="1:14">
      <c r="A178" s="4"/>
      <c r="B178"/>
      <c r="C178"/>
      <c r="D178"/>
      <c r="E178"/>
      <c r="F178"/>
      <c r="G178"/>
      <c r="H178"/>
      <c r="I178"/>
      <c r="J178" s="58"/>
      <c r="K178" s="58"/>
      <c r="L178" s="59"/>
      <c r="M178" s="58"/>
      <c r="N178"/>
    </row>
    <row r="179" spans="1:14">
      <c r="A179" s="4"/>
      <c r="B179"/>
      <c r="C179"/>
      <c r="D179"/>
      <c r="E179"/>
      <c r="F179"/>
      <c r="G179"/>
      <c r="H179"/>
      <c r="I179"/>
      <c r="J179" s="58"/>
      <c r="K179" s="58"/>
      <c r="L179" s="59"/>
      <c r="M179" s="58"/>
      <c r="N179"/>
    </row>
    <row r="180" spans="1:14">
      <c r="A180" s="4"/>
      <c r="B180"/>
      <c r="C180"/>
      <c r="D180"/>
      <c r="E180"/>
      <c r="F180"/>
      <c r="G180"/>
      <c r="H180"/>
      <c r="I180"/>
      <c r="J180" s="58"/>
      <c r="K180" s="58"/>
      <c r="L180" s="59"/>
      <c r="M180" s="58"/>
      <c r="N180"/>
    </row>
    <row r="181" spans="1:14">
      <c r="A181" s="4"/>
      <c r="B181"/>
      <c r="C181"/>
      <c r="D181"/>
      <c r="E181"/>
      <c r="F181"/>
      <c r="G181"/>
      <c r="H181"/>
      <c r="I181"/>
      <c r="J181" s="58"/>
      <c r="K181" s="58"/>
      <c r="L181" s="59"/>
      <c r="M181" s="58"/>
      <c r="N181"/>
    </row>
    <row r="182" spans="1:14">
      <c r="A182" s="4"/>
      <c r="B182"/>
      <c r="C182"/>
      <c r="D182"/>
      <c r="E182"/>
      <c r="F182"/>
      <c r="G182"/>
      <c r="H182"/>
      <c r="I182"/>
      <c r="J182" s="58"/>
      <c r="K182" s="58"/>
      <c r="L182" s="59"/>
      <c r="M182" s="58"/>
      <c r="N182"/>
    </row>
    <row r="183" spans="1:14">
      <c r="A183" s="4"/>
      <c r="B183"/>
      <c r="C183"/>
      <c r="D183"/>
      <c r="E183"/>
      <c r="F183"/>
      <c r="G183"/>
      <c r="H183"/>
      <c r="I183"/>
      <c r="J183" s="58"/>
      <c r="K183" s="58"/>
      <c r="L183" s="59"/>
      <c r="M183" s="58"/>
      <c r="N183"/>
    </row>
    <row r="184" spans="1:14">
      <c r="A184" s="4"/>
      <c r="B184"/>
      <c r="C184"/>
      <c r="D184"/>
      <c r="E184"/>
      <c r="F184"/>
      <c r="G184"/>
      <c r="H184"/>
      <c r="I184"/>
      <c r="J184" s="58"/>
      <c r="K184" s="58"/>
      <c r="L184" s="59"/>
      <c r="M184" s="58"/>
      <c r="N184"/>
    </row>
    <row r="185" spans="1:14">
      <c r="A185" s="4"/>
      <c r="B185"/>
      <c r="C185"/>
      <c r="D185"/>
      <c r="E185"/>
      <c r="F185"/>
      <c r="G185"/>
      <c r="H185"/>
      <c r="I185"/>
      <c r="J185" s="58"/>
      <c r="K185" s="58"/>
      <c r="L185" s="59"/>
      <c r="M185" s="58"/>
      <c r="N185"/>
    </row>
    <row r="186" spans="1:14">
      <c r="A186" s="4"/>
      <c r="B186"/>
      <c r="C186"/>
      <c r="D186"/>
      <c r="E186"/>
      <c r="F186"/>
      <c r="G186"/>
      <c r="H186"/>
      <c r="I186"/>
      <c r="J186" s="58"/>
      <c r="K186" s="58"/>
      <c r="L186" s="59"/>
      <c r="M186" s="58"/>
      <c r="N186"/>
    </row>
    <row r="187" spans="1:14">
      <c r="A187" s="4"/>
      <c r="B187"/>
      <c r="C187"/>
      <c r="D187"/>
      <c r="E187"/>
      <c r="F187"/>
      <c r="G187"/>
      <c r="H187"/>
      <c r="I187"/>
      <c r="J187" s="58"/>
      <c r="K187" s="58"/>
      <c r="L187" s="59"/>
      <c r="M187" s="58"/>
      <c r="N187"/>
    </row>
    <row r="188" spans="1:14">
      <c r="A188" s="4"/>
      <c r="B188"/>
      <c r="C188"/>
      <c r="D188"/>
      <c r="E188"/>
      <c r="F188"/>
      <c r="G188"/>
      <c r="H188"/>
      <c r="I188"/>
      <c r="J188" s="58"/>
      <c r="K188" s="58"/>
      <c r="L188" s="59"/>
      <c r="M188" s="58"/>
      <c r="N188"/>
    </row>
    <row r="189" spans="1:14">
      <c r="A189" s="4"/>
      <c r="B189"/>
      <c r="C189"/>
      <c r="D189"/>
      <c r="E189"/>
      <c r="F189"/>
      <c r="G189"/>
      <c r="H189"/>
      <c r="I189"/>
      <c r="J189" s="58"/>
      <c r="K189" s="58"/>
      <c r="L189" s="59"/>
      <c r="M189" s="58"/>
      <c r="N189"/>
    </row>
    <row r="190" spans="1:14">
      <c r="A190" s="4"/>
      <c r="B190"/>
      <c r="C190"/>
      <c r="D190"/>
      <c r="E190"/>
      <c r="F190"/>
      <c r="G190"/>
      <c r="H190"/>
      <c r="I190"/>
      <c r="J190" s="58"/>
      <c r="K190" s="58"/>
      <c r="L190" s="59"/>
      <c r="M190" s="58"/>
      <c r="N190"/>
    </row>
    <row r="191" spans="1:14">
      <c r="A191" s="4"/>
      <c r="B191"/>
      <c r="C191"/>
      <c r="D191"/>
      <c r="E191"/>
      <c r="F191"/>
      <c r="G191"/>
      <c r="H191"/>
      <c r="I191"/>
      <c r="J191" s="58"/>
      <c r="K191" s="58"/>
      <c r="L191" s="59"/>
      <c r="M191" s="58"/>
      <c r="N191"/>
    </row>
    <row r="192" spans="1:14">
      <c r="A192" s="4"/>
      <c r="B192"/>
      <c r="C192"/>
      <c r="D192"/>
      <c r="E192"/>
      <c r="F192"/>
      <c r="G192"/>
      <c r="H192"/>
      <c r="I192"/>
      <c r="J192" s="58"/>
      <c r="K192" s="58"/>
      <c r="L192" s="59"/>
      <c r="M192" s="58"/>
      <c r="N192"/>
    </row>
    <row r="193" spans="1:14">
      <c r="A193" s="4"/>
      <c r="B193"/>
      <c r="C193"/>
      <c r="D193"/>
      <c r="E193"/>
      <c r="F193"/>
      <c r="G193"/>
      <c r="H193"/>
      <c r="I193"/>
      <c r="J193" s="58"/>
      <c r="K193" s="58"/>
      <c r="L193" s="59"/>
      <c r="M193" s="58"/>
      <c r="N193"/>
    </row>
    <row r="194" spans="1:14">
      <c r="A194" s="4"/>
      <c r="B194"/>
      <c r="C194"/>
      <c r="D194"/>
      <c r="E194"/>
      <c r="F194"/>
      <c r="G194"/>
      <c r="H194"/>
      <c r="I194"/>
      <c r="J194" s="58"/>
      <c r="K194" s="58"/>
      <c r="L194" s="59"/>
      <c r="M194" s="58"/>
      <c r="N194"/>
    </row>
    <row r="195" spans="1:14">
      <c r="A195" s="4"/>
      <c r="B195"/>
      <c r="C195"/>
      <c r="D195"/>
      <c r="E195"/>
      <c r="F195"/>
      <c r="G195"/>
      <c r="H195"/>
      <c r="I195"/>
      <c r="J195" s="58"/>
      <c r="K195" s="58"/>
      <c r="L195" s="59"/>
      <c r="M195" s="58"/>
      <c r="N195"/>
    </row>
    <row r="196" spans="1:14">
      <c r="A196" s="4"/>
      <c r="B196"/>
      <c r="C196"/>
      <c r="D196"/>
      <c r="E196"/>
      <c r="F196"/>
      <c r="G196"/>
      <c r="H196"/>
      <c r="I196"/>
      <c r="J196" s="58"/>
      <c r="K196" s="58"/>
      <c r="L196" s="59"/>
      <c r="M196" s="58"/>
      <c r="N196"/>
    </row>
    <row r="197" spans="1:14">
      <c r="A197" s="4"/>
      <c r="B197"/>
      <c r="C197"/>
      <c r="D197"/>
      <c r="E197"/>
      <c r="F197"/>
      <c r="G197"/>
      <c r="H197"/>
      <c r="I197"/>
      <c r="J197" s="58"/>
      <c r="K197" s="58"/>
      <c r="L197" s="59"/>
      <c r="M197" s="58"/>
      <c r="N197"/>
    </row>
    <row r="198" spans="1:14">
      <c r="A198" s="4"/>
      <c r="B198"/>
      <c r="C198"/>
      <c r="D198"/>
      <c r="E198"/>
      <c r="F198"/>
      <c r="G198"/>
      <c r="H198"/>
      <c r="I198"/>
      <c r="J198" s="58"/>
      <c r="K198" s="58"/>
      <c r="L198" s="59"/>
      <c r="M198" s="58"/>
      <c r="N198"/>
    </row>
    <row r="199" spans="1:14">
      <c r="A199" s="4"/>
      <c r="B199"/>
      <c r="C199"/>
      <c r="D199"/>
      <c r="E199"/>
      <c r="F199"/>
      <c r="G199"/>
      <c r="H199"/>
      <c r="I199"/>
      <c r="J199" s="58"/>
      <c r="K199" s="58"/>
      <c r="L199" s="59"/>
      <c r="M199" s="58"/>
      <c r="N199"/>
    </row>
    <row r="200" spans="1:14">
      <c r="A200" s="4"/>
      <c r="B200"/>
      <c r="C200"/>
      <c r="D200"/>
      <c r="E200"/>
      <c r="F200"/>
      <c r="G200"/>
      <c r="H200"/>
      <c r="I200"/>
      <c r="J200" s="58"/>
      <c r="K200" s="58"/>
      <c r="L200" s="59"/>
      <c r="M200" s="58"/>
      <c r="N200"/>
    </row>
    <row r="201" spans="1:14">
      <c r="A201" s="4"/>
      <c r="B201"/>
      <c r="C201"/>
      <c r="D201"/>
      <c r="E201"/>
      <c r="F201"/>
      <c r="G201"/>
      <c r="H201"/>
      <c r="I201"/>
      <c r="J201" s="58"/>
      <c r="K201" s="58"/>
      <c r="L201" s="59"/>
      <c r="M201" s="58"/>
      <c r="N201"/>
    </row>
    <row r="202" spans="1:14">
      <c r="A202" s="4"/>
      <c r="B202"/>
      <c r="C202"/>
      <c r="D202"/>
      <c r="E202"/>
      <c r="F202"/>
      <c r="G202"/>
      <c r="H202"/>
      <c r="I202"/>
      <c r="J202" s="58"/>
      <c r="K202" s="58"/>
      <c r="L202" s="59"/>
      <c r="M202" s="58"/>
      <c r="N202"/>
    </row>
    <row r="203" spans="1:14">
      <c r="A203" s="4"/>
      <c r="B203"/>
      <c r="C203"/>
      <c r="D203"/>
      <c r="E203"/>
      <c r="F203"/>
      <c r="G203"/>
      <c r="H203"/>
      <c r="I203"/>
      <c r="J203" s="58"/>
      <c r="K203" s="58"/>
      <c r="L203" s="59"/>
      <c r="M203" s="58"/>
      <c r="N203"/>
    </row>
    <row r="204" spans="1:14">
      <c r="A204" s="4"/>
      <c r="B204"/>
      <c r="C204"/>
      <c r="D204"/>
      <c r="E204"/>
      <c r="F204"/>
      <c r="G204"/>
      <c r="H204"/>
      <c r="I204"/>
      <c r="J204" s="58"/>
      <c r="K204" s="58"/>
      <c r="L204" s="59"/>
      <c r="M204" s="58"/>
      <c r="N204"/>
    </row>
    <row r="205" spans="1:14">
      <c r="A205" s="4"/>
      <c r="B205"/>
      <c r="C205"/>
      <c r="D205"/>
      <c r="E205"/>
      <c r="F205"/>
      <c r="G205"/>
      <c r="H205"/>
      <c r="I205"/>
      <c r="J205" s="58"/>
      <c r="K205" s="58"/>
      <c r="L205" s="59"/>
      <c r="M205" s="58"/>
      <c r="N205"/>
    </row>
    <row r="206" spans="1:14">
      <c r="A206" s="4"/>
      <c r="B206"/>
      <c r="C206"/>
      <c r="D206"/>
      <c r="E206"/>
      <c r="F206"/>
      <c r="G206"/>
      <c r="H206"/>
      <c r="I206"/>
      <c r="J206" s="58"/>
      <c r="K206" s="58"/>
      <c r="L206" s="59"/>
      <c r="M206" s="58"/>
      <c r="N206"/>
    </row>
    <row r="207" spans="1:14">
      <c r="A207" s="4"/>
      <c r="B207"/>
      <c r="C207"/>
      <c r="D207"/>
      <c r="E207"/>
      <c r="F207"/>
      <c r="G207"/>
      <c r="H207"/>
      <c r="I207"/>
      <c r="J207" s="58"/>
      <c r="K207" s="58"/>
      <c r="L207" s="59"/>
      <c r="M207" s="58"/>
      <c r="N207"/>
    </row>
    <row r="208" spans="1:14">
      <c r="A208" s="4"/>
      <c r="B208"/>
      <c r="C208"/>
      <c r="D208"/>
      <c r="E208"/>
      <c r="F208"/>
      <c r="G208"/>
      <c r="H208"/>
      <c r="I208"/>
      <c r="J208" s="58"/>
      <c r="K208" s="58"/>
      <c r="L208" s="59"/>
      <c r="M208" s="58"/>
      <c r="N208"/>
    </row>
    <row r="209" spans="1:14">
      <c r="A209" s="4"/>
      <c r="B209"/>
      <c r="C209"/>
      <c r="D209"/>
      <c r="E209"/>
      <c r="F209"/>
      <c r="G209"/>
      <c r="H209"/>
      <c r="I209"/>
      <c r="J209" s="58"/>
      <c r="K209" s="58"/>
      <c r="L209" s="59"/>
      <c r="M209" s="58"/>
      <c r="N209"/>
    </row>
    <row r="210" spans="1:14">
      <c r="A210" s="4"/>
      <c r="B210"/>
      <c r="C210"/>
      <c r="D210"/>
      <c r="E210"/>
      <c r="F210"/>
      <c r="G210"/>
      <c r="H210"/>
      <c r="I210"/>
      <c r="J210" s="58"/>
      <c r="K210" s="58"/>
      <c r="L210" s="59"/>
      <c r="M210" s="58"/>
      <c r="N210"/>
    </row>
    <row r="211" spans="1:14">
      <c r="A211" s="4"/>
      <c r="B211"/>
      <c r="C211"/>
      <c r="D211"/>
      <c r="E211"/>
      <c r="F211"/>
      <c r="G211"/>
      <c r="H211"/>
      <c r="I211"/>
      <c r="J211" s="58"/>
      <c r="K211" s="58"/>
      <c r="L211" s="59"/>
      <c r="M211" s="58"/>
      <c r="N211"/>
    </row>
    <row r="212" spans="1:14">
      <c r="A212" s="4"/>
      <c r="B212"/>
      <c r="C212"/>
      <c r="D212"/>
      <c r="E212"/>
      <c r="F212"/>
      <c r="G212"/>
      <c r="H212"/>
      <c r="I212"/>
      <c r="J212" s="58"/>
      <c r="K212" s="58"/>
      <c r="L212" s="59"/>
      <c r="M212" s="58"/>
      <c r="N212"/>
    </row>
    <row r="213" spans="1:14">
      <c r="A213" s="4"/>
      <c r="B213"/>
      <c r="C213"/>
      <c r="D213"/>
      <c r="E213"/>
      <c r="F213"/>
      <c r="G213"/>
      <c r="H213"/>
      <c r="I213"/>
      <c r="J213" s="58"/>
      <c r="K213" s="58"/>
      <c r="L213" s="59"/>
      <c r="M213" s="58"/>
      <c r="N213"/>
    </row>
    <row r="214" spans="1:14">
      <c r="A214" s="4"/>
      <c r="B214"/>
      <c r="C214"/>
      <c r="D214"/>
      <c r="E214"/>
      <c r="F214"/>
      <c r="G214"/>
      <c r="H214"/>
      <c r="I214"/>
      <c r="J214" s="58"/>
      <c r="K214" s="58"/>
      <c r="L214" s="59"/>
      <c r="M214" s="58"/>
      <c r="N214"/>
    </row>
    <row r="215" spans="1:14">
      <c r="A215" s="4"/>
      <c r="B215"/>
      <c r="C215"/>
      <c r="D215"/>
      <c r="E215"/>
      <c r="F215"/>
      <c r="G215"/>
      <c r="H215"/>
      <c r="I215"/>
      <c r="J215" s="58"/>
      <c r="K215" s="58"/>
      <c r="L215" s="59"/>
      <c r="M215" s="58"/>
      <c r="N215"/>
    </row>
    <row r="216" spans="1:14">
      <c r="A216" s="4"/>
      <c r="B216"/>
      <c r="C216"/>
      <c r="D216"/>
      <c r="E216"/>
      <c r="F216"/>
      <c r="G216"/>
      <c r="H216"/>
      <c r="I216"/>
      <c r="J216" s="58"/>
      <c r="K216" s="58"/>
      <c r="L216" s="59"/>
      <c r="M216" s="58"/>
      <c r="N216"/>
    </row>
    <row r="217" spans="1:14">
      <c r="A217" s="4"/>
      <c r="B217"/>
      <c r="C217"/>
      <c r="D217"/>
      <c r="E217"/>
      <c r="F217"/>
      <c r="G217"/>
      <c r="H217"/>
      <c r="I217"/>
      <c r="J217" s="58"/>
      <c r="K217" s="58"/>
      <c r="L217" s="59"/>
      <c r="M217" s="58"/>
      <c r="N217"/>
    </row>
    <row r="218" spans="1:14">
      <c r="A218" s="4"/>
      <c r="B218"/>
      <c r="C218"/>
      <c r="D218"/>
      <c r="E218"/>
      <c r="F218"/>
      <c r="G218"/>
      <c r="H218"/>
      <c r="I218"/>
      <c r="J218" s="58"/>
      <c r="K218" s="58"/>
      <c r="L218" s="59"/>
      <c r="M218" s="58"/>
      <c r="N218"/>
    </row>
    <row r="219" spans="1:14">
      <c r="A219" s="4"/>
      <c r="B219"/>
      <c r="C219"/>
      <c r="D219"/>
      <c r="E219"/>
      <c r="F219"/>
      <c r="G219"/>
      <c r="H219"/>
      <c r="I219"/>
      <c r="J219" s="58"/>
      <c r="K219" s="58"/>
      <c r="L219" s="59"/>
      <c r="M219" s="58"/>
      <c r="N219"/>
    </row>
    <row r="220" spans="1:14">
      <c r="A220" s="4"/>
      <c r="B220"/>
      <c r="C220"/>
      <c r="D220"/>
      <c r="E220"/>
      <c r="F220"/>
      <c r="G220"/>
      <c r="H220"/>
      <c r="I220"/>
      <c r="J220" s="58"/>
      <c r="K220" s="58"/>
      <c r="L220" s="59"/>
      <c r="M220" s="58"/>
      <c r="N220"/>
    </row>
    <row r="221" spans="1:14">
      <c r="A221" s="4"/>
      <c r="B221"/>
      <c r="C221"/>
      <c r="D221"/>
      <c r="E221"/>
      <c r="F221"/>
      <c r="G221"/>
      <c r="H221"/>
      <c r="I221"/>
      <c r="J221" s="58"/>
      <c r="K221" s="58"/>
      <c r="L221" s="59"/>
      <c r="M221" s="58"/>
      <c r="N221"/>
    </row>
    <row r="222" spans="1:14">
      <c r="A222" s="4"/>
      <c r="B222"/>
      <c r="C222"/>
      <c r="D222"/>
      <c r="E222"/>
      <c r="F222"/>
      <c r="G222"/>
      <c r="H222"/>
      <c r="I222"/>
      <c r="J222" s="58"/>
      <c r="K222" s="58"/>
      <c r="L222" s="59"/>
      <c r="M222" s="58"/>
      <c r="N222"/>
    </row>
    <row r="223" spans="1:14">
      <c r="A223" s="4"/>
      <c r="B223"/>
      <c r="C223"/>
      <c r="D223"/>
      <c r="E223"/>
      <c r="F223"/>
      <c r="G223"/>
      <c r="H223"/>
      <c r="I223"/>
      <c r="J223" s="58"/>
      <c r="K223" s="58"/>
      <c r="L223" s="59"/>
      <c r="M223" s="58"/>
      <c r="N223"/>
    </row>
    <row r="224" spans="1:14">
      <c r="A224" s="4"/>
      <c r="B224"/>
      <c r="C224"/>
      <c r="D224"/>
      <c r="E224"/>
      <c r="F224"/>
      <c r="G224"/>
      <c r="H224"/>
      <c r="I224"/>
      <c r="J224" s="58"/>
      <c r="K224" s="58"/>
      <c r="L224" s="59"/>
      <c r="M224" s="58"/>
      <c r="N224"/>
    </row>
    <row r="225" spans="1:14">
      <c r="A225" s="4"/>
      <c r="B225"/>
      <c r="C225"/>
      <c r="D225"/>
      <c r="E225"/>
      <c r="F225"/>
      <c r="G225"/>
      <c r="H225"/>
      <c r="I225"/>
      <c r="J225" s="58"/>
      <c r="K225" s="58"/>
      <c r="L225" s="59"/>
      <c r="M225" s="58"/>
      <c r="N225"/>
    </row>
    <row r="226" spans="1:14">
      <c r="A226" s="4"/>
      <c r="B226"/>
      <c r="C226"/>
      <c r="D226"/>
      <c r="E226"/>
      <c r="F226"/>
      <c r="G226"/>
      <c r="H226"/>
      <c r="I226"/>
      <c r="J226" s="58"/>
      <c r="K226" s="58"/>
      <c r="L226" s="59"/>
      <c r="M226" s="58"/>
      <c r="N226"/>
    </row>
    <row r="227" spans="1:14">
      <c r="A227" s="4"/>
      <c r="B227"/>
      <c r="C227"/>
      <c r="D227"/>
      <c r="E227"/>
      <c r="F227"/>
      <c r="G227"/>
      <c r="H227"/>
      <c r="I227"/>
      <c r="J227" s="58"/>
      <c r="K227" s="58"/>
      <c r="L227" s="59"/>
      <c r="M227" s="58"/>
      <c r="N227"/>
    </row>
    <row r="228" spans="1:14">
      <c r="A228" s="4"/>
      <c r="B228"/>
      <c r="C228"/>
      <c r="D228"/>
      <c r="E228"/>
      <c r="F228"/>
      <c r="G228"/>
      <c r="H228"/>
      <c r="I228"/>
      <c r="J228" s="58"/>
      <c r="K228" s="58"/>
      <c r="L228" s="59"/>
      <c r="M228" s="58"/>
      <c r="N228"/>
    </row>
    <row r="229" spans="1:14">
      <c r="A229" s="4"/>
      <c r="B229"/>
      <c r="C229"/>
      <c r="D229"/>
      <c r="E229"/>
      <c r="F229"/>
      <c r="G229"/>
      <c r="H229"/>
      <c r="I229"/>
      <c r="J229" s="58"/>
      <c r="K229" s="58"/>
      <c r="L229" s="59"/>
      <c r="M229" s="58"/>
      <c r="N229"/>
    </row>
    <row r="230" spans="1:14">
      <c r="A230" s="4"/>
      <c r="B230"/>
      <c r="C230"/>
      <c r="D230"/>
      <c r="E230"/>
      <c r="F230"/>
      <c r="G230"/>
      <c r="H230"/>
      <c r="I230"/>
      <c r="J230" s="58"/>
      <c r="K230" s="58"/>
      <c r="L230" s="59"/>
      <c r="M230" s="58"/>
      <c r="N230"/>
    </row>
    <row r="231" spans="1:14">
      <c r="A231" s="4"/>
      <c r="B231"/>
      <c r="C231"/>
      <c r="D231"/>
      <c r="E231"/>
      <c r="F231"/>
      <c r="G231"/>
      <c r="H231"/>
      <c r="I231"/>
      <c r="J231" s="58"/>
      <c r="K231" s="58"/>
      <c r="L231" s="59"/>
      <c r="M231" s="58"/>
      <c r="N231"/>
    </row>
    <row r="232" spans="1:14">
      <c r="A232" s="4"/>
      <c r="B232"/>
      <c r="C232"/>
      <c r="D232"/>
      <c r="E232"/>
      <c r="F232"/>
      <c r="G232"/>
      <c r="H232"/>
      <c r="I232"/>
      <c r="J232" s="58"/>
      <c r="K232" s="58"/>
      <c r="L232" s="59"/>
      <c r="M232" s="58"/>
      <c r="N232"/>
    </row>
    <row r="233" spans="1:14">
      <c r="A233" s="4"/>
      <c r="B233"/>
      <c r="C233"/>
      <c r="D233"/>
      <c r="E233"/>
      <c r="F233"/>
      <c r="G233"/>
      <c r="H233"/>
      <c r="I233"/>
      <c r="J233" s="58"/>
      <c r="K233" s="58"/>
      <c r="L233" s="59"/>
      <c r="M233" s="58"/>
      <c r="N233"/>
    </row>
    <row r="234" spans="1:14">
      <c r="A234" s="4"/>
      <c r="B234"/>
      <c r="C234"/>
      <c r="D234"/>
      <c r="E234"/>
      <c r="F234"/>
      <c r="G234"/>
      <c r="H234"/>
      <c r="I234"/>
      <c r="J234" s="58"/>
      <c r="K234" s="58"/>
      <c r="L234" s="59"/>
      <c r="M234" s="58"/>
      <c r="N234"/>
    </row>
    <row r="235" spans="1:14">
      <c r="A235" s="4"/>
      <c r="B235"/>
      <c r="C235"/>
      <c r="D235"/>
      <c r="E235"/>
      <c r="F235"/>
      <c r="G235"/>
      <c r="H235"/>
      <c r="I235"/>
      <c r="J235" s="58"/>
      <c r="K235" s="58"/>
      <c r="L235" s="59"/>
      <c r="M235" s="58"/>
      <c r="N235"/>
    </row>
    <row r="236" spans="1:14">
      <c r="A236" s="4"/>
      <c r="B236"/>
      <c r="C236"/>
      <c r="D236"/>
      <c r="E236"/>
      <c r="F236"/>
      <c r="G236"/>
      <c r="H236"/>
      <c r="I236"/>
      <c r="J236" s="58"/>
      <c r="K236" s="58"/>
      <c r="L236" s="59"/>
      <c r="M236" s="58"/>
      <c r="N236"/>
    </row>
    <row r="237" spans="1:14">
      <c r="A237" s="4"/>
      <c r="B237"/>
      <c r="C237"/>
      <c r="D237"/>
      <c r="E237"/>
      <c r="F237"/>
      <c r="G237"/>
      <c r="H237"/>
      <c r="I237"/>
      <c r="J237" s="58"/>
      <c r="K237" s="58"/>
      <c r="L237" s="59"/>
      <c r="M237" s="58"/>
      <c r="N237"/>
    </row>
    <row r="238" spans="1:14">
      <c r="A238" s="4"/>
      <c r="B238"/>
      <c r="C238"/>
      <c r="D238"/>
      <c r="E238"/>
      <c r="F238"/>
      <c r="G238"/>
      <c r="H238"/>
      <c r="I238"/>
      <c r="J238" s="58"/>
      <c r="K238" s="58"/>
      <c r="L238" s="58"/>
      <c r="M238" s="58"/>
      <c r="N238"/>
    </row>
    <row r="239" spans="1:14">
      <c r="A239" s="4"/>
      <c r="B239"/>
      <c r="C239"/>
      <c r="D239"/>
      <c r="E239"/>
      <c r="F239"/>
      <c r="G239"/>
      <c r="H239"/>
      <c r="I239"/>
      <c r="J239" s="58"/>
      <c r="K239" s="58"/>
      <c r="L239" s="58"/>
      <c r="M239" s="58"/>
      <c r="N239"/>
    </row>
    <row r="240" spans="1:14">
      <c r="A240" s="4"/>
      <c r="B240"/>
      <c r="C240"/>
      <c r="D240"/>
      <c r="E240"/>
      <c r="F240"/>
      <c r="G240"/>
      <c r="H240"/>
      <c r="I240"/>
      <c r="J240" s="58"/>
      <c r="K240" s="58"/>
      <c r="L240" s="58"/>
      <c r="M240" s="58"/>
      <c r="N240"/>
    </row>
    <row r="241" spans="1:14">
      <c r="A241" s="4"/>
      <c r="B241"/>
      <c r="C241"/>
      <c r="D241"/>
      <c r="E241"/>
      <c r="F241"/>
      <c r="G241"/>
      <c r="H241"/>
      <c r="I241"/>
      <c r="J241" s="58"/>
      <c r="K241" s="58"/>
      <c r="L241" s="58"/>
      <c r="M241" s="58"/>
      <c r="N241"/>
    </row>
    <row r="242" spans="1:14">
      <c r="A242" s="4"/>
      <c r="B242"/>
      <c r="C242"/>
      <c r="D242"/>
      <c r="E242"/>
      <c r="F242"/>
      <c r="G242"/>
      <c r="H242"/>
      <c r="I242"/>
      <c r="J242" s="58"/>
      <c r="K242" s="58"/>
      <c r="L242" s="58"/>
      <c r="M242" s="58"/>
      <c r="N242"/>
    </row>
    <row r="243" spans="1:14">
      <c r="A243" s="4"/>
      <c r="B243"/>
      <c r="C243"/>
      <c r="D243"/>
      <c r="E243"/>
      <c r="F243"/>
      <c r="G243"/>
      <c r="H243"/>
      <c r="I243"/>
      <c r="J243" s="58"/>
      <c r="K243" s="58"/>
      <c r="L243" s="58"/>
      <c r="M243" s="58"/>
      <c r="N243"/>
    </row>
    <row r="244" spans="1:14">
      <c r="A244" s="4"/>
      <c r="B244"/>
      <c r="C244"/>
      <c r="D244"/>
      <c r="E244"/>
      <c r="F244"/>
      <c r="G244"/>
      <c r="H244"/>
      <c r="I244"/>
      <c r="J244" s="58"/>
      <c r="K244" s="58"/>
      <c r="L244" s="58"/>
      <c r="M244" s="58"/>
      <c r="N244"/>
    </row>
    <row r="245" spans="1:14">
      <c r="A245" s="4"/>
      <c r="B245"/>
      <c r="C245"/>
      <c r="D245"/>
      <c r="E245"/>
      <c r="F245"/>
      <c r="G245"/>
      <c r="H245"/>
      <c r="I245"/>
      <c r="J245" s="58"/>
      <c r="K245" s="58"/>
      <c r="L245" s="58"/>
      <c r="M245" s="58"/>
      <c r="N245"/>
    </row>
    <row r="246" spans="1:14">
      <c r="A246" s="4"/>
      <c r="B246"/>
      <c r="C246"/>
      <c r="D246"/>
      <c r="E246"/>
      <c r="F246"/>
      <c r="G246"/>
      <c r="H246"/>
      <c r="I246"/>
      <c r="J246" s="58"/>
      <c r="K246" s="58"/>
      <c r="L246" s="58"/>
      <c r="M246" s="58"/>
      <c r="N246"/>
    </row>
    <row r="247" spans="1:14">
      <c r="A247" s="4"/>
      <c r="B247"/>
      <c r="C247"/>
      <c r="D247"/>
      <c r="E247"/>
      <c r="F247"/>
      <c r="G247"/>
      <c r="H247"/>
      <c r="I247"/>
      <c r="J247" s="58"/>
      <c r="K247" s="58"/>
      <c r="L247" s="58"/>
      <c r="M247" s="58"/>
      <c r="N247"/>
    </row>
    <row r="248" spans="1:14">
      <c r="A248" s="4"/>
      <c r="B248"/>
      <c r="C248"/>
      <c r="D248"/>
      <c r="E248"/>
      <c r="F248"/>
      <c r="G248"/>
      <c r="H248"/>
      <c r="I248"/>
      <c r="J248" s="58"/>
      <c r="K248" s="58"/>
      <c r="L248" s="58"/>
      <c r="M248" s="58"/>
      <c r="N248"/>
    </row>
    <row r="249" spans="1:14">
      <c r="A249" s="4"/>
      <c r="B249"/>
      <c r="C249"/>
      <c r="D249"/>
      <c r="E249"/>
      <c r="F249"/>
      <c r="G249"/>
      <c r="H249"/>
      <c r="I249"/>
      <c r="J249" s="58"/>
      <c r="K249" s="58"/>
      <c r="L249" s="58"/>
      <c r="M249" s="58"/>
      <c r="N249"/>
    </row>
    <row r="250" spans="1:14">
      <c r="A250" s="4"/>
      <c r="B250"/>
      <c r="C250"/>
      <c r="D250"/>
      <c r="E250"/>
      <c r="F250"/>
      <c r="G250"/>
      <c r="H250"/>
      <c r="I250"/>
      <c r="J250" s="58"/>
      <c r="K250" s="58"/>
      <c r="L250" s="58"/>
      <c r="M250" s="58"/>
      <c r="N250"/>
    </row>
    <row r="251" spans="1:14">
      <c r="A251" s="4"/>
      <c r="B251"/>
      <c r="C251"/>
      <c r="D251"/>
      <c r="E251"/>
      <c r="F251"/>
      <c r="G251"/>
      <c r="H251"/>
      <c r="I251"/>
      <c r="J251" s="58"/>
      <c r="K251" s="58"/>
      <c r="L251" s="58"/>
      <c r="M251" s="58"/>
      <c r="N251"/>
    </row>
    <row r="252" spans="1:14">
      <c r="A252" s="4"/>
      <c r="B252"/>
      <c r="C252"/>
      <c r="D252"/>
      <c r="E252"/>
      <c r="F252"/>
      <c r="G252"/>
      <c r="H252"/>
      <c r="I252"/>
      <c r="J252" s="58"/>
      <c r="K252" s="58"/>
      <c r="L252" s="58"/>
      <c r="M252" s="58"/>
      <c r="N252"/>
    </row>
    <row r="253" spans="1:14">
      <c r="A253" s="4"/>
      <c r="B253"/>
      <c r="C253"/>
      <c r="D253"/>
      <c r="E253"/>
      <c r="F253"/>
      <c r="G253"/>
      <c r="H253"/>
      <c r="I253"/>
      <c r="J253" s="58"/>
      <c r="K253" s="58"/>
      <c r="L253" s="58"/>
      <c r="M253" s="58"/>
      <c r="N253"/>
    </row>
    <row r="254" spans="1:14">
      <c r="A254" s="4"/>
      <c r="B254"/>
      <c r="C254"/>
      <c r="D254"/>
      <c r="E254"/>
      <c r="F254"/>
      <c r="G254"/>
      <c r="H254"/>
      <c r="I254"/>
      <c r="J254" s="58"/>
      <c r="K254" s="58"/>
      <c r="L254" s="58"/>
      <c r="M254" s="58"/>
      <c r="N254"/>
    </row>
    <row r="255" spans="1:14">
      <c r="A255" s="4"/>
      <c r="B255"/>
      <c r="C255"/>
      <c r="D255"/>
      <c r="E255"/>
      <c r="F255"/>
      <c r="G255"/>
      <c r="H255"/>
      <c r="I255"/>
      <c r="J255" s="58"/>
      <c r="K255" s="58"/>
      <c r="L255" s="58"/>
      <c r="M255" s="58"/>
      <c r="N255"/>
    </row>
    <row r="256" spans="1:14">
      <c r="A256" s="4"/>
      <c r="B256"/>
      <c r="C256"/>
      <c r="D256"/>
      <c r="E256"/>
      <c r="F256"/>
      <c r="G256"/>
      <c r="H256"/>
      <c r="I256"/>
      <c r="J256" s="58"/>
      <c r="K256" s="58"/>
      <c r="L256" s="58"/>
      <c r="M256" s="58"/>
      <c r="N256"/>
    </row>
    <row r="257" spans="1:14">
      <c r="A257" s="4"/>
      <c r="B257"/>
      <c r="C257"/>
      <c r="D257"/>
      <c r="E257"/>
      <c r="F257"/>
      <c r="G257"/>
      <c r="H257"/>
      <c r="I257"/>
      <c r="J257" s="58"/>
      <c r="K257" s="58"/>
      <c r="L257" s="58"/>
      <c r="M257" s="58"/>
      <c r="N257"/>
    </row>
    <row r="258" spans="1:14">
      <c r="A258" s="4"/>
      <c r="B258"/>
      <c r="C258"/>
      <c r="D258"/>
      <c r="E258"/>
      <c r="F258"/>
      <c r="G258"/>
      <c r="H258"/>
      <c r="I258"/>
      <c r="J258" s="58"/>
      <c r="K258" s="58"/>
      <c r="L258" s="58"/>
      <c r="M258" s="58"/>
      <c r="N258"/>
    </row>
    <row r="259" spans="1:14">
      <c r="A259" s="4"/>
      <c r="B259"/>
      <c r="C259"/>
      <c r="D259"/>
      <c r="E259"/>
      <c r="F259"/>
      <c r="G259"/>
      <c r="H259"/>
      <c r="I259"/>
      <c r="J259" s="58"/>
      <c r="K259" s="58"/>
      <c r="L259" s="58"/>
      <c r="M259" s="58"/>
      <c r="N259"/>
    </row>
    <row r="260" spans="1:14">
      <c r="A260" s="4"/>
      <c r="B260"/>
      <c r="C260"/>
      <c r="D260"/>
      <c r="E260"/>
      <c r="F260"/>
      <c r="G260"/>
      <c r="H260"/>
      <c r="I260"/>
      <c r="J260" s="58"/>
      <c r="K260" s="58"/>
      <c r="L260" s="58"/>
      <c r="M260" s="58"/>
      <c r="N260"/>
    </row>
    <row r="261" spans="1:14">
      <c r="A261" s="4"/>
      <c r="B261"/>
      <c r="C261"/>
      <c r="D261"/>
      <c r="E261"/>
      <c r="F261"/>
      <c r="G261"/>
      <c r="H261"/>
      <c r="I261"/>
      <c r="J261" s="58"/>
      <c r="K261" s="58"/>
      <c r="L261" s="58"/>
      <c r="M261" s="58"/>
      <c r="N261"/>
    </row>
    <row r="262" spans="1:14">
      <c r="A262" s="4"/>
      <c r="B262"/>
      <c r="C262"/>
      <c r="D262"/>
      <c r="E262"/>
      <c r="F262"/>
      <c r="G262"/>
      <c r="H262"/>
      <c r="I262"/>
      <c r="J262" s="58"/>
      <c r="K262" s="58"/>
      <c r="L262" s="58"/>
      <c r="M262" s="58"/>
      <c r="N262"/>
    </row>
    <row r="263" spans="1:14">
      <c r="A263" s="4"/>
      <c r="B263"/>
      <c r="C263"/>
      <c r="D263"/>
      <c r="E263"/>
      <c r="F263"/>
      <c r="G263"/>
      <c r="H263"/>
      <c r="I263"/>
      <c r="J263" s="58"/>
      <c r="K263" s="58"/>
      <c r="L263" s="58"/>
      <c r="M263" s="58"/>
      <c r="N263"/>
    </row>
    <row r="264" spans="1:14">
      <c r="A264" s="4"/>
      <c r="B264"/>
      <c r="C264"/>
      <c r="D264"/>
      <c r="E264"/>
      <c r="F264"/>
      <c r="G264"/>
      <c r="H264"/>
      <c r="I264"/>
      <c r="J264" s="58"/>
      <c r="K264" s="58"/>
      <c r="L264" s="58"/>
      <c r="M264" s="58"/>
      <c r="N264"/>
    </row>
    <row r="265" spans="1:14">
      <c r="A265" s="4"/>
      <c r="B265"/>
      <c r="C265"/>
      <c r="D265"/>
      <c r="E265"/>
      <c r="F265"/>
      <c r="G265"/>
      <c r="H265"/>
      <c r="I265"/>
      <c r="J265" s="58"/>
      <c r="K265" s="58"/>
      <c r="L265" s="58"/>
      <c r="M265" s="58"/>
      <c r="N265"/>
    </row>
    <row r="266" spans="1:14">
      <c r="A266" s="4"/>
      <c r="B266"/>
      <c r="C266"/>
      <c r="D266"/>
      <c r="E266"/>
      <c r="F266"/>
      <c r="G266"/>
      <c r="H266"/>
      <c r="I266"/>
      <c r="J266" s="58"/>
      <c r="K266" s="58"/>
      <c r="L266" s="58"/>
      <c r="M266" s="58"/>
      <c r="N266"/>
    </row>
    <row r="267" spans="1:14">
      <c r="A267" s="4"/>
      <c r="B267"/>
      <c r="C267"/>
      <c r="D267"/>
      <c r="E267"/>
      <c r="F267"/>
      <c r="G267"/>
      <c r="H267"/>
      <c r="I267"/>
      <c r="J267" s="58"/>
      <c r="K267" s="58"/>
      <c r="L267" s="58"/>
      <c r="M267" s="58"/>
      <c r="N267"/>
    </row>
    <row r="268" spans="1:14">
      <c r="A268" s="4"/>
      <c r="B268"/>
      <c r="C268"/>
      <c r="D268"/>
      <c r="E268"/>
      <c r="F268"/>
      <c r="G268"/>
      <c r="H268"/>
      <c r="I268"/>
      <c r="J268" s="58"/>
      <c r="K268" s="58"/>
      <c r="L268" s="58"/>
      <c r="M268" s="58"/>
      <c r="N268"/>
    </row>
    <row r="269" spans="1:14">
      <c r="A269" s="4"/>
      <c r="B269"/>
      <c r="C269"/>
      <c r="D269"/>
      <c r="E269"/>
      <c r="F269"/>
      <c r="G269"/>
      <c r="H269"/>
      <c r="I269"/>
      <c r="J269" s="58"/>
      <c r="K269" s="58"/>
      <c r="L269" s="58"/>
      <c r="M269" s="58"/>
      <c r="N269"/>
    </row>
    <row r="270" spans="1:14">
      <c r="A270" s="4"/>
      <c r="B270"/>
      <c r="C270"/>
      <c r="D270"/>
      <c r="E270"/>
      <c r="F270"/>
      <c r="G270"/>
      <c r="H270"/>
      <c r="I270"/>
      <c r="J270" s="58"/>
      <c r="K270" s="58"/>
      <c r="L270" s="58"/>
      <c r="M270" s="58"/>
      <c r="N270"/>
    </row>
    <row r="271" spans="1:14">
      <c r="A271" s="4"/>
      <c r="B271"/>
      <c r="C271"/>
      <c r="D271"/>
      <c r="E271"/>
      <c r="F271"/>
      <c r="G271"/>
      <c r="H271"/>
      <c r="I271"/>
      <c r="J271" s="58"/>
      <c r="K271" s="58"/>
      <c r="L271" s="58"/>
      <c r="M271" s="58"/>
      <c r="N271"/>
    </row>
    <row r="272" spans="1:14">
      <c r="A272" s="4"/>
      <c r="B272"/>
      <c r="C272"/>
      <c r="D272"/>
      <c r="E272"/>
      <c r="F272"/>
      <c r="G272"/>
      <c r="H272"/>
      <c r="I272"/>
      <c r="J272" s="58"/>
      <c r="K272" s="58"/>
      <c r="L272" s="58"/>
      <c r="M272" s="58"/>
      <c r="N272"/>
    </row>
    <row r="273" spans="1:14">
      <c r="A273" s="4"/>
      <c r="B273"/>
      <c r="C273"/>
      <c r="D273"/>
      <c r="E273"/>
      <c r="F273"/>
      <c r="G273"/>
      <c r="H273"/>
      <c r="I273"/>
      <c r="J273" s="58"/>
      <c r="K273" s="58"/>
      <c r="L273" s="58"/>
      <c r="M273" s="58"/>
      <c r="N273"/>
    </row>
    <row r="274" spans="1:14">
      <c r="A274" s="4"/>
      <c r="B274"/>
      <c r="C274"/>
      <c r="D274"/>
      <c r="E274"/>
      <c r="F274"/>
      <c r="G274"/>
      <c r="H274"/>
      <c r="I274"/>
      <c r="J274" s="58"/>
      <c r="K274" s="58"/>
      <c r="L274" s="58"/>
      <c r="M274" s="58"/>
      <c r="N274"/>
    </row>
    <row r="275" spans="1:14">
      <c r="A275" s="4"/>
      <c r="B275"/>
      <c r="C275"/>
      <c r="D275"/>
      <c r="E275"/>
      <c r="F275"/>
      <c r="G275"/>
      <c r="H275"/>
      <c r="I275"/>
      <c r="J275" s="58"/>
      <c r="K275" s="58"/>
      <c r="L275" s="58"/>
      <c r="M275" s="58"/>
      <c r="N275"/>
    </row>
    <row r="276" spans="1:14">
      <c r="A276" s="4"/>
      <c r="B276"/>
      <c r="C276"/>
      <c r="D276"/>
      <c r="E276"/>
      <c r="F276"/>
      <c r="G276"/>
      <c r="H276"/>
      <c r="I276"/>
      <c r="J276" s="58"/>
      <c r="K276" s="58"/>
      <c r="L276" s="58"/>
      <c r="M276" s="58"/>
      <c r="N276"/>
    </row>
    <row r="277" spans="1:14">
      <c r="A277" s="4"/>
      <c r="B277"/>
      <c r="C277"/>
      <c r="D277"/>
      <c r="E277"/>
      <c r="F277"/>
      <c r="G277"/>
      <c r="H277"/>
      <c r="I277"/>
      <c r="J277" s="58"/>
      <c r="K277" s="58"/>
      <c r="L277" s="58"/>
      <c r="M277" s="58"/>
      <c r="N277"/>
    </row>
    <row r="278" spans="1:14">
      <c r="A278" s="4"/>
      <c r="B278"/>
      <c r="C278"/>
      <c r="D278"/>
      <c r="E278"/>
      <c r="F278"/>
      <c r="G278"/>
      <c r="H278"/>
      <c r="I278"/>
      <c r="J278" s="58"/>
      <c r="K278" s="58"/>
      <c r="L278" s="58"/>
      <c r="M278" s="58"/>
      <c r="N278"/>
    </row>
    <row r="279" spans="1:14">
      <c r="A279" s="4"/>
      <c r="B279"/>
      <c r="C279"/>
      <c r="D279"/>
      <c r="E279"/>
      <c r="F279"/>
      <c r="G279"/>
      <c r="H279"/>
      <c r="I279"/>
      <c r="J279" s="58"/>
      <c r="K279" s="58"/>
      <c r="L279" s="58"/>
      <c r="M279" s="58"/>
      <c r="N279"/>
    </row>
    <row r="280" spans="1:14">
      <c r="A280" s="4"/>
      <c r="B280"/>
      <c r="C280"/>
      <c r="D280"/>
      <c r="E280"/>
      <c r="F280"/>
      <c r="G280"/>
      <c r="H280"/>
      <c r="I280"/>
      <c r="J280" s="58"/>
      <c r="K280" s="58"/>
      <c r="L280" s="58"/>
      <c r="M280" s="58"/>
      <c r="N280"/>
    </row>
    <row r="281" spans="1:14">
      <c r="A281" s="4"/>
      <c r="B281"/>
      <c r="C281"/>
      <c r="D281"/>
      <c r="E281"/>
      <c r="F281"/>
      <c r="G281"/>
      <c r="H281"/>
      <c r="I281"/>
      <c r="J281" s="58"/>
      <c r="K281" s="58"/>
      <c r="L281" s="58"/>
      <c r="M281" s="58"/>
      <c r="N281"/>
    </row>
    <row r="282" spans="1:14">
      <c r="A282" s="4"/>
      <c r="B282"/>
      <c r="C282"/>
      <c r="D282"/>
      <c r="E282"/>
      <c r="F282"/>
      <c r="G282"/>
      <c r="H282"/>
      <c r="I282"/>
      <c r="J282" s="58"/>
      <c r="K282" s="58"/>
      <c r="L282" s="58"/>
      <c r="M282" s="58"/>
      <c r="N282"/>
    </row>
    <row r="283" spans="1:14">
      <c r="A283" s="4"/>
      <c r="B283"/>
      <c r="C283"/>
      <c r="D283"/>
      <c r="E283"/>
      <c r="F283"/>
      <c r="G283"/>
      <c r="H283"/>
      <c r="I283"/>
      <c r="J283" s="58"/>
      <c r="K283" s="58"/>
      <c r="L283" s="58"/>
      <c r="M283" s="58"/>
      <c r="N283"/>
    </row>
    <row r="284" spans="1:14">
      <c r="A284" s="4"/>
      <c r="B284"/>
      <c r="C284"/>
      <c r="D284"/>
      <c r="E284"/>
      <c r="F284"/>
      <c r="G284"/>
      <c r="H284"/>
      <c r="I284"/>
      <c r="J284" s="58"/>
      <c r="K284" s="58"/>
      <c r="L284" s="58"/>
      <c r="M284" s="58"/>
      <c r="N284"/>
    </row>
    <row r="285" spans="1:14">
      <c r="A285" s="4"/>
      <c r="B285"/>
      <c r="C285"/>
      <c r="D285"/>
      <c r="E285"/>
      <c r="F285"/>
      <c r="G285"/>
      <c r="H285"/>
      <c r="I285"/>
      <c r="J285" s="58"/>
      <c r="K285" s="58"/>
      <c r="L285" s="58"/>
      <c r="M285" s="58"/>
      <c r="N285"/>
    </row>
    <row r="286" spans="1:14">
      <c r="A286" s="4"/>
      <c r="B286"/>
      <c r="C286"/>
      <c r="D286"/>
      <c r="E286"/>
      <c r="F286"/>
      <c r="G286"/>
      <c r="H286"/>
      <c r="I286"/>
      <c r="J286" s="58"/>
      <c r="K286" s="58"/>
      <c r="L286" s="58"/>
      <c r="M286" s="58"/>
      <c r="N286"/>
    </row>
    <row r="287" spans="1:14">
      <c r="A287" s="4"/>
      <c r="B287"/>
      <c r="C287"/>
      <c r="D287"/>
      <c r="E287"/>
      <c r="F287"/>
      <c r="G287"/>
      <c r="H287"/>
      <c r="I287"/>
      <c r="J287" s="58"/>
      <c r="K287" s="58"/>
      <c r="L287" s="58"/>
      <c r="M287" s="58"/>
      <c r="N287"/>
    </row>
    <row r="288" spans="1:14">
      <c r="A288" s="4"/>
      <c r="B288"/>
      <c r="C288"/>
      <c r="D288"/>
      <c r="E288"/>
      <c r="F288"/>
      <c r="G288"/>
      <c r="H288"/>
      <c r="I288"/>
      <c r="J288" s="58"/>
      <c r="K288" s="58"/>
      <c r="L288" s="58"/>
      <c r="M288" s="58"/>
      <c r="N288"/>
    </row>
    <row r="289" spans="1:14">
      <c r="A289" s="4"/>
      <c r="B289"/>
      <c r="C289"/>
      <c r="D289"/>
      <c r="E289"/>
      <c r="F289"/>
      <c r="G289"/>
      <c r="H289"/>
      <c r="I289"/>
      <c r="J289" s="58"/>
      <c r="K289" s="58"/>
      <c r="L289" s="58"/>
      <c r="M289" s="58"/>
      <c r="N289"/>
    </row>
    <row r="290" spans="1:14">
      <c r="A290" s="4"/>
      <c r="B290"/>
      <c r="C290"/>
      <c r="D290"/>
      <c r="E290"/>
      <c r="F290"/>
      <c r="G290"/>
      <c r="H290"/>
      <c r="I290"/>
      <c r="J290" s="58"/>
      <c r="K290" s="58"/>
      <c r="L290" s="58"/>
      <c r="M290" s="58"/>
      <c r="N290"/>
    </row>
    <row r="291" spans="1:14">
      <c r="A291" s="4"/>
      <c r="B291"/>
      <c r="C291"/>
      <c r="D291"/>
      <c r="E291"/>
      <c r="F291"/>
      <c r="G291"/>
      <c r="H291"/>
      <c r="I291"/>
      <c r="J291" s="58"/>
      <c r="K291" s="58"/>
      <c r="L291" s="58"/>
      <c r="M291" s="58"/>
      <c r="N291"/>
    </row>
    <row r="292" spans="1:14">
      <c r="A292" s="4"/>
      <c r="B292"/>
      <c r="C292"/>
      <c r="D292"/>
      <c r="E292"/>
      <c r="F292"/>
      <c r="G292"/>
      <c r="H292"/>
      <c r="I292"/>
      <c r="J292" s="58"/>
      <c r="K292" s="58"/>
      <c r="L292" s="58"/>
      <c r="M292" s="58"/>
      <c r="N292"/>
    </row>
    <row r="293" spans="1:14">
      <c r="A293" s="4"/>
      <c r="B293"/>
      <c r="C293"/>
      <c r="D293"/>
      <c r="E293"/>
      <c r="F293"/>
      <c r="G293"/>
      <c r="H293"/>
      <c r="I293"/>
      <c r="J293" s="58"/>
      <c r="K293" s="58"/>
      <c r="L293" s="58"/>
      <c r="M293" s="58"/>
      <c r="N293"/>
    </row>
    <row r="294" spans="1:14">
      <c r="A294" s="4"/>
      <c r="B294"/>
      <c r="C294"/>
      <c r="D294"/>
      <c r="E294"/>
      <c r="F294"/>
      <c r="G294"/>
      <c r="H294"/>
      <c r="I294"/>
      <c r="J294" s="58"/>
      <c r="K294" s="58"/>
      <c r="L294" s="58"/>
      <c r="M294" s="58"/>
      <c r="N294"/>
    </row>
    <row r="295" spans="1:14">
      <c r="A295" s="4"/>
      <c r="B295"/>
      <c r="C295"/>
      <c r="D295"/>
      <c r="E295"/>
      <c r="F295"/>
      <c r="G295"/>
      <c r="H295"/>
      <c r="I295"/>
      <c r="J295" s="58"/>
      <c r="K295" s="58"/>
      <c r="L295" s="58"/>
      <c r="M295" s="58"/>
      <c r="N295"/>
    </row>
    <row r="296" spans="1:14">
      <c r="A296" s="4"/>
      <c r="B296"/>
      <c r="C296"/>
      <c r="D296"/>
      <c r="E296"/>
      <c r="F296"/>
      <c r="G296"/>
      <c r="H296"/>
      <c r="I296"/>
      <c r="J296" s="58"/>
      <c r="K296" s="58"/>
      <c r="L296" s="58"/>
      <c r="M296" s="58"/>
      <c r="N296"/>
    </row>
    <row r="297" spans="1:14">
      <c r="A297" s="4"/>
      <c r="B297"/>
      <c r="C297"/>
      <c r="D297"/>
      <c r="E297"/>
      <c r="F297"/>
      <c r="G297"/>
      <c r="H297"/>
      <c r="I297"/>
      <c r="J297" s="58"/>
      <c r="K297" s="58"/>
      <c r="L297" s="58"/>
      <c r="M297" s="58"/>
      <c r="N297"/>
    </row>
    <row r="298" spans="1:14">
      <c r="A298" s="4"/>
      <c r="B298"/>
      <c r="C298"/>
      <c r="D298"/>
      <c r="E298"/>
      <c r="F298"/>
      <c r="G298"/>
      <c r="H298"/>
      <c r="I298"/>
      <c r="J298" s="58"/>
      <c r="K298" s="58"/>
      <c r="L298" s="58"/>
      <c r="M298" s="58"/>
      <c r="N298"/>
    </row>
    <row r="299" spans="1:14">
      <c r="A299" s="4"/>
      <c r="B299"/>
      <c r="C299"/>
      <c r="D299"/>
      <c r="E299"/>
      <c r="F299"/>
      <c r="G299"/>
      <c r="H299"/>
      <c r="I299"/>
      <c r="J299" s="58"/>
      <c r="K299" s="58"/>
      <c r="L299" s="58"/>
      <c r="M299" s="58"/>
      <c r="N299"/>
    </row>
    <row r="300" spans="1:14">
      <c r="A300" s="4"/>
      <c r="B300"/>
      <c r="C300"/>
      <c r="D300"/>
      <c r="E300"/>
      <c r="F300"/>
      <c r="G300"/>
      <c r="H300"/>
      <c r="I300"/>
      <c r="J300" s="58"/>
      <c r="K300" s="58"/>
      <c r="L300" s="58"/>
      <c r="M300" s="58"/>
      <c r="N300"/>
    </row>
    <row r="301" spans="1:14">
      <c r="A301" s="4"/>
      <c r="B301"/>
      <c r="C301"/>
      <c r="D301"/>
      <c r="E301"/>
      <c r="F301"/>
      <c r="G301"/>
      <c r="H301"/>
      <c r="I301"/>
      <c r="J301" s="58"/>
      <c r="K301" s="58"/>
      <c r="L301" s="58"/>
      <c r="M301" s="58"/>
      <c r="N301"/>
    </row>
    <row r="302" spans="1:14">
      <c r="A302" s="4"/>
      <c r="B302"/>
      <c r="C302"/>
      <c r="D302"/>
      <c r="E302"/>
      <c r="F302"/>
      <c r="G302"/>
      <c r="H302"/>
      <c r="I302"/>
      <c r="J302" s="58"/>
      <c r="K302" s="58"/>
      <c r="L302" s="58"/>
      <c r="M302" s="58"/>
      <c r="N302"/>
    </row>
    <row r="303" spans="1:14">
      <c r="A303" s="4"/>
      <c r="B303"/>
      <c r="C303"/>
      <c r="D303"/>
      <c r="E303"/>
      <c r="F303"/>
      <c r="G303"/>
      <c r="H303"/>
      <c r="I303"/>
      <c r="J303" s="58"/>
      <c r="K303" s="58"/>
      <c r="L303" s="58"/>
      <c r="M303" s="58"/>
      <c r="N303"/>
    </row>
    <row r="304" spans="1:14">
      <c r="A304" s="4"/>
      <c r="B304"/>
      <c r="C304"/>
      <c r="D304"/>
      <c r="E304"/>
      <c r="F304"/>
      <c r="G304"/>
      <c r="H304"/>
      <c r="I304"/>
      <c r="J304" s="58"/>
      <c r="K304" s="58"/>
      <c r="L304" s="58"/>
      <c r="M304" s="58"/>
      <c r="N304"/>
    </row>
    <row r="305" spans="1:14">
      <c r="A305" s="4"/>
      <c r="B305"/>
      <c r="C305"/>
      <c r="D305"/>
      <c r="E305"/>
      <c r="F305"/>
      <c r="G305"/>
      <c r="H305"/>
      <c r="I305"/>
      <c r="J305" s="58"/>
      <c r="K305" s="58"/>
      <c r="L305" s="58"/>
      <c r="M305" s="58"/>
      <c r="N305"/>
    </row>
    <row r="306" spans="1:14">
      <c r="A306" s="4"/>
      <c r="B306"/>
      <c r="C306"/>
      <c r="D306"/>
      <c r="E306"/>
      <c r="F306"/>
      <c r="G306"/>
      <c r="H306"/>
      <c r="I306"/>
      <c r="J306" s="58"/>
      <c r="K306" s="58"/>
      <c r="L306" s="58"/>
      <c r="M306" s="58"/>
      <c r="N306"/>
    </row>
    <row r="307" spans="1:14">
      <c r="A307" s="4"/>
      <c r="B307"/>
      <c r="C307"/>
      <c r="D307"/>
      <c r="E307"/>
      <c r="F307"/>
      <c r="G307"/>
      <c r="H307"/>
      <c r="I307"/>
      <c r="J307" s="58"/>
      <c r="K307" s="58"/>
      <c r="L307" s="58"/>
      <c r="M307" s="58"/>
      <c r="N307"/>
    </row>
    <row r="308" spans="1:14">
      <c r="A308" s="4"/>
      <c r="B308"/>
      <c r="C308"/>
      <c r="D308"/>
      <c r="E308"/>
      <c r="F308"/>
      <c r="G308"/>
      <c r="H308"/>
      <c r="I308"/>
      <c r="J308" s="58"/>
      <c r="K308" s="58"/>
      <c r="L308" s="58"/>
      <c r="M308" s="58"/>
      <c r="N308"/>
    </row>
    <row r="309" spans="1:14">
      <c r="A309" s="4"/>
      <c r="B309"/>
      <c r="C309"/>
      <c r="D309"/>
      <c r="E309"/>
      <c r="F309"/>
      <c r="G309"/>
      <c r="H309"/>
      <c r="I309"/>
      <c r="J309" s="58"/>
      <c r="K309" s="58"/>
      <c r="L309" s="58"/>
      <c r="M309" s="58"/>
      <c r="N309"/>
    </row>
    <row r="310" spans="1:14">
      <c r="A310" s="4"/>
      <c r="B310"/>
      <c r="C310"/>
      <c r="D310"/>
      <c r="E310"/>
      <c r="F310"/>
      <c r="G310"/>
      <c r="H310"/>
      <c r="I310"/>
      <c r="J310" s="58"/>
      <c r="K310" s="58"/>
      <c r="L310" s="58"/>
      <c r="M310" s="58"/>
      <c r="N310"/>
    </row>
    <row r="311" spans="1:14">
      <c r="A311" s="4"/>
      <c r="B311"/>
      <c r="C311"/>
      <c r="D311"/>
      <c r="E311"/>
      <c r="F311"/>
      <c r="G311"/>
      <c r="H311"/>
      <c r="I311"/>
      <c r="J311" s="58"/>
      <c r="K311" s="58"/>
      <c r="L311" s="58"/>
      <c r="M311" s="58"/>
      <c r="N311"/>
    </row>
    <row r="312" spans="1:14">
      <c r="A312" s="4"/>
      <c r="B312"/>
      <c r="C312"/>
      <c r="D312"/>
      <c r="E312"/>
      <c r="F312"/>
      <c r="G312"/>
      <c r="H312"/>
      <c r="I312"/>
      <c r="J312" s="58"/>
      <c r="K312" s="58"/>
      <c r="L312" s="58"/>
      <c r="M312" s="58"/>
      <c r="N312"/>
    </row>
    <row r="313" spans="1:14">
      <c r="A313" s="4"/>
      <c r="B313"/>
      <c r="C313"/>
      <c r="D313"/>
      <c r="E313"/>
      <c r="F313"/>
      <c r="G313"/>
      <c r="H313"/>
      <c r="I313"/>
      <c r="J313" s="58"/>
      <c r="K313" s="58"/>
      <c r="L313" s="58"/>
      <c r="M313" s="58"/>
      <c r="N313"/>
    </row>
    <row r="314" spans="1:14">
      <c r="A314" s="4"/>
      <c r="B314"/>
      <c r="C314"/>
      <c r="D314"/>
      <c r="E314"/>
      <c r="F314"/>
      <c r="G314"/>
      <c r="H314"/>
      <c r="I314"/>
      <c r="J314" s="58"/>
      <c r="K314" s="58"/>
      <c r="L314" s="58"/>
      <c r="M314" s="58"/>
      <c r="N314"/>
    </row>
    <row r="315" spans="1:14">
      <c r="A315" s="4"/>
      <c r="B315"/>
      <c r="C315"/>
      <c r="D315"/>
      <c r="E315"/>
      <c r="F315"/>
      <c r="G315"/>
      <c r="H315"/>
      <c r="I315"/>
      <c r="J315" s="58"/>
      <c r="K315" s="58"/>
      <c r="L315" s="58"/>
      <c r="M315" s="58"/>
      <c r="N315"/>
    </row>
    <row r="316" spans="1:14">
      <c r="A316" s="4"/>
      <c r="B316"/>
      <c r="C316"/>
      <c r="D316"/>
      <c r="E316"/>
      <c r="F316"/>
      <c r="G316"/>
      <c r="H316"/>
      <c r="I316"/>
      <c r="J316" s="58"/>
      <c r="K316" s="58"/>
      <c r="L316" s="58"/>
      <c r="M316" s="58"/>
      <c r="N316"/>
    </row>
    <row r="317" spans="1:14">
      <c r="A317" s="4"/>
      <c r="B317"/>
      <c r="C317"/>
      <c r="D317"/>
      <c r="E317"/>
      <c r="F317"/>
      <c r="G317"/>
      <c r="H317"/>
      <c r="I317"/>
      <c r="J317" s="58"/>
      <c r="K317" s="58"/>
      <c r="L317" s="58"/>
      <c r="M317" s="58"/>
      <c r="N317"/>
    </row>
    <row r="318" spans="1:14">
      <c r="A318" s="4"/>
      <c r="B318"/>
      <c r="C318"/>
      <c r="D318"/>
      <c r="E318"/>
      <c r="F318"/>
      <c r="G318"/>
      <c r="H318"/>
      <c r="I318"/>
      <c r="J318" s="58"/>
      <c r="K318" s="58"/>
      <c r="L318" s="58"/>
      <c r="M318" s="58"/>
      <c r="N318"/>
    </row>
    <row r="319" spans="1:14">
      <c r="A319" s="4"/>
      <c r="B319"/>
      <c r="C319"/>
      <c r="D319"/>
      <c r="E319"/>
      <c r="F319"/>
      <c r="G319"/>
      <c r="H319"/>
      <c r="I319"/>
      <c r="J319" s="58"/>
      <c r="K319" s="58"/>
      <c r="L319" s="58"/>
      <c r="M319" s="58"/>
      <c r="N319"/>
    </row>
    <row r="320" spans="1:14">
      <c r="A320" s="4"/>
      <c r="B320"/>
      <c r="C320"/>
      <c r="D320"/>
      <c r="E320"/>
      <c r="F320"/>
      <c r="G320"/>
      <c r="H320"/>
      <c r="I320"/>
      <c r="J320" s="58"/>
      <c r="K320" s="58"/>
      <c r="L320" s="58"/>
      <c r="M320" s="58"/>
      <c r="N320"/>
    </row>
    <row r="321" spans="1:14">
      <c r="A321" s="4"/>
      <c r="B321"/>
      <c r="C321"/>
      <c r="D321"/>
      <c r="E321"/>
      <c r="F321"/>
      <c r="G321"/>
      <c r="H321"/>
      <c r="I321"/>
      <c r="J321" s="58"/>
      <c r="K321" s="58"/>
      <c r="L321" s="58"/>
      <c r="M321" s="58"/>
      <c r="N321"/>
    </row>
    <row r="322" spans="1:14">
      <c r="A322" s="4"/>
      <c r="B322"/>
      <c r="C322"/>
      <c r="D322"/>
      <c r="E322"/>
      <c r="F322"/>
      <c r="G322"/>
      <c r="H322"/>
      <c r="I322"/>
      <c r="J322" s="58"/>
      <c r="K322" s="58"/>
      <c r="L322" s="58"/>
      <c r="M322" s="58"/>
      <c r="N322"/>
    </row>
    <row r="323" spans="1:14">
      <c r="A323" s="4"/>
      <c r="B323"/>
      <c r="C323"/>
      <c r="D323"/>
      <c r="E323"/>
      <c r="F323"/>
      <c r="G323"/>
      <c r="H323"/>
      <c r="I323"/>
      <c r="J323" s="58"/>
      <c r="K323" s="58"/>
      <c r="L323" s="58"/>
      <c r="M323" s="58"/>
      <c r="N323"/>
    </row>
    <row r="324" spans="1:14">
      <c r="A324" s="4"/>
      <c r="B324"/>
      <c r="C324"/>
      <c r="D324"/>
      <c r="E324"/>
      <c r="F324"/>
      <c r="G324"/>
      <c r="H324"/>
      <c r="I324"/>
      <c r="J324" s="58"/>
      <c r="K324" s="58"/>
      <c r="L324" s="58"/>
      <c r="M324" s="58"/>
      <c r="N324"/>
    </row>
    <row r="325" spans="1:14">
      <c r="A325" s="4"/>
      <c r="B325"/>
      <c r="C325"/>
      <c r="D325"/>
      <c r="E325"/>
      <c r="F325"/>
      <c r="G325"/>
      <c r="H325"/>
      <c r="I325"/>
      <c r="J325" s="58"/>
      <c r="K325" s="58"/>
      <c r="L325" s="58"/>
      <c r="M325" s="58"/>
      <c r="N325"/>
    </row>
    <row r="326" spans="1:14">
      <c r="A326" s="4"/>
      <c r="B326"/>
      <c r="C326"/>
      <c r="D326"/>
      <c r="E326"/>
      <c r="F326"/>
      <c r="G326"/>
      <c r="H326"/>
      <c r="I326"/>
      <c r="J326" s="58"/>
      <c r="K326" s="58"/>
      <c r="L326" s="58"/>
      <c r="M326" s="58"/>
      <c r="N326"/>
    </row>
    <row r="327" spans="1:14">
      <c r="A327" s="4"/>
      <c r="B327"/>
      <c r="C327"/>
      <c r="D327"/>
      <c r="E327"/>
      <c r="F327"/>
      <c r="G327"/>
      <c r="H327"/>
      <c r="I327"/>
      <c r="J327" s="58"/>
      <c r="K327" s="58"/>
      <c r="L327" s="58"/>
      <c r="M327" s="58"/>
      <c r="N327"/>
    </row>
    <row r="328" spans="1:14">
      <c r="A328" s="4"/>
      <c r="B328"/>
      <c r="C328"/>
      <c r="D328"/>
      <c r="E328"/>
      <c r="F328"/>
      <c r="G328"/>
      <c r="H328"/>
      <c r="I328"/>
      <c r="J328" s="58"/>
      <c r="K328" s="58"/>
      <c r="L328" s="58"/>
      <c r="M328" s="58"/>
      <c r="N328"/>
    </row>
    <row r="329" spans="1:14">
      <c r="A329" s="4"/>
      <c r="B329"/>
      <c r="C329"/>
      <c r="D329"/>
      <c r="E329"/>
      <c r="F329"/>
      <c r="G329"/>
      <c r="H329"/>
      <c r="I329"/>
      <c r="J329" s="58"/>
      <c r="K329" s="58"/>
      <c r="L329" s="58"/>
      <c r="M329" s="58"/>
      <c r="N329"/>
    </row>
    <row r="330" spans="1:14">
      <c r="A330" s="4"/>
      <c r="B330"/>
      <c r="C330"/>
      <c r="D330"/>
      <c r="E330"/>
      <c r="F330"/>
      <c r="G330"/>
      <c r="H330"/>
      <c r="I330"/>
      <c r="J330" s="58"/>
      <c r="K330" s="58"/>
      <c r="L330" s="58"/>
      <c r="M330" s="58"/>
      <c r="N330"/>
    </row>
    <row r="331" spans="1:14">
      <c r="A331" s="4"/>
      <c r="B331"/>
      <c r="C331"/>
      <c r="D331"/>
      <c r="E331"/>
      <c r="F331"/>
      <c r="G331"/>
      <c r="H331"/>
      <c r="I331"/>
      <c r="J331" s="58"/>
      <c r="K331" s="58"/>
      <c r="L331" s="58"/>
      <c r="M331" s="58"/>
      <c r="N331"/>
    </row>
    <row r="332" spans="1:14">
      <c r="A332" s="4"/>
      <c r="B332"/>
      <c r="C332"/>
      <c r="D332"/>
      <c r="E332"/>
      <c r="F332"/>
      <c r="G332"/>
      <c r="H332"/>
      <c r="I332"/>
      <c r="J332" s="58"/>
      <c r="K332" s="58"/>
      <c r="L332" s="58"/>
      <c r="M332" s="58"/>
      <c r="N332"/>
    </row>
    <row r="333" spans="1:14">
      <c r="A333" s="4"/>
      <c r="B333"/>
      <c r="C333"/>
      <c r="D333"/>
      <c r="E333"/>
      <c r="F333"/>
      <c r="G333"/>
      <c r="H333"/>
      <c r="I333"/>
      <c r="J333" s="58"/>
      <c r="K333" s="58"/>
      <c r="L333" s="58"/>
      <c r="M333" s="58"/>
      <c r="N333"/>
    </row>
    <row r="334" spans="1:14">
      <c r="A334" s="4"/>
      <c r="B334"/>
      <c r="C334"/>
      <c r="D334"/>
      <c r="E334"/>
      <c r="F334"/>
      <c r="G334"/>
      <c r="H334"/>
      <c r="I334"/>
      <c r="J334" s="58"/>
      <c r="K334" s="58"/>
      <c r="L334" s="58"/>
      <c r="M334" s="58"/>
      <c r="N334"/>
    </row>
    <row r="335" spans="1:14">
      <c r="A335" s="4"/>
      <c r="B335"/>
      <c r="C335"/>
      <c r="D335"/>
      <c r="E335"/>
      <c r="F335"/>
      <c r="G335"/>
      <c r="H335"/>
      <c r="I335"/>
      <c r="J335" s="58"/>
      <c r="K335" s="58"/>
      <c r="L335" s="58"/>
      <c r="M335" s="58"/>
      <c r="N335"/>
    </row>
    <row r="336" spans="1:14">
      <c r="A336" s="4"/>
      <c r="B336"/>
      <c r="C336"/>
      <c r="D336"/>
      <c r="E336"/>
      <c r="F336"/>
      <c r="G336"/>
      <c r="H336"/>
      <c r="I336"/>
      <c r="J336" s="58"/>
      <c r="K336" s="58"/>
      <c r="L336" s="58"/>
      <c r="M336" s="58"/>
      <c r="N336"/>
    </row>
    <row r="337" spans="1:14">
      <c r="A337" s="4"/>
      <c r="B337"/>
      <c r="C337"/>
      <c r="D337"/>
      <c r="E337"/>
      <c r="F337"/>
      <c r="G337"/>
      <c r="H337"/>
      <c r="I337"/>
      <c r="J337" s="58"/>
      <c r="K337" s="58"/>
      <c r="L337" s="58"/>
      <c r="M337" s="58"/>
      <c r="N337"/>
    </row>
    <row r="338" spans="1:14">
      <c r="A338" s="4"/>
      <c r="B338"/>
      <c r="C338"/>
      <c r="D338"/>
      <c r="E338"/>
      <c r="F338"/>
      <c r="G338"/>
      <c r="H338"/>
      <c r="I338"/>
      <c r="J338" s="58"/>
      <c r="K338" s="58"/>
      <c r="L338" s="58"/>
      <c r="M338" s="58"/>
      <c r="N338"/>
    </row>
    <row r="339" spans="1:14">
      <c r="A339" s="4"/>
      <c r="B339"/>
      <c r="C339"/>
      <c r="D339"/>
      <c r="E339"/>
      <c r="F339"/>
      <c r="G339"/>
      <c r="H339"/>
      <c r="I339"/>
      <c r="J339" s="58"/>
      <c r="K339" s="58"/>
      <c r="L339" s="58"/>
      <c r="M339" s="58"/>
      <c r="N339"/>
    </row>
    <row r="340" spans="1:14">
      <c r="A340" s="4"/>
      <c r="B340"/>
      <c r="C340"/>
      <c r="D340"/>
      <c r="E340"/>
      <c r="F340"/>
      <c r="G340"/>
      <c r="H340"/>
      <c r="I340"/>
      <c r="J340" s="58"/>
      <c r="K340" s="58"/>
      <c r="L340" s="58"/>
      <c r="M340" s="58"/>
      <c r="N340"/>
    </row>
    <row r="341" spans="1:14">
      <c r="A341" s="4"/>
      <c r="B341"/>
      <c r="C341"/>
      <c r="D341"/>
      <c r="E341"/>
      <c r="F341"/>
      <c r="G341"/>
      <c r="H341"/>
      <c r="I341"/>
      <c r="J341" s="58"/>
      <c r="K341" s="58"/>
      <c r="L341" s="58"/>
      <c r="M341" s="58"/>
      <c r="N341"/>
    </row>
    <row r="342" spans="1:14">
      <c r="A342" s="4"/>
      <c r="B342"/>
      <c r="C342"/>
      <c r="D342"/>
      <c r="E342"/>
      <c r="F342"/>
      <c r="G342"/>
      <c r="H342"/>
      <c r="I342"/>
      <c r="J342" s="58"/>
      <c r="K342" s="58"/>
      <c r="L342" s="58"/>
      <c r="M342" s="58"/>
      <c r="N342"/>
    </row>
    <row r="343" spans="1:14">
      <c r="A343" s="4"/>
      <c r="B343"/>
      <c r="C343"/>
      <c r="D343"/>
      <c r="E343"/>
      <c r="F343"/>
      <c r="G343"/>
      <c r="H343"/>
      <c r="I343"/>
      <c r="J343" s="58"/>
      <c r="K343" s="58"/>
      <c r="L343" s="58"/>
      <c r="M343" s="58"/>
      <c r="N343"/>
    </row>
    <row r="344" spans="1:14">
      <c r="A344" s="4"/>
      <c r="B344"/>
      <c r="C344"/>
      <c r="D344"/>
      <c r="E344"/>
      <c r="F344"/>
      <c r="G344"/>
      <c r="H344"/>
      <c r="I344"/>
      <c r="J344" s="58"/>
      <c r="K344" s="58"/>
      <c r="L344" s="58"/>
      <c r="M344" s="58"/>
      <c r="N344"/>
    </row>
    <row r="345" spans="1:14">
      <c r="A345" s="4"/>
      <c r="B345"/>
      <c r="C345"/>
      <c r="D345"/>
      <c r="E345"/>
      <c r="F345"/>
      <c r="G345"/>
      <c r="H345"/>
      <c r="I345"/>
      <c r="J345" s="58"/>
      <c r="K345" s="58"/>
      <c r="L345" s="58"/>
      <c r="M345" s="58"/>
      <c r="N345"/>
    </row>
    <row r="346" spans="1:14">
      <c r="A346" s="4"/>
      <c r="B346"/>
      <c r="C346"/>
      <c r="D346"/>
      <c r="E346"/>
      <c r="F346"/>
      <c r="G346"/>
      <c r="H346"/>
      <c r="I346"/>
      <c r="J346" s="58"/>
      <c r="K346" s="58"/>
      <c r="L346" s="58"/>
      <c r="M346" s="58"/>
      <c r="N346"/>
    </row>
    <row r="347" spans="1:14">
      <c r="A347" s="4"/>
      <c r="B347"/>
      <c r="C347"/>
      <c r="D347"/>
      <c r="E347"/>
      <c r="F347"/>
      <c r="G347"/>
      <c r="H347"/>
      <c r="I347"/>
      <c r="J347" s="58"/>
      <c r="K347" s="58"/>
      <c r="L347" s="58"/>
      <c r="M347" s="58"/>
      <c r="N347"/>
    </row>
    <row r="348" spans="1:14">
      <c r="A348" s="4"/>
      <c r="B348"/>
      <c r="C348"/>
      <c r="D348"/>
      <c r="E348"/>
      <c r="F348"/>
      <c r="G348"/>
      <c r="H348"/>
      <c r="I348"/>
      <c r="J348" s="58"/>
      <c r="K348" s="58"/>
      <c r="L348" s="58"/>
      <c r="M348" s="58"/>
      <c r="N348"/>
    </row>
    <row r="349" spans="1:14">
      <c r="A349" s="4"/>
      <c r="B349"/>
      <c r="C349"/>
      <c r="D349"/>
      <c r="E349"/>
      <c r="F349"/>
      <c r="G349"/>
      <c r="H349"/>
      <c r="I349"/>
      <c r="J349" s="58"/>
      <c r="K349" s="58"/>
      <c r="L349" s="58"/>
      <c r="M349" s="58"/>
      <c r="N349"/>
    </row>
    <row r="350" spans="1:14">
      <c r="A350" s="4"/>
      <c r="B350"/>
      <c r="C350"/>
      <c r="D350"/>
      <c r="E350"/>
      <c r="F350"/>
      <c r="G350"/>
      <c r="H350"/>
      <c r="I350"/>
      <c r="J350" s="58"/>
      <c r="K350" s="58"/>
      <c r="L350" s="58"/>
      <c r="M350" s="58"/>
      <c r="N350"/>
    </row>
    <row r="351" spans="1:14">
      <c r="A351" s="4"/>
      <c r="B351"/>
      <c r="C351"/>
      <c r="D351"/>
      <c r="E351"/>
      <c r="F351"/>
      <c r="G351"/>
      <c r="H351"/>
      <c r="I351"/>
      <c r="J351" s="58"/>
      <c r="K351" s="58"/>
      <c r="L351" s="58"/>
      <c r="M351" s="58"/>
      <c r="N351"/>
    </row>
    <row r="352" spans="1:14">
      <c r="A352" s="4"/>
      <c r="B352"/>
      <c r="C352"/>
      <c r="D352"/>
      <c r="E352"/>
      <c r="F352"/>
      <c r="G352"/>
      <c r="H352"/>
      <c r="I352"/>
      <c r="J352" s="58"/>
      <c r="K352" s="58"/>
      <c r="L352" s="58"/>
      <c r="M352" s="58"/>
      <c r="N352"/>
    </row>
    <row r="353" spans="1:14">
      <c r="A353" s="4"/>
      <c r="B353"/>
      <c r="C353"/>
      <c r="D353"/>
      <c r="E353"/>
      <c r="F353"/>
      <c r="G353"/>
      <c r="H353"/>
      <c r="I353"/>
      <c r="J353" s="58"/>
      <c r="K353" s="58"/>
      <c r="L353" s="58"/>
      <c r="M353" s="58"/>
      <c r="N353"/>
    </row>
    <row r="354" spans="1:14">
      <c r="A354" s="4"/>
      <c r="B354"/>
      <c r="C354"/>
      <c r="D354"/>
      <c r="E354"/>
      <c r="F354"/>
      <c r="G354"/>
      <c r="H354"/>
      <c r="I354"/>
      <c r="J354" s="58"/>
      <c r="K354" s="58"/>
      <c r="L354" s="58"/>
      <c r="M354" s="58"/>
      <c r="N354"/>
    </row>
    <row r="355" spans="1:14">
      <c r="A355" s="4"/>
      <c r="B355"/>
      <c r="C355"/>
      <c r="D355"/>
      <c r="E355"/>
      <c r="F355"/>
      <c r="G355"/>
      <c r="H355"/>
      <c r="I355"/>
      <c r="J355" s="58"/>
      <c r="K355" s="58"/>
      <c r="L355" s="58"/>
      <c r="M355" s="58"/>
      <c r="N355"/>
    </row>
    <row r="356" spans="1:14">
      <c r="A356" s="4"/>
      <c r="B356"/>
      <c r="C356"/>
      <c r="D356"/>
      <c r="E356"/>
      <c r="F356"/>
      <c r="G356"/>
      <c r="H356"/>
      <c r="I356"/>
      <c r="J356" s="58"/>
      <c r="K356" s="58"/>
      <c r="L356" s="58"/>
      <c r="M356" s="58"/>
      <c r="N356"/>
    </row>
    <row r="357" spans="1:14">
      <c r="A357" s="4"/>
      <c r="B357"/>
      <c r="C357"/>
      <c r="D357"/>
      <c r="E357"/>
      <c r="F357"/>
      <c r="G357"/>
      <c r="H357"/>
      <c r="I357"/>
      <c r="J357" s="58"/>
      <c r="K357" s="58"/>
      <c r="L357" s="58"/>
      <c r="M357" s="58"/>
      <c r="N357"/>
    </row>
    <row r="358" spans="1:14">
      <c r="A358" s="4"/>
      <c r="B358"/>
      <c r="C358"/>
      <c r="D358"/>
      <c r="E358"/>
      <c r="F358"/>
      <c r="G358"/>
      <c r="H358"/>
      <c r="I358"/>
      <c r="J358" s="58"/>
      <c r="K358" s="58"/>
      <c r="L358" s="58"/>
      <c r="M358" s="58"/>
      <c r="N358"/>
    </row>
    <row r="359" spans="1:14">
      <c r="A359" s="4"/>
      <c r="B359"/>
      <c r="C359"/>
      <c r="D359"/>
      <c r="E359"/>
      <c r="F359"/>
      <c r="G359"/>
      <c r="H359"/>
      <c r="I359"/>
      <c r="J359" s="58"/>
      <c r="K359" s="58"/>
      <c r="L359" s="58"/>
      <c r="M359" s="58"/>
      <c r="N359"/>
    </row>
    <row r="360" spans="1:14">
      <c r="A360" s="4"/>
      <c r="B360"/>
      <c r="C360"/>
      <c r="D360"/>
      <c r="E360"/>
      <c r="F360"/>
      <c r="G360"/>
      <c r="H360"/>
      <c r="I360"/>
      <c r="J360" s="58"/>
      <c r="K360" s="58"/>
      <c r="L360" s="58"/>
      <c r="M360" s="58"/>
      <c r="N360"/>
    </row>
    <row r="361" spans="1:14">
      <c r="A361" s="4"/>
      <c r="B361"/>
      <c r="C361"/>
      <c r="D361"/>
      <c r="E361"/>
      <c r="F361"/>
      <c r="G361"/>
      <c r="H361"/>
      <c r="I361"/>
      <c r="J361" s="58"/>
      <c r="K361" s="58"/>
      <c r="L361" s="58"/>
      <c r="M361" s="58"/>
      <c r="N361"/>
    </row>
    <row r="362" spans="1:14">
      <c r="A362" s="4"/>
      <c r="B362"/>
      <c r="C362"/>
      <c r="D362"/>
      <c r="E362"/>
      <c r="F362"/>
      <c r="G362"/>
      <c r="H362"/>
      <c r="I362"/>
      <c r="J362" s="58"/>
      <c r="K362" s="58"/>
      <c r="L362" s="58"/>
      <c r="M362" s="58"/>
      <c r="N362"/>
    </row>
    <row r="363" spans="1:14">
      <c r="A363" s="4"/>
      <c r="B363"/>
      <c r="C363"/>
      <c r="D363"/>
      <c r="E363"/>
      <c r="F363"/>
      <c r="G363"/>
      <c r="H363"/>
      <c r="I363"/>
      <c r="J363" s="58"/>
      <c r="K363" s="58"/>
      <c r="L363" s="58"/>
      <c r="M363" s="58"/>
      <c r="N363"/>
    </row>
    <row r="364" spans="1:14">
      <c r="A364" s="4"/>
      <c r="B364"/>
      <c r="C364"/>
      <c r="D364"/>
      <c r="E364"/>
      <c r="F364"/>
      <c r="G364"/>
      <c r="H364"/>
      <c r="I364"/>
      <c r="J364" s="58"/>
      <c r="K364" s="58"/>
      <c r="L364" s="58"/>
      <c r="M364" s="58"/>
      <c r="N364"/>
    </row>
    <row r="365" spans="1:14">
      <c r="A365" s="4"/>
      <c r="B365"/>
      <c r="C365"/>
      <c r="D365"/>
      <c r="E365"/>
      <c r="F365"/>
      <c r="G365"/>
      <c r="H365"/>
      <c r="I365"/>
      <c r="J365" s="58"/>
      <c r="K365" s="58"/>
      <c r="L365" s="58"/>
      <c r="M365" s="58"/>
      <c r="N365"/>
    </row>
    <row r="366" spans="1:14">
      <c r="A366" s="4"/>
      <c r="B366"/>
      <c r="C366"/>
      <c r="D366"/>
      <c r="E366"/>
      <c r="F366"/>
      <c r="G366"/>
      <c r="H366"/>
      <c r="I366"/>
      <c r="J366" s="58"/>
      <c r="K366" s="58"/>
      <c r="L366" s="58"/>
      <c r="M366" s="58"/>
      <c r="N366"/>
    </row>
    <row r="367" spans="1:14">
      <c r="A367" s="4"/>
      <c r="B367"/>
      <c r="C367"/>
      <c r="D367"/>
      <c r="E367"/>
      <c r="F367"/>
      <c r="G367"/>
      <c r="H367"/>
      <c r="I367"/>
      <c r="J367" s="58"/>
      <c r="K367" s="58"/>
      <c r="L367" s="58"/>
      <c r="M367" s="58"/>
      <c r="N367"/>
    </row>
    <row r="368" spans="1:14">
      <c r="A368" s="4"/>
      <c r="B368"/>
      <c r="C368"/>
      <c r="D368"/>
      <c r="E368"/>
      <c r="F368"/>
      <c r="G368"/>
      <c r="H368"/>
      <c r="I368"/>
      <c r="J368" s="58"/>
      <c r="K368" s="58"/>
      <c r="L368" s="58"/>
      <c r="M368" s="58"/>
      <c r="N368"/>
    </row>
    <row r="369" spans="1:14">
      <c r="A369" s="4"/>
      <c r="B369"/>
      <c r="C369"/>
      <c r="D369"/>
      <c r="E369"/>
      <c r="F369"/>
      <c r="G369"/>
      <c r="H369"/>
      <c r="I369"/>
      <c r="J369" s="58"/>
      <c r="K369" s="58"/>
      <c r="L369" s="58"/>
      <c r="M369" s="58"/>
      <c r="N369"/>
    </row>
    <row r="370" spans="1:14">
      <c r="A370" s="4"/>
      <c r="B370"/>
      <c r="C370"/>
      <c r="D370"/>
      <c r="E370"/>
      <c r="F370"/>
      <c r="G370"/>
      <c r="H370"/>
      <c r="I370"/>
      <c r="J370" s="58"/>
      <c r="K370" s="58"/>
      <c r="L370" s="58"/>
      <c r="M370" s="58"/>
      <c r="N370"/>
    </row>
    <row r="371" spans="1:14">
      <c r="A371" s="4"/>
      <c r="B371"/>
      <c r="C371"/>
      <c r="D371"/>
      <c r="E371"/>
      <c r="F371"/>
      <c r="G371"/>
      <c r="H371"/>
      <c r="I371"/>
      <c r="J371" s="58"/>
      <c r="K371" s="58"/>
      <c r="L371" s="58"/>
      <c r="M371" s="58"/>
      <c r="N371"/>
    </row>
    <row r="372" spans="1:14">
      <c r="A372" s="4"/>
      <c r="B372"/>
      <c r="C372"/>
      <c r="D372"/>
      <c r="E372"/>
      <c r="F372"/>
      <c r="G372"/>
      <c r="H372"/>
      <c r="I372"/>
      <c r="J372" s="58"/>
      <c r="K372" s="58"/>
      <c r="L372" s="58"/>
      <c r="M372" s="58"/>
      <c r="N372"/>
    </row>
    <row r="373" spans="1:14">
      <c r="A373" s="4"/>
      <c r="B373"/>
      <c r="C373"/>
      <c r="D373"/>
      <c r="E373"/>
      <c r="F373"/>
      <c r="G373"/>
      <c r="H373"/>
      <c r="I373"/>
      <c r="J373" s="58"/>
      <c r="K373" s="58"/>
      <c r="L373" s="58"/>
      <c r="M373" s="58"/>
      <c r="N373"/>
    </row>
    <row r="374" spans="1:14">
      <c r="A374" s="4"/>
      <c r="B374"/>
      <c r="C374"/>
      <c r="D374"/>
      <c r="E374"/>
      <c r="F374"/>
      <c r="G374"/>
      <c r="H374"/>
      <c r="I374"/>
      <c r="J374" s="58"/>
      <c r="K374" s="58"/>
      <c r="L374" s="58"/>
      <c r="M374" s="58"/>
      <c r="N374"/>
    </row>
    <row r="375" spans="1:14">
      <c r="A375" s="4"/>
      <c r="B375"/>
      <c r="C375"/>
      <c r="D375"/>
      <c r="E375"/>
      <c r="F375"/>
      <c r="G375"/>
      <c r="H375"/>
      <c r="I375"/>
      <c r="J375" s="58"/>
      <c r="K375" s="58"/>
      <c r="L375" s="58"/>
      <c r="M375" s="58"/>
      <c r="N375"/>
    </row>
    <row r="376" spans="1:14">
      <c r="A376" s="4"/>
      <c r="B376"/>
      <c r="C376"/>
      <c r="D376"/>
      <c r="E376"/>
      <c r="F376"/>
      <c r="G376"/>
      <c r="H376"/>
      <c r="I376"/>
      <c r="J376" s="58"/>
      <c r="K376" s="58"/>
      <c r="L376" s="58"/>
      <c r="M376" s="58"/>
      <c r="N376"/>
    </row>
    <row r="377" spans="1:14">
      <c r="A377" s="4"/>
      <c r="B377"/>
      <c r="C377"/>
      <c r="D377"/>
      <c r="E377"/>
      <c r="F377"/>
      <c r="G377"/>
      <c r="H377"/>
      <c r="I377"/>
      <c r="J377" s="58"/>
      <c r="K377" s="58"/>
      <c r="L377" s="58"/>
      <c r="M377" s="58"/>
      <c r="N377"/>
    </row>
    <row r="378" spans="1:14">
      <c r="A378" s="4"/>
      <c r="B378"/>
      <c r="C378"/>
      <c r="D378"/>
      <c r="E378"/>
      <c r="F378"/>
      <c r="G378"/>
      <c r="H378"/>
      <c r="I378"/>
      <c r="J378" s="58"/>
      <c r="K378" s="58"/>
      <c r="L378" s="58"/>
      <c r="M378" s="58"/>
      <c r="N378"/>
    </row>
    <row r="379" spans="1:14">
      <c r="A379" s="4"/>
      <c r="B379"/>
      <c r="C379"/>
      <c r="D379"/>
      <c r="E379"/>
      <c r="F379"/>
      <c r="G379"/>
      <c r="H379"/>
      <c r="I379"/>
      <c r="J379" s="58"/>
      <c r="K379" s="58"/>
      <c r="L379" s="58"/>
      <c r="M379" s="58"/>
      <c r="N379"/>
    </row>
    <row r="380" spans="1:14">
      <c r="A380" s="4"/>
      <c r="B380"/>
      <c r="C380"/>
      <c r="D380"/>
      <c r="E380"/>
      <c r="F380"/>
      <c r="G380"/>
      <c r="H380"/>
      <c r="I380"/>
      <c r="J380" s="58"/>
      <c r="K380" s="58"/>
      <c r="L380" s="58"/>
      <c r="M380" s="58"/>
      <c r="N380"/>
    </row>
    <row r="381" spans="1:14">
      <c r="A381" s="4"/>
      <c r="B381"/>
      <c r="C381"/>
      <c r="D381"/>
      <c r="E381"/>
      <c r="F381"/>
      <c r="G381"/>
      <c r="H381"/>
      <c r="I381"/>
      <c r="J381" s="58"/>
      <c r="K381" s="58"/>
      <c r="L381" s="58"/>
      <c r="M381" s="58"/>
      <c r="N381"/>
    </row>
    <row r="382" spans="1:14">
      <c r="A382" s="4"/>
      <c r="B382"/>
      <c r="C382"/>
      <c r="D382"/>
      <c r="E382"/>
      <c r="F382"/>
      <c r="G382"/>
      <c r="H382"/>
      <c r="I382"/>
      <c r="J382" s="58"/>
      <c r="K382" s="58"/>
      <c r="L382" s="58"/>
      <c r="M382" s="58"/>
      <c r="N382"/>
    </row>
    <row r="383" spans="1:14">
      <c r="A383" s="4"/>
      <c r="B383"/>
      <c r="C383"/>
      <c r="D383"/>
      <c r="E383"/>
      <c r="F383"/>
      <c r="G383"/>
      <c r="H383"/>
      <c r="I383"/>
      <c r="J383" s="58"/>
      <c r="K383" s="58"/>
      <c r="L383" s="58"/>
      <c r="M383" s="58"/>
      <c r="N383"/>
    </row>
    <row r="384" spans="1:14">
      <c r="A384" s="4"/>
      <c r="B384"/>
      <c r="C384"/>
      <c r="D384"/>
      <c r="E384"/>
      <c r="F384"/>
      <c r="G384"/>
      <c r="H384"/>
      <c r="I384"/>
      <c r="J384" s="58"/>
      <c r="K384" s="58"/>
      <c r="L384" s="58"/>
      <c r="M384" s="58"/>
      <c r="N384"/>
    </row>
    <row r="385" spans="1:14">
      <c r="A385" s="4"/>
      <c r="B385"/>
      <c r="C385"/>
      <c r="D385"/>
      <c r="E385"/>
      <c r="F385"/>
      <c r="G385"/>
      <c r="H385"/>
      <c r="I385"/>
      <c r="J385" s="58"/>
      <c r="K385" s="58"/>
      <c r="L385" s="58"/>
      <c r="M385" s="58"/>
      <c r="N385"/>
    </row>
    <row r="386" spans="1:14">
      <c r="A386" s="4"/>
      <c r="B386"/>
      <c r="C386"/>
      <c r="D386"/>
      <c r="E386"/>
      <c r="F386"/>
      <c r="G386"/>
      <c r="H386"/>
      <c r="I386"/>
      <c r="J386" s="58"/>
      <c r="K386" s="58"/>
      <c r="L386" s="58"/>
      <c r="M386" s="58"/>
      <c r="N386"/>
    </row>
    <row r="387" spans="1:14">
      <c r="A387" s="4"/>
      <c r="B387"/>
      <c r="C387"/>
      <c r="D387"/>
      <c r="E387"/>
      <c r="F387"/>
      <c r="G387"/>
      <c r="H387"/>
      <c r="I387"/>
      <c r="J387" s="58"/>
      <c r="K387" s="58"/>
      <c r="L387" s="58"/>
      <c r="M387" s="58"/>
      <c r="N387"/>
    </row>
    <row r="388" spans="1:14">
      <c r="A388" s="4"/>
      <c r="B388"/>
      <c r="C388"/>
      <c r="D388"/>
      <c r="E388"/>
      <c r="F388"/>
      <c r="G388"/>
      <c r="H388"/>
      <c r="I388"/>
      <c r="J388" s="58"/>
      <c r="K388" s="58"/>
      <c r="L388" s="58"/>
      <c r="M388" s="58"/>
      <c r="N388"/>
    </row>
    <row r="389" spans="1:14">
      <c r="A389" s="4"/>
      <c r="B389"/>
      <c r="C389"/>
      <c r="D389"/>
      <c r="E389"/>
      <c r="F389"/>
      <c r="G389"/>
      <c r="H389"/>
      <c r="I389"/>
      <c r="J389" s="58"/>
      <c r="K389" s="58"/>
      <c r="L389" s="58"/>
      <c r="M389" s="58"/>
      <c r="N389"/>
    </row>
    <row r="390" spans="1:14">
      <c r="A390" s="4"/>
      <c r="B390"/>
      <c r="C390"/>
      <c r="D390"/>
      <c r="E390"/>
      <c r="F390"/>
      <c r="G390"/>
      <c r="H390"/>
      <c r="I390"/>
      <c r="J390" s="58"/>
      <c r="K390" s="58"/>
      <c r="L390" s="58"/>
      <c r="M390" s="58"/>
      <c r="N390"/>
    </row>
    <row r="391" spans="1:14">
      <c r="A391" s="4"/>
      <c r="B391"/>
      <c r="C391"/>
      <c r="D391"/>
      <c r="E391"/>
      <c r="F391"/>
      <c r="G391"/>
      <c r="H391"/>
      <c r="I391"/>
      <c r="J391" s="58"/>
      <c r="K391" s="58"/>
      <c r="L391" s="58"/>
      <c r="M391" s="58"/>
      <c r="N391"/>
    </row>
    <row r="392" spans="1:14">
      <c r="A392" s="4"/>
      <c r="B392"/>
      <c r="C392"/>
      <c r="D392"/>
      <c r="E392"/>
      <c r="F392"/>
      <c r="G392"/>
      <c r="H392"/>
      <c r="I392"/>
      <c r="J392" s="58"/>
      <c r="K392" s="58"/>
      <c r="L392" s="58"/>
      <c r="M392" s="58"/>
      <c r="N392"/>
    </row>
    <row r="393" spans="1:14">
      <c r="A393" s="4"/>
      <c r="B393"/>
      <c r="C393"/>
      <c r="D393"/>
      <c r="E393"/>
      <c r="F393"/>
      <c r="G393"/>
      <c r="H393"/>
      <c r="I393"/>
      <c r="J393" s="58"/>
      <c r="K393" s="58"/>
      <c r="L393" s="58"/>
      <c r="M393" s="58"/>
      <c r="N393"/>
    </row>
    <row r="394" spans="1:14">
      <c r="A394" s="4"/>
      <c r="B394"/>
      <c r="C394"/>
      <c r="D394"/>
      <c r="E394"/>
      <c r="F394"/>
      <c r="G394"/>
      <c r="H394"/>
      <c r="I394"/>
      <c r="J394" s="58"/>
      <c r="K394" s="58"/>
      <c r="L394" s="58"/>
      <c r="M394" s="58"/>
      <c r="N394"/>
    </row>
    <row r="395" spans="1:14">
      <c r="A395" s="4"/>
      <c r="B395"/>
      <c r="C395"/>
      <c r="D395"/>
      <c r="E395"/>
      <c r="F395"/>
      <c r="G395"/>
      <c r="H395"/>
      <c r="I395"/>
      <c r="J395" s="58"/>
      <c r="K395" s="58"/>
      <c r="L395" s="58"/>
      <c r="M395" s="58"/>
      <c r="N395"/>
    </row>
    <row r="396" spans="1:14">
      <c r="A396" s="4"/>
      <c r="B396"/>
      <c r="C396"/>
      <c r="D396"/>
      <c r="E396"/>
      <c r="F396"/>
      <c r="G396"/>
      <c r="H396"/>
      <c r="I396"/>
      <c r="J396" s="58"/>
      <c r="K396" s="58"/>
      <c r="L396" s="58"/>
      <c r="M396" s="58"/>
      <c r="N396"/>
    </row>
    <row r="397" spans="1:14">
      <c r="A397" s="4"/>
      <c r="B397"/>
      <c r="C397"/>
      <c r="D397"/>
      <c r="E397"/>
      <c r="F397"/>
      <c r="G397"/>
      <c r="H397"/>
      <c r="I397"/>
      <c r="J397" s="58"/>
      <c r="K397" s="58"/>
      <c r="L397" s="58"/>
      <c r="M397" s="58"/>
      <c r="N397"/>
    </row>
    <row r="398" spans="1:14">
      <c r="A398" s="4"/>
      <c r="B398"/>
      <c r="C398"/>
      <c r="D398"/>
      <c r="E398"/>
      <c r="F398"/>
      <c r="G398"/>
      <c r="H398"/>
      <c r="I398"/>
      <c r="J398" s="58"/>
      <c r="K398" s="58"/>
      <c r="L398" s="58"/>
      <c r="M398" s="58"/>
      <c r="N398"/>
    </row>
    <row r="399" spans="1:14">
      <c r="A399" s="4"/>
      <c r="B399"/>
      <c r="C399"/>
      <c r="D399"/>
      <c r="E399"/>
      <c r="F399"/>
      <c r="G399"/>
      <c r="H399"/>
      <c r="I399"/>
      <c r="J399" s="58"/>
      <c r="K399" s="58"/>
      <c r="L399" s="58"/>
      <c r="M399" s="58"/>
      <c r="N399"/>
    </row>
    <row r="400" spans="1:14">
      <c r="A400" s="4"/>
      <c r="B400"/>
      <c r="C400"/>
      <c r="D400"/>
      <c r="E400"/>
      <c r="F400"/>
      <c r="G400"/>
      <c r="H400"/>
      <c r="I400"/>
      <c r="J400" s="58"/>
      <c r="K400" s="58"/>
      <c r="L400" s="58"/>
      <c r="M400" s="58"/>
      <c r="N400"/>
    </row>
    <row r="401" spans="1:14">
      <c r="A401" s="4"/>
      <c r="B401"/>
      <c r="C401"/>
      <c r="D401"/>
      <c r="E401"/>
      <c r="F401"/>
      <c r="G401"/>
      <c r="H401"/>
      <c r="I401"/>
      <c r="J401" s="58"/>
      <c r="K401" s="58"/>
      <c r="L401" s="58"/>
      <c r="M401" s="58"/>
      <c r="N401"/>
    </row>
    <row r="402" spans="1:14">
      <c r="A402" s="4"/>
      <c r="B402"/>
      <c r="C402"/>
      <c r="D402"/>
      <c r="E402"/>
      <c r="F402"/>
      <c r="G402"/>
      <c r="H402"/>
      <c r="I402"/>
      <c r="J402" s="58"/>
      <c r="K402" s="58"/>
      <c r="L402" s="58"/>
      <c r="M402" s="58"/>
      <c r="N402"/>
    </row>
    <row r="403" spans="1:14">
      <c r="A403" s="4"/>
      <c r="B403"/>
      <c r="C403"/>
      <c r="D403"/>
      <c r="E403"/>
      <c r="F403"/>
      <c r="G403"/>
      <c r="H403"/>
      <c r="I403"/>
      <c r="J403" s="58"/>
      <c r="K403" s="58"/>
      <c r="L403" s="58"/>
      <c r="M403" s="58"/>
      <c r="N403"/>
    </row>
    <row r="404" spans="1:14">
      <c r="A404" s="4"/>
      <c r="B404"/>
      <c r="C404"/>
      <c r="D404"/>
      <c r="E404"/>
      <c r="F404"/>
      <c r="G404"/>
      <c r="H404"/>
      <c r="I404"/>
      <c r="J404" s="58"/>
      <c r="K404" s="58"/>
      <c r="L404" s="58"/>
      <c r="M404" s="58"/>
      <c r="N404"/>
    </row>
    <row r="405" spans="1:14">
      <c r="A405" s="4"/>
      <c r="B405"/>
      <c r="C405"/>
      <c r="D405"/>
      <c r="E405"/>
      <c r="F405"/>
      <c r="G405"/>
      <c r="H405"/>
      <c r="I405"/>
      <c r="J405" s="58"/>
      <c r="K405" s="58"/>
      <c r="L405" s="58"/>
      <c r="M405" s="58"/>
      <c r="N405"/>
    </row>
    <row r="406" spans="1:14">
      <c r="A406" s="4"/>
      <c r="B406"/>
      <c r="C406"/>
      <c r="D406"/>
      <c r="E406"/>
      <c r="F406"/>
      <c r="G406"/>
      <c r="H406"/>
      <c r="I406"/>
      <c r="J406" s="58"/>
      <c r="K406" s="58"/>
      <c r="L406" s="58"/>
      <c r="M406" s="58"/>
      <c r="N406"/>
    </row>
    <row r="407" spans="1:14">
      <c r="A407" s="4"/>
      <c r="B407"/>
      <c r="C407"/>
      <c r="D407"/>
      <c r="E407"/>
      <c r="F407"/>
      <c r="G407"/>
      <c r="H407"/>
      <c r="I407"/>
      <c r="J407" s="58"/>
      <c r="K407" s="58"/>
      <c r="L407" s="58"/>
      <c r="M407" s="58"/>
      <c r="N407"/>
    </row>
    <row r="408" spans="1:14">
      <c r="A408" s="4"/>
      <c r="B408"/>
      <c r="C408"/>
      <c r="D408"/>
      <c r="E408"/>
      <c r="F408"/>
      <c r="G408"/>
      <c r="H408"/>
      <c r="I408"/>
      <c r="J408" s="58"/>
      <c r="K408" s="58"/>
      <c r="L408" s="58"/>
      <c r="M408" s="58"/>
      <c r="N408"/>
    </row>
    <row r="409" spans="1:14">
      <c r="A409" s="4"/>
      <c r="B409"/>
      <c r="C409"/>
      <c r="D409"/>
      <c r="E409"/>
      <c r="F409"/>
      <c r="G409"/>
      <c r="H409"/>
      <c r="I409"/>
      <c r="J409" s="58"/>
      <c r="K409" s="58"/>
      <c r="L409" s="58"/>
      <c r="M409" s="58"/>
      <c r="N409"/>
    </row>
    <row r="410" spans="1:14">
      <c r="A410" s="4"/>
      <c r="B410"/>
      <c r="C410"/>
      <c r="D410"/>
      <c r="E410"/>
      <c r="F410"/>
      <c r="G410"/>
      <c r="H410"/>
      <c r="I410"/>
      <c r="J410" s="58"/>
      <c r="K410" s="58"/>
      <c r="L410" s="58"/>
      <c r="M410" s="58"/>
      <c r="N410"/>
    </row>
    <row r="411" spans="1:14">
      <c r="A411" s="4"/>
      <c r="B411"/>
      <c r="C411"/>
      <c r="D411"/>
      <c r="E411"/>
      <c r="F411"/>
      <c r="G411"/>
      <c r="H411"/>
      <c r="I411"/>
      <c r="J411" s="58"/>
      <c r="K411" s="58"/>
      <c r="L411" s="58"/>
      <c r="M411" s="58"/>
      <c r="N411"/>
    </row>
    <row r="412" spans="1:14">
      <c r="A412" s="4"/>
      <c r="B412"/>
      <c r="C412"/>
      <c r="D412"/>
      <c r="E412"/>
      <c r="F412"/>
      <c r="G412"/>
      <c r="H412"/>
      <c r="I412"/>
      <c r="J412" s="58"/>
      <c r="K412" s="58"/>
      <c r="L412" s="58"/>
      <c r="M412" s="58"/>
      <c r="N412"/>
    </row>
    <row r="413" spans="1:14">
      <c r="A413" s="4"/>
      <c r="B413"/>
      <c r="C413"/>
      <c r="D413"/>
      <c r="E413"/>
      <c r="F413"/>
      <c r="G413"/>
      <c r="H413"/>
      <c r="I413"/>
      <c r="J413" s="58"/>
      <c r="K413" s="58"/>
      <c r="L413" s="58"/>
      <c r="M413" s="58"/>
      <c r="N413"/>
    </row>
    <row r="414" spans="1:14">
      <c r="A414" s="4"/>
      <c r="B414"/>
      <c r="C414"/>
      <c r="D414"/>
      <c r="E414"/>
      <c r="F414"/>
      <c r="G414"/>
      <c r="H414"/>
      <c r="I414"/>
      <c r="J414" s="58"/>
      <c r="K414" s="58"/>
      <c r="L414" s="58"/>
      <c r="M414" s="58"/>
      <c r="N414"/>
    </row>
    <row r="415" spans="1:14">
      <c r="A415" s="4"/>
      <c r="B415"/>
      <c r="C415"/>
      <c r="D415"/>
      <c r="E415"/>
      <c r="F415"/>
      <c r="G415"/>
      <c r="H415"/>
      <c r="I415"/>
      <c r="J415" s="58"/>
      <c r="K415" s="58"/>
      <c r="L415" s="58"/>
      <c r="M415" s="58"/>
      <c r="N415"/>
    </row>
    <row r="416" spans="1:14">
      <c r="A416" s="4"/>
      <c r="B416"/>
      <c r="C416"/>
      <c r="D416"/>
      <c r="E416"/>
      <c r="F416"/>
      <c r="G416"/>
      <c r="H416"/>
      <c r="I416"/>
      <c r="J416" s="58"/>
      <c r="K416" s="58"/>
      <c r="L416" s="58"/>
      <c r="M416" s="58"/>
      <c r="N416"/>
    </row>
    <row r="417" spans="1:14">
      <c r="A417" s="4"/>
      <c r="B417"/>
      <c r="C417"/>
      <c r="D417"/>
      <c r="E417"/>
      <c r="F417"/>
      <c r="G417"/>
      <c r="H417"/>
      <c r="I417"/>
      <c r="J417" s="58"/>
      <c r="K417" s="58"/>
      <c r="L417" s="58"/>
      <c r="M417" s="58"/>
      <c r="N417"/>
    </row>
    <row r="418" spans="1:14">
      <c r="A418" s="4"/>
      <c r="B418"/>
      <c r="C418"/>
      <c r="D418"/>
      <c r="E418"/>
      <c r="F418"/>
      <c r="G418"/>
      <c r="H418"/>
      <c r="I418"/>
      <c r="J418" s="58"/>
      <c r="K418" s="58"/>
      <c r="L418" s="58"/>
      <c r="M418" s="58"/>
      <c r="N418"/>
    </row>
    <row r="419" spans="1:14">
      <c r="A419" s="4"/>
      <c r="B419"/>
      <c r="C419"/>
      <c r="D419"/>
      <c r="E419"/>
      <c r="F419"/>
      <c r="G419"/>
      <c r="H419"/>
      <c r="I419"/>
      <c r="J419" s="58"/>
      <c r="K419" s="58"/>
      <c r="L419" s="58"/>
      <c r="M419" s="58"/>
      <c r="N419"/>
    </row>
    <row r="420" spans="1:14">
      <c r="A420" s="4"/>
      <c r="B420"/>
      <c r="C420"/>
      <c r="D420"/>
      <c r="E420"/>
      <c r="F420"/>
      <c r="G420"/>
      <c r="H420"/>
      <c r="I420"/>
      <c r="J420" s="58"/>
      <c r="K420" s="58"/>
      <c r="L420" s="58"/>
      <c r="M420" s="58"/>
      <c r="N420"/>
    </row>
    <row r="421" spans="1:14">
      <c r="A421" s="4"/>
      <c r="B421"/>
      <c r="C421"/>
      <c r="D421"/>
      <c r="E421"/>
      <c r="F421"/>
      <c r="G421"/>
      <c r="H421"/>
      <c r="I421"/>
      <c r="J421" s="58"/>
      <c r="K421" s="58"/>
      <c r="L421" s="58"/>
      <c r="M421" s="58"/>
      <c r="N421"/>
    </row>
    <row r="422" spans="1:14">
      <c r="A422" s="4"/>
      <c r="B422"/>
      <c r="C422"/>
      <c r="D422"/>
      <c r="E422"/>
      <c r="F422"/>
      <c r="G422"/>
      <c r="H422"/>
      <c r="I422"/>
      <c r="J422" s="58"/>
      <c r="K422" s="58"/>
      <c r="L422" s="58"/>
      <c r="M422" s="58"/>
      <c r="N422"/>
    </row>
    <row r="423" spans="1:14">
      <c r="A423" s="4"/>
      <c r="B423"/>
      <c r="C423"/>
      <c r="D423"/>
      <c r="E423"/>
      <c r="F423"/>
      <c r="G423"/>
      <c r="H423"/>
      <c r="I423"/>
      <c r="J423" s="58"/>
      <c r="K423" s="58"/>
      <c r="L423" s="58"/>
      <c r="M423" s="58"/>
      <c r="N423"/>
    </row>
    <row r="424" spans="1:14">
      <c r="A424" s="4"/>
      <c r="B424"/>
      <c r="C424"/>
      <c r="D424"/>
      <c r="E424"/>
      <c r="F424"/>
      <c r="G424"/>
      <c r="H424"/>
      <c r="I424"/>
      <c r="J424" s="58"/>
      <c r="K424" s="58"/>
      <c r="L424" s="58"/>
      <c r="M424" s="58"/>
      <c r="N424"/>
    </row>
    <row r="425" spans="1:14">
      <c r="A425" s="4"/>
      <c r="B425"/>
      <c r="C425"/>
      <c r="D425"/>
      <c r="E425"/>
      <c r="F425"/>
      <c r="G425"/>
      <c r="H425"/>
      <c r="I425"/>
      <c r="J425" s="58"/>
      <c r="K425" s="58"/>
      <c r="L425" s="58"/>
      <c r="M425" s="58"/>
      <c r="N425"/>
    </row>
    <row r="426" spans="1:14">
      <c r="A426" s="4"/>
      <c r="B426"/>
      <c r="C426"/>
      <c r="D426"/>
      <c r="E426"/>
      <c r="F426"/>
      <c r="G426"/>
      <c r="H426"/>
      <c r="I426"/>
      <c r="J426" s="58"/>
      <c r="K426" s="58"/>
      <c r="L426" s="58"/>
      <c r="M426" s="58"/>
      <c r="N426"/>
    </row>
    <row r="427" spans="1:14">
      <c r="A427" s="4"/>
      <c r="B427"/>
      <c r="C427"/>
      <c r="D427"/>
      <c r="E427"/>
      <c r="F427"/>
      <c r="G427"/>
      <c r="H427"/>
      <c r="I427"/>
      <c r="J427" s="58"/>
      <c r="K427" s="58"/>
      <c r="L427" s="58"/>
      <c r="M427" s="58"/>
      <c r="N427"/>
    </row>
    <row r="428" spans="1:14">
      <c r="A428" s="4"/>
      <c r="B428"/>
      <c r="C428"/>
      <c r="D428"/>
      <c r="E428"/>
      <c r="F428"/>
      <c r="G428"/>
      <c r="H428"/>
      <c r="I428"/>
      <c r="J428" s="58"/>
      <c r="K428" s="58"/>
      <c r="L428" s="58"/>
      <c r="M428" s="58"/>
      <c r="N428"/>
    </row>
    <row r="429" spans="1:14">
      <c r="A429" s="4"/>
      <c r="B429"/>
      <c r="C429"/>
      <c r="D429"/>
      <c r="E429"/>
      <c r="F429"/>
      <c r="G429"/>
      <c r="H429"/>
      <c r="I429"/>
      <c r="J429" s="58"/>
      <c r="K429" s="58"/>
      <c r="L429" s="58"/>
      <c r="M429" s="58"/>
      <c r="N429"/>
    </row>
    <row r="430" spans="1:14">
      <c r="A430" s="4"/>
      <c r="B430"/>
      <c r="C430"/>
      <c r="D430"/>
      <c r="E430"/>
      <c r="F430"/>
      <c r="G430"/>
      <c r="H430"/>
      <c r="I430"/>
      <c r="J430" s="58"/>
      <c r="K430" s="58"/>
      <c r="L430" s="58"/>
      <c r="M430" s="58"/>
      <c r="N430"/>
    </row>
    <row r="431" spans="1:14">
      <c r="A431" s="4"/>
      <c r="B431"/>
      <c r="C431"/>
      <c r="D431"/>
      <c r="E431"/>
      <c r="F431"/>
      <c r="G431"/>
      <c r="H431"/>
      <c r="I431"/>
      <c r="J431" s="58"/>
      <c r="K431" s="58"/>
      <c r="L431" s="58"/>
      <c r="M431" s="58"/>
      <c r="N431"/>
    </row>
    <row r="432" spans="1:14">
      <c r="A432" s="4"/>
      <c r="B432"/>
      <c r="C432"/>
      <c r="D432"/>
      <c r="E432"/>
      <c r="F432"/>
      <c r="G432"/>
      <c r="H432"/>
      <c r="I432"/>
      <c r="J432" s="58"/>
      <c r="K432" s="58"/>
      <c r="L432" s="58"/>
      <c r="M432" s="58"/>
      <c r="N432"/>
    </row>
    <row r="433" spans="1:14">
      <c r="A433" s="4"/>
      <c r="B433"/>
      <c r="C433"/>
      <c r="D433"/>
      <c r="E433"/>
      <c r="F433"/>
      <c r="G433"/>
      <c r="H433"/>
      <c r="I433"/>
      <c r="J433" s="58"/>
      <c r="K433" s="58"/>
      <c r="L433" s="58"/>
      <c r="M433" s="58"/>
      <c r="N433"/>
    </row>
    <row r="434" spans="1:14">
      <c r="A434" s="4"/>
      <c r="B434"/>
      <c r="C434"/>
      <c r="D434"/>
      <c r="E434"/>
      <c r="F434"/>
      <c r="G434"/>
      <c r="H434"/>
      <c r="I434"/>
      <c r="J434" s="58"/>
      <c r="K434" s="58"/>
      <c r="L434" s="58"/>
      <c r="M434" s="58"/>
      <c r="N434"/>
    </row>
    <row r="435" spans="1:14">
      <c r="A435" s="4"/>
      <c r="B435"/>
      <c r="C435"/>
      <c r="D435"/>
      <c r="E435"/>
      <c r="F435"/>
      <c r="G435"/>
      <c r="H435"/>
      <c r="I435"/>
      <c r="J435" s="58"/>
      <c r="K435" s="58"/>
      <c r="L435" s="58"/>
      <c r="M435" s="58"/>
      <c r="N435"/>
    </row>
    <row r="436" spans="1:14">
      <c r="A436" s="4"/>
      <c r="B436"/>
      <c r="C436"/>
      <c r="D436"/>
      <c r="E436"/>
      <c r="F436"/>
      <c r="G436"/>
      <c r="H436"/>
      <c r="I436"/>
      <c r="J436" s="58"/>
      <c r="K436" s="58"/>
      <c r="L436" s="58"/>
      <c r="M436" s="58"/>
      <c r="N436"/>
    </row>
    <row r="437" spans="1:14">
      <c r="A437" s="4"/>
      <c r="B437"/>
      <c r="C437"/>
      <c r="D437"/>
      <c r="E437"/>
      <c r="F437"/>
      <c r="G437"/>
      <c r="H437"/>
      <c r="I437"/>
      <c r="J437" s="58"/>
      <c r="K437" s="58"/>
      <c r="L437" s="58"/>
      <c r="M437" s="58"/>
      <c r="N437"/>
    </row>
    <row r="438" spans="1:14">
      <c r="A438" s="4"/>
      <c r="B438"/>
      <c r="C438"/>
      <c r="D438"/>
      <c r="E438"/>
      <c r="F438"/>
      <c r="G438"/>
      <c r="H438"/>
      <c r="I438"/>
      <c r="J438" s="58"/>
      <c r="K438" s="58"/>
      <c r="L438" s="58"/>
      <c r="M438" s="58"/>
      <c r="N438"/>
    </row>
    <row r="439" spans="1:14">
      <c r="A439" s="4"/>
      <c r="B439"/>
      <c r="C439"/>
      <c r="D439"/>
      <c r="E439"/>
      <c r="F439"/>
      <c r="G439"/>
      <c r="H439"/>
      <c r="I439"/>
      <c r="J439" s="58"/>
      <c r="K439" s="58"/>
      <c r="L439" s="58"/>
      <c r="M439" s="58"/>
      <c r="N439"/>
    </row>
    <row r="440" spans="1:14">
      <c r="A440" s="4"/>
      <c r="B440"/>
      <c r="C440"/>
      <c r="D440"/>
      <c r="E440"/>
      <c r="F440"/>
      <c r="G440"/>
      <c r="H440"/>
      <c r="I440"/>
      <c r="J440" s="58"/>
      <c r="K440" s="58"/>
      <c r="L440" s="58"/>
      <c r="M440" s="58"/>
      <c r="N440"/>
    </row>
    <row r="441" spans="1:14">
      <c r="A441" s="4"/>
      <c r="B441"/>
      <c r="C441"/>
      <c r="D441"/>
      <c r="E441"/>
      <c r="F441"/>
      <c r="G441"/>
      <c r="H441"/>
      <c r="I441"/>
      <c r="J441" s="58"/>
      <c r="K441" s="58"/>
      <c r="L441" s="58"/>
      <c r="M441" s="58"/>
      <c r="N441"/>
    </row>
    <row r="442" spans="1:14">
      <c r="A442" s="4"/>
      <c r="B442"/>
      <c r="C442"/>
      <c r="D442"/>
      <c r="E442"/>
      <c r="F442"/>
      <c r="G442"/>
      <c r="H442"/>
      <c r="I442"/>
      <c r="J442" s="58"/>
      <c r="K442" s="58"/>
      <c r="L442" s="58"/>
      <c r="M442" s="58"/>
      <c r="N442"/>
    </row>
    <row r="443" spans="1:14">
      <c r="A443" s="4"/>
      <c r="B443"/>
      <c r="C443"/>
      <c r="D443"/>
      <c r="E443"/>
      <c r="F443"/>
      <c r="G443"/>
      <c r="H443"/>
      <c r="I443"/>
      <c r="J443" s="58"/>
      <c r="K443" s="58"/>
      <c r="L443" s="58"/>
      <c r="M443" s="58"/>
      <c r="N443"/>
    </row>
    <row r="444" spans="1:14">
      <c r="A444" s="4"/>
      <c r="B444"/>
      <c r="C444"/>
      <c r="D444"/>
      <c r="E444"/>
      <c r="F444"/>
      <c r="G444"/>
      <c r="H444"/>
      <c r="I444"/>
      <c r="J444" s="58"/>
      <c r="K444" s="58"/>
      <c r="L444" s="58"/>
      <c r="M444" s="58"/>
      <c r="N444"/>
    </row>
    <row r="445" spans="1:14">
      <c r="A445" s="4"/>
      <c r="B445"/>
      <c r="C445"/>
      <c r="D445"/>
      <c r="E445"/>
      <c r="F445"/>
      <c r="G445"/>
      <c r="H445"/>
      <c r="I445"/>
      <c r="J445" s="58"/>
      <c r="K445" s="58"/>
      <c r="L445" s="58"/>
      <c r="M445" s="58"/>
      <c r="N445"/>
    </row>
    <row r="446" spans="1:14">
      <c r="A446" s="4"/>
      <c r="B446"/>
      <c r="C446"/>
      <c r="D446"/>
      <c r="E446"/>
      <c r="F446"/>
      <c r="G446"/>
      <c r="H446"/>
      <c r="I446"/>
      <c r="J446" s="58"/>
      <c r="K446" s="58"/>
      <c r="L446" s="58"/>
      <c r="M446" s="58"/>
      <c r="N446"/>
    </row>
    <row r="447" spans="1:14">
      <c r="A447" s="4"/>
      <c r="B447"/>
      <c r="C447"/>
      <c r="D447"/>
      <c r="E447"/>
      <c r="F447"/>
      <c r="G447"/>
      <c r="H447"/>
      <c r="I447"/>
      <c r="J447" s="58"/>
      <c r="K447" s="58"/>
      <c r="L447" s="58"/>
      <c r="M447" s="58"/>
      <c r="N447"/>
    </row>
    <row r="448" spans="1:14">
      <c r="A448" s="4"/>
      <c r="B448"/>
      <c r="C448"/>
      <c r="D448"/>
      <c r="E448"/>
      <c r="F448"/>
      <c r="G448"/>
      <c r="H448"/>
      <c r="I448"/>
      <c r="J448" s="58"/>
      <c r="K448" s="58"/>
      <c r="L448" s="58"/>
      <c r="M448" s="58"/>
      <c r="N448"/>
    </row>
    <row r="449" spans="1:14">
      <c r="A449" s="4"/>
      <c r="B449"/>
      <c r="C449"/>
      <c r="D449"/>
      <c r="E449"/>
      <c r="F449"/>
      <c r="G449"/>
      <c r="H449"/>
      <c r="I449"/>
      <c r="J449" s="58"/>
      <c r="K449" s="58"/>
      <c r="L449" s="58"/>
      <c r="M449" s="58"/>
      <c r="N449"/>
    </row>
    <row r="450" spans="1:14">
      <c r="A450" s="4"/>
      <c r="B450"/>
      <c r="C450"/>
      <c r="D450"/>
      <c r="E450"/>
      <c r="F450"/>
      <c r="G450"/>
      <c r="H450"/>
      <c r="I450"/>
      <c r="J450" s="58"/>
      <c r="K450" s="58"/>
      <c r="L450" s="58"/>
      <c r="M450" s="58"/>
      <c r="N450"/>
    </row>
    <row r="451" spans="1:14">
      <c r="A451" s="4"/>
      <c r="B451"/>
      <c r="C451"/>
      <c r="D451"/>
      <c r="E451"/>
      <c r="F451"/>
      <c r="G451"/>
      <c r="H451"/>
      <c r="I451"/>
      <c r="J451" s="58"/>
      <c r="K451" s="58"/>
      <c r="L451" s="58"/>
      <c r="M451" s="58"/>
      <c r="N451"/>
    </row>
    <row r="452" spans="1:14">
      <c r="A452" s="4"/>
      <c r="B452"/>
      <c r="C452"/>
      <c r="D452"/>
      <c r="E452"/>
      <c r="F452"/>
      <c r="G452"/>
      <c r="H452"/>
      <c r="I452"/>
      <c r="J452" s="58"/>
      <c r="K452" s="58"/>
      <c r="L452" s="58"/>
      <c r="M452" s="58"/>
      <c r="N452"/>
    </row>
    <row r="453" spans="1:14">
      <c r="A453" s="4"/>
      <c r="B453"/>
      <c r="C453"/>
      <c r="D453"/>
      <c r="E453"/>
      <c r="F453"/>
      <c r="G453"/>
      <c r="H453"/>
      <c r="I453"/>
      <c r="J453" s="58"/>
      <c r="K453" s="58"/>
      <c r="L453" s="58"/>
      <c r="M453" s="58"/>
      <c r="N453"/>
    </row>
    <row r="454" spans="1:14">
      <c r="A454" s="4"/>
      <c r="B454"/>
      <c r="C454"/>
      <c r="D454"/>
      <c r="E454"/>
      <c r="F454"/>
      <c r="G454"/>
      <c r="H454"/>
      <c r="I454"/>
      <c r="J454" s="58"/>
      <c r="K454" s="58"/>
      <c r="L454" s="58"/>
      <c r="M454" s="58"/>
      <c r="N454"/>
    </row>
    <row r="455" spans="1:14">
      <c r="A455" s="4"/>
      <c r="B455"/>
      <c r="C455"/>
      <c r="D455"/>
      <c r="E455"/>
      <c r="F455"/>
      <c r="G455"/>
      <c r="H455"/>
      <c r="I455"/>
      <c r="J455" s="58"/>
      <c r="K455" s="58"/>
      <c r="L455" s="58"/>
      <c r="M455" s="58"/>
      <c r="N455"/>
    </row>
    <row r="456" spans="1:14">
      <c r="A456" s="4"/>
      <c r="B456"/>
      <c r="C456"/>
      <c r="D456"/>
      <c r="E456"/>
      <c r="F456"/>
      <c r="G456"/>
      <c r="H456"/>
      <c r="I456"/>
      <c r="J456" s="58"/>
      <c r="K456" s="58"/>
      <c r="L456" s="58"/>
      <c r="M456" s="58"/>
      <c r="N456"/>
    </row>
    <row r="457" spans="1:14">
      <c r="A457" s="4"/>
      <c r="B457"/>
      <c r="C457"/>
      <c r="D457"/>
      <c r="E457"/>
      <c r="F457"/>
      <c r="G457"/>
      <c r="H457"/>
      <c r="I457"/>
      <c r="J457" s="58"/>
      <c r="K457" s="58"/>
      <c r="L457" s="58"/>
      <c r="M457" s="58"/>
      <c r="N457"/>
    </row>
    <row r="458" spans="1:14">
      <c r="A458" s="4"/>
      <c r="B458"/>
      <c r="C458"/>
      <c r="D458"/>
      <c r="E458"/>
      <c r="F458"/>
      <c r="G458"/>
      <c r="H458"/>
      <c r="I458"/>
      <c r="J458" s="58"/>
      <c r="K458" s="58"/>
      <c r="L458" s="58"/>
      <c r="M458" s="58"/>
      <c r="N458"/>
    </row>
    <row r="459" spans="1:14">
      <c r="A459" s="4"/>
      <c r="B459"/>
      <c r="C459"/>
      <c r="D459"/>
      <c r="E459"/>
      <c r="F459"/>
      <c r="G459"/>
      <c r="H459"/>
      <c r="I459"/>
      <c r="J459" s="58"/>
      <c r="K459" s="58"/>
      <c r="L459" s="58"/>
      <c r="M459" s="58"/>
      <c r="N459"/>
    </row>
    <row r="460" spans="1:14">
      <c r="A460" s="4"/>
      <c r="B460"/>
      <c r="C460"/>
      <c r="D460"/>
      <c r="E460"/>
      <c r="F460"/>
      <c r="G460"/>
      <c r="H460"/>
      <c r="I460"/>
      <c r="J460" s="58"/>
      <c r="K460" s="58"/>
      <c r="L460" s="58"/>
      <c r="M460" s="58"/>
      <c r="N460"/>
    </row>
    <row r="461" spans="1:14">
      <c r="A461" s="4"/>
      <c r="B461"/>
      <c r="C461"/>
      <c r="D461"/>
      <c r="E461"/>
      <c r="F461"/>
      <c r="G461"/>
      <c r="H461"/>
      <c r="I461"/>
      <c r="J461" s="58"/>
      <c r="K461" s="58"/>
      <c r="L461" s="58"/>
      <c r="M461" s="58"/>
      <c r="N461"/>
    </row>
    <row r="462" spans="1:14">
      <c r="A462" s="4"/>
      <c r="B462"/>
      <c r="C462"/>
      <c r="D462"/>
      <c r="E462"/>
      <c r="F462"/>
      <c r="G462"/>
      <c r="H462"/>
      <c r="I462"/>
      <c r="J462" s="58"/>
      <c r="K462" s="58"/>
      <c r="L462" s="58"/>
      <c r="M462" s="58"/>
      <c r="N462"/>
    </row>
    <row r="463" spans="1:14">
      <c r="A463" s="4"/>
      <c r="B463"/>
      <c r="C463"/>
      <c r="D463"/>
      <c r="E463"/>
      <c r="F463"/>
      <c r="G463"/>
      <c r="H463"/>
      <c r="I463"/>
      <c r="J463" s="58"/>
      <c r="K463" s="58"/>
      <c r="L463" s="58"/>
      <c r="M463" s="58"/>
      <c r="N463"/>
    </row>
    <row r="464" spans="1:14">
      <c r="A464" s="4"/>
      <c r="B464"/>
      <c r="C464"/>
      <c r="D464"/>
      <c r="E464"/>
      <c r="F464"/>
      <c r="G464"/>
      <c r="H464"/>
      <c r="I464"/>
      <c r="J464" s="58"/>
      <c r="K464" s="58"/>
      <c r="L464" s="58"/>
      <c r="M464" s="58"/>
      <c r="N464"/>
    </row>
    <row r="465" spans="1:14">
      <c r="A465" s="4"/>
      <c r="B465"/>
      <c r="C465"/>
      <c r="D465"/>
      <c r="E465"/>
      <c r="F465"/>
      <c r="G465"/>
      <c r="H465"/>
      <c r="I465"/>
      <c r="J465" s="58"/>
      <c r="K465" s="58"/>
      <c r="L465" s="58"/>
      <c r="M465" s="58"/>
      <c r="N465"/>
    </row>
    <row r="466" spans="1:14">
      <c r="A466" s="4"/>
      <c r="B466"/>
      <c r="C466"/>
      <c r="D466"/>
      <c r="E466"/>
      <c r="F466"/>
      <c r="G466"/>
      <c r="H466"/>
      <c r="I466"/>
      <c r="J466" s="58"/>
      <c r="K466" s="58"/>
      <c r="L466" s="58"/>
      <c r="M466" s="58"/>
      <c r="N466"/>
    </row>
    <row r="467" spans="1:14">
      <c r="A467" s="4"/>
      <c r="B467"/>
      <c r="C467"/>
      <c r="D467"/>
      <c r="E467"/>
      <c r="F467"/>
      <c r="G467"/>
      <c r="H467"/>
      <c r="I467"/>
      <c r="J467" s="58"/>
      <c r="K467" s="58"/>
      <c r="L467" s="58"/>
      <c r="M467" s="58"/>
      <c r="N467"/>
    </row>
    <row r="468" spans="1:14">
      <c r="A468" s="4"/>
      <c r="B468"/>
      <c r="C468"/>
      <c r="D468"/>
      <c r="E468"/>
      <c r="F468"/>
      <c r="G468"/>
      <c r="H468"/>
      <c r="I468"/>
      <c r="J468" s="58"/>
      <c r="K468" s="58"/>
      <c r="L468" s="58"/>
      <c r="M468" s="58"/>
      <c r="N468"/>
    </row>
    <row r="469" spans="1:14">
      <c r="A469" s="4"/>
      <c r="B469"/>
      <c r="C469"/>
      <c r="D469"/>
      <c r="E469"/>
      <c r="F469"/>
      <c r="G469"/>
      <c r="H469"/>
      <c r="I469"/>
      <c r="J469" s="58"/>
      <c r="K469" s="58"/>
      <c r="L469" s="58"/>
      <c r="M469" s="58"/>
      <c r="N469"/>
    </row>
    <row r="470" spans="1:14">
      <c r="A470" s="4"/>
      <c r="B470"/>
      <c r="C470"/>
      <c r="D470"/>
      <c r="E470"/>
      <c r="F470"/>
      <c r="G470"/>
      <c r="H470"/>
      <c r="I470"/>
      <c r="J470" s="58"/>
      <c r="K470" s="58"/>
      <c r="L470" s="58"/>
      <c r="M470" s="58"/>
      <c r="N470"/>
    </row>
    <row r="471" spans="1:14">
      <c r="A471" s="4"/>
      <c r="B471"/>
      <c r="C471"/>
      <c r="D471"/>
      <c r="E471"/>
      <c r="F471"/>
      <c r="G471"/>
      <c r="H471"/>
      <c r="I471"/>
      <c r="J471" s="58"/>
      <c r="K471" s="58"/>
      <c r="L471" s="58"/>
      <c r="M471" s="58"/>
      <c r="N471"/>
    </row>
    <row r="472" spans="1:14">
      <c r="A472" s="4"/>
      <c r="B472"/>
      <c r="C472"/>
      <c r="D472"/>
      <c r="E472"/>
      <c r="F472"/>
      <c r="G472"/>
      <c r="H472"/>
      <c r="I472"/>
      <c r="J472" s="58"/>
      <c r="K472" s="58"/>
      <c r="L472" s="58"/>
      <c r="M472" s="58"/>
      <c r="N472"/>
    </row>
    <row r="473" spans="1:14">
      <c r="A473" s="4"/>
      <c r="B473"/>
      <c r="C473"/>
      <c r="D473"/>
      <c r="E473"/>
      <c r="F473"/>
      <c r="G473"/>
      <c r="H473"/>
      <c r="I473"/>
      <c r="J473" s="58"/>
      <c r="K473" s="58"/>
      <c r="L473" s="58"/>
      <c r="M473" s="58"/>
      <c r="N473"/>
    </row>
    <row r="474" spans="1:14">
      <c r="A474" s="4"/>
      <c r="B474"/>
      <c r="C474"/>
      <c r="D474"/>
      <c r="E474"/>
      <c r="F474"/>
      <c r="G474"/>
      <c r="H474"/>
      <c r="I474"/>
      <c r="J474" s="58"/>
      <c r="K474" s="58"/>
      <c r="L474" s="58"/>
      <c r="M474" s="58"/>
      <c r="N474"/>
    </row>
    <row r="475" spans="1:14">
      <c r="A475" s="4"/>
      <c r="B475"/>
      <c r="C475"/>
      <c r="D475"/>
      <c r="E475"/>
      <c r="F475"/>
      <c r="G475"/>
      <c r="H475"/>
      <c r="I475"/>
      <c r="J475" s="58"/>
      <c r="K475" s="58"/>
      <c r="L475" s="58"/>
      <c r="M475" s="58"/>
      <c r="N475"/>
    </row>
    <row r="476" spans="1:14">
      <c r="A476" s="4"/>
      <c r="B476"/>
      <c r="C476"/>
      <c r="D476"/>
      <c r="E476"/>
      <c r="F476"/>
      <c r="G476"/>
      <c r="H476"/>
      <c r="I476"/>
      <c r="J476" s="58"/>
      <c r="K476" s="58"/>
      <c r="L476" s="58"/>
      <c r="M476" s="58"/>
      <c r="N476"/>
    </row>
    <row r="477" spans="1:14">
      <c r="A477" s="4"/>
      <c r="B477"/>
      <c r="C477"/>
      <c r="D477"/>
      <c r="E477"/>
      <c r="F477"/>
      <c r="G477"/>
      <c r="H477"/>
      <c r="I477"/>
      <c r="J477" s="58"/>
      <c r="K477" s="58"/>
      <c r="L477" s="58"/>
      <c r="M477" s="58"/>
      <c r="N477"/>
    </row>
    <row r="478" spans="1:14">
      <c r="A478" s="4"/>
      <c r="B478"/>
      <c r="C478"/>
      <c r="D478"/>
      <c r="E478"/>
      <c r="F478"/>
      <c r="G478"/>
      <c r="H478"/>
      <c r="I478"/>
      <c r="J478" s="58"/>
      <c r="K478" s="58"/>
      <c r="L478" s="58"/>
      <c r="M478" s="58"/>
      <c r="N478"/>
    </row>
    <row r="479" spans="1:14">
      <c r="A479" s="4"/>
      <c r="B479"/>
      <c r="C479"/>
      <c r="D479"/>
      <c r="E479"/>
      <c r="F479"/>
      <c r="G479"/>
      <c r="H479"/>
      <c r="I479"/>
      <c r="J479" s="58"/>
      <c r="K479" s="58"/>
      <c r="L479" s="58"/>
      <c r="M479" s="58"/>
      <c r="N479"/>
    </row>
    <row r="480" spans="1:14">
      <c r="A480" s="4"/>
      <c r="B480"/>
      <c r="C480"/>
      <c r="D480"/>
      <c r="E480"/>
      <c r="F480"/>
      <c r="G480"/>
      <c r="H480"/>
      <c r="I480"/>
      <c r="J480" s="58"/>
      <c r="K480" s="58"/>
      <c r="L480" s="58"/>
      <c r="M480" s="58"/>
      <c r="N480"/>
    </row>
    <row r="481" spans="1:14">
      <c r="A481" s="4"/>
      <c r="B481"/>
      <c r="C481"/>
      <c r="D481"/>
      <c r="E481"/>
      <c r="F481"/>
      <c r="G481"/>
      <c r="H481"/>
      <c r="I481"/>
      <c r="J481" s="58"/>
      <c r="K481" s="58"/>
      <c r="L481" s="58"/>
      <c r="M481" s="58"/>
      <c r="N481"/>
    </row>
    <row r="482" spans="1:14">
      <c r="A482" s="4"/>
      <c r="B482"/>
      <c r="C482"/>
      <c r="D482"/>
      <c r="E482"/>
      <c r="F482"/>
      <c r="G482"/>
      <c r="H482"/>
      <c r="I482"/>
      <c r="J482" s="58"/>
      <c r="K482" s="58"/>
      <c r="L482" s="58"/>
      <c r="M482" s="58"/>
      <c r="N482"/>
    </row>
    <row r="483" spans="1:14">
      <c r="A483" s="4"/>
      <c r="B483"/>
      <c r="C483"/>
      <c r="D483"/>
      <c r="E483"/>
      <c r="F483"/>
      <c r="G483"/>
      <c r="H483"/>
      <c r="I483"/>
      <c r="J483" s="58"/>
      <c r="K483" s="58"/>
      <c r="L483" s="58"/>
      <c r="M483" s="58"/>
      <c r="N483"/>
    </row>
    <row r="484" spans="1:14">
      <c r="A484" s="4"/>
      <c r="B484"/>
      <c r="C484"/>
      <c r="D484"/>
      <c r="E484"/>
      <c r="F484"/>
      <c r="G484"/>
      <c r="H484"/>
      <c r="I484"/>
      <c r="J484" s="58"/>
      <c r="K484" s="58"/>
      <c r="L484" s="58"/>
      <c r="M484" s="58"/>
      <c r="N484"/>
    </row>
    <row r="485" spans="1:14">
      <c r="A485" s="4"/>
      <c r="B485"/>
      <c r="C485"/>
      <c r="D485"/>
      <c r="E485"/>
      <c r="F485"/>
      <c r="G485"/>
      <c r="H485"/>
      <c r="I485"/>
      <c r="J485" s="58"/>
      <c r="K485" s="58"/>
      <c r="L485" s="58"/>
      <c r="M485" s="58"/>
      <c r="N485"/>
    </row>
    <row r="486" spans="1:14">
      <c r="A486" s="4"/>
      <c r="B486"/>
      <c r="C486"/>
      <c r="D486"/>
      <c r="E486"/>
      <c r="F486"/>
      <c r="G486"/>
      <c r="H486"/>
      <c r="I486"/>
      <c r="J486" s="58"/>
      <c r="K486" s="58"/>
      <c r="L486" s="58"/>
      <c r="M486" s="58"/>
      <c r="N486"/>
    </row>
    <row r="487" spans="1:14">
      <c r="A487" s="4"/>
      <c r="B487"/>
      <c r="C487"/>
      <c r="D487"/>
      <c r="E487"/>
      <c r="F487"/>
      <c r="G487"/>
      <c r="H487"/>
      <c r="I487"/>
      <c r="J487" s="58"/>
      <c r="K487" s="58"/>
      <c r="L487" s="58"/>
      <c r="M487" s="58"/>
      <c r="N487"/>
    </row>
    <row r="488" spans="1:14">
      <c r="A488" s="4"/>
      <c r="B488"/>
      <c r="C488"/>
      <c r="D488"/>
      <c r="E488"/>
      <c r="F488"/>
      <c r="G488"/>
      <c r="H488"/>
      <c r="I488"/>
      <c r="J488" s="58"/>
      <c r="K488" s="58"/>
      <c r="L488" s="58"/>
      <c r="M488" s="58"/>
      <c r="N488"/>
    </row>
    <row r="489" spans="1:14">
      <c r="A489" s="4"/>
      <c r="B489"/>
      <c r="C489"/>
      <c r="D489"/>
      <c r="E489"/>
      <c r="F489"/>
      <c r="G489"/>
      <c r="H489"/>
      <c r="I489"/>
      <c r="J489" s="58"/>
      <c r="K489" s="58"/>
      <c r="L489" s="58"/>
      <c r="M489" s="58"/>
      <c r="N489"/>
    </row>
    <row r="490" spans="1:14">
      <c r="A490" s="4"/>
      <c r="B490"/>
      <c r="C490"/>
      <c r="D490"/>
      <c r="E490"/>
      <c r="F490"/>
      <c r="G490"/>
      <c r="H490"/>
      <c r="I490"/>
      <c r="J490" s="58"/>
      <c r="K490" s="58"/>
      <c r="L490" s="58"/>
      <c r="M490" s="58"/>
      <c r="N490"/>
    </row>
    <row r="491" spans="1:14">
      <c r="A491" s="4"/>
      <c r="B491"/>
      <c r="C491"/>
      <c r="D491"/>
      <c r="E491"/>
      <c r="F491"/>
      <c r="G491"/>
      <c r="H491"/>
      <c r="I491"/>
      <c r="J491" s="58"/>
      <c r="K491" s="58"/>
      <c r="L491" s="58"/>
      <c r="M491" s="58"/>
      <c r="N491"/>
    </row>
    <row r="492" spans="1:14">
      <c r="A492" s="4"/>
      <c r="B492"/>
      <c r="C492"/>
      <c r="D492"/>
      <c r="E492"/>
      <c r="F492"/>
      <c r="G492"/>
      <c r="H492"/>
      <c r="I492"/>
      <c r="J492" s="58"/>
      <c r="K492" s="58"/>
      <c r="L492" s="58"/>
      <c r="M492" s="58"/>
      <c r="N492"/>
    </row>
    <row r="493" spans="1:14">
      <c r="A493" s="4"/>
      <c r="B493"/>
      <c r="C493"/>
      <c r="D493"/>
      <c r="E493"/>
      <c r="F493"/>
      <c r="G493"/>
      <c r="H493"/>
      <c r="I493"/>
      <c r="J493" s="58"/>
      <c r="K493" s="58"/>
      <c r="L493" s="58"/>
      <c r="M493" s="58"/>
      <c r="N493"/>
    </row>
    <row r="494" spans="1:14">
      <c r="A494" s="4"/>
      <c r="B494"/>
      <c r="C494"/>
      <c r="D494"/>
      <c r="E494"/>
      <c r="F494"/>
      <c r="G494"/>
      <c r="H494"/>
      <c r="I494"/>
      <c r="J494" s="58"/>
      <c r="K494" s="58"/>
      <c r="L494" s="58"/>
      <c r="M494" s="58"/>
      <c r="N494"/>
    </row>
    <row r="495" spans="1:14">
      <c r="A495" s="4"/>
      <c r="B495"/>
      <c r="C495"/>
      <c r="D495"/>
      <c r="E495"/>
      <c r="F495"/>
      <c r="G495"/>
      <c r="H495"/>
      <c r="I495"/>
      <c r="J495" s="58"/>
      <c r="K495" s="58"/>
      <c r="L495" s="58"/>
      <c r="M495" s="58"/>
      <c r="N495"/>
    </row>
    <row r="496" spans="1:14">
      <c r="A496" s="4"/>
      <c r="B496"/>
      <c r="C496"/>
      <c r="D496"/>
      <c r="E496"/>
      <c r="F496"/>
      <c r="G496"/>
      <c r="H496"/>
      <c r="I496"/>
      <c r="J496" s="58"/>
      <c r="K496" s="58"/>
      <c r="L496" s="58"/>
      <c r="M496" s="58"/>
      <c r="N496"/>
    </row>
    <row r="497" spans="1:14">
      <c r="A497" s="4"/>
      <c r="B497"/>
      <c r="C497"/>
      <c r="D497"/>
      <c r="E497"/>
      <c r="F497"/>
      <c r="G497"/>
      <c r="H497"/>
      <c r="I497"/>
      <c r="J497" s="58"/>
      <c r="K497" s="58"/>
      <c r="L497" s="58"/>
      <c r="M497" s="58"/>
      <c r="N497"/>
    </row>
    <row r="498" spans="1:14">
      <c r="A498" s="4"/>
      <c r="B498"/>
      <c r="C498"/>
      <c r="D498"/>
      <c r="E498"/>
      <c r="F498"/>
      <c r="G498"/>
      <c r="H498"/>
      <c r="I498"/>
      <c r="J498" s="58"/>
      <c r="K498" s="58"/>
      <c r="L498" s="58"/>
      <c r="M498" s="58"/>
      <c r="N498"/>
    </row>
    <row r="499" spans="1:14">
      <c r="A499" s="4"/>
      <c r="B499"/>
      <c r="C499"/>
      <c r="D499"/>
      <c r="E499"/>
      <c r="F499"/>
      <c r="G499"/>
      <c r="H499"/>
      <c r="I499"/>
      <c r="J499" s="58"/>
      <c r="K499" s="58"/>
      <c r="L499" s="58"/>
      <c r="M499" s="58"/>
      <c r="N499"/>
    </row>
    <row r="500" spans="1:14">
      <c r="A500" s="4"/>
      <c r="B500"/>
      <c r="C500"/>
      <c r="D500"/>
      <c r="E500"/>
      <c r="F500"/>
      <c r="G500"/>
      <c r="H500"/>
      <c r="I500"/>
      <c r="J500" s="58"/>
      <c r="K500" s="58"/>
      <c r="L500" s="58"/>
      <c r="M500" s="58"/>
      <c r="N500"/>
    </row>
    <row r="501" spans="1:14">
      <c r="A501" s="4"/>
      <c r="B501"/>
      <c r="C501"/>
      <c r="D501"/>
      <c r="E501"/>
      <c r="F501"/>
      <c r="G501"/>
      <c r="H501"/>
      <c r="I501"/>
      <c r="J501" s="58"/>
      <c r="K501" s="58"/>
      <c r="L501" s="58"/>
      <c r="M501" s="58"/>
      <c r="N501"/>
    </row>
    <row r="502" spans="1:14">
      <c r="A502" s="4"/>
      <c r="B502"/>
      <c r="C502"/>
      <c r="D502"/>
      <c r="E502"/>
      <c r="F502"/>
      <c r="G502"/>
      <c r="H502"/>
      <c r="I502"/>
      <c r="J502" s="58"/>
      <c r="K502" s="58"/>
      <c r="L502" s="58"/>
      <c r="M502" s="58"/>
      <c r="N502"/>
    </row>
    <row r="503" spans="1:14">
      <c r="A503" s="4"/>
      <c r="B503"/>
      <c r="C503"/>
      <c r="D503"/>
      <c r="E503"/>
      <c r="F503"/>
      <c r="G503"/>
      <c r="H503"/>
      <c r="I503"/>
      <c r="J503" s="58"/>
      <c r="K503" s="58"/>
      <c r="L503" s="58"/>
      <c r="M503" s="58"/>
      <c r="N503"/>
    </row>
    <row r="504" spans="1:14">
      <c r="A504" s="4"/>
      <c r="B504"/>
      <c r="C504"/>
      <c r="D504"/>
      <c r="E504"/>
      <c r="F504"/>
      <c r="G504"/>
      <c r="H504"/>
      <c r="I504"/>
      <c r="J504" s="58"/>
      <c r="K504" s="58"/>
      <c r="L504" s="58"/>
      <c r="M504" s="58"/>
      <c r="N504"/>
    </row>
    <row r="505" spans="1:14">
      <c r="A505" s="4"/>
      <c r="B505"/>
      <c r="C505"/>
      <c r="D505"/>
      <c r="E505"/>
      <c r="F505"/>
      <c r="G505"/>
      <c r="H505"/>
      <c r="I505"/>
      <c r="J505" s="58"/>
      <c r="K505" s="58"/>
      <c r="L505" s="58"/>
      <c r="M505" s="58"/>
      <c r="N505"/>
    </row>
    <row r="506" spans="1:14">
      <c r="A506" s="4"/>
      <c r="B506"/>
      <c r="C506"/>
      <c r="D506"/>
      <c r="E506"/>
      <c r="F506"/>
      <c r="G506"/>
      <c r="H506"/>
      <c r="I506"/>
      <c r="J506" s="58"/>
      <c r="K506" s="58"/>
      <c r="L506" s="58"/>
      <c r="M506" s="58"/>
      <c r="N506"/>
    </row>
    <row r="507" spans="1:14">
      <c r="A507" s="4"/>
      <c r="B507"/>
      <c r="C507"/>
      <c r="D507"/>
      <c r="E507"/>
      <c r="F507"/>
      <c r="G507"/>
      <c r="H507"/>
      <c r="I507"/>
      <c r="J507" s="58"/>
      <c r="K507" s="58"/>
      <c r="L507" s="58"/>
      <c r="M507" s="58"/>
      <c r="N507"/>
    </row>
    <row r="508" spans="1:14">
      <c r="A508" s="4"/>
      <c r="B508"/>
      <c r="C508"/>
      <c r="D508"/>
      <c r="E508"/>
      <c r="F508"/>
      <c r="G508"/>
      <c r="H508"/>
      <c r="I508"/>
      <c r="J508" s="58"/>
      <c r="K508" s="58"/>
      <c r="L508" s="58"/>
      <c r="M508" s="58"/>
      <c r="N508"/>
    </row>
    <row r="509" spans="1:14">
      <c r="A509" s="4"/>
      <c r="B509"/>
      <c r="C509"/>
      <c r="D509"/>
      <c r="E509"/>
      <c r="F509"/>
      <c r="G509"/>
      <c r="H509"/>
      <c r="I509"/>
      <c r="J509" s="58"/>
      <c r="K509" s="58"/>
      <c r="L509" s="58"/>
      <c r="M509" s="58"/>
      <c r="N509"/>
    </row>
    <row r="510" spans="1:14">
      <c r="A510" s="4"/>
      <c r="B510"/>
      <c r="C510"/>
      <c r="D510"/>
      <c r="E510"/>
      <c r="F510"/>
      <c r="G510"/>
      <c r="H510"/>
      <c r="I510"/>
      <c r="J510" s="58"/>
      <c r="K510" s="58"/>
      <c r="L510" s="58"/>
      <c r="M510" s="58"/>
      <c r="N510"/>
    </row>
    <row r="511" spans="1:14">
      <c r="A511" s="4"/>
      <c r="B511"/>
      <c r="C511"/>
      <c r="D511"/>
      <c r="E511"/>
      <c r="F511"/>
      <c r="G511"/>
      <c r="H511"/>
      <c r="I511"/>
      <c r="J511" s="58"/>
      <c r="K511" s="58"/>
      <c r="L511" s="58"/>
      <c r="M511" s="58"/>
      <c r="N511"/>
    </row>
    <row r="512" spans="1:14">
      <c r="A512" s="4"/>
      <c r="B512"/>
      <c r="C512"/>
      <c r="D512"/>
      <c r="E512"/>
      <c r="F512"/>
      <c r="G512"/>
      <c r="H512"/>
      <c r="I512"/>
      <c r="J512" s="58"/>
      <c r="K512" s="58"/>
      <c r="L512" s="58"/>
      <c r="M512" s="58"/>
      <c r="N512"/>
    </row>
    <row r="513" spans="1:14">
      <c r="A513" s="4"/>
      <c r="B513"/>
      <c r="C513"/>
      <c r="D513"/>
      <c r="E513"/>
      <c r="F513"/>
      <c r="G513"/>
      <c r="H513"/>
      <c r="I513"/>
      <c r="J513" s="58"/>
      <c r="K513" s="58"/>
      <c r="L513" s="58"/>
      <c r="M513" s="58"/>
      <c r="N513"/>
    </row>
    <row r="514" spans="1:14">
      <c r="A514" s="4"/>
      <c r="B514"/>
      <c r="C514"/>
      <c r="D514"/>
      <c r="E514"/>
      <c r="F514"/>
      <c r="G514"/>
      <c r="H514"/>
      <c r="I514"/>
      <c r="J514" s="58"/>
      <c r="K514" s="58"/>
      <c r="L514" s="58"/>
      <c r="M514" s="58"/>
      <c r="N514"/>
    </row>
    <row r="515" spans="1:14">
      <c r="A515" s="4"/>
      <c r="B515"/>
      <c r="C515"/>
      <c r="D515"/>
      <c r="E515"/>
      <c r="F515"/>
      <c r="G515"/>
      <c r="H515"/>
      <c r="I515"/>
      <c r="J515" s="58"/>
      <c r="K515" s="58"/>
      <c r="L515" s="58"/>
      <c r="M515" s="58"/>
      <c r="N515"/>
    </row>
    <row r="516" spans="1:14">
      <c r="A516" s="4"/>
      <c r="B516"/>
      <c r="C516"/>
      <c r="D516"/>
      <c r="E516"/>
      <c r="F516"/>
      <c r="G516"/>
      <c r="H516"/>
      <c r="I516"/>
      <c r="J516" s="58"/>
      <c r="K516" s="58"/>
      <c r="L516" s="58"/>
      <c r="M516" s="58"/>
      <c r="N516"/>
    </row>
    <row r="517" spans="1:14">
      <c r="A517" s="4"/>
      <c r="B517"/>
      <c r="C517"/>
      <c r="D517"/>
      <c r="E517"/>
      <c r="F517"/>
      <c r="G517"/>
      <c r="H517"/>
      <c r="I517"/>
      <c r="J517" s="58"/>
      <c r="K517" s="58"/>
      <c r="L517" s="58"/>
      <c r="M517" s="58"/>
      <c r="N517"/>
    </row>
    <row r="518" spans="1:14">
      <c r="A518" s="4"/>
      <c r="B518"/>
      <c r="C518"/>
      <c r="D518"/>
      <c r="E518"/>
      <c r="F518"/>
      <c r="G518"/>
      <c r="H518"/>
      <c r="I518"/>
      <c r="J518" s="58"/>
      <c r="K518" s="58"/>
      <c r="L518" s="58"/>
      <c r="M518" s="58"/>
      <c r="N518"/>
    </row>
    <row r="519" spans="1:14">
      <c r="A519" s="4"/>
      <c r="B519"/>
      <c r="C519"/>
      <c r="D519"/>
      <c r="E519"/>
      <c r="F519"/>
      <c r="G519"/>
      <c r="H519"/>
      <c r="I519"/>
      <c r="J519" s="58"/>
      <c r="K519" s="58"/>
      <c r="L519" s="58"/>
      <c r="M519" s="58"/>
      <c r="N519"/>
    </row>
    <row r="520" spans="1:14">
      <c r="A520" s="4"/>
      <c r="B520"/>
      <c r="C520"/>
      <c r="D520"/>
      <c r="E520"/>
      <c r="F520"/>
      <c r="G520"/>
      <c r="H520"/>
      <c r="I520"/>
      <c r="J520" s="58"/>
      <c r="K520" s="58"/>
      <c r="L520" s="58"/>
      <c r="M520" s="58"/>
      <c r="N520"/>
    </row>
    <row r="521" spans="1:14">
      <c r="A521" s="4"/>
      <c r="B521"/>
      <c r="C521"/>
      <c r="D521"/>
      <c r="E521"/>
      <c r="F521"/>
      <c r="G521"/>
      <c r="H521"/>
      <c r="I521"/>
      <c r="J521" s="58"/>
      <c r="K521" s="58"/>
      <c r="L521" s="58"/>
      <c r="M521" s="58"/>
      <c r="N521"/>
    </row>
    <row r="522" spans="1:14">
      <c r="A522" s="4"/>
      <c r="B522"/>
      <c r="C522"/>
      <c r="D522"/>
      <c r="E522"/>
      <c r="F522"/>
      <c r="G522"/>
      <c r="H522"/>
      <c r="I522"/>
      <c r="J522" s="58"/>
      <c r="K522" s="58"/>
      <c r="L522" s="58"/>
      <c r="M522" s="58"/>
      <c r="N522"/>
    </row>
    <row r="523" spans="1:14">
      <c r="A523" s="4"/>
      <c r="B523"/>
      <c r="C523"/>
      <c r="D523"/>
      <c r="E523"/>
      <c r="F523"/>
      <c r="G523"/>
      <c r="H523"/>
      <c r="I523"/>
      <c r="J523" s="58"/>
      <c r="K523" s="58"/>
      <c r="L523" s="58"/>
      <c r="M523" s="58"/>
      <c r="N523"/>
    </row>
    <row r="524" spans="1:14">
      <c r="A524" s="4"/>
      <c r="B524"/>
      <c r="C524"/>
      <c r="D524"/>
      <c r="E524"/>
      <c r="F524"/>
      <c r="G524"/>
      <c r="H524"/>
      <c r="I524"/>
      <c r="J524" s="58"/>
      <c r="K524" s="58"/>
      <c r="L524" s="58"/>
      <c r="M524" s="58"/>
      <c r="N524"/>
    </row>
    <row r="525" spans="1:14">
      <c r="A525" s="4"/>
      <c r="B525"/>
      <c r="C525"/>
      <c r="D525"/>
      <c r="E525"/>
      <c r="F525"/>
      <c r="G525"/>
      <c r="H525"/>
      <c r="I525"/>
      <c r="J525" s="58"/>
      <c r="K525" s="58"/>
      <c r="L525" s="58"/>
      <c r="M525" s="58"/>
      <c r="N525"/>
    </row>
    <row r="526" spans="1:14">
      <c r="A526" s="4"/>
      <c r="B526"/>
      <c r="C526"/>
      <c r="D526"/>
      <c r="E526"/>
      <c r="F526"/>
      <c r="G526"/>
      <c r="H526"/>
      <c r="I526"/>
      <c r="J526" s="58"/>
      <c r="K526" s="58"/>
      <c r="L526" s="58"/>
      <c r="M526" s="58"/>
      <c r="N526"/>
    </row>
    <row r="527" spans="1:14">
      <c r="A527" s="4"/>
      <c r="B527"/>
      <c r="C527"/>
      <c r="D527"/>
      <c r="E527"/>
      <c r="F527"/>
      <c r="G527"/>
      <c r="H527"/>
      <c r="I527"/>
      <c r="J527" s="58"/>
      <c r="K527" s="58"/>
      <c r="L527" s="58"/>
      <c r="M527" s="58"/>
      <c r="N527"/>
    </row>
    <row r="528" spans="1:14">
      <c r="A528" s="4"/>
      <c r="B528"/>
      <c r="C528"/>
      <c r="D528"/>
      <c r="E528"/>
      <c r="F528"/>
      <c r="G528"/>
      <c r="H528"/>
      <c r="I528"/>
      <c r="J528" s="58"/>
      <c r="K528" s="58"/>
      <c r="L528" s="58"/>
      <c r="M528" s="58"/>
      <c r="N528"/>
    </row>
    <row r="529" spans="1:14">
      <c r="A529" s="4"/>
      <c r="B529"/>
      <c r="C529"/>
      <c r="D529"/>
      <c r="E529"/>
      <c r="F529"/>
      <c r="G529"/>
      <c r="H529"/>
      <c r="I529"/>
      <c r="J529" s="58"/>
      <c r="K529" s="58"/>
      <c r="L529" s="58"/>
      <c r="M529" s="58"/>
      <c r="N529"/>
    </row>
    <row r="530" spans="1:14">
      <c r="A530" s="4"/>
      <c r="B530"/>
      <c r="C530"/>
      <c r="D530"/>
      <c r="E530"/>
      <c r="F530"/>
      <c r="G530"/>
      <c r="H530"/>
      <c r="I530"/>
      <c r="J530" s="58"/>
      <c r="K530" s="58"/>
      <c r="L530" s="58"/>
      <c r="M530" s="58"/>
      <c r="N530"/>
    </row>
    <row r="531" spans="1:14">
      <c r="A531" s="4"/>
      <c r="B531"/>
      <c r="C531"/>
      <c r="D531"/>
      <c r="E531"/>
      <c r="F531"/>
      <c r="G531"/>
      <c r="H531"/>
      <c r="I531"/>
      <c r="J531" s="58"/>
      <c r="K531" s="58"/>
      <c r="L531" s="58"/>
      <c r="M531" s="58"/>
      <c r="N531"/>
    </row>
    <row r="532" spans="1:14">
      <c r="A532" s="4"/>
      <c r="B532"/>
      <c r="C532"/>
      <c r="D532"/>
      <c r="E532"/>
      <c r="F532"/>
      <c r="G532"/>
      <c r="H532"/>
      <c r="I532"/>
      <c r="J532" s="58"/>
      <c r="K532" s="58"/>
      <c r="L532" s="58"/>
      <c r="M532" s="58"/>
      <c r="N532"/>
    </row>
    <row r="533" spans="1:14">
      <c r="A533" s="4"/>
      <c r="B533"/>
      <c r="C533"/>
      <c r="D533"/>
      <c r="E533"/>
      <c r="F533"/>
      <c r="G533"/>
      <c r="H533"/>
      <c r="I533"/>
      <c r="J533" s="58"/>
      <c r="K533" s="58"/>
      <c r="L533" s="58"/>
      <c r="M533" s="58"/>
      <c r="N533"/>
    </row>
    <row r="534" spans="1:14">
      <c r="A534" s="4"/>
      <c r="B534"/>
      <c r="C534"/>
      <c r="D534"/>
      <c r="E534"/>
      <c r="F534"/>
      <c r="G534"/>
      <c r="H534"/>
      <c r="I534"/>
      <c r="J534" s="58"/>
      <c r="K534" s="58"/>
      <c r="L534" s="58"/>
      <c r="M534" s="58"/>
      <c r="N534"/>
    </row>
    <row r="535" spans="1:14">
      <c r="A535" s="4"/>
      <c r="B535"/>
      <c r="C535"/>
      <c r="D535"/>
      <c r="E535"/>
      <c r="F535"/>
      <c r="G535"/>
      <c r="H535"/>
      <c r="I535"/>
      <c r="J535" s="58"/>
      <c r="K535" s="58"/>
      <c r="L535" s="58"/>
      <c r="M535" s="58"/>
      <c r="N535"/>
    </row>
    <row r="536" spans="1:14">
      <c r="A536" s="4"/>
      <c r="B536"/>
      <c r="C536"/>
      <c r="D536"/>
      <c r="E536"/>
      <c r="F536"/>
      <c r="G536"/>
      <c r="H536"/>
      <c r="I536"/>
      <c r="J536" s="58"/>
      <c r="K536" s="58"/>
      <c r="L536" s="58"/>
      <c r="M536" s="58"/>
      <c r="N536"/>
    </row>
    <row r="537" spans="1:14">
      <c r="A537" s="4"/>
      <c r="B537"/>
      <c r="C537"/>
      <c r="D537"/>
      <c r="E537"/>
      <c r="F537"/>
      <c r="G537"/>
      <c r="H537"/>
      <c r="I537"/>
      <c r="J537" s="58"/>
      <c r="K537" s="58"/>
      <c r="L537" s="58"/>
      <c r="M537" s="58"/>
      <c r="N537"/>
    </row>
    <row r="538" spans="1:14">
      <c r="A538" s="4"/>
      <c r="B538"/>
      <c r="C538"/>
      <c r="D538"/>
      <c r="E538"/>
      <c r="F538"/>
      <c r="G538"/>
      <c r="H538"/>
      <c r="I538"/>
      <c r="J538" s="58"/>
      <c r="K538" s="58"/>
      <c r="L538" s="58"/>
      <c r="M538" s="58"/>
      <c r="N538"/>
    </row>
    <row r="539" spans="1:14">
      <c r="A539" s="4"/>
      <c r="B539"/>
      <c r="C539"/>
      <c r="D539"/>
      <c r="E539"/>
      <c r="F539"/>
      <c r="G539"/>
      <c r="H539"/>
      <c r="I539"/>
      <c r="J539" s="58"/>
      <c r="K539" s="58"/>
      <c r="L539" s="58"/>
      <c r="M539" s="58"/>
      <c r="N539"/>
    </row>
    <row r="540" spans="1:14">
      <c r="A540" s="4"/>
      <c r="B540"/>
      <c r="C540"/>
      <c r="D540"/>
      <c r="E540"/>
      <c r="F540"/>
      <c r="G540"/>
      <c r="H540"/>
      <c r="I540"/>
      <c r="J540" s="58"/>
      <c r="K540" s="58"/>
      <c r="L540" s="58"/>
      <c r="M540" s="58"/>
      <c r="N540"/>
    </row>
    <row r="541" spans="1:14">
      <c r="A541" s="4"/>
      <c r="B541"/>
      <c r="C541"/>
      <c r="D541"/>
      <c r="E541"/>
      <c r="F541"/>
      <c r="G541"/>
      <c r="H541"/>
      <c r="I541"/>
      <c r="J541" s="58"/>
      <c r="K541" s="58"/>
      <c r="L541" s="58"/>
      <c r="M541" s="58"/>
      <c r="N541"/>
    </row>
    <row r="542" spans="1:14">
      <c r="A542" s="4"/>
      <c r="B542"/>
      <c r="C542"/>
      <c r="D542"/>
      <c r="E542"/>
      <c r="F542"/>
      <c r="G542"/>
      <c r="H542"/>
      <c r="I542"/>
      <c r="J542" s="58"/>
      <c r="K542" s="58"/>
      <c r="L542" s="58"/>
      <c r="M542" s="58"/>
      <c r="N542"/>
    </row>
    <row r="543" spans="1:14">
      <c r="A543" s="4"/>
      <c r="B543"/>
      <c r="C543"/>
      <c r="D543"/>
      <c r="E543"/>
      <c r="F543"/>
      <c r="G543"/>
      <c r="H543"/>
      <c r="I543"/>
      <c r="J543" s="58"/>
      <c r="K543" s="58"/>
      <c r="L543" s="58"/>
      <c r="M543" s="58"/>
      <c r="N543"/>
    </row>
    <row r="544" spans="1:14">
      <c r="A544" s="4"/>
      <c r="B544"/>
      <c r="C544"/>
      <c r="D544"/>
      <c r="E544"/>
      <c r="F544"/>
      <c r="G544"/>
      <c r="H544"/>
      <c r="I544"/>
      <c r="J544" s="58"/>
      <c r="K544" s="58"/>
      <c r="L544" s="58"/>
      <c r="M544" s="58"/>
      <c r="N544"/>
    </row>
    <row r="545" spans="1:14">
      <c r="A545" s="4"/>
      <c r="B545"/>
      <c r="C545"/>
      <c r="D545"/>
      <c r="E545"/>
      <c r="F545"/>
      <c r="G545"/>
      <c r="H545"/>
      <c r="I545"/>
      <c r="J545" s="58"/>
      <c r="K545" s="58"/>
      <c r="L545" s="58"/>
      <c r="M545" s="58"/>
      <c r="N545"/>
    </row>
    <row r="546" spans="1:14">
      <c r="A546" s="4"/>
      <c r="B546"/>
      <c r="C546"/>
      <c r="D546"/>
      <c r="E546"/>
      <c r="F546"/>
      <c r="G546"/>
      <c r="H546"/>
      <c r="I546"/>
      <c r="J546" s="58"/>
      <c r="K546" s="58"/>
      <c r="L546" s="58"/>
      <c r="M546" s="58"/>
      <c r="N546"/>
    </row>
    <row r="547" spans="1:14">
      <c r="A547" s="4"/>
      <c r="B547"/>
      <c r="C547"/>
      <c r="D547"/>
      <c r="E547"/>
      <c r="F547"/>
      <c r="G547"/>
      <c r="H547"/>
      <c r="I547"/>
      <c r="J547" s="58"/>
      <c r="K547" s="58"/>
      <c r="L547" s="58"/>
      <c r="M547" s="58"/>
      <c r="N547"/>
    </row>
    <row r="548" spans="1:14">
      <c r="A548" s="4"/>
      <c r="B548"/>
      <c r="C548"/>
      <c r="D548"/>
      <c r="E548"/>
      <c r="F548"/>
      <c r="G548"/>
      <c r="H548"/>
      <c r="I548"/>
      <c r="J548" s="58"/>
      <c r="K548" s="58"/>
      <c r="L548" s="58"/>
      <c r="M548" s="58"/>
      <c r="N548"/>
    </row>
    <row r="549" spans="1:14">
      <c r="A549" s="4"/>
      <c r="B549"/>
      <c r="C549"/>
      <c r="D549"/>
      <c r="E549"/>
      <c r="F549"/>
      <c r="G549"/>
      <c r="H549"/>
      <c r="I549"/>
      <c r="J549" s="58"/>
      <c r="K549" s="58"/>
      <c r="L549" s="58"/>
      <c r="M549" s="58"/>
      <c r="N549"/>
    </row>
    <row r="550" spans="1:14">
      <c r="A550" s="4"/>
      <c r="B550"/>
      <c r="C550"/>
      <c r="D550"/>
      <c r="E550"/>
      <c r="F550"/>
      <c r="G550"/>
      <c r="H550"/>
      <c r="I550"/>
      <c r="J550" s="58"/>
      <c r="K550" s="58"/>
      <c r="L550" s="58"/>
      <c r="M550" s="58"/>
      <c r="N550"/>
    </row>
    <row r="551" spans="1:14">
      <c r="A551" s="4"/>
      <c r="B551"/>
      <c r="C551"/>
      <c r="D551"/>
      <c r="E551"/>
      <c r="F551"/>
      <c r="G551"/>
      <c r="H551"/>
      <c r="I551"/>
      <c r="J551" s="58"/>
      <c r="K551" s="58"/>
      <c r="L551" s="58"/>
      <c r="M551" s="58"/>
      <c r="N551"/>
    </row>
    <row r="552" spans="1:14">
      <c r="A552" s="4"/>
      <c r="B552"/>
      <c r="C552"/>
      <c r="D552"/>
      <c r="E552"/>
      <c r="F552"/>
      <c r="G552"/>
      <c r="H552"/>
      <c r="I552"/>
      <c r="J552" s="58"/>
      <c r="K552" s="58"/>
      <c r="L552" s="58"/>
      <c r="M552" s="58"/>
      <c r="N552"/>
    </row>
    <row r="553" spans="1:14">
      <c r="A553" s="4"/>
      <c r="B553"/>
      <c r="C553"/>
      <c r="D553"/>
      <c r="E553"/>
      <c r="F553"/>
      <c r="G553"/>
      <c r="H553"/>
      <c r="I553"/>
      <c r="J553" s="58"/>
      <c r="K553" s="58"/>
      <c r="L553" s="58"/>
      <c r="M553" s="58"/>
      <c r="N553"/>
    </row>
    <row r="554" spans="1:14">
      <c r="A554" s="4"/>
      <c r="B554"/>
      <c r="C554"/>
      <c r="D554"/>
      <c r="E554"/>
      <c r="F554"/>
      <c r="G554"/>
      <c r="H554"/>
      <c r="I554"/>
      <c r="J554" s="58"/>
      <c r="K554" s="58"/>
      <c r="L554" s="58"/>
      <c r="M554" s="58"/>
      <c r="N554"/>
    </row>
    <row r="555" spans="1:14">
      <c r="A555" s="4"/>
      <c r="B555"/>
      <c r="C555"/>
      <c r="D555"/>
      <c r="E555"/>
      <c r="F555"/>
      <c r="G555"/>
      <c r="H555"/>
      <c r="I555"/>
      <c r="J555" s="58"/>
      <c r="K555" s="58"/>
      <c r="L555" s="58"/>
      <c r="M555" s="58"/>
      <c r="N555"/>
    </row>
    <row r="556" spans="1:14">
      <c r="A556" s="4"/>
      <c r="B556"/>
      <c r="C556"/>
      <c r="D556"/>
      <c r="E556"/>
      <c r="F556"/>
      <c r="G556"/>
      <c r="H556"/>
      <c r="I556"/>
      <c r="J556" s="58"/>
      <c r="K556" s="58"/>
      <c r="L556" s="58"/>
      <c r="M556" s="58"/>
      <c r="N556"/>
    </row>
    <row r="557" spans="1:14">
      <c r="A557" s="4"/>
      <c r="B557"/>
      <c r="C557"/>
      <c r="D557"/>
      <c r="E557"/>
      <c r="F557"/>
      <c r="G557"/>
      <c r="H557"/>
      <c r="I557"/>
      <c r="J557" s="58"/>
      <c r="K557" s="58"/>
      <c r="L557" s="58"/>
      <c r="M557" s="58"/>
      <c r="N557"/>
    </row>
    <row r="558" spans="1:14">
      <c r="A558" s="4"/>
      <c r="B558"/>
      <c r="C558"/>
      <c r="D558"/>
      <c r="E558"/>
      <c r="F558"/>
      <c r="G558"/>
      <c r="H558"/>
      <c r="I558"/>
      <c r="J558" s="58"/>
      <c r="K558" s="58"/>
      <c r="L558" s="58"/>
      <c r="M558" s="58"/>
      <c r="N558"/>
    </row>
    <row r="559" spans="1:14">
      <c r="A559" s="4"/>
      <c r="B559"/>
      <c r="C559"/>
      <c r="D559"/>
      <c r="E559"/>
      <c r="F559"/>
      <c r="G559"/>
      <c r="H559"/>
      <c r="I559"/>
      <c r="J559" s="58"/>
      <c r="K559" s="58"/>
      <c r="L559" s="58"/>
      <c r="M559" s="58"/>
      <c r="N559"/>
    </row>
    <row r="560" spans="1:14">
      <c r="A560" s="4"/>
      <c r="B560"/>
      <c r="C560"/>
      <c r="D560"/>
      <c r="E560"/>
      <c r="F560"/>
      <c r="G560"/>
      <c r="H560"/>
      <c r="I560"/>
      <c r="J560" s="58"/>
      <c r="K560" s="58"/>
      <c r="L560" s="58"/>
      <c r="M560" s="58"/>
      <c r="N560"/>
    </row>
    <row r="561" spans="1:14">
      <c r="A561" s="4"/>
      <c r="B561"/>
      <c r="C561"/>
      <c r="D561"/>
      <c r="E561"/>
      <c r="F561"/>
      <c r="G561"/>
      <c r="H561"/>
      <c r="I561"/>
      <c r="J561" s="58"/>
      <c r="K561" s="58"/>
      <c r="L561" s="58"/>
      <c r="M561" s="58"/>
      <c r="N561"/>
    </row>
    <row r="562" spans="1:14">
      <c r="A562" s="4"/>
      <c r="B562"/>
      <c r="C562"/>
      <c r="D562"/>
      <c r="E562"/>
      <c r="F562"/>
      <c r="G562"/>
      <c r="H562"/>
      <c r="I562"/>
      <c r="J562" s="58"/>
      <c r="K562" s="58"/>
      <c r="L562" s="58"/>
      <c r="M562" s="58"/>
      <c r="N562"/>
    </row>
    <row r="563" spans="1:14">
      <c r="A563" s="4"/>
      <c r="B563"/>
      <c r="C563"/>
      <c r="D563"/>
      <c r="E563"/>
      <c r="F563"/>
      <c r="G563"/>
      <c r="H563"/>
      <c r="I563"/>
      <c r="J563" s="58"/>
      <c r="K563" s="58"/>
      <c r="L563" s="58"/>
      <c r="M563" s="58"/>
      <c r="N563"/>
    </row>
    <row r="564" spans="1:14">
      <c r="A564" s="4"/>
      <c r="B564"/>
      <c r="C564"/>
      <c r="D564"/>
      <c r="E564"/>
      <c r="F564"/>
      <c r="G564"/>
      <c r="H564"/>
      <c r="I564"/>
      <c r="J564" s="58"/>
      <c r="K564" s="58"/>
      <c r="L564" s="58"/>
      <c r="M564" s="58"/>
      <c r="N564"/>
    </row>
    <row r="565" spans="1:14">
      <c r="A565" s="4"/>
      <c r="B565"/>
      <c r="C565"/>
      <c r="D565"/>
      <c r="E565"/>
      <c r="F565"/>
      <c r="G565"/>
      <c r="H565"/>
      <c r="I565"/>
      <c r="J565" s="58"/>
      <c r="K565" s="58"/>
      <c r="L565" s="58"/>
      <c r="M565" s="58"/>
      <c r="N565"/>
    </row>
    <row r="566" spans="1:14">
      <c r="A566" s="4"/>
      <c r="B566"/>
      <c r="C566"/>
      <c r="D566"/>
      <c r="E566"/>
      <c r="F566"/>
      <c r="G566"/>
      <c r="H566"/>
      <c r="I566"/>
      <c r="J566" s="58"/>
      <c r="K566" s="58"/>
      <c r="L566" s="58"/>
      <c r="M566" s="58"/>
      <c r="N566"/>
    </row>
    <row r="567" spans="1:14">
      <c r="A567" s="4"/>
      <c r="B567"/>
      <c r="C567"/>
      <c r="D567"/>
      <c r="E567"/>
      <c r="F567"/>
      <c r="G567"/>
      <c r="H567"/>
      <c r="I567"/>
      <c r="J567" s="58"/>
      <c r="K567" s="58"/>
      <c r="L567" s="58"/>
      <c r="M567" s="58"/>
      <c r="N567"/>
    </row>
    <row r="568" spans="1:14">
      <c r="A568" s="4"/>
      <c r="B568"/>
      <c r="C568"/>
      <c r="D568"/>
      <c r="E568"/>
      <c r="F568"/>
      <c r="G568"/>
      <c r="H568"/>
      <c r="I568"/>
      <c r="J568" s="58"/>
      <c r="K568" s="58"/>
      <c r="L568" s="58"/>
      <c r="M568" s="58"/>
      <c r="N568"/>
    </row>
    <row r="569" spans="1:14">
      <c r="A569" s="4"/>
      <c r="B569"/>
      <c r="C569"/>
      <c r="D569"/>
      <c r="E569"/>
      <c r="F569"/>
      <c r="G569"/>
      <c r="H569"/>
      <c r="I569"/>
      <c r="J569" s="58"/>
      <c r="K569" s="58"/>
      <c r="L569" s="58"/>
      <c r="M569" s="58"/>
      <c r="N569"/>
    </row>
    <row r="570" spans="1:14">
      <c r="A570" s="4"/>
      <c r="B570"/>
      <c r="C570"/>
      <c r="D570"/>
      <c r="E570"/>
      <c r="F570"/>
      <c r="G570"/>
      <c r="H570"/>
      <c r="I570"/>
      <c r="J570" s="58"/>
      <c r="K570" s="58"/>
      <c r="L570" s="58"/>
      <c r="M570" s="58"/>
      <c r="N570"/>
    </row>
    <row r="571" spans="1:14">
      <c r="A571" s="4"/>
      <c r="B571"/>
      <c r="C571"/>
      <c r="D571"/>
      <c r="E571"/>
      <c r="F571"/>
      <c r="G571"/>
      <c r="H571"/>
      <c r="I571"/>
      <c r="J571" s="58"/>
      <c r="K571" s="58"/>
      <c r="L571" s="58"/>
      <c r="M571" s="58"/>
      <c r="N571"/>
    </row>
    <row r="572" spans="1:14">
      <c r="A572" s="4"/>
      <c r="B572"/>
      <c r="C572"/>
      <c r="D572"/>
      <c r="E572"/>
      <c r="F572"/>
      <c r="G572"/>
      <c r="H572"/>
      <c r="I572"/>
      <c r="J572" s="58"/>
      <c r="K572" s="58"/>
      <c r="L572" s="58"/>
      <c r="M572" s="58"/>
      <c r="N572"/>
    </row>
    <row r="573" spans="1:14">
      <c r="A573" s="4"/>
      <c r="B573"/>
      <c r="C573"/>
      <c r="D573"/>
      <c r="E573"/>
      <c r="F573"/>
      <c r="G573"/>
      <c r="H573"/>
      <c r="I573"/>
      <c r="J573" s="58"/>
      <c r="K573" s="58"/>
      <c r="L573" s="58"/>
      <c r="M573" s="58"/>
      <c r="N573"/>
    </row>
    <row r="574" spans="1:14">
      <c r="A574" s="4"/>
      <c r="B574"/>
      <c r="C574"/>
      <c r="D574"/>
      <c r="E574"/>
      <c r="F574"/>
      <c r="G574"/>
      <c r="H574"/>
      <c r="I574"/>
      <c r="J574" s="58"/>
      <c r="K574" s="58"/>
      <c r="L574" s="58"/>
      <c r="M574" s="58"/>
      <c r="N574"/>
    </row>
    <row r="575" spans="1:14">
      <c r="A575" s="4"/>
      <c r="B575"/>
      <c r="C575"/>
      <c r="D575"/>
      <c r="E575"/>
      <c r="F575"/>
      <c r="G575"/>
      <c r="H575"/>
      <c r="I575"/>
      <c r="J575" s="58"/>
      <c r="K575" s="58"/>
      <c r="L575" s="58"/>
      <c r="M575" s="58"/>
      <c r="N575"/>
    </row>
    <row r="576" spans="1:14">
      <c r="A576" s="4"/>
      <c r="B576"/>
      <c r="C576"/>
      <c r="D576"/>
      <c r="E576"/>
      <c r="F576"/>
      <c r="G576"/>
      <c r="H576"/>
      <c r="I576"/>
      <c r="J576" s="58"/>
      <c r="K576" s="58"/>
      <c r="L576" s="58"/>
      <c r="M576" s="58"/>
      <c r="N576"/>
    </row>
    <row r="577" spans="1:14">
      <c r="A577" s="4"/>
      <c r="B577"/>
      <c r="C577"/>
      <c r="D577"/>
      <c r="E577"/>
      <c r="F577"/>
      <c r="G577"/>
      <c r="H577"/>
      <c r="I577"/>
      <c r="J577" s="58"/>
      <c r="K577" s="58"/>
      <c r="L577" s="58"/>
      <c r="M577" s="58"/>
      <c r="N577"/>
    </row>
    <row r="578" spans="1:14">
      <c r="A578" s="4"/>
      <c r="B578"/>
      <c r="C578"/>
      <c r="D578"/>
      <c r="E578"/>
      <c r="F578"/>
      <c r="G578"/>
      <c r="H578"/>
      <c r="I578"/>
      <c r="J578" s="58"/>
      <c r="K578" s="58"/>
      <c r="L578" s="58"/>
      <c r="M578" s="58"/>
      <c r="N578"/>
    </row>
    <row r="579" spans="1:14">
      <c r="A579" s="4"/>
      <c r="B579"/>
      <c r="C579"/>
      <c r="D579"/>
      <c r="E579"/>
      <c r="F579"/>
      <c r="G579"/>
      <c r="H579"/>
      <c r="I579"/>
      <c r="J579" s="58"/>
      <c r="K579" s="58"/>
      <c r="L579" s="58"/>
      <c r="M579" s="58"/>
      <c r="N579"/>
    </row>
    <row r="580" spans="1:14">
      <c r="A580" s="4"/>
      <c r="B580"/>
      <c r="C580"/>
      <c r="D580"/>
      <c r="E580"/>
      <c r="F580"/>
      <c r="G580"/>
      <c r="H580"/>
      <c r="I580"/>
      <c r="J580" s="58"/>
      <c r="K580" s="58"/>
      <c r="L580" s="58"/>
      <c r="M580" s="58"/>
      <c r="N580"/>
    </row>
    <row r="581" spans="1:14">
      <c r="A581" s="4"/>
      <c r="B581"/>
      <c r="C581"/>
      <c r="D581"/>
      <c r="E581"/>
      <c r="F581"/>
      <c r="G581"/>
      <c r="H581"/>
      <c r="I581"/>
      <c r="J581" s="58"/>
      <c r="K581" s="58"/>
      <c r="L581" s="58"/>
      <c r="M581" s="58"/>
      <c r="N581"/>
    </row>
    <row r="582" spans="1:14">
      <c r="A582" s="4"/>
      <c r="B582"/>
      <c r="C582"/>
      <c r="D582"/>
      <c r="E582"/>
      <c r="F582"/>
      <c r="G582"/>
      <c r="H582"/>
      <c r="I582"/>
      <c r="J582" s="58"/>
      <c r="K582" s="58"/>
      <c r="L582" s="58"/>
      <c r="M582" s="58"/>
      <c r="N582"/>
    </row>
    <row r="583" spans="1:14">
      <c r="A583" s="4"/>
      <c r="B583"/>
      <c r="C583"/>
      <c r="D583"/>
      <c r="E583"/>
      <c r="F583"/>
      <c r="G583"/>
      <c r="H583"/>
      <c r="I583"/>
      <c r="J583" s="58"/>
      <c r="K583" s="58"/>
      <c r="L583" s="58"/>
      <c r="M583" s="58"/>
      <c r="N583"/>
    </row>
    <row r="584" spans="1:14">
      <c r="A584" s="4"/>
      <c r="B584"/>
      <c r="C584"/>
      <c r="D584"/>
      <c r="E584"/>
      <c r="F584"/>
      <c r="G584"/>
      <c r="H584"/>
      <c r="I584"/>
      <c r="J584" s="58"/>
      <c r="K584" s="58"/>
      <c r="L584" s="58"/>
      <c r="M584" s="58"/>
      <c r="N584"/>
    </row>
    <row r="585" spans="1:14">
      <c r="A585" s="4"/>
      <c r="B585"/>
      <c r="C585"/>
      <c r="D585"/>
      <c r="E585"/>
      <c r="F585"/>
      <c r="G585"/>
      <c r="H585"/>
      <c r="I585"/>
      <c r="J585" s="58"/>
      <c r="K585" s="58"/>
      <c r="L585" s="58"/>
      <c r="M585" s="58"/>
      <c r="N585"/>
    </row>
    <row r="586" spans="1:14">
      <c r="A586" s="4"/>
      <c r="B586"/>
      <c r="C586"/>
      <c r="D586"/>
      <c r="E586"/>
      <c r="F586"/>
      <c r="G586"/>
      <c r="H586"/>
      <c r="I586"/>
      <c r="J586" s="58"/>
      <c r="K586" s="58"/>
      <c r="L586" s="58"/>
      <c r="M586" s="58"/>
      <c r="N586"/>
    </row>
    <row r="587" spans="1:14">
      <c r="A587" s="4"/>
      <c r="B587"/>
      <c r="C587"/>
      <c r="D587"/>
      <c r="E587"/>
      <c r="F587"/>
      <c r="G587"/>
      <c r="H587"/>
      <c r="I587"/>
      <c r="J587" s="58"/>
      <c r="K587" s="58"/>
      <c r="L587" s="58"/>
      <c r="M587" s="58"/>
      <c r="N587"/>
    </row>
    <row r="588" spans="1:14">
      <c r="A588" s="4"/>
      <c r="B588"/>
      <c r="C588"/>
      <c r="D588"/>
      <c r="E588"/>
      <c r="F588"/>
      <c r="G588"/>
      <c r="H588"/>
      <c r="I588"/>
      <c r="J588" s="58"/>
      <c r="K588" s="58"/>
      <c r="L588" s="58"/>
      <c r="M588" s="58"/>
      <c r="N588"/>
    </row>
    <row r="589" spans="1:14">
      <c r="A589" s="4"/>
      <c r="B589"/>
      <c r="C589"/>
      <c r="D589"/>
      <c r="E589"/>
      <c r="F589"/>
      <c r="G589"/>
      <c r="H589"/>
      <c r="I589"/>
      <c r="J589" s="58"/>
      <c r="K589" s="58"/>
      <c r="L589" s="58"/>
      <c r="M589" s="58"/>
      <c r="N589"/>
    </row>
    <row r="590" spans="1:14">
      <c r="A590" s="4"/>
      <c r="B590"/>
      <c r="C590"/>
      <c r="D590"/>
      <c r="E590"/>
      <c r="F590"/>
      <c r="G590"/>
      <c r="H590"/>
      <c r="I590"/>
      <c r="J590" s="58"/>
      <c r="K590" s="58"/>
      <c r="L590" s="58"/>
      <c r="M590" s="58"/>
      <c r="N590"/>
    </row>
    <row r="591" spans="1:14">
      <c r="A591" s="4"/>
      <c r="B591"/>
      <c r="C591"/>
      <c r="D591"/>
      <c r="E591"/>
      <c r="F591"/>
      <c r="G591"/>
      <c r="H591"/>
      <c r="I591"/>
      <c r="J591" s="58"/>
      <c r="K591" s="58"/>
      <c r="L591" s="58"/>
      <c r="M591" s="58"/>
      <c r="N591"/>
    </row>
    <row r="592" spans="1:14">
      <c r="A592" s="4"/>
      <c r="B592"/>
      <c r="C592"/>
      <c r="D592"/>
      <c r="E592"/>
      <c r="F592"/>
      <c r="G592"/>
      <c r="H592"/>
      <c r="I592"/>
      <c r="J592" s="58"/>
      <c r="K592" s="58"/>
      <c r="L592" s="58"/>
      <c r="M592" s="58"/>
      <c r="N592"/>
    </row>
    <row r="593" spans="1:14">
      <c r="A593" s="4"/>
      <c r="B593"/>
      <c r="C593"/>
      <c r="D593"/>
      <c r="E593"/>
      <c r="F593"/>
      <c r="G593"/>
      <c r="H593"/>
      <c r="I593"/>
      <c r="J593" s="58"/>
      <c r="K593" s="58"/>
      <c r="L593" s="58"/>
      <c r="M593" s="58"/>
      <c r="N593"/>
    </row>
    <row r="594" spans="1:14">
      <c r="A594" s="4"/>
      <c r="B594"/>
      <c r="C594"/>
      <c r="D594"/>
      <c r="E594"/>
      <c r="F594"/>
      <c r="G594"/>
      <c r="H594"/>
      <c r="I594"/>
      <c r="J594" s="58"/>
      <c r="K594" s="58"/>
      <c r="L594" s="58"/>
      <c r="M594" s="58"/>
      <c r="N594"/>
    </row>
    <row r="595" spans="1:14">
      <c r="A595" s="4"/>
      <c r="B595"/>
      <c r="C595"/>
      <c r="D595"/>
      <c r="E595"/>
      <c r="F595"/>
      <c r="G595"/>
      <c r="H595"/>
      <c r="I595"/>
      <c r="J595" s="58"/>
      <c r="K595" s="58"/>
      <c r="L595" s="58"/>
      <c r="M595" s="58"/>
      <c r="N595"/>
    </row>
    <row r="596" spans="1:14">
      <c r="A596" s="4"/>
      <c r="B596"/>
      <c r="C596"/>
      <c r="D596"/>
      <c r="E596"/>
      <c r="F596"/>
      <c r="G596"/>
      <c r="H596"/>
      <c r="I596"/>
      <c r="J596" s="58"/>
      <c r="K596" s="58"/>
      <c r="L596" s="58"/>
      <c r="M596" s="58"/>
      <c r="N596"/>
    </row>
    <row r="597" spans="1:14">
      <c r="A597" s="4"/>
      <c r="B597"/>
      <c r="C597"/>
      <c r="D597"/>
      <c r="E597"/>
      <c r="F597"/>
      <c r="G597"/>
      <c r="H597"/>
      <c r="I597"/>
      <c r="J597" s="58"/>
      <c r="K597" s="58"/>
      <c r="L597" s="58"/>
      <c r="M597" s="58"/>
      <c r="N597"/>
    </row>
    <row r="598" spans="1:14">
      <c r="A598" s="4"/>
      <c r="B598"/>
      <c r="C598"/>
      <c r="D598"/>
      <c r="E598"/>
      <c r="F598"/>
      <c r="G598"/>
      <c r="H598"/>
      <c r="I598"/>
      <c r="J598" s="58"/>
      <c r="K598" s="58"/>
      <c r="L598" s="58"/>
      <c r="M598" s="58"/>
      <c r="N598"/>
    </row>
    <row r="599" spans="1:14">
      <c r="A599" s="4"/>
      <c r="B599"/>
      <c r="C599"/>
      <c r="D599"/>
      <c r="E599"/>
      <c r="F599"/>
      <c r="G599"/>
      <c r="H599"/>
      <c r="I599"/>
      <c r="J599" s="58"/>
      <c r="K599" s="58"/>
      <c r="L599" s="58"/>
      <c r="M599" s="58"/>
      <c r="N599"/>
    </row>
    <row r="600" spans="1:14">
      <c r="A600" s="4"/>
      <c r="B600"/>
      <c r="C600"/>
      <c r="D600"/>
      <c r="E600"/>
      <c r="F600"/>
      <c r="G600"/>
      <c r="H600"/>
      <c r="I600"/>
      <c r="J600" s="58"/>
      <c r="K600" s="58"/>
      <c r="L600" s="58"/>
      <c r="M600" s="58"/>
      <c r="N600"/>
    </row>
    <row r="601" spans="1:14">
      <c r="A601" s="4"/>
      <c r="B601"/>
      <c r="C601"/>
      <c r="D601"/>
      <c r="E601"/>
      <c r="F601"/>
      <c r="G601"/>
      <c r="H601"/>
      <c r="I601"/>
      <c r="J601" s="58"/>
      <c r="K601" s="58"/>
      <c r="L601" s="58"/>
      <c r="M601" s="58"/>
      <c r="N601"/>
    </row>
    <row r="602" spans="1:14">
      <c r="A602" s="4"/>
      <c r="B602"/>
      <c r="C602"/>
      <c r="D602"/>
      <c r="E602"/>
      <c r="F602"/>
      <c r="G602"/>
      <c r="H602"/>
      <c r="I602"/>
      <c r="J602" s="58"/>
      <c r="K602" s="58"/>
      <c r="L602" s="58"/>
      <c r="M602" s="58"/>
      <c r="N602"/>
    </row>
    <row r="603" spans="1:14">
      <c r="A603" s="4"/>
      <c r="B603"/>
      <c r="C603"/>
      <c r="D603"/>
      <c r="E603"/>
      <c r="F603"/>
      <c r="G603"/>
      <c r="H603"/>
      <c r="I603"/>
      <c r="J603" s="58"/>
      <c r="K603" s="58"/>
      <c r="L603" s="58"/>
      <c r="M603" s="58"/>
      <c r="N603"/>
    </row>
    <row r="604" spans="1:14">
      <c r="A604" s="4"/>
      <c r="B604"/>
      <c r="C604"/>
      <c r="D604"/>
      <c r="E604"/>
      <c r="F604"/>
      <c r="G604"/>
      <c r="H604"/>
      <c r="I604"/>
      <c r="J604" s="58"/>
      <c r="K604" s="58"/>
      <c r="L604" s="58"/>
      <c r="M604" s="58"/>
      <c r="N604"/>
    </row>
    <row r="605" spans="1:14">
      <c r="A605" s="4"/>
      <c r="B605"/>
      <c r="C605"/>
      <c r="D605"/>
      <c r="E605"/>
      <c r="F605"/>
      <c r="G605"/>
      <c r="H605"/>
      <c r="I605"/>
      <c r="J605" s="58"/>
      <c r="K605" s="58"/>
      <c r="L605" s="58"/>
      <c r="M605" s="58"/>
      <c r="N605"/>
    </row>
    <row r="606" spans="1:14">
      <c r="A606" s="4"/>
      <c r="B606"/>
      <c r="C606"/>
      <c r="D606"/>
      <c r="E606"/>
      <c r="F606"/>
      <c r="G606"/>
      <c r="H606"/>
      <c r="I606"/>
      <c r="J606" s="58"/>
      <c r="K606" s="58"/>
      <c r="L606" s="58"/>
      <c r="M606" s="58"/>
      <c r="N606"/>
    </row>
    <row r="607" spans="1:14">
      <c r="A607" s="4"/>
      <c r="B607"/>
      <c r="C607"/>
      <c r="D607"/>
      <c r="E607"/>
      <c r="F607"/>
      <c r="G607"/>
      <c r="H607"/>
      <c r="I607"/>
      <c r="J607" s="58"/>
      <c r="K607" s="58"/>
      <c r="L607" s="58"/>
      <c r="M607" s="58"/>
      <c r="N607"/>
    </row>
    <row r="608" spans="1:14">
      <c r="A608" s="4"/>
      <c r="B608"/>
      <c r="C608"/>
      <c r="D608"/>
      <c r="E608"/>
      <c r="F608"/>
      <c r="G608"/>
      <c r="H608"/>
      <c r="I608"/>
      <c r="J608" s="58"/>
      <c r="K608" s="58"/>
      <c r="L608" s="58"/>
      <c r="M608" s="58"/>
      <c r="N608"/>
    </row>
    <row r="609" spans="1:14">
      <c r="A609" s="4"/>
      <c r="B609"/>
      <c r="C609"/>
      <c r="D609"/>
      <c r="E609"/>
      <c r="F609"/>
      <c r="G609"/>
      <c r="H609"/>
      <c r="I609"/>
      <c r="J609" s="58"/>
      <c r="K609" s="58"/>
      <c r="L609" s="58"/>
      <c r="M609" s="58"/>
      <c r="N609"/>
    </row>
    <row r="610" spans="1:14">
      <c r="A610" s="4"/>
      <c r="B610"/>
      <c r="C610"/>
      <c r="D610"/>
      <c r="E610"/>
      <c r="F610"/>
      <c r="G610"/>
      <c r="H610"/>
      <c r="I610"/>
      <c r="J610" s="58"/>
      <c r="K610" s="58"/>
      <c r="L610" s="58"/>
      <c r="M610" s="58"/>
      <c r="N610"/>
    </row>
    <row r="611" spans="1:14">
      <c r="A611" s="4"/>
      <c r="B611"/>
      <c r="C611"/>
      <c r="D611"/>
      <c r="E611"/>
      <c r="F611"/>
      <c r="G611"/>
      <c r="H611"/>
      <c r="I611"/>
      <c r="J611" s="58"/>
      <c r="K611" s="58"/>
      <c r="L611" s="58"/>
      <c r="M611" s="58"/>
      <c r="N611"/>
    </row>
    <row r="612" spans="1:14">
      <c r="A612" s="4"/>
      <c r="B612"/>
      <c r="C612"/>
      <c r="D612"/>
      <c r="E612"/>
      <c r="F612"/>
      <c r="G612"/>
      <c r="H612"/>
      <c r="I612"/>
      <c r="J612" s="58"/>
      <c r="K612" s="58"/>
      <c r="L612" s="58"/>
      <c r="M612" s="58"/>
      <c r="N612"/>
    </row>
    <row r="613" spans="1:14">
      <c r="A613" s="4"/>
      <c r="B613"/>
      <c r="C613"/>
      <c r="D613"/>
      <c r="E613"/>
      <c r="F613"/>
      <c r="G613"/>
      <c r="H613"/>
      <c r="I613"/>
      <c r="J613" s="58"/>
      <c r="K613" s="58"/>
      <c r="L613" s="58"/>
      <c r="M613" s="58"/>
      <c r="N613"/>
    </row>
    <row r="614" spans="1:14">
      <c r="A614" s="4"/>
      <c r="B614"/>
      <c r="C614"/>
      <c r="D614"/>
      <c r="E614"/>
      <c r="F614"/>
      <c r="G614"/>
      <c r="H614"/>
      <c r="I614"/>
      <c r="J614" s="58"/>
      <c r="K614" s="58"/>
      <c r="L614" s="58"/>
      <c r="M614" s="58"/>
      <c r="N614"/>
    </row>
    <row r="615" spans="1:14">
      <c r="A615" s="4"/>
      <c r="B615"/>
      <c r="C615"/>
      <c r="D615"/>
      <c r="E615"/>
      <c r="F615"/>
      <c r="G615"/>
      <c r="H615"/>
      <c r="I615"/>
      <c r="J615" s="58"/>
      <c r="K615" s="58"/>
      <c r="L615" s="58"/>
      <c r="M615" s="58"/>
      <c r="N615"/>
    </row>
    <row r="616" spans="1:14">
      <c r="A616" s="4"/>
      <c r="B616"/>
      <c r="C616"/>
      <c r="D616"/>
      <c r="E616"/>
      <c r="F616"/>
      <c r="G616"/>
      <c r="H616"/>
      <c r="I616"/>
      <c r="J616" s="58"/>
      <c r="K616" s="58"/>
      <c r="L616" s="58"/>
      <c r="M616" s="58"/>
      <c r="N616"/>
    </row>
    <row r="617" spans="1:14">
      <c r="A617" s="4"/>
      <c r="B617"/>
      <c r="C617"/>
      <c r="D617"/>
      <c r="E617"/>
      <c r="F617"/>
      <c r="G617"/>
      <c r="H617"/>
      <c r="I617"/>
      <c r="J617" s="58"/>
      <c r="K617" s="58"/>
      <c r="L617" s="58"/>
      <c r="M617" s="58"/>
      <c r="N617"/>
    </row>
    <row r="618" spans="1:14">
      <c r="A618" s="4"/>
      <c r="B618"/>
      <c r="C618"/>
      <c r="D618"/>
      <c r="E618"/>
      <c r="F618"/>
      <c r="G618"/>
      <c r="H618"/>
      <c r="I618"/>
      <c r="J618" s="58"/>
      <c r="K618" s="58"/>
      <c r="L618" s="58"/>
      <c r="M618" s="58"/>
      <c r="N618"/>
    </row>
    <row r="619" spans="1:14">
      <c r="A619" s="4"/>
      <c r="B619"/>
      <c r="C619"/>
      <c r="D619"/>
      <c r="E619"/>
      <c r="F619"/>
      <c r="G619"/>
      <c r="H619"/>
      <c r="I619"/>
      <c r="J619" s="58"/>
      <c r="K619" s="58"/>
      <c r="L619" s="58"/>
      <c r="M619" s="58"/>
      <c r="N619"/>
    </row>
    <row r="620" spans="1:14">
      <c r="A620" s="4"/>
      <c r="B620"/>
      <c r="C620"/>
      <c r="D620"/>
      <c r="E620"/>
      <c r="F620"/>
      <c r="G620"/>
      <c r="H620"/>
      <c r="I620"/>
      <c r="J620" s="58"/>
      <c r="K620" s="58"/>
      <c r="L620" s="58"/>
      <c r="M620" s="58"/>
      <c r="N620"/>
    </row>
    <row r="621" spans="1:14">
      <c r="A621" s="4"/>
      <c r="B621"/>
      <c r="C621"/>
      <c r="D621"/>
      <c r="E621"/>
      <c r="F621"/>
      <c r="G621"/>
      <c r="H621"/>
      <c r="I621"/>
      <c r="J621" s="58"/>
      <c r="K621" s="58"/>
      <c r="L621" s="58"/>
      <c r="M621" s="58"/>
      <c r="N621"/>
    </row>
    <row r="622" spans="1:14">
      <c r="A622" s="4"/>
      <c r="B622"/>
      <c r="C622"/>
      <c r="D622"/>
      <c r="E622"/>
      <c r="F622"/>
      <c r="G622"/>
      <c r="H622"/>
      <c r="I622"/>
      <c r="J622" s="58"/>
      <c r="K622" s="58"/>
      <c r="L622" s="58"/>
      <c r="M622" s="58"/>
      <c r="N622"/>
    </row>
    <row r="623" spans="1:14">
      <c r="A623" s="4"/>
      <c r="B623"/>
      <c r="C623"/>
      <c r="D623"/>
      <c r="E623"/>
      <c r="F623"/>
      <c r="G623"/>
      <c r="H623"/>
      <c r="I623"/>
      <c r="J623" s="58"/>
      <c r="K623" s="58"/>
      <c r="L623" s="58"/>
      <c r="M623" s="58"/>
      <c r="N623"/>
    </row>
    <row r="624" spans="1:14">
      <c r="A624" s="4"/>
      <c r="B624"/>
      <c r="C624"/>
      <c r="D624"/>
      <c r="E624"/>
      <c r="F624"/>
      <c r="G624"/>
      <c r="H624"/>
      <c r="I624"/>
      <c r="J624" s="58"/>
      <c r="K624" s="58"/>
      <c r="L624" s="58"/>
      <c r="M624" s="58"/>
      <c r="N624"/>
    </row>
    <row r="625" spans="1:14">
      <c r="A625" s="4"/>
      <c r="B625"/>
      <c r="C625"/>
      <c r="D625"/>
      <c r="E625"/>
      <c r="F625"/>
      <c r="G625"/>
      <c r="H625"/>
      <c r="I625"/>
      <c r="J625" s="58"/>
      <c r="K625" s="58"/>
      <c r="L625" s="58"/>
      <c r="M625" s="58"/>
      <c r="N625"/>
    </row>
    <row r="626" spans="1:14">
      <c r="A626" s="4"/>
      <c r="B626"/>
      <c r="C626"/>
      <c r="D626"/>
      <c r="E626"/>
      <c r="F626"/>
      <c r="G626"/>
      <c r="H626"/>
      <c r="I626"/>
      <c r="J626" s="58"/>
      <c r="K626" s="58"/>
      <c r="L626" s="58"/>
      <c r="M626" s="58"/>
      <c r="N626"/>
    </row>
    <row r="627" spans="1:14">
      <c r="A627" s="4"/>
      <c r="B627"/>
      <c r="C627"/>
      <c r="D627"/>
      <c r="E627"/>
      <c r="F627"/>
      <c r="G627"/>
      <c r="H627"/>
      <c r="I627"/>
      <c r="J627" s="58"/>
      <c r="K627" s="58"/>
      <c r="L627" s="58"/>
      <c r="M627" s="58"/>
      <c r="N627"/>
    </row>
    <row r="628" spans="1:14">
      <c r="A628" s="4"/>
      <c r="B628"/>
      <c r="C628"/>
      <c r="D628"/>
      <c r="E628"/>
      <c r="F628"/>
      <c r="G628"/>
      <c r="H628"/>
      <c r="I628"/>
      <c r="J628" s="58"/>
      <c r="K628" s="58"/>
      <c r="L628" s="58"/>
      <c r="M628" s="58"/>
      <c r="N628"/>
    </row>
    <row r="629" spans="1:14">
      <c r="A629" s="4"/>
      <c r="B629"/>
      <c r="C629"/>
      <c r="D629"/>
      <c r="E629"/>
      <c r="F629"/>
      <c r="G629"/>
      <c r="H629"/>
      <c r="I629"/>
      <c r="J629" s="58"/>
      <c r="K629" s="58"/>
      <c r="L629" s="58"/>
      <c r="M629" s="58"/>
      <c r="N629"/>
    </row>
    <row r="630" spans="1:14">
      <c r="A630" s="4"/>
      <c r="B630"/>
      <c r="C630"/>
      <c r="D630"/>
      <c r="E630"/>
      <c r="F630"/>
      <c r="G630"/>
      <c r="H630"/>
      <c r="I630"/>
      <c r="J630" s="58"/>
      <c r="K630" s="58"/>
      <c r="L630" s="58"/>
      <c r="M630" s="58"/>
      <c r="N630"/>
    </row>
    <row r="631" spans="1:14">
      <c r="A631" s="4"/>
      <c r="B631"/>
      <c r="C631"/>
      <c r="D631"/>
      <c r="E631"/>
      <c r="F631"/>
      <c r="G631"/>
      <c r="H631"/>
      <c r="I631"/>
      <c r="J631" s="58"/>
      <c r="K631" s="58"/>
      <c r="L631" s="58"/>
      <c r="M631" s="58"/>
      <c r="N631"/>
    </row>
    <row r="632" spans="1:14">
      <c r="A632" s="4"/>
      <c r="B632"/>
      <c r="C632"/>
      <c r="D632"/>
      <c r="E632"/>
      <c r="F632"/>
      <c r="G632"/>
      <c r="H632"/>
      <c r="I632"/>
      <c r="J632" s="58"/>
      <c r="K632" s="58"/>
      <c r="L632" s="58"/>
      <c r="M632" s="58"/>
      <c r="N632"/>
    </row>
    <row r="633" spans="1:14">
      <c r="A633" s="4"/>
      <c r="B633"/>
      <c r="C633"/>
      <c r="D633"/>
      <c r="E633"/>
      <c r="F633"/>
      <c r="G633"/>
      <c r="H633"/>
      <c r="I633"/>
      <c r="J633" s="58"/>
      <c r="K633" s="58"/>
      <c r="L633" s="58"/>
      <c r="M633" s="58"/>
      <c r="N633"/>
    </row>
    <row r="634" spans="1:14">
      <c r="A634" s="4"/>
      <c r="B634"/>
      <c r="C634"/>
      <c r="D634"/>
      <c r="E634"/>
      <c r="F634"/>
      <c r="G634"/>
      <c r="H634"/>
      <c r="I634"/>
      <c r="J634" s="58"/>
      <c r="K634" s="58"/>
      <c r="L634" s="58"/>
      <c r="M634" s="58"/>
      <c r="N634"/>
    </row>
    <row r="635" spans="1:14">
      <c r="A635" s="4"/>
      <c r="B635"/>
      <c r="C635"/>
      <c r="D635"/>
      <c r="E635"/>
      <c r="F635"/>
      <c r="G635"/>
      <c r="H635"/>
      <c r="I635"/>
      <c r="J635" s="58"/>
      <c r="K635" s="58"/>
      <c r="L635" s="58"/>
      <c r="M635" s="58"/>
      <c r="N635"/>
    </row>
    <row r="636" spans="1:14">
      <c r="A636" s="4"/>
      <c r="B636"/>
      <c r="C636"/>
      <c r="D636"/>
      <c r="E636"/>
      <c r="F636"/>
      <c r="G636"/>
      <c r="H636"/>
      <c r="I636"/>
      <c r="J636" s="58"/>
      <c r="K636" s="58"/>
      <c r="L636" s="58"/>
      <c r="M636" s="58"/>
      <c r="N636"/>
    </row>
    <row r="637" spans="1:14">
      <c r="A637" s="4"/>
      <c r="B637"/>
      <c r="C637"/>
      <c r="D637"/>
      <c r="E637"/>
      <c r="F637"/>
      <c r="G637"/>
      <c r="H637"/>
      <c r="I637"/>
      <c r="J637" s="58"/>
      <c r="K637" s="58"/>
      <c r="L637" s="58"/>
      <c r="M637" s="58"/>
      <c r="N637"/>
    </row>
    <row r="638" spans="1:14">
      <c r="A638" s="4"/>
      <c r="B638"/>
      <c r="C638"/>
      <c r="D638"/>
      <c r="E638"/>
      <c r="F638"/>
      <c r="G638"/>
      <c r="H638"/>
      <c r="I638"/>
      <c r="J638" s="58"/>
      <c r="K638" s="58"/>
      <c r="L638" s="58"/>
      <c r="M638" s="58"/>
      <c r="N638"/>
    </row>
  </sheetData>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8"/>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1908</v>
      </c>
      <c r="C1" s="4"/>
      <c r="D1" s="4"/>
      <c r="E1" s="4"/>
      <c r="F1" s="4"/>
      <c r="G1" s="4"/>
      <c r="H1" s="4"/>
      <c r="I1" s="4"/>
      <c r="J1" s="4"/>
    </row>
    <row r="2" spans="1:14">
      <c r="A2" s="1" t="s">
        <v>1909</v>
      </c>
      <c r="C2" s="4"/>
      <c r="D2" s="4"/>
      <c r="E2" s="4"/>
      <c r="F2" s="4"/>
      <c r="G2" s="4"/>
      <c r="H2" s="4"/>
      <c r="I2" s="4"/>
      <c r="J2" s="4"/>
    </row>
    <row r="3" spans="1:14">
      <c r="A3" s="7" t="s">
        <v>1910</v>
      </c>
      <c r="C3" s="4"/>
      <c r="D3" s="4"/>
      <c r="E3" s="4"/>
      <c r="F3" s="4"/>
      <c r="G3" s="4"/>
      <c r="H3" s="4"/>
      <c r="I3" s="4"/>
      <c r="J3" s="55"/>
      <c r="K3" s="58"/>
      <c r="L3" s="58"/>
      <c r="M3" s="58"/>
    </row>
    <row r="4" spans="1:14">
      <c r="A4" s="7" t="s">
        <v>1911</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70" t="s">
        <v>1896</v>
      </c>
      <c r="C6" s="437" t="s">
        <v>1806</v>
      </c>
      <c r="D6" s="437" t="s">
        <v>1807</v>
      </c>
      <c r="E6" s="437" t="s">
        <v>1808</v>
      </c>
      <c r="F6" s="437" t="s">
        <v>1093</v>
      </c>
      <c r="G6" s="437" t="s">
        <v>1809</v>
      </c>
      <c r="H6" s="471" t="s">
        <v>178</v>
      </c>
      <c r="I6" s="437" t="s">
        <v>1810</v>
      </c>
      <c r="J6" s="58"/>
      <c r="K6" s="58"/>
      <c r="L6" s="58"/>
      <c r="M6" s="59"/>
      <c r="N6" s="58"/>
    </row>
    <row r="7" spans="1:14" ht="13.5" thickBot="1">
      <c r="A7" s="44"/>
      <c r="B7" s="44"/>
      <c r="C7" s="39" t="s">
        <v>1811</v>
      </c>
      <c r="D7" s="39" t="s">
        <v>1812</v>
      </c>
      <c r="E7" s="39" t="s">
        <v>1813</v>
      </c>
      <c r="F7" s="39"/>
      <c r="G7" s="39" t="s">
        <v>1814</v>
      </c>
      <c r="H7" s="472"/>
      <c r="I7" s="39"/>
      <c r="J7" s="58"/>
      <c r="K7" s="58"/>
      <c r="L7" s="58"/>
      <c r="M7" s="59"/>
      <c r="N7" s="58"/>
    </row>
    <row r="8" spans="1:14">
      <c r="B8" s="4"/>
      <c r="C8" s="4"/>
      <c r="D8" s="4"/>
      <c r="E8" s="4"/>
      <c r="F8" s="4"/>
      <c r="G8" s="4"/>
      <c r="H8" s="2"/>
      <c r="I8" s="4"/>
      <c r="J8" s="58"/>
      <c r="K8" s="58"/>
      <c r="L8" s="58"/>
      <c r="M8" s="59"/>
      <c r="N8" s="58"/>
    </row>
    <row r="9" spans="1:14">
      <c r="A9" s="529">
        <v>1</v>
      </c>
      <c r="B9" s="7" t="s">
        <v>462</v>
      </c>
      <c r="C9" s="69">
        <v>140194.19638590532</v>
      </c>
      <c r="D9" s="69">
        <v>24584.866980978899</v>
      </c>
      <c r="E9" s="69">
        <v>301.45248904150003</v>
      </c>
      <c r="F9" s="69">
        <v>67289.8951781871</v>
      </c>
      <c r="G9" s="69">
        <v>1240.7658846742995</v>
      </c>
      <c r="H9" s="6">
        <f>SUM(C9:G9)</f>
        <v>233611.1769187871</v>
      </c>
      <c r="I9" s="31">
        <v>32.207482493366776</v>
      </c>
      <c r="J9" s="58"/>
      <c r="K9" s="58"/>
      <c r="L9" s="58"/>
      <c r="M9" s="59"/>
      <c r="N9" s="58"/>
    </row>
    <row r="10" spans="1:14">
      <c r="A10" s="529">
        <v>2</v>
      </c>
      <c r="B10" s="7" t="s">
        <v>180</v>
      </c>
      <c r="C10" s="69">
        <v>2030.9764720576006</v>
      </c>
      <c r="D10" s="69">
        <v>29844.084294202665</v>
      </c>
      <c r="E10" s="69">
        <v>12294.2723940861</v>
      </c>
      <c r="F10" s="69">
        <v>88.493956177100003</v>
      </c>
      <c r="G10" s="69">
        <v>553.33559374519996</v>
      </c>
      <c r="H10" s="6">
        <f t="shared" ref="H10:H18" si="0">SUM(C10:G10)</f>
        <v>44811.162710268669</v>
      </c>
      <c r="I10" s="31">
        <v>6.1780209214909405</v>
      </c>
      <c r="J10" s="58"/>
      <c r="K10" s="473"/>
      <c r="L10" s="473"/>
      <c r="M10" s="59"/>
      <c r="N10" s="58"/>
    </row>
    <row r="11" spans="1:14">
      <c r="A11" s="529">
        <v>3</v>
      </c>
      <c r="B11" s="7" t="s">
        <v>183</v>
      </c>
      <c r="C11" s="69">
        <v>399.47872337090001</v>
      </c>
      <c r="D11" s="69">
        <v>24264.846994423307</v>
      </c>
      <c r="E11" s="69">
        <v>61.005933577899995</v>
      </c>
      <c r="F11" s="69">
        <v>140.60899698220001</v>
      </c>
      <c r="G11" s="69">
        <v>1013.7072145013001</v>
      </c>
      <c r="H11" s="6">
        <f t="shared" si="0"/>
        <v>25879.647862855607</v>
      </c>
      <c r="I11" s="31">
        <v>3.5679727163361887</v>
      </c>
      <c r="J11" s="58"/>
      <c r="K11" s="58"/>
      <c r="L11" s="58"/>
      <c r="M11" s="59"/>
      <c r="N11" s="58"/>
    </row>
    <row r="12" spans="1:14" ht="12.75" customHeight="1">
      <c r="A12" s="529">
        <v>4</v>
      </c>
      <c r="B12" s="7" t="s">
        <v>463</v>
      </c>
      <c r="C12" s="69">
        <v>32891.470351221717</v>
      </c>
      <c r="D12" s="69">
        <v>20018.497447875303</v>
      </c>
      <c r="E12" s="69">
        <v>8060.6717902378969</v>
      </c>
      <c r="F12" s="69">
        <v>694.56926575110026</v>
      </c>
      <c r="G12" s="69">
        <v>498.38316709479994</v>
      </c>
      <c r="H12" s="6">
        <f t="shared" si="0"/>
        <v>62163.592022180819</v>
      </c>
      <c r="I12" s="31">
        <v>8.5703639191681624</v>
      </c>
      <c r="J12" s="58"/>
      <c r="K12" s="58"/>
      <c r="L12" s="58"/>
      <c r="M12" s="59"/>
      <c r="N12" s="58"/>
    </row>
    <row r="13" spans="1:14">
      <c r="A13" s="529">
        <v>5</v>
      </c>
      <c r="B13" s="7" t="s">
        <v>464</v>
      </c>
      <c r="C13" s="69">
        <v>1576.5822459398003</v>
      </c>
      <c r="D13" s="69">
        <v>1261.3623895366004</v>
      </c>
      <c r="E13" s="69">
        <v>305.52838703399993</v>
      </c>
      <c r="F13" s="69">
        <v>1.3003105960000001</v>
      </c>
      <c r="G13" s="69">
        <v>13.2396446637</v>
      </c>
      <c r="H13" s="6">
        <f t="shared" si="0"/>
        <v>3158.0129777701004</v>
      </c>
      <c r="I13" s="31">
        <v>0.43538861897311859</v>
      </c>
      <c r="J13" s="58"/>
      <c r="K13" s="58"/>
      <c r="L13" s="58"/>
      <c r="M13" s="59"/>
      <c r="N13" s="58"/>
    </row>
    <row r="14" spans="1:14">
      <c r="A14" s="529">
        <v>6</v>
      </c>
      <c r="B14" s="7" t="s">
        <v>399</v>
      </c>
      <c r="C14" s="69">
        <v>4409.3133305555039</v>
      </c>
      <c r="D14" s="69">
        <v>763.12169402780023</v>
      </c>
      <c r="E14" s="69">
        <v>1.5524013924000002</v>
      </c>
      <c r="F14" s="69">
        <v>2.990153668</v>
      </c>
      <c r="G14" s="69">
        <v>41.261075255899996</v>
      </c>
      <c r="H14" s="6">
        <f t="shared" si="0"/>
        <v>5218.2386548996037</v>
      </c>
      <c r="I14" s="31">
        <v>0.71942760761962843</v>
      </c>
      <c r="J14" s="58"/>
      <c r="K14" s="58"/>
      <c r="L14" s="58"/>
      <c r="M14" s="59"/>
      <c r="N14" s="58"/>
    </row>
    <row r="15" spans="1:14">
      <c r="A15" s="529">
        <v>7</v>
      </c>
      <c r="B15" s="7" t="s">
        <v>546</v>
      </c>
      <c r="C15" s="69">
        <v>18436.091844508101</v>
      </c>
      <c r="D15" s="69">
        <v>826.96990604989992</v>
      </c>
      <c r="E15" s="69">
        <v>10.7429104661</v>
      </c>
      <c r="F15" s="69">
        <v>3.1918213193999998</v>
      </c>
      <c r="G15" s="69">
        <v>16.152339484599999</v>
      </c>
      <c r="H15" s="6">
        <f t="shared" si="0"/>
        <v>19293.148821828101</v>
      </c>
      <c r="I15" s="31">
        <v>2.6599059219540986</v>
      </c>
      <c r="J15" s="58"/>
      <c r="K15" s="58"/>
      <c r="L15" s="58"/>
      <c r="M15" s="59"/>
      <c r="N15" s="58"/>
    </row>
    <row r="16" spans="1:14">
      <c r="A16" s="529">
        <v>8</v>
      </c>
      <c r="B16" s="7" t="s">
        <v>1453</v>
      </c>
      <c r="C16" s="69">
        <v>4582.9493719517995</v>
      </c>
      <c r="D16" s="69">
        <v>1179.8102819858002</v>
      </c>
      <c r="E16" s="69">
        <v>8.605988684199998</v>
      </c>
      <c r="F16" s="69">
        <v>4.7510588121000001</v>
      </c>
      <c r="G16" s="69">
        <v>42.818628039299988</v>
      </c>
      <c r="H16" s="6">
        <f t="shared" si="0"/>
        <v>5818.9353294732009</v>
      </c>
      <c r="I16" s="31">
        <v>0.80224439697589522</v>
      </c>
      <c r="J16" s="58"/>
      <c r="K16" s="58"/>
      <c r="L16" s="58"/>
      <c r="M16" s="59"/>
      <c r="N16" s="58"/>
    </row>
    <row r="17" spans="1:14">
      <c r="A17" s="529">
        <v>9</v>
      </c>
      <c r="B17" s="7" t="s">
        <v>465</v>
      </c>
      <c r="C17" s="69">
        <v>28616.519526008302</v>
      </c>
      <c r="D17" s="69">
        <v>18069.469057158891</v>
      </c>
      <c r="E17" s="69">
        <v>473.36673232389984</v>
      </c>
      <c r="F17" s="69">
        <v>4536.1732600486021</v>
      </c>
      <c r="G17" s="69">
        <v>412.47125536879997</v>
      </c>
      <c r="H17" s="6">
        <f t="shared" si="0"/>
        <v>52107.999830908491</v>
      </c>
      <c r="I17" s="31">
        <v>7.1840205355490312</v>
      </c>
      <c r="J17" s="58"/>
      <c r="K17" s="58"/>
      <c r="L17" s="58"/>
      <c r="M17" s="59"/>
      <c r="N17" s="58"/>
    </row>
    <row r="18" spans="1:14">
      <c r="A18" s="529">
        <v>10</v>
      </c>
      <c r="B18" s="7" t="s">
        <v>466</v>
      </c>
      <c r="C18" s="69">
        <v>257484.34689259579</v>
      </c>
      <c r="D18" s="69">
        <v>15210.109683497203</v>
      </c>
      <c r="E18" s="69">
        <v>332.80725831979998</v>
      </c>
      <c r="F18" s="69">
        <v>91.925476061800012</v>
      </c>
      <c r="G18" s="69">
        <v>150.6989976822</v>
      </c>
      <c r="H18" s="6">
        <f t="shared" si="0"/>
        <v>273269.88830815681</v>
      </c>
      <c r="I18" s="31">
        <v>37.675145768855749</v>
      </c>
      <c r="J18" s="58"/>
      <c r="K18" s="58"/>
      <c r="L18" s="58"/>
      <c r="M18" s="59"/>
      <c r="N18" s="58"/>
    </row>
    <row r="19" spans="1:14">
      <c r="B19" s="4"/>
      <c r="C19" s="3"/>
      <c r="D19" s="3"/>
      <c r="E19" s="3"/>
      <c r="F19" s="3"/>
      <c r="G19" s="3"/>
      <c r="H19" s="3"/>
      <c r="I19" s="4"/>
      <c r="J19" s="58"/>
      <c r="K19" s="58"/>
      <c r="L19" s="58"/>
      <c r="M19" s="59"/>
      <c r="N19" s="58"/>
    </row>
    <row r="20" spans="1:14" ht="13.5" thickBot="1">
      <c r="A20" s="33"/>
      <c r="B20" s="33" t="s">
        <v>178</v>
      </c>
      <c r="C20" s="40">
        <f t="shared" ref="C20:I20" si="1">SUM(C9:C18)</f>
        <v>490621.92514411488</v>
      </c>
      <c r="D20" s="40">
        <f t="shared" si="1"/>
        <v>136023.13872973635</v>
      </c>
      <c r="E20" s="40">
        <f t="shared" si="1"/>
        <v>21850.006285163796</v>
      </c>
      <c r="F20" s="40">
        <f t="shared" si="1"/>
        <v>72853.899477603394</v>
      </c>
      <c r="G20" s="40">
        <f t="shared" si="1"/>
        <v>3982.8338005100991</v>
      </c>
      <c r="H20" s="40">
        <f t="shared" si="1"/>
        <v>725331.80343712843</v>
      </c>
      <c r="I20" s="479">
        <f t="shared" si="1"/>
        <v>99.999972900289592</v>
      </c>
      <c r="J20" s="58"/>
      <c r="K20" s="58"/>
      <c r="L20" s="58"/>
      <c r="M20" s="59"/>
      <c r="N20" s="58"/>
    </row>
    <row r="21" spans="1:14">
      <c r="A21" s="46" t="s">
        <v>179</v>
      </c>
      <c r="C21" s="4"/>
      <c r="D21" s="4"/>
      <c r="E21" s="4"/>
      <c r="F21" s="4"/>
      <c r="G21" s="4"/>
      <c r="H21" s="4"/>
      <c r="I21" s="4"/>
      <c r="J21" s="58"/>
      <c r="K21" s="58"/>
      <c r="L21" s="58"/>
      <c r="M21" s="59"/>
      <c r="N21" s="58"/>
    </row>
    <row r="22" spans="1:14" ht="12.75" customHeight="1">
      <c r="A22" s="42" t="s">
        <v>539</v>
      </c>
      <c r="C22" s="4" t="s">
        <v>189</v>
      </c>
      <c r="D22" s="4" t="s">
        <v>189</v>
      </c>
      <c r="E22" s="4"/>
      <c r="F22" s="4"/>
      <c r="G22" s="4"/>
      <c r="H22" s="4"/>
      <c r="I22" s="4"/>
      <c r="J22" s="58"/>
      <c r="K22" s="58"/>
      <c r="L22" s="58"/>
      <c r="M22" s="59"/>
      <c r="N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59"/>
      <c r="D27" s="59"/>
      <c r="E27" s="59"/>
      <c r="F27" s="59"/>
      <c r="G27" s="59"/>
      <c r="J27" s="58"/>
      <c r="K27" s="58"/>
      <c r="L27" s="58"/>
      <c r="M27" s="59"/>
      <c r="N27" s="58"/>
    </row>
    <row r="28" spans="1:14">
      <c r="C28" s="59"/>
      <c r="D28" s="59"/>
      <c r="E28" s="59"/>
      <c r="F28" s="59"/>
      <c r="G28" s="59"/>
      <c r="J28" s="58"/>
      <c r="K28" s="58"/>
      <c r="L28" s="58"/>
      <c r="M28" s="59"/>
      <c r="N28" s="58"/>
    </row>
    <row r="29" spans="1:14">
      <c r="C29" s="59"/>
      <c r="D29" s="59"/>
      <c r="E29" s="59"/>
      <c r="F29" s="59"/>
      <c r="G29" s="59"/>
      <c r="J29" s="58"/>
      <c r="K29" s="58"/>
      <c r="L29" s="58"/>
      <c r="M29" s="59"/>
      <c r="N29" s="58"/>
    </row>
    <row r="30" spans="1:14">
      <c r="C30" s="58"/>
      <c r="D30" s="58"/>
      <c r="E30" s="58"/>
      <c r="F30" s="58"/>
      <c r="G30" s="58"/>
      <c r="J30" s="58"/>
      <c r="K30" s="58"/>
      <c r="L30" s="58"/>
      <c r="M30" s="59"/>
      <c r="N30" s="58"/>
    </row>
    <row r="31" spans="1:14">
      <c r="J31" s="58"/>
      <c r="K31" s="58"/>
      <c r="L31" s="58"/>
      <c r="M31" s="59"/>
      <c r="N31" s="58"/>
    </row>
    <row r="32" spans="1:14">
      <c r="J32" s="58"/>
      <c r="K32" s="58"/>
      <c r="L32" s="58"/>
      <c r="M32" s="59"/>
      <c r="N32" s="58"/>
    </row>
    <row r="33" spans="1:14">
      <c r="J33" s="58"/>
      <c r="K33" s="58"/>
      <c r="L33" s="58"/>
      <c r="M33" s="59"/>
      <c r="N33" s="58"/>
    </row>
    <row r="34" spans="1:14">
      <c r="J34" s="58"/>
      <c r="K34" s="58"/>
      <c r="L34" s="58"/>
      <c r="M34" s="59"/>
      <c r="N34" s="58"/>
    </row>
    <row r="35" spans="1:14">
      <c r="J35" s="58"/>
      <c r="K35" s="58"/>
      <c r="L35" s="58"/>
      <c r="M35" s="59"/>
      <c r="N35" s="58"/>
    </row>
    <row r="36" spans="1:14">
      <c r="J36" s="58"/>
      <c r="K36" s="58"/>
      <c r="L36" s="58"/>
      <c r="M36" s="59"/>
      <c r="N36" s="58"/>
    </row>
    <row r="37" spans="1:14">
      <c r="J37" s="58"/>
      <c r="K37" s="58"/>
      <c r="L37" s="58"/>
      <c r="M37" s="59"/>
      <c r="N37" s="58"/>
    </row>
    <row r="38" spans="1:14">
      <c r="J38" s="58"/>
      <c r="K38" s="58"/>
      <c r="L38" s="58"/>
      <c r="M38" s="59"/>
      <c r="N38" s="58"/>
    </row>
    <row r="39" spans="1:14">
      <c r="J39" s="58"/>
      <c r="K39" s="58"/>
      <c r="L39" s="58"/>
      <c r="M39" s="59"/>
      <c r="N39" s="58"/>
    </row>
    <row r="40" spans="1:14">
      <c r="A40" s="530"/>
      <c r="J40" s="58"/>
      <c r="K40" s="58"/>
      <c r="L40" s="58"/>
      <c r="M40" s="59"/>
      <c r="N40" s="58"/>
    </row>
    <row r="41" spans="1:14">
      <c r="A41" s="530"/>
      <c r="J41" s="58"/>
      <c r="K41" s="58"/>
      <c r="L41" s="58"/>
      <c r="M41" s="59"/>
      <c r="N41" s="58"/>
    </row>
    <row r="42" spans="1:14">
      <c r="J42" s="58"/>
      <c r="K42" s="58"/>
      <c r="L42" s="58"/>
      <c r="M42" s="59"/>
      <c r="N42" s="58"/>
    </row>
    <row r="43" spans="1:14">
      <c r="J43" s="58"/>
      <c r="K43" s="58"/>
      <c r="L43" s="58"/>
      <c r="M43" s="59"/>
      <c r="N43" s="58"/>
    </row>
    <row r="44" spans="1:14">
      <c r="J44" s="58"/>
      <c r="K44" s="58"/>
      <c r="L44" s="58"/>
      <c r="M44" s="59"/>
      <c r="N44" s="58"/>
    </row>
    <row r="45" spans="1:14">
      <c r="J45" s="58"/>
      <c r="K45" s="58"/>
      <c r="L45" s="58"/>
      <c r="M45" s="59"/>
      <c r="N45" s="58"/>
    </row>
    <row r="46" spans="1:14">
      <c r="J46" s="58"/>
      <c r="K46" s="58"/>
      <c r="L46" s="58"/>
      <c r="M46" s="59"/>
      <c r="N46" s="58"/>
    </row>
    <row r="47" spans="1:14">
      <c r="J47" s="58"/>
      <c r="K47" s="58"/>
      <c r="L47" s="58"/>
      <c r="M47" s="59"/>
      <c r="N47" s="58"/>
    </row>
    <row r="48" spans="1: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row r="635" spans="10:13">
      <c r="J635" s="58"/>
      <c r="K635" s="58"/>
      <c r="L635" s="58"/>
      <c r="M635" s="58"/>
    </row>
    <row r="636" spans="10:13">
      <c r="J636" s="58"/>
      <c r="K636" s="58"/>
      <c r="L636" s="58"/>
      <c r="M636" s="58"/>
    </row>
    <row r="637" spans="10:13">
      <c r="J637" s="58"/>
      <c r="K637" s="58"/>
      <c r="L637" s="58"/>
      <c r="M637" s="58"/>
    </row>
    <row r="638" spans="10:13">
      <c r="J638" s="58"/>
      <c r="K638" s="58"/>
      <c r="L638" s="58"/>
      <c r="M638" s="58"/>
    </row>
  </sheetData>
  <pageMargins left="0.7" right="0.7" top="0.75" bottom="0.75" header="0.3" footer="0.3"/>
  <pageSetup paperSize="9"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1912</v>
      </c>
      <c r="C1" s="4"/>
      <c r="D1" s="4"/>
      <c r="E1" s="4"/>
      <c r="F1" s="4"/>
      <c r="G1" s="4"/>
      <c r="H1" s="4"/>
      <c r="I1" s="4"/>
      <c r="J1" s="4"/>
    </row>
    <row r="2" spans="1:14">
      <c r="A2" s="1" t="s">
        <v>1913</v>
      </c>
      <c r="C2" s="4"/>
      <c r="D2" s="4"/>
      <c r="E2" s="4"/>
      <c r="F2" s="4"/>
      <c r="G2" s="4"/>
      <c r="H2" s="4"/>
      <c r="I2" s="4"/>
      <c r="J2" s="4"/>
    </row>
    <row r="3" spans="1:14">
      <c r="A3" s="7" t="s">
        <v>1914</v>
      </c>
      <c r="C3" s="4"/>
      <c r="D3" s="4"/>
      <c r="E3" s="4"/>
      <c r="F3" s="4"/>
      <c r="G3" s="4"/>
      <c r="H3" s="4"/>
      <c r="I3" s="4"/>
      <c r="J3" s="55"/>
      <c r="K3" s="58"/>
      <c r="L3" s="58"/>
      <c r="M3" s="58"/>
    </row>
    <row r="4" spans="1:14">
      <c r="A4" s="7" t="s">
        <v>1911</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70" t="s">
        <v>1896</v>
      </c>
      <c r="C6" s="437" t="s">
        <v>1806</v>
      </c>
      <c r="D6" s="437" t="s">
        <v>1807</v>
      </c>
      <c r="E6" s="437" t="s">
        <v>1808</v>
      </c>
      <c r="F6" s="437" t="s">
        <v>1093</v>
      </c>
      <c r="G6" s="437" t="s">
        <v>1809</v>
      </c>
      <c r="H6" s="471" t="s">
        <v>178</v>
      </c>
      <c r="I6" s="437" t="s">
        <v>1810</v>
      </c>
      <c r="J6" s="58"/>
      <c r="K6" s="58"/>
      <c r="L6" s="58"/>
      <c r="M6" s="59"/>
      <c r="N6" s="58"/>
    </row>
    <row r="7" spans="1:14" ht="13.5" thickBot="1">
      <c r="A7" s="44"/>
      <c r="B7" s="44"/>
      <c r="C7" s="39" t="s">
        <v>1811</v>
      </c>
      <c r="D7" s="39" t="s">
        <v>1812</v>
      </c>
      <c r="E7" s="39" t="s">
        <v>1813</v>
      </c>
      <c r="F7" s="39"/>
      <c r="G7" s="39" t="s">
        <v>1814</v>
      </c>
      <c r="H7" s="472"/>
      <c r="I7" s="39"/>
      <c r="J7" s="58"/>
      <c r="K7" s="58"/>
      <c r="L7" s="58"/>
      <c r="M7" s="59"/>
      <c r="N7" s="58"/>
    </row>
    <row r="8" spans="1:14">
      <c r="B8" s="4"/>
      <c r="C8" s="4"/>
      <c r="D8" s="4"/>
      <c r="E8" s="4"/>
      <c r="F8" s="4"/>
      <c r="G8" s="4"/>
      <c r="H8" s="2"/>
      <c r="I8" s="4"/>
      <c r="J8" s="58"/>
      <c r="K8" s="58"/>
      <c r="L8" s="58"/>
      <c r="M8" s="59"/>
      <c r="N8" s="58"/>
    </row>
    <row r="9" spans="1:14">
      <c r="A9" s="529">
        <v>1</v>
      </c>
      <c r="B9" s="7" t="s">
        <v>462</v>
      </c>
      <c r="C9" s="69">
        <v>108746.17236787235</v>
      </c>
      <c r="D9" s="69">
        <v>26908.173485393705</v>
      </c>
      <c r="E9" s="69">
        <v>398.0648167312001</v>
      </c>
      <c r="F9" s="69">
        <v>42110.040983378167</v>
      </c>
      <c r="G9" s="69">
        <v>1277.9172437571997</v>
      </c>
      <c r="H9" s="6">
        <v>179440.3688971326</v>
      </c>
      <c r="I9" s="31">
        <v>25.507892148511324</v>
      </c>
      <c r="J9" s="58"/>
      <c r="K9" s="58"/>
      <c r="L9" s="58"/>
      <c r="M9" s="59"/>
      <c r="N9" s="58"/>
    </row>
    <row r="10" spans="1:14">
      <c r="A10" s="529">
        <v>2</v>
      </c>
      <c r="B10" s="7" t="s">
        <v>180</v>
      </c>
      <c r="C10" s="69">
        <v>2240.3338709977997</v>
      </c>
      <c r="D10" s="69">
        <v>30546.133797994175</v>
      </c>
      <c r="E10" s="69">
        <v>11950.905674076499</v>
      </c>
      <c r="F10" s="69">
        <v>62.75612092339999</v>
      </c>
      <c r="G10" s="69">
        <v>559.87420302140004</v>
      </c>
      <c r="H10" s="6">
        <v>45360.003667013269</v>
      </c>
      <c r="I10" s="31">
        <v>6.4480366848640696</v>
      </c>
      <c r="J10" s="58"/>
      <c r="K10" s="473"/>
      <c r="L10" s="473"/>
      <c r="M10" s="59"/>
      <c r="N10" s="58"/>
    </row>
    <row r="11" spans="1:14">
      <c r="A11" s="529">
        <v>3</v>
      </c>
      <c r="B11" s="7" t="s">
        <v>183</v>
      </c>
      <c r="C11" s="69">
        <v>444.60851961140008</v>
      </c>
      <c r="D11" s="69">
        <v>25821.724967401587</v>
      </c>
      <c r="E11" s="69">
        <v>46.247377208900005</v>
      </c>
      <c r="F11" s="69">
        <v>141.20152075519999</v>
      </c>
      <c r="G11" s="69">
        <v>1044.0035196951001</v>
      </c>
      <c r="H11" s="6">
        <v>27497.785904672186</v>
      </c>
      <c r="I11" s="31">
        <v>3.9088782612865058</v>
      </c>
      <c r="J11" s="58"/>
      <c r="K11" s="58"/>
      <c r="L11" s="58"/>
      <c r="M11" s="59"/>
      <c r="N11" s="58"/>
    </row>
    <row r="12" spans="1:14" ht="12.75" customHeight="1">
      <c r="A12" s="529">
        <v>4</v>
      </c>
      <c r="B12" s="7" t="s">
        <v>463</v>
      </c>
      <c r="C12" s="69">
        <v>27417.474464641495</v>
      </c>
      <c r="D12" s="69">
        <v>20783.587328460198</v>
      </c>
      <c r="E12" s="69">
        <v>7902.7639602518975</v>
      </c>
      <c r="F12" s="69">
        <v>669.35354501309985</v>
      </c>
      <c r="G12" s="69">
        <v>944.91018663040018</v>
      </c>
      <c r="H12" s="6">
        <v>57718.089484997086</v>
      </c>
      <c r="I12" s="31">
        <v>8.2047691422515658</v>
      </c>
      <c r="J12" s="58"/>
      <c r="K12" s="58"/>
      <c r="L12" s="58"/>
      <c r="M12" s="59"/>
      <c r="N12" s="58"/>
    </row>
    <row r="13" spans="1:14">
      <c r="A13" s="529">
        <v>5</v>
      </c>
      <c r="B13" s="7" t="s">
        <v>464</v>
      </c>
      <c r="C13" s="69">
        <v>1229.3183588171003</v>
      </c>
      <c r="D13" s="69">
        <v>1345.8898316439002</v>
      </c>
      <c r="E13" s="69">
        <v>234.07503739309999</v>
      </c>
      <c r="F13" s="69">
        <v>1.8866181035</v>
      </c>
      <c r="G13" s="69">
        <v>13.967053223100001</v>
      </c>
      <c r="H13" s="6">
        <v>2825.1368991807003</v>
      </c>
      <c r="I13" s="31">
        <v>0.40160019605394692</v>
      </c>
      <c r="J13" s="58"/>
      <c r="K13" s="58"/>
      <c r="L13" s="58"/>
      <c r="M13" s="59"/>
      <c r="N13" s="58"/>
    </row>
    <row r="14" spans="1:14">
      <c r="A14" s="529">
        <v>6</v>
      </c>
      <c r="B14" s="7" t="s">
        <v>399</v>
      </c>
      <c r="C14" s="69">
        <v>5064.4777174912988</v>
      </c>
      <c r="D14" s="69">
        <v>380.31318667739987</v>
      </c>
      <c r="E14" s="69">
        <v>1.4135251777</v>
      </c>
      <c r="F14" s="69">
        <v>-32.9785097615</v>
      </c>
      <c r="G14" s="69">
        <v>68.696518996799995</v>
      </c>
      <c r="H14" s="6">
        <v>5481.9224385816979</v>
      </c>
      <c r="I14" s="31">
        <v>0.77926883002568659</v>
      </c>
      <c r="J14" s="58"/>
      <c r="K14" s="58"/>
      <c r="L14" s="58"/>
      <c r="M14" s="59"/>
      <c r="N14" s="58"/>
    </row>
    <row r="15" spans="1:14">
      <c r="A15" s="529">
        <v>7</v>
      </c>
      <c r="B15" s="7" t="s">
        <v>546</v>
      </c>
      <c r="C15" s="69">
        <v>19263.318722633685</v>
      </c>
      <c r="D15" s="69">
        <v>938.02519042729989</v>
      </c>
      <c r="E15" s="69">
        <v>5.4798233979000006</v>
      </c>
      <c r="F15" s="69">
        <v>1.0615899089</v>
      </c>
      <c r="G15" s="69">
        <v>17.965937142999998</v>
      </c>
      <c r="H15" s="6">
        <v>20225.851263510784</v>
      </c>
      <c r="I15" s="31">
        <v>2.8751547704252896</v>
      </c>
      <c r="J15" s="58"/>
      <c r="K15" s="58"/>
      <c r="L15" s="58"/>
      <c r="M15" s="59"/>
      <c r="N15" s="58"/>
    </row>
    <row r="16" spans="1:14">
      <c r="A16" s="529">
        <v>8</v>
      </c>
      <c r="B16" s="7" t="s">
        <v>1453</v>
      </c>
      <c r="C16" s="69">
        <v>4733.5300857712982</v>
      </c>
      <c r="D16" s="69">
        <v>1283.0629296737995</v>
      </c>
      <c r="E16" s="69">
        <v>15.666038603599997</v>
      </c>
      <c r="F16" s="69">
        <v>6.2083912472000007</v>
      </c>
      <c r="G16" s="69">
        <v>48.209464441400016</v>
      </c>
      <c r="H16" s="6">
        <v>6086.676909737298</v>
      </c>
      <c r="I16" s="31">
        <v>0.86523617350239501</v>
      </c>
      <c r="J16" s="58"/>
      <c r="K16" s="58"/>
      <c r="L16" s="58"/>
      <c r="M16" s="59"/>
      <c r="N16" s="58"/>
    </row>
    <row r="17" spans="1:14">
      <c r="A17" s="529">
        <v>9</v>
      </c>
      <c r="B17" s="7" t="s">
        <v>465</v>
      </c>
      <c r="C17" s="69">
        <v>24795.933169168897</v>
      </c>
      <c r="D17" s="69">
        <v>18036.12097792971</v>
      </c>
      <c r="E17" s="69">
        <v>542.9838370450999</v>
      </c>
      <c r="F17" s="69">
        <v>5203.4378086152001</v>
      </c>
      <c r="G17" s="69">
        <v>391.01575535399996</v>
      </c>
      <c r="H17" s="6">
        <v>48969.491548112906</v>
      </c>
      <c r="I17" s="31">
        <v>6.9611343124956147</v>
      </c>
      <c r="J17" s="58"/>
      <c r="K17" s="58"/>
      <c r="L17" s="58"/>
      <c r="M17" s="59"/>
      <c r="N17" s="58"/>
    </row>
    <row r="18" spans="1:14">
      <c r="A18" s="529">
        <v>10</v>
      </c>
      <c r="B18" s="7" t="s">
        <v>466</v>
      </c>
      <c r="C18" s="69">
        <v>291449.9099863568</v>
      </c>
      <c r="D18" s="69">
        <v>17880.401458354208</v>
      </c>
      <c r="E18" s="69">
        <v>32.390490614200004</v>
      </c>
      <c r="F18" s="69">
        <v>68.895343909800005</v>
      </c>
      <c r="G18" s="69">
        <v>433.3805039319999</v>
      </c>
      <c r="H18" s="6">
        <v>309864.97778316704</v>
      </c>
      <c r="I18" s="31">
        <v>44.04807280810369</v>
      </c>
      <c r="J18" s="58"/>
      <c r="K18" s="58"/>
      <c r="L18" s="58"/>
      <c r="M18" s="59"/>
      <c r="N18" s="58"/>
    </row>
    <row r="19" spans="1:14">
      <c r="B19" s="4"/>
      <c r="C19" s="3"/>
      <c r="D19" s="3"/>
      <c r="E19" s="3"/>
      <c r="F19" s="3"/>
      <c r="G19" s="3"/>
      <c r="H19" s="3"/>
      <c r="I19" s="4"/>
      <c r="J19" s="58"/>
      <c r="K19" s="58"/>
      <c r="L19" s="58"/>
      <c r="M19" s="59"/>
      <c r="N19" s="58"/>
    </row>
    <row r="20" spans="1:14" ht="13.5" thickBot="1">
      <c r="A20" s="33"/>
      <c r="B20" s="33" t="s">
        <v>178</v>
      </c>
      <c r="C20" s="40">
        <f t="shared" ref="C20:I20" si="0">SUM(C9:C18)</f>
        <v>485385.07726336212</v>
      </c>
      <c r="D20" s="40">
        <f t="shared" si="0"/>
        <v>143923.43315395599</v>
      </c>
      <c r="E20" s="40">
        <f t="shared" si="0"/>
        <v>21129.990580500096</v>
      </c>
      <c r="F20" s="40">
        <f t="shared" si="0"/>
        <v>48231.863412092964</v>
      </c>
      <c r="G20" s="40">
        <f t="shared" si="0"/>
        <v>4799.9403861943993</v>
      </c>
      <c r="H20" s="40">
        <f t="shared" si="0"/>
        <v>703470.30479610548</v>
      </c>
      <c r="I20" s="479">
        <f t="shared" si="0"/>
        <v>100.00004332752009</v>
      </c>
      <c r="J20" s="58"/>
      <c r="K20" s="58"/>
      <c r="L20" s="58"/>
      <c r="M20" s="59"/>
      <c r="N20" s="58"/>
    </row>
    <row r="21" spans="1:14">
      <c r="A21" s="46" t="s">
        <v>179</v>
      </c>
      <c r="C21" s="4"/>
      <c r="D21" s="4"/>
      <c r="E21" s="4"/>
      <c r="F21" s="4"/>
      <c r="G21" s="4"/>
      <c r="H21" s="4"/>
      <c r="I21" s="4"/>
      <c r="J21" s="58"/>
      <c r="K21" s="58"/>
      <c r="L21" s="58"/>
      <c r="M21" s="59"/>
      <c r="N21" s="58"/>
    </row>
    <row r="22" spans="1:14" ht="12.75" customHeight="1">
      <c r="A22" s="42" t="s">
        <v>539</v>
      </c>
      <c r="C22" s="4" t="s">
        <v>189</v>
      </c>
      <c r="D22" s="4" t="s">
        <v>189</v>
      </c>
      <c r="E22" s="4"/>
      <c r="F22" s="4"/>
      <c r="G22" s="4"/>
      <c r="H22" s="4"/>
      <c r="I22" s="4"/>
      <c r="J22" s="58"/>
      <c r="K22" s="58"/>
      <c r="L22" s="58"/>
      <c r="M22" s="59"/>
      <c r="N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59"/>
      <c r="D27" s="59"/>
      <c r="E27" s="59"/>
      <c r="F27" s="59"/>
      <c r="G27" s="59"/>
      <c r="J27" s="58"/>
      <c r="K27" s="58"/>
      <c r="L27" s="58"/>
      <c r="M27" s="59"/>
      <c r="N27" s="58"/>
    </row>
    <row r="28" spans="1:14">
      <c r="C28" s="59"/>
      <c r="D28" s="59"/>
      <c r="E28" s="59"/>
      <c r="F28" s="59"/>
      <c r="G28" s="59"/>
      <c r="J28" s="58"/>
      <c r="K28" s="58"/>
      <c r="L28" s="58"/>
      <c r="M28" s="59"/>
      <c r="N28" s="58"/>
    </row>
    <row r="29" spans="1:14">
      <c r="C29" s="59"/>
      <c r="D29" s="59"/>
      <c r="E29" s="59"/>
      <c r="F29" s="59"/>
      <c r="G29" s="59"/>
      <c r="J29" s="58"/>
      <c r="K29" s="58"/>
      <c r="L29" s="58"/>
      <c r="M29" s="59"/>
      <c r="N29" s="58"/>
    </row>
    <row r="30" spans="1:14">
      <c r="C30" s="58"/>
      <c r="D30" s="58"/>
      <c r="E30" s="58"/>
      <c r="F30" s="58"/>
      <c r="G30" s="58"/>
      <c r="J30" s="58"/>
      <c r="K30" s="58"/>
      <c r="L30" s="58"/>
      <c r="M30" s="59"/>
      <c r="N30" s="58"/>
    </row>
    <row r="31" spans="1:14">
      <c r="J31" s="58"/>
      <c r="K31" s="58"/>
      <c r="L31" s="58"/>
      <c r="M31" s="59"/>
      <c r="N31" s="58"/>
    </row>
    <row r="32" spans="1:14">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1915</v>
      </c>
      <c r="C1" s="4"/>
      <c r="D1" s="4"/>
      <c r="E1" s="4"/>
      <c r="F1" s="4"/>
      <c r="G1" s="4"/>
      <c r="H1" s="4"/>
      <c r="I1" s="4"/>
      <c r="J1" s="4"/>
    </row>
    <row r="2" spans="1:14">
      <c r="A2" s="1" t="s">
        <v>1916</v>
      </c>
      <c r="C2" s="4"/>
      <c r="D2" s="4"/>
      <c r="E2" s="4"/>
      <c r="F2" s="4"/>
      <c r="G2" s="4"/>
      <c r="H2" s="4"/>
      <c r="I2" s="4"/>
      <c r="J2" s="4"/>
    </row>
    <row r="3" spans="1:14">
      <c r="A3" s="7" t="s">
        <v>1917</v>
      </c>
      <c r="C3" s="4"/>
      <c r="D3" s="4"/>
      <c r="E3" s="4"/>
      <c r="F3" s="4"/>
      <c r="G3" s="4"/>
      <c r="H3" s="4"/>
      <c r="I3" s="4"/>
      <c r="J3" s="55"/>
      <c r="K3" s="58"/>
      <c r="L3" s="58"/>
      <c r="M3" s="58"/>
    </row>
    <row r="4" spans="1:14">
      <c r="A4" s="7" t="s">
        <v>1911</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70" t="s">
        <v>1896</v>
      </c>
      <c r="C6" s="437" t="s">
        <v>1806</v>
      </c>
      <c r="D6" s="437" t="s">
        <v>1807</v>
      </c>
      <c r="E6" s="437" t="s">
        <v>1808</v>
      </c>
      <c r="F6" s="437" t="s">
        <v>1093</v>
      </c>
      <c r="G6" s="437" t="s">
        <v>1809</v>
      </c>
      <c r="H6" s="471" t="s">
        <v>178</v>
      </c>
      <c r="I6" s="437" t="s">
        <v>1810</v>
      </c>
      <c r="J6" s="58"/>
      <c r="K6" s="58"/>
      <c r="L6" s="58"/>
      <c r="M6" s="59"/>
      <c r="N6" s="58"/>
    </row>
    <row r="7" spans="1:14" ht="13.5" thickBot="1">
      <c r="A7" s="44"/>
      <c r="B7" s="44"/>
      <c r="C7" s="39" t="s">
        <v>1811</v>
      </c>
      <c r="D7" s="39" t="s">
        <v>1812</v>
      </c>
      <c r="E7" s="39" t="s">
        <v>1813</v>
      </c>
      <c r="F7" s="39"/>
      <c r="G7" s="39" t="s">
        <v>1814</v>
      </c>
      <c r="H7" s="472"/>
      <c r="I7" s="39"/>
      <c r="J7" s="58"/>
      <c r="K7" s="58"/>
      <c r="L7" s="58"/>
      <c r="M7" s="59"/>
      <c r="N7" s="58"/>
    </row>
    <row r="8" spans="1:14">
      <c r="B8" s="4"/>
      <c r="C8" s="4"/>
      <c r="D8" s="4"/>
      <c r="E8" s="4"/>
      <c r="F8" s="4"/>
      <c r="G8" s="4"/>
      <c r="H8" s="2"/>
      <c r="I8" s="4"/>
      <c r="J8" s="58"/>
      <c r="K8" s="58"/>
      <c r="L8" s="58"/>
      <c r="M8" s="59"/>
      <c r="N8" s="58"/>
    </row>
    <row r="9" spans="1:14">
      <c r="A9" s="529">
        <v>1</v>
      </c>
      <c r="B9" s="7" t="s">
        <v>462</v>
      </c>
      <c r="C9" s="69">
        <v>116690.73802724821</v>
      </c>
      <c r="D9" s="69">
        <v>27845.120014394317</v>
      </c>
      <c r="E9" s="69">
        <v>354.16908416269996</v>
      </c>
      <c r="F9" s="69">
        <v>52683.092150331497</v>
      </c>
      <c r="G9" s="69">
        <v>1165.8538686816999</v>
      </c>
      <c r="H9" s="6">
        <f>SUM(C9:G9)</f>
        <v>198738.97314481845</v>
      </c>
      <c r="I9" s="31">
        <f>+H9/H$20*100</f>
        <v>26.83022158073582</v>
      </c>
      <c r="J9" s="58"/>
      <c r="K9" s="58"/>
      <c r="L9" s="58"/>
      <c r="M9" s="59"/>
      <c r="N9" s="58"/>
    </row>
    <row r="10" spans="1:14">
      <c r="A10" s="529">
        <v>2</v>
      </c>
      <c r="B10" s="7" t="s">
        <v>180</v>
      </c>
      <c r="C10" s="69">
        <v>1869.7145585804001</v>
      </c>
      <c r="D10" s="69">
        <v>31385.704958274087</v>
      </c>
      <c r="E10" s="69">
        <v>9010.0962058578007</v>
      </c>
      <c r="F10" s="69">
        <v>100.62925944659999</v>
      </c>
      <c r="G10" s="69">
        <v>636.59000291799987</v>
      </c>
      <c r="H10" s="6">
        <f t="shared" ref="H10:H18" si="0">SUM(C10:G10)</f>
        <v>43002.734985076888</v>
      </c>
      <c r="I10" s="31">
        <f t="shared" ref="I10:I18" si="1">+H10/H$20*100</f>
        <v>5.8054688014641895</v>
      </c>
      <c r="J10" s="58"/>
      <c r="K10" s="473"/>
      <c r="L10" s="473"/>
      <c r="M10" s="59"/>
      <c r="N10" s="58"/>
    </row>
    <row r="11" spans="1:14">
      <c r="A11" s="529">
        <v>3</v>
      </c>
      <c r="B11" s="7" t="s">
        <v>183</v>
      </c>
      <c r="C11" s="69">
        <v>464.8594997637</v>
      </c>
      <c r="D11" s="69">
        <v>26669.069440747502</v>
      </c>
      <c r="E11" s="69">
        <v>40.961525322500002</v>
      </c>
      <c r="F11" s="69">
        <v>137.58092927959999</v>
      </c>
      <c r="G11" s="69">
        <v>1096.3111924794</v>
      </c>
      <c r="H11" s="6">
        <f t="shared" si="0"/>
        <v>28408.782587592701</v>
      </c>
      <c r="I11" s="31">
        <f t="shared" si="1"/>
        <v>3.8352514335909667</v>
      </c>
      <c r="J11" s="58"/>
      <c r="K11" s="58"/>
      <c r="L11" s="58"/>
      <c r="M11" s="59"/>
      <c r="N11" s="58"/>
    </row>
    <row r="12" spans="1:14" ht="12.75" customHeight="1">
      <c r="A12" s="529">
        <v>4</v>
      </c>
      <c r="B12" s="7" t="s">
        <v>463</v>
      </c>
      <c r="C12" s="69">
        <v>30165.523536966004</v>
      </c>
      <c r="D12" s="69">
        <v>20165.456332796599</v>
      </c>
      <c r="E12" s="69">
        <v>11803.379820440099</v>
      </c>
      <c r="F12" s="69">
        <v>735.74856767319989</v>
      </c>
      <c r="G12" s="69">
        <v>949.0498224823001</v>
      </c>
      <c r="H12" s="6">
        <f t="shared" si="0"/>
        <v>63819.158080358211</v>
      </c>
      <c r="I12" s="31">
        <f t="shared" si="1"/>
        <v>8.6157341224878934</v>
      </c>
      <c r="J12" s="58"/>
      <c r="K12" s="58"/>
      <c r="L12" s="58"/>
      <c r="M12" s="59"/>
      <c r="N12" s="58"/>
    </row>
    <row r="13" spans="1:14">
      <c r="A13" s="529">
        <v>5</v>
      </c>
      <c r="B13" s="7" t="s">
        <v>464</v>
      </c>
      <c r="C13" s="69">
        <v>1595.4854743442002</v>
      </c>
      <c r="D13" s="69">
        <v>1444.3222919940999</v>
      </c>
      <c r="E13" s="69">
        <v>189.6872134292</v>
      </c>
      <c r="F13" s="69">
        <v>2.2832532227</v>
      </c>
      <c r="G13" s="69">
        <v>25.683988728400003</v>
      </c>
      <c r="H13" s="6">
        <f t="shared" si="0"/>
        <v>3257.4622217185997</v>
      </c>
      <c r="I13" s="31">
        <f t="shared" si="1"/>
        <v>0.43976494301346691</v>
      </c>
      <c r="J13" s="58"/>
      <c r="K13" s="58"/>
      <c r="L13" s="58"/>
      <c r="M13" s="59"/>
      <c r="N13" s="58"/>
    </row>
    <row r="14" spans="1:14">
      <c r="A14" s="529">
        <v>6</v>
      </c>
      <c r="B14" s="7" t="s">
        <v>399</v>
      </c>
      <c r="C14" s="69">
        <v>5016.2468121252004</v>
      </c>
      <c r="D14" s="69">
        <v>395.20138468589994</v>
      </c>
      <c r="E14" s="69">
        <v>2.935272442</v>
      </c>
      <c r="F14" s="69">
        <v>0.27091317300000001</v>
      </c>
      <c r="G14" s="69">
        <v>46.227377548600003</v>
      </c>
      <c r="H14" s="6">
        <f t="shared" si="0"/>
        <v>5460.8817599746999</v>
      </c>
      <c r="I14" s="31">
        <f t="shared" si="1"/>
        <v>0.73723168298527453</v>
      </c>
      <c r="J14" s="58"/>
      <c r="K14" s="58"/>
      <c r="L14" s="58"/>
      <c r="M14" s="59"/>
      <c r="N14" s="58"/>
    </row>
    <row r="15" spans="1:14">
      <c r="A15" s="529">
        <v>7</v>
      </c>
      <c r="B15" s="7" t="s">
        <v>546</v>
      </c>
      <c r="C15" s="69">
        <v>21180.113058292703</v>
      </c>
      <c r="D15" s="69">
        <v>3328.1505826291</v>
      </c>
      <c r="E15" s="69">
        <v>5.0763725878999999</v>
      </c>
      <c r="F15" s="69">
        <v>1.6808993687000002</v>
      </c>
      <c r="G15" s="69">
        <v>24.508247331000003</v>
      </c>
      <c r="H15" s="6">
        <f t="shared" si="0"/>
        <v>24539.529160209404</v>
      </c>
      <c r="I15" s="31">
        <f t="shared" si="1"/>
        <v>3.3128932611299051</v>
      </c>
      <c r="J15" s="58"/>
      <c r="K15" s="58"/>
      <c r="L15" s="58"/>
      <c r="M15" s="59"/>
      <c r="N15" s="58"/>
    </row>
    <row r="16" spans="1:14">
      <c r="A16" s="529">
        <v>8</v>
      </c>
      <c r="B16" s="7" t="s">
        <v>1453</v>
      </c>
      <c r="C16" s="69">
        <v>4874.0531911834005</v>
      </c>
      <c r="D16" s="69">
        <v>1414.7509540243</v>
      </c>
      <c r="E16" s="69">
        <v>28.7758187212</v>
      </c>
      <c r="F16" s="69">
        <v>5.8646672514000011</v>
      </c>
      <c r="G16" s="69">
        <v>54.625278287400008</v>
      </c>
      <c r="H16" s="6">
        <f t="shared" si="0"/>
        <v>6378.0699094677002</v>
      </c>
      <c r="I16" s="31">
        <f t="shared" si="1"/>
        <v>0.86105420703641</v>
      </c>
      <c r="J16" s="58"/>
      <c r="K16" s="58"/>
      <c r="L16" s="58"/>
      <c r="M16" s="59"/>
      <c r="N16" s="58"/>
    </row>
    <row r="17" spans="1:14">
      <c r="A17" s="529">
        <v>9</v>
      </c>
      <c r="B17" s="7" t="s">
        <v>465</v>
      </c>
      <c r="C17" s="69">
        <v>26963.434321828201</v>
      </c>
      <c r="D17" s="69">
        <v>18498.777003855288</v>
      </c>
      <c r="E17" s="69">
        <v>483.7868365336999</v>
      </c>
      <c r="F17" s="69">
        <v>5484.9933289496003</v>
      </c>
      <c r="G17" s="69">
        <v>351.88241034139998</v>
      </c>
      <c r="H17" s="6">
        <f t="shared" si="0"/>
        <v>51782.873901508188</v>
      </c>
      <c r="I17" s="31">
        <f t="shared" si="1"/>
        <v>6.9908078867468459</v>
      </c>
      <c r="J17" s="58"/>
      <c r="K17" s="58"/>
      <c r="L17" s="58"/>
      <c r="M17" s="59"/>
      <c r="N17" s="58"/>
    </row>
    <row r="18" spans="1:14">
      <c r="A18" s="529">
        <v>10</v>
      </c>
      <c r="B18" s="7" t="s">
        <v>466</v>
      </c>
      <c r="C18" s="69">
        <v>298277.60153730935</v>
      </c>
      <c r="D18" s="69">
        <v>16445.052033504202</v>
      </c>
      <c r="E18" s="69">
        <v>54.980501468699991</v>
      </c>
      <c r="F18" s="69">
        <v>66.999118175000007</v>
      </c>
      <c r="G18" s="69">
        <v>494.93622164959999</v>
      </c>
      <c r="H18" s="6">
        <f t="shared" si="0"/>
        <v>315339.56941210682</v>
      </c>
      <c r="I18" s="31">
        <f t="shared" si="1"/>
        <v>42.571572080809226</v>
      </c>
      <c r="J18" s="58"/>
      <c r="K18" s="58"/>
      <c r="L18" s="58"/>
      <c r="M18" s="59"/>
      <c r="N18" s="58"/>
    </row>
    <row r="19" spans="1:14">
      <c r="B19" s="4"/>
      <c r="C19" s="3"/>
      <c r="D19" s="3"/>
      <c r="E19" s="3"/>
      <c r="F19" s="3"/>
      <c r="G19" s="3"/>
      <c r="H19" s="3"/>
      <c r="I19" s="4"/>
      <c r="J19" s="58"/>
      <c r="K19" s="58"/>
      <c r="L19" s="58"/>
      <c r="M19" s="59"/>
      <c r="N19" s="58"/>
    </row>
    <row r="20" spans="1:14" ht="13.5" thickBot="1">
      <c r="A20" s="33"/>
      <c r="B20" s="33" t="s">
        <v>178</v>
      </c>
      <c r="C20" s="40">
        <f t="shared" ref="C20:I20" si="2">SUM(C9:C18)</f>
        <v>507097.77001764136</v>
      </c>
      <c r="D20" s="40">
        <f t="shared" si="2"/>
        <v>147591.6049969054</v>
      </c>
      <c r="E20" s="40">
        <f t="shared" si="2"/>
        <v>21973.848650965796</v>
      </c>
      <c r="F20" s="40">
        <f t="shared" si="2"/>
        <v>59219.1430868713</v>
      </c>
      <c r="G20" s="40">
        <f t="shared" si="2"/>
        <v>4845.6684104477999</v>
      </c>
      <c r="H20" s="40">
        <f t="shared" si="2"/>
        <v>740728.03516283166</v>
      </c>
      <c r="I20" s="479">
        <f t="shared" si="2"/>
        <v>100</v>
      </c>
      <c r="J20" s="58"/>
      <c r="K20" s="58"/>
      <c r="L20" s="58"/>
      <c r="M20" s="59"/>
      <c r="N20" s="58"/>
    </row>
    <row r="21" spans="1:14">
      <c r="A21" s="46" t="s">
        <v>179</v>
      </c>
      <c r="C21" s="4"/>
      <c r="D21" s="4"/>
      <c r="E21" s="4"/>
      <c r="F21" s="4"/>
      <c r="G21" s="4"/>
      <c r="H21" s="4"/>
      <c r="I21" s="4"/>
      <c r="J21" s="58"/>
      <c r="K21" s="58"/>
      <c r="L21" s="58"/>
      <c r="M21" s="59"/>
      <c r="N21" s="58"/>
    </row>
    <row r="22" spans="1:14" ht="12.75" customHeight="1">
      <c r="A22" s="42" t="s">
        <v>539</v>
      </c>
      <c r="C22" s="4" t="s">
        <v>189</v>
      </c>
      <c r="D22" s="4" t="s">
        <v>189</v>
      </c>
      <c r="E22" s="4"/>
      <c r="F22" s="4"/>
      <c r="G22" s="4"/>
      <c r="H22" s="4"/>
      <c r="I22" s="4"/>
      <c r="J22" s="58"/>
      <c r="K22" s="58"/>
      <c r="L22" s="58"/>
      <c r="M22" s="59"/>
      <c r="N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59"/>
      <c r="D27" s="59"/>
      <c r="E27" s="59"/>
      <c r="F27" s="59"/>
      <c r="G27" s="59"/>
      <c r="J27" s="58"/>
      <c r="K27" s="58"/>
      <c r="L27" s="58"/>
      <c r="M27" s="59"/>
      <c r="N27" s="58"/>
    </row>
    <row r="28" spans="1:14">
      <c r="C28" s="59"/>
      <c r="D28" s="59"/>
      <c r="E28" s="59"/>
      <c r="F28" s="59"/>
      <c r="G28" s="59"/>
      <c r="J28" s="58"/>
      <c r="K28" s="58"/>
      <c r="L28" s="58"/>
      <c r="M28" s="59"/>
      <c r="N28" s="58"/>
    </row>
    <row r="29" spans="1:14">
      <c r="C29" s="59"/>
      <c r="D29" s="59"/>
      <c r="E29" s="59"/>
      <c r="F29" s="59"/>
      <c r="G29" s="59"/>
      <c r="J29" s="58"/>
      <c r="K29" s="58"/>
      <c r="L29" s="58"/>
      <c r="M29" s="59"/>
      <c r="N29" s="58"/>
    </row>
    <row r="30" spans="1:14">
      <c r="C30" s="58"/>
      <c r="D30" s="58"/>
      <c r="E30" s="58"/>
      <c r="F30" s="58"/>
      <c r="G30" s="58"/>
      <c r="J30" s="58"/>
      <c r="K30" s="58"/>
      <c r="L30" s="58"/>
      <c r="M30" s="59"/>
      <c r="N30" s="58"/>
    </row>
    <row r="31" spans="1:14">
      <c r="J31" s="58"/>
      <c r="K31" s="58"/>
      <c r="L31" s="58"/>
      <c r="M31" s="59"/>
      <c r="N31" s="58"/>
    </row>
    <row r="32" spans="1:14">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1918</v>
      </c>
      <c r="C1" s="4"/>
      <c r="D1" s="4"/>
      <c r="E1" s="4"/>
      <c r="F1" s="4"/>
      <c r="G1" s="4"/>
      <c r="H1" s="4"/>
      <c r="I1" s="4"/>
      <c r="J1" s="4"/>
    </row>
    <row r="2" spans="1:14">
      <c r="A2" s="1" t="s">
        <v>1919</v>
      </c>
      <c r="C2" s="4"/>
      <c r="D2" s="4"/>
      <c r="E2" s="4"/>
      <c r="F2" s="4"/>
      <c r="G2" s="4"/>
      <c r="H2" s="4"/>
      <c r="I2" s="4"/>
      <c r="J2" s="4"/>
    </row>
    <row r="3" spans="1:14">
      <c r="A3" s="7" t="s">
        <v>1920</v>
      </c>
      <c r="C3" s="4"/>
      <c r="D3" s="4"/>
      <c r="E3" s="4"/>
      <c r="F3" s="4"/>
      <c r="G3" s="4"/>
      <c r="H3" s="4"/>
      <c r="I3" s="4"/>
      <c r="J3" s="55"/>
      <c r="K3" s="58"/>
      <c r="L3" s="58"/>
      <c r="M3" s="58"/>
    </row>
    <row r="4" spans="1:14">
      <c r="A4" s="7" t="s">
        <v>1911</v>
      </c>
      <c r="C4" s="4"/>
      <c r="D4" s="4"/>
      <c r="E4" s="4"/>
      <c r="F4" s="4"/>
      <c r="G4" s="4"/>
      <c r="H4" s="4"/>
      <c r="I4" s="4"/>
      <c r="J4" s="55"/>
      <c r="K4" s="58"/>
      <c r="L4" s="58"/>
      <c r="M4" s="58"/>
    </row>
    <row r="5" spans="1:14" ht="13.5" thickBot="1">
      <c r="B5" s="65"/>
      <c r="C5" s="4"/>
      <c r="D5" s="4"/>
      <c r="E5" s="4"/>
      <c r="F5" s="4"/>
      <c r="G5" s="4"/>
      <c r="H5" s="4"/>
      <c r="I5" s="4"/>
      <c r="J5" s="55"/>
      <c r="K5" s="58"/>
      <c r="L5" s="58"/>
      <c r="M5" s="58"/>
      <c r="N5" s="58"/>
    </row>
    <row r="6" spans="1:14">
      <c r="A6" s="470" t="s">
        <v>1896</v>
      </c>
      <c r="C6" s="437" t="s">
        <v>1806</v>
      </c>
      <c r="D6" s="437" t="s">
        <v>1807</v>
      </c>
      <c r="E6" s="437" t="s">
        <v>1808</v>
      </c>
      <c r="F6" s="437" t="s">
        <v>1093</v>
      </c>
      <c r="G6" s="437" t="s">
        <v>1809</v>
      </c>
      <c r="H6" s="471" t="s">
        <v>178</v>
      </c>
      <c r="I6" s="437" t="s">
        <v>1810</v>
      </c>
      <c r="J6" s="58"/>
      <c r="K6" s="58"/>
      <c r="L6" s="58"/>
      <c r="M6" s="59"/>
      <c r="N6" s="58"/>
    </row>
    <row r="7" spans="1:14" ht="13.5" thickBot="1">
      <c r="A7" s="44"/>
      <c r="B7" s="44"/>
      <c r="C7" s="39" t="s">
        <v>1811</v>
      </c>
      <c r="D7" s="39" t="s">
        <v>1812</v>
      </c>
      <c r="E7" s="39" t="s">
        <v>1813</v>
      </c>
      <c r="F7" s="39"/>
      <c r="G7" s="39" t="s">
        <v>1814</v>
      </c>
      <c r="H7" s="472"/>
      <c r="I7" s="39"/>
      <c r="J7" s="58"/>
      <c r="K7" s="58"/>
      <c r="L7" s="58"/>
      <c r="M7" s="59"/>
      <c r="N7" s="58"/>
    </row>
    <row r="8" spans="1:14">
      <c r="B8" s="4"/>
      <c r="C8" s="4"/>
      <c r="D8" s="4"/>
      <c r="E8" s="4"/>
      <c r="F8" s="4"/>
      <c r="G8" s="4"/>
      <c r="H8" s="2"/>
      <c r="I8" s="4"/>
      <c r="J8" s="58"/>
      <c r="K8" s="58"/>
      <c r="L8" s="58"/>
      <c r="M8" s="59"/>
      <c r="N8" s="58"/>
    </row>
    <row r="9" spans="1:14">
      <c r="A9" s="529">
        <v>1</v>
      </c>
      <c r="B9" s="7" t="s">
        <v>462</v>
      </c>
      <c r="C9" s="69">
        <v>106599.96919733509</v>
      </c>
      <c r="D9" s="69">
        <v>28442.83</v>
      </c>
      <c r="E9" s="69">
        <v>201.6</v>
      </c>
      <c r="F9" s="69">
        <v>32603.35</v>
      </c>
      <c r="G9" s="69">
        <v>1003.9</v>
      </c>
      <c r="H9" s="6">
        <f>SUM(C9:G9)</f>
        <v>168851.64919733509</v>
      </c>
      <c r="I9" s="31">
        <f>+H9/H$20*100</f>
        <v>23.291345473122384</v>
      </c>
      <c r="J9" s="58"/>
      <c r="K9" s="58"/>
      <c r="L9" s="58"/>
      <c r="M9" s="59"/>
      <c r="N9" s="58"/>
    </row>
    <row r="10" spans="1:14">
      <c r="A10" s="529">
        <v>2</v>
      </c>
      <c r="B10" s="7" t="s">
        <v>180</v>
      </c>
      <c r="C10" s="69">
        <v>1976.9630193690998</v>
      </c>
      <c r="D10" s="69">
        <v>30406.53</v>
      </c>
      <c r="E10" s="69">
        <v>10728.85</v>
      </c>
      <c r="F10" s="69">
        <v>55.93</v>
      </c>
      <c r="G10" s="69">
        <v>545.01</v>
      </c>
      <c r="H10" s="6">
        <f t="shared" ref="H10:H18" si="0">SUM(C10:G10)</f>
        <v>43713.283019369104</v>
      </c>
      <c r="I10" s="31">
        <f t="shared" ref="I10:I18" si="1">+H10/H$20*100</f>
        <v>6.0297970520774102</v>
      </c>
      <c r="J10" s="58"/>
      <c r="K10" s="473"/>
      <c r="L10" s="473"/>
      <c r="M10" s="59"/>
      <c r="N10" s="58"/>
    </row>
    <row r="11" spans="1:14">
      <c r="A11" s="529">
        <v>3</v>
      </c>
      <c r="B11" s="7" t="s">
        <v>183</v>
      </c>
      <c r="C11" s="69">
        <v>468.24377662180001</v>
      </c>
      <c r="D11" s="69">
        <v>27423.95</v>
      </c>
      <c r="E11" s="69">
        <v>26.08</v>
      </c>
      <c r="F11" s="69">
        <v>61.66</v>
      </c>
      <c r="G11" s="69">
        <v>1069.49</v>
      </c>
      <c r="H11" s="6">
        <f t="shared" si="0"/>
        <v>29049.423776621803</v>
      </c>
      <c r="I11" s="31">
        <f t="shared" si="1"/>
        <v>4.0070687386991333</v>
      </c>
      <c r="J11" s="58"/>
      <c r="K11" s="58"/>
      <c r="L11" s="58"/>
      <c r="M11" s="59"/>
      <c r="N11" s="58"/>
    </row>
    <row r="12" spans="1:14" ht="12.75" customHeight="1">
      <c r="A12" s="529">
        <v>4</v>
      </c>
      <c r="B12" s="7" t="s">
        <v>463</v>
      </c>
      <c r="C12" s="69">
        <v>35823.58</v>
      </c>
      <c r="D12" s="69">
        <v>20979.23</v>
      </c>
      <c r="E12" s="69">
        <v>11666.19</v>
      </c>
      <c r="F12" s="69">
        <v>710.44</v>
      </c>
      <c r="G12" s="69">
        <v>3179.32</v>
      </c>
      <c r="H12" s="6">
        <f t="shared" si="0"/>
        <v>72358.760000000009</v>
      </c>
      <c r="I12" s="31">
        <f t="shared" si="1"/>
        <v>9.9811454917868101</v>
      </c>
      <c r="J12" s="58"/>
      <c r="K12" s="58"/>
      <c r="L12" s="58"/>
      <c r="M12" s="59"/>
      <c r="N12" s="58"/>
    </row>
    <row r="13" spans="1:14">
      <c r="A13" s="529">
        <v>5</v>
      </c>
      <c r="B13" s="7" t="s">
        <v>464</v>
      </c>
      <c r="C13" s="69">
        <v>2105.6799999999998</v>
      </c>
      <c r="D13" s="69">
        <v>2302.2199999999998</v>
      </c>
      <c r="E13" s="69">
        <v>751.77</v>
      </c>
      <c r="F13" s="69">
        <v>6.42</v>
      </c>
      <c r="G13" s="69">
        <v>20.13</v>
      </c>
      <c r="H13" s="6">
        <f t="shared" si="0"/>
        <v>5186.22</v>
      </c>
      <c r="I13" s="31">
        <f t="shared" si="1"/>
        <v>0.71538561982563809</v>
      </c>
      <c r="J13" s="58"/>
      <c r="K13" s="58"/>
      <c r="L13" s="58"/>
      <c r="M13" s="59"/>
      <c r="N13" s="58"/>
    </row>
    <row r="14" spans="1:14">
      <c r="A14" s="529">
        <v>6</v>
      </c>
      <c r="B14" s="7" t="s">
        <v>399</v>
      </c>
      <c r="C14" s="69">
        <v>4997.29</v>
      </c>
      <c r="D14" s="69">
        <v>399.79</v>
      </c>
      <c r="E14" s="69">
        <v>2.48</v>
      </c>
      <c r="F14" s="69">
        <v>0.19</v>
      </c>
      <c r="G14" s="69">
        <v>195.78</v>
      </c>
      <c r="H14" s="6">
        <f t="shared" si="0"/>
        <v>5595.5299999999988</v>
      </c>
      <c r="I14" s="31">
        <f t="shared" si="1"/>
        <v>0.77184571755593701</v>
      </c>
      <c r="J14" s="58"/>
      <c r="K14" s="58"/>
      <c r="L14" s="58"/>
      <c r="M14" s="59"/>
      <c r="N14" s="58"/>
    </row>
    <row r="15" spans="1:14">
      <c r="A15" s="529">
        <v>7</v>
      </c>
      <c r="B15" s="7" t="s">
        <v>546</v>
      </c>
      <c r="C15" s="69">
        <v>21774.07</v>
      </c>
      <c r="D15" s="69">
        <v>2730.02</v>
      </c>
      <c r="E15" s="69">
        <v>5.4</v>
      </c>
      <c r="F15" s="69">
        <v>1.35</v>
      </c>
      <c r="G15" s="69">
        <v>25.5</v>
      </c>
      <c r="H15" s="6">
        <f t="shared" si="0"/>
        <v>24536.34</v>
      </c>
      <c r="I15" s="31">
        <f t="shared" si="1"/>
        <v>3.3845353261436264</v>
      </c>
      <c r="J15" s="58"/>
      <c r="K15" s="58"/>
      <c r="L15" s="58"/>
      <c r="M15" s="59"/>
      <c r="N15" s="58"/>
    </row>
    <row r="16" spans="1:14">
      <c r="A16" s="529">
        <v>8</v>
      </c>
      <c r="B16" s="7" t="s">
        <v>1453</v>
      </c>
      <c r="C16" s="69">
        <v>5073.9399999999996</v>
      </c>
      <c r="D16" s="69">
        <v>1406.95</v>
      </c>
      <c r="E16" s="69">
        <v>14.35</v>
      </c>
      <c r="F16" s="69">
        <v>5.88</v>
      </c>
      <c r="G16" s="69">
        <v>61.56</v>
      </c>
      <c r="H16" s="6">
        <f t="shared" si="0"/>
        <v>6562.68</v>
      </c>
      <c r="I16" s="31">
        <f t="shared" si="1"/>
        <v>0.90525409633939913</v>
      </c>
      <c r="J16" s="58"/>
      <c r="K16" s="58"/>
      <c r="L16" s="58"/>
      <c r="M16" s="59"/>
      <c r="N16" s="58"/>
    </row>
    <row r="17" spans="1:14">
      <c r="A17" s="529">
        <v>9</v>
      </c>
      <c r="B17" s="7" t="s">
        <v>465</v>
      </c>
      <c r="C17" s="69">
        <v>25395.7</v>
      </c>
      <c r="D17" s="69">
        <v>18864.96</v>
      </c>
      <c r="E17" s="69">
        <v>353.98</v>
      </c>
      <c r="F17" s="69">
        <v>5438.69</v>
      </c>
      <c r="G17" s="69">
        <v>325.10000000000002</v>
      </c>
      <c r="H17" s="6">
        <f t="shared" si="0"/>
        <v>50378.430000000008</v>
      </c>
      <c r="I17" s="31">
        <f t="shared" si="1"/>
        <v>6.949185412765468</v>
      </c>
      <c r="J17" s="58"/>
      <c r="K17" s="58"/>
      <c r="L17" s="58"/>
      <c r="M17" s="59"/>
      <c r="N17" s="58"/>
    </row>
    <row r="18" spans="1:14">
      <c r="A18" s="529">
        <v>10</v>
      </c>
      <c r="B18" s="7" t="s">
        <v>466</v>
      </c>
      <c r="C18" s="69">
        <v>301953.90000000002</v>
      </c>
      <c r="D18" s="69">
        <v>16308.62</v>
      </c>
      <c r="E18" s="69">
        <v>29.2</v>
      </c>
      <c r="F18" s="69">
        <v>48.74</v>
      </c>
      <c r="G18" s="69">
        <v>381.69</v>
      </c>
      <c r="H18" s="6">
        <f t="shared" si="0"/>
        <v>318722.15000000002</v>
      </c>
      <c r="I18" s="31">
        <f t="shared" si="1"/>
        <v>43.964437071684195</v>
      </c>
      <c r="J18" s="58"/>
      <c r="K18" s="58"/>
      <c r="L18" s="58"/>
      <c r="M18" s="59"/>
      <c r="N18" s="58"/>
    </row>
    <row r="19" spans="1:14">
      <c r="B19" s="4"/>
      <c r="C19" s="3"/>
      <c r="D19" s="3"/>
      <c r="E19" s="3"/>
      <c r="F19" s="3"/>
      <c r="G19" s="3"/>
      <c r="H19" s="3"/>
      <c r="I19" s="4"/>
      <c r="J19" s="58"/>
      <c r="K19" s="58"/>
      <c r="L19" s="58"/>
      <c r="M19" s="59"/>
      <c r="N19" s="58"/>
    </row>
    <row r="20" spans="1:14" ht="13.5" thickBot="1">
      <c r="A20" s="33"/>
      <c r="B20" s="33" t="s">
        <v>178</v>
      </c>
      <c r="C20" s="40">
        <f t="shared" ref="C20:I20" si="2">SUM(C9:C18)</f>
        <v>506169.33599332604</v>
      </c>
      <c r="D20" s="40">
        <f t="shared" si="2"/>
        <v>149265.09999999998</v>
      </c>
      <c r="E20" s="40">
        <f t="shared" si="2"/>
        <v>23779.9</v>
      </c>
      <c r="F20" s="40">
        <f t="shared" si="2"/>
        <v>38932.649999999994</v>
      </c>
      <c r="G20" s="40">
        <f t="shared" si="2"/>
        <v>6807.48</v>
      </c>
      <c r="H20" s="40">
        <f>SUM(C20:G20)</f>
        <v>724954.46599332604</v>
      </c>
      <c r="I20" s="479">
        <f t="shared" si="2"/>
        <v>100</v>
      </c>
      <c r="J20" s="58"/>
      <c r="K20" s="58"/>
      <c r="L20" s="58"/>
      <c r="M20" s="59"/>
      <c r="N20" s="58"/>
    </row>
    <row r="21" spans="1:14">
      <c r="A21" s="46" t="s">
        <v>179</v>
      </c>
      <c r="C21" s="4"/>
      <c r="D21" s="4"/>
      <c r="E21" s="4"/>
      <c r="F21" s="4"/>
      <c r="G21" s="4"/>
      <c r="H21" s="4"/>
      <c r="I21" s="4"/>
      <c r="J21" s="58"/>
      <c r="K21" s="58"/>
      <c r="L21" s="58"/>
      <c r="M21" s="59"/>
      <c r="N21" s="58"/>
    </row>
    <row r="22" spans="1:14" ht="12.75" customHeight="1">
      <c r="A22" s="42" t="s">
        <v>539</v>
      </c>
      <c r="C22" s="4" t="s">
        <v>189</v>
      </c>
      <c r="D22" s="4" t="s">
        <v>189</v>
      </c>
      <c r="E22" s="4"/>
      <c r="F22" s="4"/>
      <c r="G22" s="4"/>
      <c r="H22" s="4"/>
      <c r="I22" s="4"/>
      <c r="J22" s="58"/>
      <c r="K22" s="58"/>
      <c r="L22" s="58"/>
      <c r="M22" s="59"/>
      <c r="N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59"/>
      <c r="D27" s="59"/>
      <c r="E27" s="59"/>
      <c r="F27" s="59"/>
      <c r="G27" s="59"/>
      <c r="J27" s="58"/>
      <c r="K27" s="58"/>
      <c r="L27" s="58"/>
      <c r="M27" s="59"/>
      <c r="N27" s="58"/>
    </row>
    <row r="28" spans="1:14">
      <c r="C28" s="59"/>
      <c r="D28" s="59"/>
      <c r="E28" s="59"/>
      <c r="F28" s="59"/>
      <c r="G28" s="59"/>
      <c r="J28" s="58"/>
      <c r="K28" s="58"/>
      <c r="L28" s="58"/>
      <c r="M28" s="59"/>
      <c r="N28" s="58"/>
    </row>
    <row r="29" spans="1:14">
      <c r="C29" s="59"/>
      <c r="D29" s="59"/>
      <c r="E29" s="59"/>
      <c r="F29" s="59"/>
      <c r="G29" s="59"/>
      <c r="J29" s="58"/>
      <c r="K29" s="58"/>
      <c r="L29" s="58"/>
      <c r="M29" s="59"/>
      <c r="N29" s="58"/>
    </row>
    <row r="30" spans="1:14">
      <c r="C30" s="58"/>
      <c r="D30" s="58"/>
      <c r="E30" s="58"/>
      <c r="F30" s="58"/>
      <c r="G30" s="58"/>
      <c r="J30" s="58"/>
      <c r="K30" s="58"/>
      <c r="L30" s="58"/>
      <c r="M30" s="59"/>
      <c r="N30" s="58"/>
    </row>
    <row r="31" spans="1:14">
      <c r="J31" s="58"/>
      <c r="K31" s="58"/>
      <c r="L31" s="58"/>
      <c r="M31" s="59"/>
      <c r="N31" s="58"/>
    </row>
    <row r="32" spans="1:14">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1921</v>
      </c>
      <c r="C1" s="4"/>
      <c r="D1" s="4"/>
      <c r="E1" s="4"/>
      <c r="F1" s="4"/>
      <c r="G1" s="4"/>
      <c r="H1" s="4"/>
      <c r="I1" s="4"/>
      <c r="J1" s="4"/>
    </row>
    <row r="2" spans="1:12">
      <c r="A2" s="1" t="s">
        <v>1922</v>
      </c>
      <c r="C2" s="4"/>
      <c r="D2" s="4"/>
      <c r="E2" s="4"/>
      <c r="F2" s="4"/>
      <c r="G2" s="4"/>
      <c r="H2" s="4"/>
      <c r="I2" s="4"/>
      <c r="J2" s="4"/>
    </row>
    <row r="3" spans="1:12">
      <c r="A3" s="7" t="s">
        <v>1923</v>
      </c>
      <c r="C3" s="4"/>
      <c r="D3" s="4"/>
      <c r="E3" s="4"/>
      <c r="F3" s="4"/>
      <c r="G3" s="4"/>
      <c r="H3" s="4"/>
      <c r="I3" s="4"/>
      <c r="J3" s="55"/>
      <c r="K3" s="58"/>
    </row>
    <row r="4" spans="1:12">
      <c r="A4" s="7" t="s">
        <v>1911</v>
      </c>
      <c r="C4" s="4"/>
      <c r="D4" s="4"/>
      <c r="E4" s="4"/>
      <c r="F4" s="4"/>
      <c r="G4" s="4"/>
      <c r="H4" s="4"/>
      <c r="I4" s="4"/>
      <c r="J4" s="55"/>
      <c r="K4" s="58"/>
    </row>
    <row r="5" spans="1:12" ht="13.5" thickBot="1">
      <c r="B5" s="65"/>
      <c r="C5" s="4"/>
      <c r="D5" s="4"/>
      <c r="E5" s="4"/>
      <c r="F5" s="4"/>
      <c r="G5" s="4"/>
      <c r="H5" s="4"/>
      <c r="I5" s="4"/>
      <c r="J5" s="55"/>
      <c r="K5" s="58"/>
    </row>
    <row r="6" spans="1:12">
      <c r="A6" s="470" t="s">
        <v>1896</v>
      </c>
      <c r="C6" s="437" t="s">
        <v>1806</v>
      </c>
      <c r="D6" s="437" t="s">
        <v>1807</v>
      </c>
      <c r="E6" s="437" t="s">
        <v>1808</v>
      </c>
      <c r="F6" s="437" t="s">
        <v>1093</v>
      </c>
      <c r="G6" s="437" t="s">
        <v>1809</v>
      </c>
      <c r="H6" s="471" t="s">
        <v>178</v>
      </c>
      <c r="I6" s="437" t="s">
        <v>1810</v>
      </c>
      <c r="J6" s="58"/>
      <c r="K6" s="58"/>
    </row>
    <row r="7" spans="1:12" ht="13.5" thickBot="1">
      <c r="A7" s="44"/>
      <c r="B7" s="44"/>
      <c r="C7" s="39" t="s">
        <v>1811</v>
      </c>
      <c r="D7" s="39" t="s">
        <v>1812</v>
      </c>
      <c r="E7" s="39" t="s">
        <v>1813</v>
      </c>
      <c r="F7" s="39"/>
      <c r="G7" s="39" t="s">
        <v>1814</v>
      </c>
      <c r="H7" s="472"/>
      <c r="I7" s="39"/>
      <c r="J7" s="58"/>
      <c r="K7" s="58"/>
    </row>
    <row r="8" spans="1:12">
      <c r="B8" s="4"/>
      <c r="C8" s="4"/>
      <c r="D8" s="4"/>
      <c r="E8" s="4"/>
      <c r="F8" s="4"/>
      <c r="G8" s="4"/>
      <c r="H8" s="2"/>
      <c r="I8" s="4"/>
      <c r="J8" s="58"/>
      <c r="K8" s="58"/>
    </row>
    <row r="9" spans="1:12">
      <c r="A9" s="529">
        <v>1</v>
      </c>
      <c r="B9" s="7" t="s">
        <v>462</v>
      </c>
      <c r="C9" s="69">
        <v>113533.32602759529</v>
      </c>
      <c r="D9" s="69">
        <v>30158.146990207697</v>
      </c>
      <c r="E9" s="69">
        <v>336.16680608340005</v>
      </c>
      <c r="F9" s="69">
        <v>49402.695565562695</v>
      </c>
      <c r="G9" s="69">
        <v>998.00292933240007</v>
      </c>
      <c r="H9" s="6">
        <f t="shared" ref="H9:H18" si="0">SUM(C9:G9)</f>
        <v>194428.33831878149</v>
      </c>
      <c r="I9" s="31">
        <f>+H9/H$20*100</f>
        <v>25.397607737144529</v>
      </c>
      <c r="J9" s="58"/>
      <c r="K9" s="58"/>
    </row>
    <row r="10" spans="1:12">
      <c r="A10" s="529">
        <v>2</v>
      </c>
      <c r="B10" s="7" t="s">
        <v>180</v>
      </c>
      <c r="C10" s="69">
        <v>2080.7554501638001</v>
      </c>
      <c r="D10" s="69">
        <v>30228.318908185887</v>
      </c>
      <c r="E10" s="69">
        <v>10907.5347306037</v>
      </c>
      <c r="F10" s="69">
        <v>-15.354870863999988</v>
      </c>
      <c r="G10" s="69">
        <v>633.63823066020007</v>
      </c>
      <c r="H10" s="6">
        <f t="shared" si="0"/>
        <v>43834.89244874959</v>
      </c>
      <c r="I10" s="31">
        <f t="shared" ref="I10:I18" si="1">+H10/H$20*100</f>
        <v>5.7260243709325458</v>
      </c>
      <c r="J10" s="58"/>
      <c r="K10" s="473"/>
      <c r="L10" s="61"/>
    </row>
    <row r="11" spans="1:12">
      <c r="A11" s="529">
        <v>3</v>
      </c>
      <c r="B11" s="7" t="s">
        <v>183</v>
      </c>
      <c r="C11" s="69">
        <v>595.80154549480005</v>
      </c>
      <c r="D11" s="69">
        <v>28954.8079364601</v>
      </c>
      <c r="E11" s="69">
        <v>33.659398197399995</v>
      </c>
      <c r="F11" s="69">
        <v>53.536569838300004</v>
      </c>
      <c r="G11" s="69">
        <v>1113.0179937082999</v>
      </c>
      <c r="H11" s="6">
        <f t="shared" si="0"/>
        <v>30750.823443698901</v>
      </c>
      <c r="I11" s="31">
        <f t="shared" si="1"/>
        <v>4.0168905323705557</v>
      </c>
      <c r="J11" s="58"/>
      <c r="K11" s="58"/>
    </row>
    <row r="12" spans="1:12">
      <c r="A12" s="529">
        <v>4</v>
      </c>
      <c r="B12" s="7" t="s">
        <v>463</v>
      </c>
      <c r="C12" s="69">
        <v>40419.862929238196</v>
      </c>
      <c r="D12" s="69">
        <v>21263.961493304254</v>
      </c>
      <c r="E12" s="69">
        <v>13391.561730869402</v>
      </c>
      <c r="F12" s="69">
        <v>683.01664888940002</v>
      </c>
      <c r="G12" s="69">
        <v>2120.6018573697997</v>
      </c>
      <c r="H12" s="6">
        <f t="shared" si="0"/>
        <v>77879.004659671045</v>
      </c>
      <c r="I12" s="31">
        <f t="shared" si="1"/>
        <v>10.173107626227704</v>
      </c>
      <c r="J12" s="58"/>
      <c r="K12" s="58"/>
    </row>
    <row r="13" spans="1:12">
      <c r="A13" s="529">
        <v>5</v>
      </c>
      <c r="B13" s="7" t="s">
        <v>464</v>
      </c>
      <c r="C13" s="69">
        <v>2940.9785273970997</v>
      </c>
      <c r="D13" s="69">
        <v>2130.0718389000008</v>
      </c>
      <c r="E13" s="69">
        <v>686.1705296749999</v>
      </c>
      <c r="F13" s="69">
        <v>1.2497970779999998</v>
      </c>
      <c r="G13" s="69">
        <v>21.546875805599999</v>
      </c>
      <c r="H13" s="6">
        <f t="shared" si="0"/>
        <v>5780.0175688557001</v>
      </c>
      <c r="I13" s="31">
        <f t="shared" si="1"/>
        <v>0.75502686592379475</v>
      </c>
      <c r="J13" s="58"/>
      <c r="K13" s="58"/>
    </row>
    <row r="14" spans="1:12">
      <c r="A14" s="529">
        <v>6</v>
      </c>
      <c r="B14" s="7" t="s">
        <v>399</v>
      </c>
      <c r="C14" s="69">
        <v>4570.3665670717019</v>
      </c>
      <c r="D14" s="69">
        <v>448.02363264279973</v>
      </c>
      <c r="E14" s="69">
        <v>0.63709574609999997</v>
      </c>
      <c r="F14" s="69">
        <v>0.80490401369999998</v>
      </c>
      <c r="G14" s="69">
        <v>278.61495575809994</v>
      </c>
      <c r="H14" s="6">
        <f t="shared" si="0"/>
        <v>5298.4471552324021</v>
      </c>
      <c r="I14" s="31">
        <f t="shared" si="1"/>
        <v>0.69212072493232235</v>
      </c>
      <c r="J14" s="58"/>
      <c r="K14" s="58"/>
    </row>
    <row r="15" spans="1:12">
      <c r="A15" s="529">
        <v>7</v>
      </c>
      <c r="B15" s="7" t="s">
        <v>546</v>
      </c>
      <c r="C15" s="69">
        <v>22613.333510932793</v>
      </c>
      <c r="D15" s="69">
        <v>3221.0127339771989</v>
      </c>
      <c r="E15" s="69">
        <v>10.3438643676</v>
      </c>
      <c r="F15" s="69">
        <v>1.7572862663000004</v>
      </c>
      <c r="G15" s="69">
        <v>24.091021184099997</v>
      </c>
      <c r="H15" s="6">
        <f t="shared" si="0"/>
        <v>25870.538416727992</v>
      </c>
      <c r="I15" s="31">
        <f t="shared" si="1"/>
        <v>3.3793931087324194</v>
      </c>
      <c r="J15" s="58"/>
      <c r="K15" s="58"/>
    </row>
    <row r="16" spans="1:12">
      <c r="A16" s="529">
        <v>8</v>
      </c>
      <c r="B16" s="7" t="s">
        <v>1453</v>
      </c>
      <c r="C16" s="69">
        <v>5300.5638645622021</v>
      </c>
      <c r="D16" s="69">
        <v>1448.1244799029994</v>
      </c>
      <c r="E16" s="69">
        <v>16.579916537700004</v>
      </c>
      <c r="F16" s="69">
        <v>4.7340428355000013</v>
      </c>
      <c r="G16" s="69">
        <v>66.698146388499993</v>
      </c>
      <c r="H16" s="6">
        <f t="shared" si="0"/>
        <v>6836.7004502269019</v>
      </c>
      <c r="I16" s="31">
        <f t="shared" si="1"/>
        <v>0.8930582740800459</v>
      </c>
      <c r="J16" s="58"/>
      <c r="K16" s="58"/>
    </row>
    <row r="17" spans="1:14">
      <c r="A17" s="529">
        <v>9</v>
      </c>
      <c r="B17" s="7" t="s">
        <v>465</v>
      </c>
      <c r="C17" s="69">
        <v>27475.8177890556</v>
      </c>
      <c r="D17" s="69">
        <v>20098.243222160196</v>
      </c>
      <c r="E17" s="69">
        <v>388.84213864330002</v>
      </c>
      <c r="F17" s="69">
        <v>4765.1096013165015</v>
      </c>
      <c r="G17" s="69">
        <v>400.58630138150011</v>
      </c>
      <c r="H17" s="6">
        <f t="shared" si="0"/>
        <v>53128.599052557096</v>
      </c>
      <c r="I17" s="31">
        <f t="shared" si="1"/>
        <v>6.940034205037124</v>
      </c>
      <c r="J17" s="58"/>
      <c r="K17" s="58"/>
    </row>
    <row r="18" spans="1:14">
      <c r="A18" s="529">
        <v>10</v>
      </c>
      <c r="B18" s="7" t="s">
        <v>466</v>
      </c>
      <c r="C18" s="69">
        <v>303820.50407172571</v>
      </c>
      <c r="D18" s="69">
        <v>17321.660416724895</v>
      </c>
      <c r="E18" s="69">
        <v>66.182716533100006</v>
      </c>
      <c r="F18" s="69">
        <v>54.647822113899977</v>
      </c>
      <c r="G18" s="69">
        <v>467.45832566230001</v>
      </c>
      <c r="H18" s="6">
        <f t="shared" si="0"/>
        <v>321730.45335275988</v>
      </c>
      <c r="I18" s="31">
        <f t="shared" si="1"/>
        <v>42.026712371268296</v>
      </c>
      <c r="J18" s="58"/>
      <c r="K18" s="58"/>
    </row>
    <row r="19" spans="1:14">
      <c r="B19" s="4"/>
      <c r="C19" s="3"/>
      <c r="D19" s="3"/>
      <c r="E19" s="3"/>
      <c r="F19" s="3"/>
      <c r="G19" s="3"/>
      <c r="H19" s="3"/>
      <c r="I19" s="4"/>
      <c r="J19" s="58"/>
      <c r="K19" s="58"/>
    </row>
    <row r="20" spans="1:14" ht="13.5" thickBot="1">
      <c r="A20" s="33"/>
      <c r="B20" s="33" t="s">
        <v>178</v>
      </c>
      <c r="C20" s="40">
        <f>SUM(C9:C19)</f>
        <v>523351.3102832372</v>
      </c>
      <c r="D20" s="40">
        <f>SUM(D9:D19)</f>
        <v>155272.37165246601</v>
      </c>
      <c r="E20" s="40">
        <f>SUM(E9:E19)</f>
        <v>25837.678927256708</v>
      </c>
      <c r="F20" s="40">
        <f>SUM(F9:F19)</f>
        <v>54952.197367050299</v>
      </c>
      <c r="G20" s="40">
        <f>SUM(G9:G19)</f>
        <v>6124.2566372507999</v>
      </c>
      <c r="H20" s="40">
        <v>765538</v>
      </c>
      <c r="I20" s="479">
        <f>SUM(I9:I18)</f>
        <v>99.999975816649339</v>
      </c>
      <c r="J20" s="58"/>
      <c r="K20" s="58"/>
    </row>
    <row r="21" spans="1:14">
      <c r="A21" s="46" t="s">
        <v>179</v>
      </c>
      <c r="C21" s="4"/>
      <c r="D21" s="4"/>
      <c r="E21" s="4"/>
      <c r="F21" s="4"/>
      <c r="G21" s="4"/>
      <c r="H21" s="4"/>
      <c r="I21" s="4"/>
      <c r="J21" s="58"/>
      <c r="K21" s="58"/>
    </row>
    <row r="22" spans="1:14" ht="12.75" customHeight="1">
      <c r="A22" s="42" t="s">
        <v>539</v>
      </c>
      <c r="C22" s="4" t="s">
        <v>189</v>
      </c>
      <c r="D22" s="4" t="s">
        <v>189</v>
      </c>
      <c r="E22" s="4"/>
      <c r="F22" s="4"/>
      <c r="G22" s="4"/>
      <c r="H22" s="4"/>
      <c r="I22" s="4"/>
      <c r="J22" s="58"/>
      <c r="K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59"/>
      <c r="D27" s="59"/>
      <c r="E27" s="59"/>
      <c r="F27" s="59"/>
      <c r="G27" s="59"/>
      <c r="J27" s="58"/>
      <c r="K27" s="58"/>
      <c r="L27" s="58"/>
      <c r="M27" s="59"/>
      <c r="N27" s="58"/>
    </row>
    <row r="28" spans="1:14">
      <c r="C28" s="59"/>
      <c r="D28" s="59"/>
      <c r="E28" s="59"/>
      <c r="F28" s="59"/>
      <c r="G28" s="59"/>
      <c r="J28" s="58"/>
      <c r="K28" s="58"/>
      <c r="L28" s="58"/>
      <c r="M28" s="59"/>
      <c r="N28" s="58"/>
    </row>
    <row r="29" spans="1:14">
      <c r="C29" s="59"/>
      <c r="D29" s="59"/>
      <c r="E29" s="59"/>
      <c r="F29" s="59"/>
      <c r="G29" s="59"/>
      <c r="J29" s="58"/>
      <c r="K29" s="58"/>
      <c r="L29" s="58"/>
      <c r="M29" s="59"/>
      <c r="N29" s="58"/>
    </row>
    <row r="30" spans="1:14">
      <c r="C30" s="58"/>
      <c r="D30" s="58"/>
      <c r="E30" s="58"/>
      <c r="F30" s="58"/>
      <c r="G30" s="58"/>
      <c r="J30" s="58"/>
      <c r="K30" s="58"/>
      <c r="L30" s="58"/>
      <c r="M30" s="59"/>
      <c r="N30" s="58"/>
    </row>
    <row r="31" spans="1:14">
      <c r="J31" s="58"/>
      <c r="K31" s="58"/>
      <c r="L31" s="58"/>
      <c r="M31" s="59"/>
      <c r="N31" s="58"/>
    </row>
    <row r="32" spans="1:14">
      <c r="J32" s="58"/>
      <c r="K32" s="58"/>
      <c r="L32" s="58"/>
      <c r="M32" s="59"/>
      <c r="N32" s="58"/>
    </row>
    <row r="33" spans="10:14">
      <c r="J33" s="58"/>
      <c r="K33" s="58"/>
      <c r="L33" s="58"/>
      <c r="M33" s="59"/>
      <c r="N33" s="58"/>
    </row>
    <row r="34" spans="10:14">
      <c r="J34" s="58"/>
      <c r="K34" s="58"/>
      <c r="L34" s="58"/>
      <c r="M34" s="59"/>
      <c r="N34" s="58"/>
    </row>
    <row r="35" spans="10:14">
      <c r="J35" s="58"/>
      <c r="K35" s="58"/>
      <c r="L35" s="58"/>
      <c r="M35" s="59"/>
      <c r="N35" s="58"/>
    </row>
    <row r="36" spans="10:14">
      <c r="J36" s="58"/>
      <c r="K36" s="58"/>
      <c r="L36" s="58"/>
      <c r="M36" s="59"/>
      <c r="N36" s="58"/>
    </row>
    <row r="37" spans="10:14">
      <c r="J37" s="58"/>
      <c r="K37" s="58"/>
      <c r="L37" s="58"/>
      <c r="M37" s="59"/>
      <c r="N37" s="58"/>
    </row>
    <row r="38" spans="10:14">
      <c r="J38" s="58"/>
      <c r="K38" s="58"/>
      <c r="L38" s="58"/>
      <c r="M38" s="59"/>
      <c r="N38" s="58"/>
    </row>
    <row r="39" spans="10:14">
      <c r="J39" s="58"/>
      <c r="K39" s="58"/>
      <c r="L39" s="58"/>
      <c r="M39" s="59"/>
      <c r="N39" s="58"/>
    </row>
    <row r="40" spans="10:14">
      <c r="J40" s="58"/>
      <c r="K40" s="58"/>
      <c r="L40" s="58"/>
      <c r="M40" s="59"/>
      <c r="N40" s="58"/>
    </row>
    <row r="41" spans="10:14">
      <c r="J41" s="58"/>
      <c r="K41" s="58"/>
      <c r="L41" s="58"/>
      <c r="M41" s="59"/>
      <c r="N41" s="58"/>
    </row>
    <row r="42" spans="10:14">
      <c r="J42" s="58"/>
      <c r="K42" s="58"/>
      <c r="L42" s="58"/>
      <c r="M42" s="59"/>
      <c r="N42" s="58"/>
    </row>
    <row r="43" spans="10:14">
      <c r="J43" s="58"/>
      <c r="K43" s="58"/>
      <c r="L43" s="58"/>
      <c r="M43" s="59"/>
      <c r="N43" s="58"/>
    </row>
    <row r="44" spans="10:14">
      <c r="J44" s="58"/>
      <c r="K44" s="58"/>
      <c r="L44" s="58"/>
      <c r="M44" s="59"/>
      <c r="N44" s="58"/>
    </row>
    <row r="45" spans="10:14">
      <c r="J45" s="58"/>
      <c r="K45" s="58"/>
      <c r="L45" s="58"/>
      <c r="M45" s="59"/>
      <c r="N45" s="58"/>
    </row>
    <row r="46" spans="10:14">
      <c r="J46" s="58"/>
      <c r="K46" s="58"/>
      <c r="L46" s="58"/>
      <c r="M46" s="59"/>
      <c r="N46" s="58"/>
    </row>
    <row r="47" spans="10:14">
      <c r="J47" s="58"/>
      <c r="K47" s="58"/>
      <c r="L47" s="58"/>
      <c r="M47" s="59"/>
      <c r="N47" s="58"/>
    </row>
    <row r="48" spans="10: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1924</v>
      </c>
      <c r="C1" s="4"/>
      <c r="D1" s="4"/>
      <c r="E1" s="4"/>
      <c r="F1" s="4"/>
      <c r="G1" s="4"/>
      <c r="H1" s="4"/>
      <c r="I1" s="4"/>
      <c r="J1" s="4"/>
    </row>
    <row r="2" spans="1:12">
      <c r="A2" s="1" t="s">
        <v>1925</v>
      </c>
      <c r="C2" s="4"/>
      <c r="D2" s="4"/>
      <c r="E2" s="4"/>
      <c r="F2" s="4"/>
      <c r="G2" s="4"/>
      <c r="H2" s="4"/>
      <c r="I2" s="4"/>
      <c r="J2" s="4"/>
    </row>
    <row r="3" spans="1:12">
      <c r="A3" s="7" t="s">
        <v>1926</v>
      </c>
      <c r="C3" s="4"/>
      <c r="D3" s="4"/>
      <c r="E3" s="4"/>
      <c r="F3" s="4"/>
      <c r="G3" s="4"/>
      <c r="H3" s="4"/>
      <c r="I3" s="4"/>
      <c r="J3" s="55"/>
      <c r="K3" s="58"/>
    </row>
    <row r="4" spans="1:12">
      <c r="A4" s="7" t="s">
        <v>1911</v>
      </c>
      <c r="C4" s="4"/>
      <c r="D4" s="4"/>
      <c r="E4" s="4"/>
      <c r="F4" s="4"/>
      <c r="G4" s="4"/>
      <c r="H4" s="4"/>
      <c r="I4" s="4"/>
      <c r="J4" s="55"/>
      <c r="K4" s="58"/>
    </row>
    <row r="5" spans="1:12" ht="13.5" thickBot="1">
      <c r="B5" s="65"/>
      <c r="C5" s="4"/>
      <c r="D5" s="4"/>
      <c r="E5" s="4"/>
      <c r="F5" s="4"/>
      <c r="G5" s="4"/>
      <c r="H5" s="4"/>
      <c r="I5" s="4"/>
      <c r="J5" s="55"/>
      <c r="K5" s="58"/>
    </row>
    <row r="6" spans="1:12">
      <c r="A6" s="470" t="s">
        <v>1896</v>
      </c>
      <c r="C6" s="437" t="s">
        <v>1806</v>
      </c>
      <c r="D6" s="437" t="s">
        <v>1807</v>
      </c>
      <c r="E6" s="437" t="s">
        <v>1808</v>
      </c>
      <c r="F6" s="437" t="s">
        <v>1093</v>
      </c>
      <c r="G6" s="437" t="s">
        <v>1809</v>
      </c>
      <c r="H6" s="471" t="s">
        <v>178</v>
      </c>
      <c r="I6" s="437" t="s">
        <v>1810</v>
      </c>
      <c r="J6" s="58"/>
      <c r="K6" s="58"/>
    </row>
    <row r="7" spans="1:12" ht="13.5" thickBot="1">
      <c r="A7" s="44"/>
      <c r="B7" s="44"/>
      <c r="C7" s="39" t="s">
        <v>1811</v>
      </c>
      <c r="D7" s="39" t="s">
        <v>1812</v>
      </c>
      <c r="E7" s="39" t="s">
        <v>1813</v>
      </c>
      <c r="F7" s="39"/>
      <c r="G7" s="39" t="s">
        <v>1814</v>
      </c>
      <c r="H7" s="472"/>
      <c r="I7" s="39"/>
      <c r="J7" s="58"/>
      <c r="K7" s="58"/>
    </row>
    <row r="8" spans="1:12">
      <c r="B8" s="4"/>
      <c r="C8" s="4"/>
      <c r="D8" s="4"/>
      <c r="E8" s="4"/>
      <c r="F8" s="4"/>
      <c r="G8" s="4"/>
      <c r="H8" s="2"/>
      <c r="I8" s="4"/>
      <c r="J8" s="58"/>
      <c r="K8" s="58"/>
    </row>
    <row r="9" spans="1:12">
      <c r="A9" s="529">
        <v>1</v>
      </c>
      <c r="B9" s="7" t="s">
        <v>462</v>
      </c>
      <c r="C9" s="68">
        <v>128283</v>
      </c>
      <c r="D9" s="68">
        <v>32297</v>
      </c>
      <c r="E9" s="68">
        <v>291</v>
      </c>
      <c r="F9" s="68">
        <v>47117</v>
      </c>
      <c r="G9" s="68">
        <v>1243</v>
      </c>
      <c r="H9" s="6">
        <f t="shared" ref="H9:H18" si="0">SUM(C9:G9)</f>
        <v>209231</v>
      </c>
      <c r="I9" s="31">
        <f>+H9/H$20*100</f>
        <v>27.202108241069617</v>
      </c>
      <c r="J9" s="58"/>
      <c r="K9" s="58"/>
    </row>
    <row r="10" spans="1:12">
      <c r="A10" s="529">
        <v>2</v>
      </c>
      <c r="B10" s="7" t="s">
        <v>180</v>
      </c>
      <c r="C10" s="68">
        <v>1814</v>
      </c>
      <c r="D10" s="68">
        <v>32378</v>
      </c>
      <c r="E10" s="68">
        <v>11253</v>
      </c>
      <c r="F10" s="68">
        <v>-39</v>
      </c>
      <c r="G10" s="68">
        <v>655</v>
      </c>
      <c r="H10" s="6">
        <f t="shared" si="0"/>
        <v>46061</v>
      </c>
      <c r="I10" s="31">
        <f t="shared" ref="I10:I18" si="1">+H10/H$20*100</f>
        <v>5.9883875128059785</v>
      </c>
      <c r="J10" s="58"/>
      <c r="K10" s="473"/>
      <c r="L10" s="61"/>
    </row>
    <row r="11" spans="1:12">
      <c r="A11" s="529">
        <v>3</v>
      </c>
      <c r="B11" s="7" t="s">
        <v>183</v>
      </c>
      <c r="C11" s="68">
        <v>646</v>
      </c>
      <c r="D11" s="68">
        <v>31373</v>
      </c>
      <c r="E11" s="68">
        <v>-7</v>
      </c>
      <c r="F11" s="68">
        <v>86</v>
      </c>
      <c r="G11" s="68">
        <v>1249</v>
      </c>
      <c r="H11" s="6">
        <f t="shared" si="0"/>
        <v>33347</v>
      </c>
      <c r="I11" s="31">
        <f t="shared" si="1"/>
        <v>4.3354412277097971</v>
      </c>
      <c r="J11" s="58"/>
      <c r="K11" s="58"/>
    </row>
    <row r="12" spans="1:12">
      <c r="A12" s="529">
        <v>4</v>
      </c>
      <c r="B12" s="7" t="s">
        <v>463</v>
      </c>
      <c r="C12" s="68">
        <v>35832</v>
      </c>
      <c r="D12" s="68">
        <v>21218</v>
      </c>
      <c r="E12" s="68">
        <v>13833</v>
      </c>
      <c r="F12" s="68">
        <v>921</v>
      </c>
      <c r="G12" s="68">
        <v>13213</v>
      </c>
      <c r="H12" s="6">
        <f t="shared" si="0"/>
        <v>85017</v>
      </c>
      <c r="I12" s="31">
        <f t="shared" si="1"/>
        <v>11.053054453360236</v>
      </c>
      <c r="J12" s="58"/>
      <c r="K12" s="58"/>
    </row>
    <row r="13" spans="1:12">
      <c r="A13" s="529">
        <v>5</v>
      </c>
      <c r="B13" s="7" t="s">
        <v>464</v>
      </c>
      <c r="C13" s="68">
        <v>1453</v>
      </c>
      <c r="D13" s="68">
        <v>2393</v>
      </c>
      <c r="E13" s="68">
        <v>532</v>
      </c>
      <c r="F13" s="68">
        <v>-4</v>
      </c>
      <c r="G13" s="68">
        <v>25</v>
      </c>
      <c r="H13" s="6">
        <f t="shared" si="0"/>
        <v>4399</v>
      </c>
      <c r="I13" s="31">
        <f t="shared" si="1"/>
        <v>0.57191369420623739</v>
      </c>
      <c r="J13" s="58"/>
      <c r="K13" s="58"/>
    </row>
    <row r="14" spans="1:12">
      <c r="A14" s="529">
        <v>6</v>
      </c>
      <c r="B14" s="7" t="s">
        <v>399</v>
      </c>
      <c r="C14" s="68">
        <v>4034</v>
      </c>
      <c r="D14" s="68">
        <v>398</v>
      </c>
      <c r="E14" s="68">
        <v>1</v>
      </c>
      <c r="F14" s="68">
        <v>-1</v>
      </c>
      <c r="G14" s="68">
        <v>25</v>
      </c>
      <c r="H14" s="6">
        <f t="shared" si="0"/>
        <v>4457</v>
      </c>
      <c r="I14" s="31">
        <f t="shared" si="1"/>
        <v>0.57945427030625141</v>
      </c>
      <c r="J14" s="58"/>
      <c r="K14" s="58"/>
    </row>
    <row r="15" spans="1:12">
      <c r="A15" s="529">
        <v>7</v>
      </c>
      <c r="B15" s="7" t="s">
        <v>546</v>
      </c>
      <c r="C15" s="68">
        <v>24737</v>
      </c>
      <c r="D15" s="68">
        <v>3557</v>
      </c>
      <c r="E15" s="68">
        <v>17</v>
      </c>
      <c r="F15" s="68">
        <v>-4</v>
      </c>
      <c r="G15" s="68">
        <v>26</v>
      </c>
      <c r="H15" s="6">
        <f t="shared" si="0"/>
        <v>28333</v>
      </c>
      <c r="I15" s="31">
        <f t="shared" si="1"/>
        <v>3.6835714248568587</v>
      </c>
      <c r="J15" s="58"/>
      <c r="K15" s="58"/>
    </row>
    <row r="16" spans="1:12">
      <c r="A16" s="529">
        <v>8</v>
      </c>
      <c r="B16" s="7" t="s">
        <v>1453</v>
      </c>
      <c r="C16" s="68">
        <v>5301</v>
      </c>
      <c r="D16" s="68">
        <v>1565</v>
      </c>
      <c r="E16" s="68">
        <v>18</v>
      </c>
      <c r="F16" s="68">
        <v>2</v>
      </c>
      <c r="G16" s="68">
        <v>69</v>
      </c>
      <c r="H16" s="6">
        <f t="shared" si="0"/>
        <v>6955</v>
      </c>
      <c r="I16" s="31">
        <f t="shared" si="1"/>
        <v>0.9042190823378905</v>
      </c>
      <c r="J16" s="58"/>
      <c r="K16" s="58"/>
    </row>
    <row r="17" spans="1:14">
      <c r="A17" s="529">
        <v>9</v>
      </c>
      <c r="B17" s="7" t="s">
        <v>465</v>
      </c>
      <c r="C17" s="68">
        <v>21694</v>
      </c>
      <c r="D17" s="68">
        <v>20042</v>
      </c>
      <c r="E17" s="68">
        <v>404</v>
      </c>
      <c r="F17" s="68">
        <v>4442</v>
      </c>
      <c r="G17" s="68">
        <v>444</v>
      </c>
      <c r="H17" s="6">
        <f t="shared" si="0"/>
        <v>47026</v>
      </c>
      <c r="I17" s="31">
        <f t="shared" si="1"/>
        <v>6.1138470979182813</v>
      </c>
      <c r="J17" s="58"/>
      <c r="K17" s="58"/>
    </row>
    <row r="18" spans="1:14">
      <c r="A18" s="529">
        <v>10</v>
      </c>
      <c r="B18" s="7" t="s">
        <v>466</v>
      </c>
      <c r="C18" s="68">
        <v>286503</v>
      </c>
      <c r="D18" s="68">
        <v>17072</v>
      </c>
      <c r="E18" s="68">
        <v>23</v>
      </c>
      <c r="F18" s="68">
        <v>76</v>
      </c>
      <c r="G18" s="68">
        <v>672</v>
      </c>
      <c r="H18" s="6">
        <f t="shared" si="0"/>
        <v>304346</v>
      </c>
      <c r="I18" s="31">
        <f t="shared" si="1"/>
        <v>39.568002995428856</v>
      </c>
      <c r="J18" s="58"/>
      <c r="K18" s="58"/>
    </row>
    <row r="19" spans="1:14">
      <c r="B19" s="4"/>
      <c r="C19" s="3"/>
      <c r="D19" s="3"/>
      <c r="E19" s="3"/>
      <c r="F19" s="3"/>
      <c r="G19" s="3"/>
      <c r="H19" s="3"/>
      <c r="I19" s="4"/>
      <c r="J19" s="58"/>
      <c r="K19" s="58"/>
    </row>
    <row r="20" spans="1:14" ht="13.5" thickBot="1">
      <c r="A20" s="33"/>
      <c r="B20" s="33" t="s">
        <v>178</v>
      </c>
      <c r="C20" s="40">
        <v>510298.04599999997</v>
      </c>
      <c r="D20" s="40">
        <v>162291.965</v>
      </c>
      <c r="E20" s="40">
        <v>26366.436000000002</v>
      </c>
      <c r="F20" s="40">
        <v>52594.671999999999</v>
      </c>
      <c r="G20" s="40">
        <v>17620.564999999999</v>
      </c>
      <c r="H20" s="40">
        <v>769172</v>
      </c>
      <c r="I20" s="479">
        <f>SUM(I9:I18)</f>
        <v>100</v>
      </c>
      <c r="J20" s="58"/>
      <c r="K20" s="58"/>
    </row>
    <row r="21" spans="1:14">
      <c r="A21" s="46" t="s">
        <v>179</v>
      </c>
      <c r="C21" s="4"/>
      <c r="D21" s="4"/>
      <c r="E21" s="4"/>
      <c r="F21" s="4"/>
      <c r="G21" s="4"/>
      <c r="H21" s="4"/>
      <c r="I21" s="4"/>
      <c r="J21" s="58"/>
      <c r="K21" s="58"/>
    </row>
    <row r="22" spans="1:14" ht="12.75" customHeight="1">
      <c r="A22" s="42" t="s">
        <v>539</v>
      </c>
      <c r="C22" s="4" t="s">
        <v>189</v>
      </c>
      <c r="D22" s="4" t="s">
        <v>189</v>
      </c>
      <c r="E22" s="4"/>
      <c r="F22" s="4"/>
      <c r="G22" s="4"/>
      <c r="H22" s="4"/>
      <c r="I22" s="4"/>
      <c r="J22" s="58"/>
      <c r="K22" s="58"/>
    </row>
    <row r="23" spans="1:14">
      <c r="B23" s="4"/>
      <c r="C23" s="59"/>
      <c r="D23" s="59"/>
      <c r="E23" s="59"/>
      <c r="F23" s="59"/>
      <c r="G23" s="59"/>
      <c r="H23" s="4"/>
      <c r="I23" s="4"/>
      <c r="J23" s="473"/>
      <c r="K23" s="58"/>
      <c r="L23" s="58"/>
      <c r="M23" s="59"/>
      <c r="N23" s="58"/>
    </row>
    <row r="24" spans="1:14">
      <c r="C24" s="59"/>
      <c r="D24" s="59"/>
      <c r="E24" s="59"/>
      <c r="F24" s="59"/>
      <c r="G24" s="59"/>
      <c r="J24" s="58"/>
      <c r="K24" s="58"/>
      <c r="L24" s="58"/>
      <c r="M24" s="59"/>
      <c r="N24" s="58"/>
    </row>
    <row r="25" spans="1:14">
      <c r="C25" s="59"/>
      <c r="D25" s="59"/>
      <c r="E25" s="59"/>
      <c r="F25" s="59"/>
      <c r="G25" s="59"/>
      <c r="J25" s="58"/>
      <c r="K25" s="58"/>
      <c r="L25" s="58"/>
      <c r="M25" s="59"/>
      <c r="N25" s="58"/>
    </row>
    <row r="26" spans="1:14">
      <c r="C26" s="59"/>
      <c r="D26" s="59"/>
      <c r="E26" s="59"/>
      <c r="F26" s="59"/>
      <c r="G26" s="59"/>
      <c r="J26" s="58"/>
      <c r="K26" s="58"/>
      <c r="L26" s="58"/>
      <c r="M26" s="59"/>
      <c r="N26" s="58"/>
    </row>
    <row r="27" spans="1:14">
      <c r="C27" s="473"/>
      <c r="D27" s="473"/>
      <c r="E27" s="473"/>
      <c r="F27" s="473"/>
      <c r="G27" s="473"/>
      <c r="H27" s="473"/>
      <c r="J27" s="473"/>
      <c r="K27" s="58"/>
      <c r="L27" s="58"/>
      <c r="M27" s="59"/>
      <c r="N27" s="58"/>
    </row>
    <row r="28" spans="1:14">
      <c r="C28" s="473"/>
      <c r="D28" s="473"/>
      <c r="E28" s="473"/>
      <c r="F28" s="473"/>
      <c r="G28" s="473"/>
      <c r="H28" s="473"/>
      <c r="J28" s="58"/>
      <c r="K28" s="58"/>
      <c r="L28" s="58"/>
      <c r="M28" s="59"/>
      <c r="N28" s="58"/>
    </row>
    <row r="29" spans="1:14">
      <c r="C29" s="473"/>
      <c r="D29" s="473"/>
      <c r="E29" s="473"/>
      <c r="F29" s="473"/>
      <c r="G29" s="473"/>
      <c r="H29" s="473"/>
      <c r="J29" s="59"/>
      <c r="K29" s="58"/>
      <c r="L29" s="58"/>
      <c r="M29" s="59"/>
      <c r="N29" s="58"/>
    </row>
    <row r="30" spans="1:14">
      <c r="C30" s="473"/>
      <c r="D30" s="473"/>
      <c r="E30" s="473"/>
      <c r="F30" s="473"/>
      <c r="G30" s="473"/>
      <c r="H30" s="473"/>
      <c r="J30" s="58"/>
      <c r="K30" s="58"/>
      <c r="L30" s="58"/>
      <c r="M30" s="59"/>
      <c r="N30" s="58"/>
    </row>
    <row r="31" spans="1:14">
      <c r="C31" s="473"/>
      <c r="D31" s="473"/>
      <c r="E31" s="473"/>
      <c r="F31" s="473"/>
      <c r="G31" s="473"/>
      <c r="H31" s="473"/>
      <c r="J31" s="58"/>
      <c r="K31" s="58"/>
      <c r="L31" s="58"/>
      <c r="M31" s="59"/>
      <c r="N31" s="58"/>
    </row>
    <row r="32" spans="1:14">
      <c r="C32" s="473"/>
      <c r="D32" s="473"/>
      <c r="E32" s="473"/>
      <c r="F32" s="473"/>
      <c r="G32" s="473"/>
      <c r="H32" s="473"/>
      <c r="J32" s="58"/>
      <c r="K32" s="58"/>
      <c r="L32" s="58"/>
      <c r="M32" s="59"/>
      <c r="N32" s="58"/>
    </row>
    <row r="33" spans="3:14">
      <c r="C33" s="473"/>
      <c r="D33" s="473"/>
      <c r="E33" s="473"/>
      <c r="F33" s="473"/>
      <c r="G33" s="473"/>
      <c r="H33" s="473"/>
      <c r="J33" s="58"/>
      <c r="K33" s="58"/>
      <c r="L33" s="58"/>
      <c r="M33" s="59"/>
      <c r="N33" s="58"/>
    </row>
    <row r="34" spans="3:14">
      <c r="C34" s="473"/>
      <c r="D34" s="473"/>
      <c r="E34" s="473"/>
      <c r="F34" s="473"/>
      <c r="G34" s="473"/>
      <c r="H34" s="473"/>
      <c r="J34" s="58"/>
      <c r="K34" s="58"/>
      <c r="L34" s="58"/>
      <c r="M34" s="59"/>
      <c r="N34" s="58"/>
    </row>
    <row r="35" spans="3:14">
      <c r="C35" s="473"/>
      <c r="D35" s="473"/>
      <c r="E35" s="473"/>
      <c r="F35" s="473"/>
      <c r="G35" s="473"/>
      <c r="H35" s="473"/>
      <c r="J35" s="58"/>
      <c r="K35" s="58"/>
      <c r="L35" s="58"/>
      <c r="M35" s="59"/>
      <c r="N35" s="58"/>
    </row>
    <row r="36" spans="3:14">
      <c r="C36" s="473"/>
      <c r="D36" s="473"/>
      <c r="E36" s="473"/>
      <c r="F36" s="473"/>
      <c r="G36" s="473"/>
      <c r="H36" s="473"/>
      <c r="J36" s="58"/>
      <c r="K36" s="58"/>
      <c r="L36" s="58"/>
      <c r="M36" s="59"/>
      <c r="N36" s="58"/>
    </row>
    <row r="37" spans="3:14">
      <c r="J37" s="58"/>
      <c r="K37" s="58"/>
      <c r="L37" s="58"/>
      <c r="M37" s="59"/>
      <c r="N37" s="58"/>
    </row>
    <row r="38" spans="3:14">
      <c r="J38" s="58"/>
      <c r="K38" s="58"/>
      <c r="L38" s="58"/>
      <c r="M38" s="59"/>
      <c r="N38" s="58"/>
    </row>
    <row r="39" spans="3:14">
      <c r="J39" s="58"/>
      <c r="K39" s="58"/>
      <c r="L39" s="58"/>
      <c r="M39" s="59"/>
      <c r="N39" s="58"/>
    </row>
    <row r="40" spans="3:14">
      <c r="J40" s="58"/>
      <c r="K40" s="58"/>
      <c r="L40" s="58"/>
      <c r="M40" s="59"/>
      <c r="N40" s="58"/>
    </row>
    <row r="41" spans="3:14">
      <c r="J41" s="58"/>
      <c r="K41" s="58"/>
      <c r="L41" s="58"/>
      <c r="M41" s="59"/>
      <c r="N41" s="58"/>
    </row>
    <row r="42" spans="3:14">
      <c r="J42" s="58"/>
      <c r="K42" s="58"/>
      <c r="L42" s="58"/>
      <c r="M42" s="59"/>
      <c r="N42" s="58"/>
    </row>
    <row r="43" spans="3:14">
      <c r="J43" s="58"/>
      <c r="K43" s="58"/>
      <c r="L43" s="58"/>
      <c r="M43" s="59"/>
      <c r="N43" s="58"/>
    </row>
    <row r="44" spans="3:14">
      <c r="J44" s="58"/>
      <c r="K44" s="58"/>
      <c r="L44" s="58"/>
      <c r="M44" s="59"/>
      <c r="N44" s="58"/>
    </row>
    <row r="45" spans="3:14">
      <c r="J45" s="58"/>
      <c r="K45" s="58"/>
      <c r="L45" s="58"/>
      <c r="M45" s="59"/>
      <c r="N45" s="58"/>
    </row>
    <row r="46" spans="3:14">
      <c r="J46" s="58"/>
      <c r="K46" s="58"/>
      <c r="L46" s="58"/>
      <c r="M46" s="59"/>
      <c r="N46" s="58"/>
    </row>
    <row r="47" spans="3:14">
      <c r="J47" s="58"/>
      <c r="K47" s="58"/>
      <c r="L47" s="58"/>
      <c r="M47" s="59"/>
      <c r="N47" s="58"/>
    </row>
    <row r="48" spans="3: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115" workbookViewId="0">
      <selection activeCell="F49" sqref="F49"/>
    </sheetView>
  </sheetViews>
  <sheetFormatPr defaultRowHeight="12.75"/>
  <cols>
    <col min="1" max="1" width="1.5" style="552" customWidth="1"/>
    <col min="2" max="2" width="2.1640625" style="552" customWidth="1"/>
    <col min="3" max="3" width="3.6640625" style="552" customWidth="1"/>
    <col min="4" max="4" width="43.6640625" style="552" bestFit="1" customWidth="1"/>
    <col min="5" max="5" width="6.33203125" style="552" bestFit="1" customWidth="1"/>
    <col min="6" max="18" width="5.6640625" style="552" bestFit="1" customWidth="1"/>
    <col min="19" max="19" width="6.33203125" style="552" bestFit="1" customWidth="1"/>
    <col min="20" max="22" width="5.6640625" style="552" bestFit="1" customWidth="1"/>
    <col min="23" max="23" width="6.33203125" style="552" bestFit="1" customWidth="1"/>
    <col min="24" max="24" width="6.33203125" style="552" customWidth="1"/>
    <col min="25" max="16384" width="9.33203125" style="552"/>
  </cols>
  <sheetData>
    <row r="1" spans="1:24">
      <c r="A1" s="549" t="s">
        <v>403</v>
      </c>
      <c r="B1" s="550"/>
      <c r="C1" s="550"/>
      <c r="D1" s="550"/>
      <c r="E1" s="550"/>
      <c r="F1" s="550"/>
      <c r="G1" s="550"/>
      <c r="H1" s="550"/>
      <c r="I1" s="550"/>
      <c r="J1" s="550"/>
      <c r="K1" s="550"/>
      <c r="L1" s="550"/>
      <c r="M1" s="550"/>
      <c r="N1" s="551"/>
      <c r="O1" s="551"/>
      <c r="P1" s="551"/>
      <c r="Q1" s="551"/>
      <c r="R1" s="551"/>
      <c r="S1" s="551"/>
      <c r="T1" s="551"/>
      <c r="U1" s="551"/>
      <c r="V1" s="551"/>
    </row>
    <row r="2" spans="1:24">
      <c r="A2" s="553" t="s">
        <v>1953</v>
      </c>
      <c r="B2" s="550"/>
      <c r="C2" s="550"/>
      <c r="D2" s="550"/>
      <c r="E2" s="550"/>
      <c r="F2" s="550"/>
      <c r="G2" s="550"/>
      <c r="H2" s="550"/>
      <c r="I2" s="550"/>
      <c r="J2" s="550"/>
      <c r="K2" s="554"/>
      <c r="L2" s="550"/>
      <c r="M2" s="550"/>
      <c r="N2" s="551"/>
      <c r="O2" s="551"/>
      <c r="P2" s="551"/>
      <c r="Q2" s="551"/>
      <c r="R2" s="551"/>
      <c r="S2" s="551"/>
      <c r="T2" s="551"/>
      <c r="U2" s="551"/>
      <c r="V2" s="551"/>
    </row>
    <row r="3" spans="1:24" ht="15">
      <c r="A3" s="550" t="s">
        <v>1954</v>
      </c>
      <c r="B3" s="550"/>
      <c r="C3" s="550"/>
      <c r="D3" s="555"/>
      <c r="E3" s="550"/>
      <c r="F3" s="550"/>
      <c r="G3" s="550"/>
      <c r="H3" s="550"/>
      <c r="I3" s="550"/>
      <c r="J3" s="550"/>
      <c r="K3" s="554"/>
      <c r="L3" s="550"/>
      <c r="M3" s="550"/>
      <c r="N3" s="551"/>
      <c r="O3" s="551"/>
      <c r="P3" s="551"/>
      <c r="Q3" s="551"/>
      <c r="R3" s="551"/>
      <c r="S3" s="551"/>
      <c r="T3" s="551"/>
      <c r="U3" s="551"/>
      <c r="V3" s="551"/>
    </row>
    <row r="4" spans="1:24" ht="13.5" thickBot="1">
      <c r="A4" s="556"/>
      <c r="B4" s="556"/>
      <c r="C4" s="556"/>
      <c r="D4" s="556"/>
      <c r="E4" s="556"/>
      <c r="F4" s="556"/>
      <c r="G4" s="556"/>
      <c r="H4" s="557"/>
      <c r="I4" s="557"/>
      <c r="J4" s="556"/>
      <c r="K4" s="556"/>
      <c r="L4" s="556"/>
      <c r="M4" s="556"/>
      <c r="N4" s="556"/>
      <c r="O4" s="556"/>
      <c r="P4" s="556"/>
      <c r="Q4" s="556"/>
      <c r="R4" s="556"/>
      <c r="S4" s="556"/>
      <c r="T4" s="556"/>
      <c r="U4" s="556"/>
      <c r="V4" s="556"/>
      <c r="W4" s="556"/>
      <c r="X4" s="556"/>
    </row>
    <row r="5" spans="1:24">
      <c r="A5" s="550"/>
      <c r="B5" s="550"/>
      <c r="C5" s="550"/>
      <c r="D5" s="550"/>
      <c r="E5" s="558">
        <v>1995</v>
      </c>
      <c r="F5" s="559">
        <v>1996</v>
      </c>
      <c r="G5" s="559">
        <v>1997</v>
      </c>
      <c r="H5" s="558">
        <v>1998</v>
      </c>
      <c r="I5" s="558">
        <v>1999</v>
      </c>
      <c r="J5" s="558">
        <v>2000</v>
      </c>
      <c r="K5" s="560">
        <v>2001</v>
      </c>
      <c r="L5" s="560">
        <v>2002</v>
      </c>
      <c r="M5" s="560">
        <v>2003</v>
      </c>
      <c r="N5" s="560">
        <v>2004</v>
      </c>
      <c r="O5" s="560">
        <v>2005</v>
      </c>
      <c r="P5" s="560">
        <v>2006</v>
      </c>
      <c r="Q5" s="560">
        <v>2007</v>
      </c>
      <c r="R5" s="560">
        <v>2008</v>
      </c>
      <c r="S5" s="560">
        <v>2009</v>
      </c>
      <c r="T5" s="560">
        <v>2010</v>
      </c>
      <c r="U5" s="560">
        <v>2011</v>
      </c>
      <c r="V5" s="560">
        <v>2012</v>
      </c>
      <c r="W5" s="561">
        <v>2013</v>
      </c>
      <c r="X5" s="561">
        <v>2014</v>
      </c>
    </row>
    <row r="6" spans="1:24">
      <c r="A6" s="562"/>
      <c r="B6" s="563"/>
      <c r="C6" s="563"/>
      <c r="D6" s="563"/>
      <c r="E6" s="563"/>
      <c r="F6" s="563"/>
      <c r="G6" s="563"/>
      <c r="H6" s="563"/>
      <c r="I6" s="563"/>
      <c r="J6" s="563"/>
      <c r="K6" s="563"/>
      <c r="L6" s="563"/>
      <c r="M6" s="563"/>
      <c r="N6" s="563"/>
      <c r="O6" s="563"/>
      <c r="P6" s="563"/>
      <c r="Q6" s="563"/>
      <c r="R6" s="563"/>
      <c r="S6" s="563"/>
      <c r="T6" s="563"/>
      <c r="U6" s="563"/>
      <c r="V6" s="563"/>
      <c r="W6" s="563"/>
      <c r="X6" s="563"/>
    </row>
    <row r="7" spans="1:24">
      <c r="A7" s="550"/>
      <c r="B7" s="550" t="s">
        <v>1454</v>
      </c>
      <c r="C7" s="550"/>
      <c r="D7" s="550"/>
      <c r="E7" s="564">
        <v>618.18899999999996</v>
      </c>
      <c r="F7" s="564">
        <v>658.83100000000002</v>
      </c>
      <c r="G7" s="564">
        <v>667.55200000000002</v>
      </c>
      <c r="H7" s="564">
        <v>699.09396000346999</v>
      </c>
      <c r="I7" s="564">
        <v>705.22199999999998</v>
      </c>
      <c r="J7" s="551">
        <v>709.56600000000003</v>
      </c>
      <c r="K7" s="551">
        <v>722.03643999999997</v>
      </c>
      <c r="L7" s="551">
        <v>725.33180343601998</v>
      </c>
      <c r="M7" s="551">
        <v>703.47030476739997</v>
      </c>
      <c r="N7" s="551">
        <v>740.72338621237009</v>
      </c>
      <c r="O7" s="551">
        <v>724.95601455958013</v>
      </c>
      <c r="P7" s="551">
        <v>765.53781500000002</v>
      </c>
      <c r="Q7" s="551">
        <v>769.17168500000002</v>
      </c>
      <c r="R7" s="551">
        <v>790.26321663900012</v>
      </c>
      <c r="S7" s="551">
        <v>781.26970600000004</v>
      </c>
      <c r="T7" s="551">
        <v>786.38876200000004</v>
      </c>
      <c r="U7" s="551">
        <v>801.47815600000001</v>
      </c>
      <c r="V7" s="551">
        <v>811.08756500000004</v>
      </c>
      <c r="W7" s="551">
        <v>827.38815192382003</v>
      </c>
      <c r="X7" s="551">
        <v>840.87173652930005</v>
      </c>
    </row>
    <row r="8" spans="1:24">
      <c r="A8" s="550"/>
      <c r="B8" s="565" t="s">
        <v>1455</v>
      </c>
      <c r="C8" s="550"/>
      <c r="D8" s="550"/>
      <c r="E8" s="564"/>
      <c r="F8" s="564"/>
      <c r="G8" s="564"/>
      <c r="H8" s="564"/>
      <c r="I8" s="564"/>
      <c r="J8" s="550"/>
      <c r="K8" s="550"/>
      <c r="L8" s="550"/>
      <c r="M8" s="550"/>
      <c r="N8" s="551"/>
      <c r="O8" s="551"/>
      <c r="P8" s="551"/>
      <c r="Q8" s="551"/>
      <c r="R8" s="551"/>
      <c r="S8" s="551"/>
      <c r="T8" s="551"/>
      <c r="U8" s="551"/>
      <c r="V8" s="551"/>
    </row>
    <row r="9" spans="1:24">
      <c r="A9" s="550"/>
      <c r="B9" s="550"/>
      <c r="C9" s="564" t="s">
        <v>1456</v>
      </c>
      <c r="D9" s="550" t="s">
        <v>651</v>
      </c>
      <c r="E9" s="564">
        <v>24.876000000000001</v>
      </c>
      <c r="F9" s="564"/>
      <c r="G9" s="564"/>
      <c r="H9" s="564"/>
      <c r="I9" s="564"/>
      <c r="J9" s="564"/>
      <c r="K9" s="564"/>
      <c r="L9" s="564"/>
      <c r="M9" s="564"/>
      <c r="N9" s="564"/>
      <c r="O9" s="564"/>
      <c r="P9" s="564"/>
      <c r="Q9" s="551"/>
      <c r="R9" s="551"/>
      <c r="S9" s="551"/>
      <c r="T9" s="551"/>
      <c r="U9" s="551"/>
      <c r="V9" s="551"/>
    </row>
    <row r="10" spans="1:24">
      <c r="A10" s="550"/>
      <c r="B10" s="550"/>
      <c r="C10" s="564" t="s">
        <v>1471</v>
      </c>
      <c r="D10" s="550" t="s">
        <v>652</v>
      </c>
      <c r="E10" s="564">
        <v>25.75</v>
      </c>
      <c r="F10" s="564"/>
      <c r="G10" s="564"/>
      <c r="H10" s="564"/>
      <c r="I10" s="564"/>
      <c r="J10" s="564"/>
      <c r="K10" s="564"/>
      <c r="L10" s="564"/>
      <c r="M10" s="564"/>
      <c r="N10" s="564"/>
      <c r="O10" s="564"/>
      <c r="P10" s="564"/>
      <c r="Q10" s="551"/>
      <c r="R10" s="551"/>
      <c r="S10" s="551"/>
      <c r="T10" s="551"/>
      <c r="U10" s="551"/>
      <c r="V10" s="551"/>
    </row>
    <row r="11" spans="1:24">
      <c r="A11" s="550"/>
      <c r="B11" s="550"/>
      <c r="C11" s="564" t="s">
        <v>439</v>
      </c>
      <c r="D11" s="550" t="s">
        <v>653</v>
      </c>
      <c r="E11" s="564">
        <v>-10.746</v>
      </c>
      <c r="F11" s="564"/>
      <c r="G11" s="564"/>
      <c r="H11" s="564"/>
      <c r="I11" s="564"/>
      <c r="J11" s="564"/>
      <c r="K11" s="564"/>
      <c r="L11" s="564"/>
      <c r="M11" s="564"/>
      <c r="N11" s="564"/>
      <c r="O11" s="564"/>
      <c r="P11" s="564"/>
      <c r="Q11" s="551"/>
      <c r="R11" s="551"/>
      <c r="S11" s="551"/>
      <c r="T11" s="551"/>
      <c r="U11" s="551"/>
      <c r="V11" s="551"/>
    </row>
    <row r="12" spans="1:24">
      <c r="A12" s="550"/>
      <c r="B12" s="550"/>
      <c r="C12" s="564" t="s">
        <v>654</v>
      </c>
      <c r="D12" s="550" t="s">
        <v>655</v>
      </c>
      <c r="E12" s="564">
        <v>40</v>
      </c>
      <c r="F12" s="564"/>
      <c r="G12" s="564"/>
      <c r="H12" s="564"/>
      <c r="I12" s="564"/>
      <c r="J12" s="564"/>
      <c r="K12" s="564"/>
      <c r="L12" s="564"/>
      <c r="M12" s="564"/>
      <c r="N12" s="564"/>
      <c r="O12" s="564"/>
      <c r="P12" s="564"/>
      <c r="Q12" s="551"/>
      <c r="R12" s="551"/>
      <c r="S12" s="551"/>
      <c r="T12" s="551"/>
      <c r="U12" s="551"/>
      <c r="V12" s="551"/>
    </row>
    <row r="13" spans="1:24">
      <c r="A13" s="550"/>
      <c r="B13" s="550"/>
      <c r="C13" s="564" t="s">
        <v>1493</v>
      </c>
      <c r="D13" s="550" t="s">
        <v>1494</v>
      </c>
      <c r="E13" s="564"/>
      <c r="F13" s="564">
        <v>14.605</v>
      </c>
      <c r="G13" s="564"/>
      <c r="H13" s="564"/>
      <c r="I13" s="564"/>
      <c r="J13" s="564"/>
      <c r="K13" s="564"/>
      <c r="L13" s="564"/>
      <c r="M13" s="564"/>
      <c r="N13" s="564"/>
      <c r="O13" s="564"/>
      <c r="P13" s="564"/>
      <c r="Q13" s="551"/>
      <c r="R13" s="551"/>
      <c r="S13" s="551"/>
      <c r="T13" s="551"/>
      <c r="U13" s="551"/>
      <c r="V13" s="551"/>
    </row>
    <row r="14" spans="1:24">
      <c r="A14" s="566"/>
      <c r="B14" s="566"/>
      <c r="C14" s="564" t="s">
        <v>1495</v>
      </c>
      <c r="D14" s="550" t="s">
        <v>1496</v>
      </c>
      <c r="E14" s="564">
        <v>1.278</v>
      </c>
      <c r="F14" s="564">
        <v>1.024</v>
      </c>
      <c r="G14" s="564"/>
      <c r="H14" s="564"/>
      <c r="I14" s="564"/>
      <c r="J14" s="564"/>
      <c r="K14" s="564"/>
      <c r="L14" s="564"/>
      <c r="M14" s="564"/>
      <c r="N14" s="564"/>
      <c r="O14" s="564"/>
      <c r="P14" s="564"/>
      <c r="Q14" s="567"/>
      <c r="R14" s="567"/>
      <c r="S14" s="567"/>
      <c r="T14" s="567"/>
      <c r="U14" s="567"/>
      <c r="V14" s="567"/>
    </row>
    <row r="15" spans="1:24">
      <c r="A15" s="566"/>
      <c r="B15" s="566"/>
      <c r="C15" s="564" t="s">
        <v>1497</v>
      </c>
      <c r="D15" s="562" t="s">
        <v>1457</v>
      </c>
      <c r="E15" s="564">
        <v>10.53</v>
      </c>
      <c r="F15" s="564">
        <v>12.385999999999999</v>
      </c>
      <c r="G15" s="564"/>
      <c r="H15" s="564"/>
      <c r="I15" s="564"/>
      <c r="J15" s="564"/>
      <c r="K15" s="564"/>
      <c r="L15" s="564"/>
      <c r="M15" s="564"/>
      <c r="N15" s="564"/>
      <c r="O15" s="564"/>
      <c r="P15" s="564"/>
      <c r="Q15" s="567"/>
      <c r="R15" s="567"/>
      <c r="S15" s="567"/>
      <c r="T15" s="567"/>
      <c r="U15" s="567"/>
      <c r="V15" s="567"/>
    </row>
    <row r="16" spans="1:24">
      <c r="A16" s="566"/>
      <c r="B16" s="566"/>
      <c r="C16" s="564" t="s">
        <v>1458</v>
      </c>
      <c r="D16" s="550" t="s">
        <v>1459</v>
      </c>
      <c r="E16" s="564">
        <v>2.37</v>
      </c>
      <c r="F16" s="564">
        <v>1.71</v>
      </c>
      <c r="G16" s="564">
        <v>1.0609999999999999</v>
      </c>
      <c r="H16" s="564">
        <v>0.58599999999999997</v>
      </c>
      <c r="I16" s="564"/>
      <c r="J16" s="564"/>
      <c r="K16" s="564"/>
      <c r="L16" s="564"/>
      <c r="M16" s="564"/>
      <c r="N16" s="564"/>
      <c r="O16" s="564"/>
      <c r="P16" s="564"/>
      <c r="Q16" s="567"/>
      <c r="R16" s="567"/>
      <c r="S16" s="567"/>
      <c r="T16" s="567"/>
      <c r="U16" s="567"/>
      <c r="V16" s="567"/>
    </row>
    <row r="17" spans="1:24">
      <c r="A17" s="566"/>
      <c r="B17" s="566"/>
      <c r="C17" s="564" t="s">
        <v>1460</v>
      </c>
      <c r="D17" s="562" t="s">
        <v>1461</v>
      </c>
      <c r="E17" s="564">
        <v>6.766</v>
      </c>
      <c r="F17" s="564">
        <v>6.548</v>
      </c>
      <c r="G17" s="564">
        <v>6.1059999999999999</v>
      </c>
      <c r="H17" s="564">
        <v>6.07</v>
      </c>
      <c r="I17" s="564"/>
      <c r="J17" s="564"/>
      <c r="K17" s="564"/>
      <c r="L17" s="564"/>
      <c r="M17" s="564"/>
      <c r="N17" s="564"/>
      <c r="O17" s="564"/>
      <c r="P17" s="564"/>
      <c r="Q17" s="567"/>
      <c r="R17" s="567"/>
      <c r="S17" s="567"/>
      <c r="T17" s="567"/>
      <c r="U17" s="567"/>
      <c r="V17" s="567"/>
    </row>
    <row r="18" spans="1:24">
      <c r="A18" s="550"/>
      <c r="B18" s="562"/>
      <c r="C18" s="568" t="s">
        <v>1462</v>
      </c>
      <c r="D18" s="569" t="s">
        <v>1463</v>
      </c>
      <c r="E18" s="564">
        <v>-1.38768489432</v>
      </c>
      <c r="F18" s="564">
        <v>-1.31884489531</v>
      </c>
      <c r="G18" s="564">
        <v>-1.4936941459299999</v>
      </c>
      <c r="H18" s="564">
        <v>-1.44951007392</v>
      </c>
      <c r="I18" s="564">
        <v>-1.4169149115999999</v>
      </c>
      <c r="J18" s="570">
        <v>-0.972885</v>
      </c>
      <c r="K18" s="564"/>
      <c r="L18" s="564"/>
      <c r="M18" s="564"/>
      <c r="N18" s="564"/>
      <c r="O18" s="564"/>
      <c r="P18" s="564"/>
      <c r="Q18" s="551"/>
      <c r="R18" s="551"/>
      <c r="S18" s="551"/>
      <c r="T18" s="551"/>
      <c r="U18" s="551"/>
      <c r="V18" s="551"/>
    </row>
    <row r="19" spans="1:24">
      <c r="A19" s="551"/>
      <c r="B19" s="571"/>
      <c r="C19" s="572" t="s">
        <v>31</v>
      </c>
      <c r="D19" s="573" t="s">
        <v>408</v>
      </c>
      <c r="E19" s="564">
        <v>-0.58330800000000005</v>
      </c>
      <c r="F19" s="564">
        <v>-0.42441400000000001</v>
      </c>
      <c r="G19" s="564">
        <v>-0.40192499999999998</v>
      </c>
      <c r="H19" s="564">
        <v>-0.42134100000000002</v>
      </c>
      <c r="I19" s="564">
        <v>-0.38194899999999998</v>
      </c>
      <c r="J19" s="570">
        <v>-6.8902000000000005E-2</v>
      </c>
      <c r="K19" s="570">
        <v>0</v>
      </c>
      <c r="L19" s="564"/>
      <c r="M19" s="564"/>
      <c r="N19" s="564"/>
      <c r="O19" s="564"/>
      <c r="P19" s="564"/>
      <c r="Q19" s="551"/>
      <c r="R19" s="551"/>
      <c r="S19" s="551"/>
      <c r="T19" s="551"/>
      <c r="U19" s="551"/>
      <c r="V19" s="551"/>
    </row>
    <row r="20" spans="1:24">
      <c r="A20" s="551"/>
      <c r="B20" s="571"/>
      <c r="C20" s="572" t="s">
        <v>32</v>
      </c>
      <c r="D20" s="573" t="s">
        <v>33</v>
      </c>
      <c r="E20" s="564">
        <v>-0.35230099999999998</v>
      </c>
      <c r="F20" s="564">
        <v>-0.369641</v>
      </c>
      <c r="G20" s="564">
        <v>-0.40365699999999999</v>
      </c>
      <c r="H20" s="564">
        <v>-0.48304900000000001</v>
      </c>
      <c r="I20" s="564">
        <v>-0.43571700000000002</v>
      </c>
      <c r="J20" s="570">
        <v>-0.52786599999999995</v>
      </c>
      <c r="K20" s="570">
        <v>-0.50637299999999996</v>
      </c>
      <c r="L20" s="564"/>
      <c r="M20" s="564"/>
      <c r="N20" s="564"/>
      <c r="O20" s="564"/>
      <c r="P20" s="564"/>
      <c r="Q20" s="551"/>
      <c r="R20" s="551"/>
      <c r="S20" s="551"/>
      <c r="T20" s="551"/>
      <c r="U20" s="551"/>
      <c r="V20" s="551"/>
    </row>
    <row r="21" spans="1:24">
      <c r="A21" s="551"/>
      <c r="B21" s="571"/>
      <c r="C21" s="570" t="s">
        <v>1518</v>
      </c>
      <c r="D21" s="571" t="s">
        <v>1519</v>
      </c>
      <c r="E21" s="564">
        <v>-19.931999999999999</v>
      </c>
      <c r="F21" s="564">
        <v>-19.931999999999999</v>
      </c>
      <c r="G21" s="564">
        <v>-22.567</v>
      </c>
      <c r="H21" s="564">
        <v>-25.387</v>
      </c>
      <c r="I21" s="564">
        <v>-27.164000000000001</v>
      </c>
      <c r="J21" s="570">
        <v>-28.283999999999999</v>
      </c>
      <c r="K21" s="570">
        <v>-29.818000000000001</v>
      </c>
      <c r="L21" s="570">
        <v>-31.911000000000001</v>
      </c>
      <c r="M21" s="564"/>
      <c r="N21" s="564"/>
      <c r="O21" s="564"/>
      <c r="P21" s="564"/>
      <c r="Q21" s="551"/>
      <c r="R21" s="551"/>
      <c r="S21" s="551"/>
      <c r="T21" s="551"/>
      <c r="U21" s="551"/>
      <c r="V21" s="551"/>
    </row>
    <row r="22" spans="1:24">
      <c r="A22" s="571"/>
      <c r="B22" s="571"/>
      <c r="C22" s="570" t="s">
        <v>41</v>
      </c>
      <c r="D22" s="571" t="s">
        <v>1250</v>
      </c>
      <c r="E22" s="564">
        <v>-0.61599999999999999</v>
      </c>
      <c r="F22" s="564">
        <v>-0.55300000000000005</v>
      </c>
      <c r="G22" s="564">
        <v>-0.62849999999999995</v>
      </c>
      <c r="H22" s="564">
        <v>-0.67220000000000002</v>
      </c>
      <c r="I22" s="564">
        <v>-0.68710000000000004</v>
      </c>
      <c r="J22" s="570">
        <v>-0.63690000000000002</v>
      </c>
      <c r="K22" s="570">
        <v>-0.65029999999999999</v>
      </c>
      <c r="L22" s="570">
        <v>-0.74460000000000004</v>
      </c>
      <c r="M22" s="570">
        <v>-0.44425999999999999</v>
      </c>
      <c r="N22" s="570"/>
      <c r="O22" s="570"/>
      <c r="P22" s="570"/>
      <c r="Q22" s="570"/>
      <c r="R22" s="571"/>
      <c r="S22" s="571"/>
      <c r="T22" s="571"/>
      <c r="U22" s="571"/>
      <c r="V22" s="571"/>
    </row>
    <row r="23" spans="1:24">
      <c r="A23" s="571"/>
      <c r="B23" s="571"/>
      <c r="C23" s="570" t="s">
        <v>1179</v>
      </c>
      <c r="D23" s="571" t="s">
        <v>1180</v>
      </c>
      <c r="E23" s="564">
        <v>-20.068000000000001</v>
      </c>
      <c r="F23" s="564">
        <v>-20.995999999999999</v>
      </c>
      <c r="G23" s="564">
        <v>-20.661000000000001</v>
      </c>
      <c r="H23" s="564">
        <v>-21.265000000000001</v>
      </c>
      <c r="I23" s="564">
        <v>-20.524999999999999</v>
      </c>
      <c r="J23" s="570">
        <v>-19.196000000000002</v>
      </c>
      <c r="K23" s="570">
        <v>-20.873999999999999</v>
      </c>
      <c r="L23" s="570">
        <v>-23.704999999999998</v>
      </c>
      <c r="M23" s="570">
        <v>-26.167999999999999</v>
      </c>
      <c r="N23" s="570">
        <v>-25.754000000000001</v>
      </c>
      <c r="O23" s="570"/>
      <c r="P23" s="570"/>
      <c r="Q23" s="570"/>
      <c r="R23" s="571"/>
      <c r="S23" s="571"/>
      <c r="T23" s="571"/>
      <c r="U23" s="571"/>
      <c r="V23" s="571"/>
    </row>
    <row r="24" spans="1:24">
      <c r="A24" s="571"/>
      <c r="B24" s="571"/>
      <c r="C24" s="570" t="s">
        <v>1579</v>
      </c>
      <c r="D24" s="571" t="s">
        <v>1580</v>
      </c>
      <c r="E24" s="564">
        <v>0.2</v>
      </c>
      <c r="F24" s="564">
        <v>0.2</v>
      </c>
      <c r="G24" s="564">
        <v>0.2</v>
      </c>
      <c r="H24" s="564">
        <v>0.2</v>
      </c>
      <c r="I24" s="564">
        <v>0.2</v>
      </c>
      <c r="J24" s="570">
        <v>0.2</v>
      </c>
      <c r="K24" s="570">
        <v>0.2</v>
      </c>
      <c r="L24" s="570">
        <v>0.2</v>
      </c>
      <c r="M24" s="570">
        <v>0.2</v>
      </c>
      <c r="N24" s="570">
        <v>0.2</v>
      </c>
      <c r="O24" s="570">
        <v>0.2</v>
      </c>
      <c r="P24" s="570">
        <v>0.2</v>
      </c>
      <c r="Q24" s="570"/>
      <c r="R24" s="571"/>
      <c r="S24" s="564"/>
      <c r="T24" s="571"/>
      <c r="U24" s="571"/>
      <c r="V24" s="571"/>
    </row>
    <row r="25" spans="1:24">
      <c r="A25" s="571"/>
      <c r="B25" s="571"/>
      <c r="C25" s="571" t="s">
        <v>1581</v>
      </c>
      <c r="D25" s="571" t="s">
        <v>1568</v>
      </c>
      <c r="E25" s="564"/>
      <c r="F25" s="564"/>
      <c r="G25" s="564"/>
      <c r="H25" s="564"/>
      <c r="I25" s="564"/>
      <c r="J25" s="570"/>
      <c r="K25" s="570"/>
      <c r="L25" s="570"/>
      <c r="M25" s="570"/>
      <c r="N25" s="570"/>
      <c r="O25" s="570"/>
      <c r="P25" s="570">
        <v>0.2</v>
      </c>
      <c r="Q25" s="570"/>
      <c r="R25" s="571"/>
      <c r="S25" s="564"/>
      <c r="T25" s="571"/>
      <c r="U25" s="571"/>
      <c r="V25" s="571"/>
    </row>
    <row r="26" spans="1:24">
      <c r="A26" s="571"/>
      <c r="B26" s="571"/>
      <c r="C26" s="571" t="s">
        <v>549</v>
      </c>
      <c r="D26" s="571" t="s">
        <v>550</v>
      </c>
      <c r="E26" s="564"/>
      <c r="F26" s="564"/>
      <c r="G26" s="564"/>
      <c r="H26" s="564"/>
      <c r="I26" s="564"/>
      <c r="J26" s="570"/>
      <c r="K26" s="570"/>
      <c r="L26" s="570">
        <v>0.21343899999999999</v>
      </c>
      <c r="M26" s="570">
        <v>0.28618100000000002</v>
      </c>
      <c r="N26" s="570">
        <v>0.93922600000000001</v>
      </c>
      <c r="O26" s="570">
        <v>1.98932</v>
      </c>
      <c r="P26" s="570">
        <v>1.928418</v>
      </c>
      <c r="Q26" s="570">
        <v>1.1875420000000001</v>
      </c>
      <c r="R26" s="554"/>
      <c r="S26" s="554"/>
      <c r="T26" s="571"/>
      <c r="U26" s="571"/>
      <c r="V26" s="571"/>
    </row>
    <row r="27" spans="1:24">
      <c r="A27" s="571"/>
      <c r="B27" s="571"/>
      <c r="C27" s="571" t="s">
        <v>551</v>
      </c>
      <c r="D27" s="571" t="s">
        <v>1250</v>
      </c>
      <c r="E27" s="564"/>
      <c r="F27" s="564"/>
      <c r="G27" s="564"/>
      <c r="H27" s="564"/>
      <c r="I27" s="564"/>
      <c r="J27" s="570"/>
      <c r="K27" s="570"/>
      <c r="L27" s="570"/>
      <c r="M27" s="570"/>
      <c r="N27" s="570">
        <v>0.79400000000000004</v>
      </c>
      <c r="O27" s="570">
        <v>0.73799999999999999</v>
      </c>
      <c r="P27" s="570">
        <v>0.73932299999999995</v>
      </c>
      <c r="Q27" s="570">
        <v>0.73499999999999999</v>
      </c>
      <c r="R27" s="554"/>
      <c r="S27" s="554"/>
      <c r="T27" s="571"/>
      <c r="U27" s="571"/>
      <c r="V27" s="571"/>
    </row>
    <row r="28" spans="1:24">
      <c r="A28" s="571"/>
      <c r="B28" s="571"/>
      <c r="C28" s="571" t="s">
        <v>329</v>
      </c>
      <c r="D28" s="571" t="s">
        <v>330</v>
      </c>
      <c r="E28" s="571"/>
      <c r="F28" s="571"/>
      <c r="G28" s="571">
        <v>0.1</v>
      </c>
      <c r="H28" s="571">
        <v>0.1</v>
      </c>
      <c r="I28" s="571">
        <v>0.1</v>
      </c>
      <c r="J28" s="571">
        <v>0.2</v>
      </c>
      <c r="K28" s="571">
        <v>0.3</v>
      </c>
      <c r="L28" s="571">
        <v>0.4</v>
      </c>
      <c r="M28" s="571">
        <v>0.7</v>
      </c>
      <c r="N28" s="571">
        <v>0.7</v>
      </c>
      <c r="O28" s="571">
        <v>0.6</v>
      </c>
      <c r="P28" s="571">
        <v>0.5</v>
      </c>
      <c r="Q28" s="571">
        <v>0.7</v>
      </c>
      <c r="R28" s="571">
        <v>0.9</v>
      </c>
      <c r="S28" s="571">
        <v>0.8</v>
      </c>
      <c r="T28" s="571"/>
      <c r="U28" s="571"/>
      <c r="V28" s="571"/>
    </row>
    <row r="29" spans="1:24">
      <c r="A29" s="571"/>
      <c r="B29" s="571"/>
      <c r="C29" s="571" t="s">
        <v>1621</v>
      </c>
      <c r="D29" s="571" t="s">
        <v>330</v>
      </c>
      <c r="E29" s="571"/>
      <c r="F29" s="571"/>
      <c r="G29" s="571"/>
      <c r="H29" s="571"/>
      <c r="I29" s="571"/>
      <c r="J29" s="571">
        <v>2.3E-2</v>
      </c>
      <c r="K29" s="571">
        <v>0.05</v>
      </c>
      <c r="L29" s="571">
        <v>8.5982000000000003E-2</v>
      </c>
      <c r="M29" s="571">
        <v>0.24284900000000001</v>
      </c>
      <c r="N29" s="571">
        <v>0.34250000000000003</v>
      </c>
      <c r="O29" s="571">
        <v>0.65356000000000003</v>
      </c>
      <c r="P29" s="571">
        <v>0.63125799999999999</v>
      </c>
      <c r="Q29" s="571">
        <v>0.65390999999999999</v>
      </c>
      <c r="R29" s="571">
        <v>0.69574400000000003</v>
      </c>
      <c r="S29" s="571">
        <v>0.68249199999999999</v>
      </c>
      <c r="T29" s="571">
        <v>0.5</v>
      </c>
      <c r="U29" s="571"/>
      <c r="V29" s="571"/>
    </row>
    <row r="30" spans="1:24">
      <c r="A30" s="571"/>
      <c r="B30" s="571"/>
      <c r="C30" s="571" t="s">
        <v>1622</v>
      </c>
      <c r="D30" s="571" t="s">
        <v>1623</v>
      </c>
      <c r="E30" s="571"/>
      <c r="F30" s="571"/>
      <c r="G30" s="571"/>
      <c r="H30" s="571"/>
      <c r="I30" s="571"/>
      <c r="J30" s="571">
        <v>0.7</v>
      </c>
      <c r="K30" s="571">
        <v>0.8</v>
      </c>
      <c r="L30" s="571">
        <v>0.9</v>
      </c>
      <c r="M30" s="571">
        <v>1</v>
      </c>
      <c r="N30" s="571">
        <v>1.1000000000000001</v>
      </c>
      <c r="O30" s="571">
        <v>1.2</v>
      </c>
      <c r="P30" s="571">
        <v>1.3</v>
      </c>
      <c r="Q30" s="571">
        <v>1.4</v>
      </c>
      <c r="R30" s="571">
        <v>1.5</v>
      </c>
      <c r="S30" s="571">
        <v>1.6</v>
      </c>
      <c r="T30" s="571">
        <v>1.66</v>
      </c>
      <c r="U30" s="571"/>
      <c r="V30" s="571"/>
    </row>
    <row r="31" spans="1:24">
      <c r="A31" s="571"/>
      <c r="B31" s="571"/>
      <c r="C31" s="571" t="s">
        <v>1692</v>
      </c>
      <c r="D31" s="571" t="s">
        <v>1693</v>
      </c>
      <c r="E31" s="571"/>
      <c r="F31" s="571"/>
      <c r="G31" s="571"/>
      <c r="H31" s="571"/>
      <c r="I31" s="571"/>
      <c r="J31" s="571"/>
      <c r="K31" s="571"/>
      <c r="L31" s="571"/>
      <c r="M31" s="571"/>
      <c r="N31" s="571"/>
      <c r="O31" s="571"/>
      <c r="P31" s="571"/>
      <c r="Q31" s="571"/>
      <c r="R31" s="571"/>
      <c r="S31" s="571"/>
      <c r="T31" s="571">
        <v>0</v>
      </c>
      <c r="U31" s="571">
        <v>0.1005479</v>
      </c>
      <c r="V31" s="571"/>
    </row>
    <row r="32" spans="1:24">
      <c r="A32" s="571"/>
      <c r="B32" s="574"/>
      <c r="C32" s="574" t="s">
        <v>2020</v>
      </c>
      <c r="D32" s="574" t="s">
        <v>2021</v>
      </c>
      <c r="E32" s="574"/>
      <c r="F32" s="574"/>
      <c r="G32" s="713">
        <v>-1.179</v>
      </c>
      <c r="H32" s="713">
        <v>-1.4379999999999999</v>
      </c>
      <c r="I32" s="713">
        <v>-1.6544366939999999</v>
      </c>
      <c r="J32" s="713">
        <v>-2.0085824809999999</v>
      </c>
      <c r="K32" s="713">
        <v>-2.4380000000000002</v>
      </c>
      <c r="L32" s="574">
        <v>-2.93</v>
      </c>
      <c r="M32" s="574">
        <v>-3.3360246</v>
      </c>
      <c r="N32" s="574">
        <v>-3.9372343019999998</v>
      </c>
      <c r="O32" s="574">
        <v>-4.3255546990000004</v>
      </c>
      <c r="P32" s="574">
        <v>-4.6158010000000003</v>
      </c>
      <c r="Q32" s="574">
        <v>-4.7929440000000003</v>
      </c>
      <c r="R32" s="574">
        <v>-4.903809979</v>
      </c>
      <c r="S32" s="574">
        <v>-4.9913311039999986</v>
      </c>
      <c r="T32" s="574">
        <v>-4.944632809999999</v>
      </c>
      <c r="U32" s="574">
        <v>-4.5397790929999999</v>
      </c>
      <c r="V32" s="574">
        <v>-4.0116720685100002</v>
      </c>
      <c r="W32" s="574">
        <v>-3.6200495526299998</v>
      </c>
      <c r="X32" s="574"/>
    </row>
    <row r="33" spans="1:24">
      <c r="A33" s="550"/>
      <c r="B33" s="550"/>
      <c r="C33" s="550"/>
      <c r="D33" s="566"/>
      <c r="E33" s="564"/>
      <c r="F33" s="564"/>
      <c r="G33" s="564"/>
      <c r="H33" s="564"/>
      <c r="I33" s="564"/>
      <c r="J33" s="564"/>
      <c r="K33" s="564"/>
      <c r="L33" s="564"/>
      <c r="M33" s="550"/>
      <c r="N33" s="551"/>
      <c r="O33" s="551"/>
      <c r="P33" s="551"/>
      <c r="Q33" s="551"/>
      <c r="R33" s="551"/>
      <c r="S33" s="551"/>
      <c r="T33" s="570"/>
      <c r="U33" s="551"/>
      <c r="V33" s="551"/>
    </row>
    <row r="34" spans="1:24">
      <c r="A34" s="550"/>
      <c r="B34" s="550" t="s">
        <v>1464</v>
      </c>
      <c r="C34" s="550"/>
      <c r="D34" s="566"/>
      <c r="E34" s="551">
        <f t="shared" ref="E34:U34" si="0">SUM(E7:E32)</f>
        <v>676.27370610567993</v>
      </c>
      <c r="F34" s="551">
        <f t="shared" si="0"/>
        <v>651.71010010469013</v>
      </c>
      <c r="G34" s="551">
        <f t="shared" si="0"/>
        <v>627.68422385407007</v>
      </c>
      <c r="H34" s="551">
        <f t="shared" si="0"/>
        <v>654.93385992955007</v>
      </c>
      <c r="I34" s="551">
        <f t="shared" si="0"/>
        <v>653.25688239440024</v>
      </c>
      <c r="J34" s="551">
        <f t="shared" si="0"/>
        <v>658.99386451900023</v>
      </c>
      <c r="K34" s="551">
        <f t="shared" si="0"/>
        <v>669.09976699999982</v>
      </c>
      <c r="L34" s="551">
        <f t="shared" si="0"/>
        <v>667.84062443601988</v>
      </c>
      <c r="M34" s="551">
        <f t="shared" si="0"/>
        <v>675.95105016740013</v>
      </c>
      <c r="N34" s="551">
        <f t="shared" si="0"/>
        <v>715.10787791037012</v>
      </c>
      <c r="O34" s="551">
        <f t="shared" si="0"/>
        <v>726.01133986058028</v>
      </c>
      <c r="P34" s="551">
        <f t="shared" si="0"/>
        <v>766.42101300000002</v>
      </c>
      <c r="Q34" s="551">
        <f t="shared" si="0"/>
        <v>769.05519300000003</v>
      </c>
      <c r="R34" s="551">
        <f t="shared" si="0"/>
        <v>788.45515066000007</v>
      </c>
      <c r="S34" s="551">
        <f t="shared" si="0"/>
        <v>779.36086689600006</v>
      </c>
      <c r="T34" s="551">
        <f t="shared" si="0"/>
        <v>783.60412918999998</v>
      </c>
      <c r="U34" s="551">
        <f t="shared" si="0"/>
        <v>797.03892480700006</v>
      </c>
      <c r="V34" s="551">
        <f>SUM(V7:V32)</f>
        <v>807.07589293148999</v>
      </c>
      <c r="W34" s="551">
        <f>SUM(W7:W32)</f>
        <v>823.76810237119003</v>
      </c>
      <c r="X34" s="551">
        <v>840.87173652930005</v>
      </c>
    </row>
    <row r="35" spans="1:24" ht="13.5" thickBot="1">
      <c r="A35" s="550"/>
      <c r="B35" s="575" t="s">
        <v>1476</v>
      </c>
      <c r="C35" s="575"/>
      <c r="D35" s="575"/>
      <c r="E35" s="576">
        <v>-28.399000000000001</v>
      </c>
      <c r="F35" s="576">
        <v>-51.956000000000003</v>
      </c>
      <c r="G35" s="576">
        <v>-12.396000000000001</v>
      </c>
      <c r="H35" s="576">
        <v>-2.4420000000000002</v>
      </c>
      <c r="I35" s="576">
        <v>-62.075000000000003</v>
      </c>
      <c r="J35" s="576">
        <v>-11.497999999999999</v>
      </c>
      <c r="K35" s="576">
        <v>-5.6574660000000003</v>
      </c>
      <c r="L35" s="576">
        <v>1.6666048</v>
      </c>
      <c r="M35" s="576">
        <v>4.8127829999999996</v>
      </c>
      <c r="N35" s="576">
        <v>4.2074109999999996</v>
      </c>
      <c r="O35" s="576">
        <v>6.8152679332199995</v>
      </c>
      <c r="P35" s="576">
        <v>26.403979</v>
      </c>
      <c r="Q35" s="576">
        <v>-8.6651170000000004</v>
      </c>
      <c r="R35" s="576">
        <v>-24.187479965030001</v>
      </c>
      <c r="S35" s="576">
        <v>104.403492</v>
      </c>
      <c r="T35" s="575">
        <v>-5.8160259999999999</v>
      </c>
      <c r="U35" s="575">
        <v>3.137</v>
      </c>
      <c r="V35" s="575">
        <v>1.392876</v>
      </c>
      <c r="W35" s="575">
        <v>94.019784005849999</v>
      </c>
      <c r="X35" s="575">
        <v>21.531931860259999</v>
      </c>
    </row>
    <row r="36" spans="1:24">
      <c r="A36" s="550"/>
      <c r="B36" s="550" t="s">
        <v>21</v>
      </c>
      <c r="C36" s="550"/>
      <c r="D36" s="566"/>
      <c r="E36" s="571">
        <f>SUM(E34:E35)</f>
        <v>647.87470610567993</v>
      </c>
      <c r="F36" s="571">
        <f>SUM(F34:F35)</f>
        <v>599.75410010469011</v>
      </c>
      <c r="G36" s="571">
        <f t="shared" ref="G36:X36" si="1">SUM(G34:G35)</f>
        <v>615.28822385407011</v>
      </c>
      <c r="H36" s="571">
        <f t="shared" si="1"/>
        <v>652.49185992955006</v>
      </c>
      <c r="I36" s="571">
        <f t="shared" si="1"/>
        <v>591.18188239440019</v>
      </c>
      <c r="J36" s="571">
        <f t="shared" si="1"/>
        <v>647.49586451900018</v>
      </c>
      <c r="K36" s="571">
        <f t="shared" si="1"/>
        <v>663.44230099999982</v>
      </c>
      <c r="L36" s="571">
        <f t="shared" si="1"/>
        <v>669.50722923601984</v>
      </c>
      <c r="M36" s="571">
        <f t="shared" si="1"/>
        <v>680.76383316740009</v>
      </c>
      <c r="N36" s="571">
        <f t="shared" si="1"/>
        <v>719.3152889103701</v>
      </c>
      <c r="O36" s="571">
        <f t="shared" si="1"/>
        <v>732.82660779380024</v>
      </c>
      <c r="P36" s="571">
        <f t="shared" si="1"/>
        <v>792.82499200000007</v>
      </c>
      <c r="Q36" s="571">
        <f t="shared" si="1"/>
        <v>760.39007600000002</v>
      </c>
      <c r="R36" s="571">
        <f t="shared" si="1"/>
        <v>764.26767069497009</v>
      </c>
      <c r="S36" s="571">
        <f t="shared" si="1"/>
        <v>883.76435889600009</v>
      </c>
      <c r="T36" s="571">
        <f t="shared" si="1"/>
        <v>777.78810319000002</v>
      </c>
      <c r="U36" s="571">
        <f t="shared" si="1"/>
        <v>800.175924807</v>
      </c>
      <c r="V36" s="571">
        <f t="shared" si="1"/>
        <v>808.46876893148999</v>
      </c>
      <c r="W36" s="571">
        <f t="shared" si="1"/>
        <v>917.78788637703997</v>
      </c>
      <c r="X36" s="571">
        <f t="shared" si="1"/>
        <v>862.40366838956004</v>
      </c>
    </row>
    <row r="37" spans="1:24">
      <c r="A37" s="550"/>
      <c r="B37" s="550"/>
      <c r="C37" s="550"/>
      <c r="D37" s="566"/>
      <c r="E37" s="564"/>
      <c r="F37" s="564"/>
      <c r="G37" s="564"/>
      <c r="H37" s="564"/>
      <c r="I37" s="577"/>
      <c r="J37" s="577"/>
      <c r="K37" s="578"/>
      <c r="L37" s="562"/>
      <c r="M37" s="554"/>
      <c r="N37" s="570"/>
      <c r="O37" s="570"/>
      <c r="P37" s="570"/>
      <c r="Q37" s="570"/>
      <c r="R37" s="570"/>
      <c r="S37" s="570"/>
      <c r="T37" s="570"/>
      <c r="U37" s="570"/>
      <c r="V37" s="570"/>
    </row>
    <row r="38" spans="1:24">
      <c r="A38" s="550"/>
      <c r="B38" s="550" t="s">
        <v>22</v>
      </c>
      <c r="C38" s="550"/>
      <c r="D38" s="550"/>
      <c r="E38" s="564">
        <v>465.58800000000002</v>
      </c>
      <c r="F38" s="564">
        <v>600.47799999999995</v>
      </c>
      <c r="G38" s="564">
        <v>648.928</v>
      </c>
      <c r="H38" s="564">
        <v>706.31351913126002</v>
      </c>
      <c r="I38" s="564">
        <v>725.10400000000004</v>
      </c>
      <c r="J38" s="570">
        <v>800</v>
      </c>
      <c r="K38" s="570">
        <v>755.12554499999999</v>
      </c>
      <c r="L38" s="570">
        <v>730.48743541375995</v>
      </c>
      <c r="M38" s="570">
        <v>661.73143814310004</v>
      </c>
      <c r="N38" s="570">
        <v>694.41772534999996</v>
      </c>
      <c r="O38" s="570">
        <v>745.82511387099999</v>
      </c>
      <c r="P38" s="570">
        <v>810.31498599999998</v>
      </c>
      <c r="Q38" s="570">
        <v>863.71628199999998</v>
      </c>
      <c r="R38" s="570">
        <v>901.27447743499999</v>
      </c>
      <c r="S38" s="570">
        <v>709.53625399999999</v>
      </c>
      <c r="T38" s="570">
        <v>779.52067299999999</v>
      </c>
      <c r="U38" s="570">
        <v>872.416922</v>
      </c>
      <c r="V38" s="570">
        <v>787.57319252832997</v>
      </c>
      <c r="W38" s="570">
        <v>790.53493592967004</v>
      </c>
      <c r="X38" s="570">
        <v>790.20953565269997</v>
      </c>
    </row>
    <row r="39" spans="1:24">
      <c r="A39" s="550"/>
      <c r="B39" s="565" t="s">
        <v>1455</v>
      </c>
      <c r="C39" s="550"/>
      <c r="D39" s="550"/>
      <c r="E39" s="564"/>
      <c r="F39" s="564"/>
      <c r="G39" s="564"/>
      <c r="H39" s="564"/>
      <c r="I39" s="564"/>
      <c r="J39" s="550"/>
      <c r="K39" s="562"/>
      <c r="L39" s="562"/>
      <c r="M39" s="554"/>
      <c r="N39" s="570"/>
      <c r="O39" s="570"/>
      <c r="P39" s="570"/>
      <c r="Q39" s="570"/>
      <c r="R39" s="570"/>
      <c r="S39" s="570"/>
      <c r="T39" s="571"/>
      <c r="U39" s="571"/>
      <c r="V39" s="571"/>
    </row>
    <row r="40" spans="1:24">
      <c r="A40" s="550"/>
      <c r="B40" s="550"/>
      <c r="C40" s="564" t="s">
        <v>1456</v>
      </c>
      <c r="D40" s="550" t="s">
        <v>651</v>
      </c>
      <c r="E40" s="564">
        <v>23.634</v>
      </c>
      <c r="F40" s="564"/>
      <c r="G40" s="564"/>
      <c r="H40" s="564"/>
      <c r="I40" s="564"/>
      <c r="J40" s="550"/>
      <c r="K40" s="562"/>
      <c r="L40" s="562"/>
      <c r="M40" s="554"/>
      <c r="N40" s="570"/>
      <c r="O40" s="570"/>
      <c r="P40" s="570"/>
      <c r="Q40" s="570"/>
      <c r="R40" s="570" t="s">
        <v>189</v>
      </c>
      <c r="S40" s="570"/>
      <c r="T40" s="571"/>
      <c r="U40" s="571"/>
      <c r="V40" s="571"/>
    </row>
    <row r="41" spans="1:24">
      <c r="A41" s="550"/>
      <c r="B41" s="550"/>
      <c r="C41" s="564" t="s">
        <v>1471</v>
      </c>
      <c r="D41" s="550" t="s">
        <v>652</v>
      </c>
      <c r="E41" s="564">
        <v>12.641999999999999</v>
      </c>
      <c r="F41" s="564"/>
      <c r="G41" s="564"/>
      <c r="H41" s="564"/>
      <c r="I41" s="564"/>
      <c r="J41" s="564"/>
      <c r="K41" s="564"/>
      <c r="L41" s="564"/>
      <c r="M41" s="564"/>
      <c r="N41" s="564"/>
      <c r="O41" s="564"/>
      <c r="P41" s="564"/>
      <c r="Q41" s="564"/>
      <c r="R41" s="570"/>
      <c r="S41" s="570"/>
      <c r="T41" s="571"/>
      <c r="U41" s="571"/>
      <c r="V41" s="571"/>
    </row>
    <row r="42" spans="1:24">
      <c r="A42" s="550"/>
      <c r="B42" s="550"/>
      <c r="C42" s="564" t="s">
        <v>439</v>
      </c>
      <c r="D42" s="550" t="s">
        <v>653</v>
      </c>
      <c r="E42" s="564">
        <v>-10.746</v>
      </c>
      <c r="F42" s="564"/>
      <c r="G42" s="564"/>
      <c r="H42" s="564"/>
      <c r="I42" s="564"/>
      <c r="J42" s="564"/>
      <c r="K42" s="564"/>
      <c r="L42" s="564"/>
      <c r="M42" s="564" t="s">
        <v>189</v>
      </c>
      <c r="N42" s="564"/>
      <c r="O42" s="564"/>
      <c r="P42" s="564"/>
      <c r="Q42" s="564"/>
      <c r="R42" s="570"/>
      <c r="S42" s="570"/>
      <c r="T42" s="571"/>
      <c r="U42" s="571"/>
      <c r="V42" s="571"/>
    </row>
    <row r="43" spans="1:24">
      <c r="A43" s="550"/>
      <c r="B43" s="550"/>
      <c r="C43" s="564" t="s">
        <v>654</v>
      </c>
      <c r="D43" s="550" t="s">
        <v>23</v>
      </c>
      <c r="E43" s="564">
        <v>40</v>
      </c>
      <c r="F43" s="564"/>
      <c r="G43" s="564"/>
      <c r="H43" s="564"/>
      <c r="I43" s="564"/>
      <c r="J43" s="564"/>
      <c r="K43" s="564"/>
      <c r="L43" s="564"/>
      <c r="M43" s="564"/>
      <c r="N43" s="564"/>
      <c r="O43" s="564"/>
      <c r="P43" s="564"/>
      <c r="Q43" s="564"/>
      <c r="R43" s="570"/>
      <c r="S43" s="570"/>
      <c r="T43" s="571"/>
      <c r="U43" s="571"/>
      <c r="V43" s="571"/>
    </row>
    <row r="44" spans="1:24">
      <c r="A44" s="550"/>
      <c r="B44" s="550"/>
      <c r="C44" s="564" t="s">
        <v>1495</v>
      </c>
      <c r="D44" s="550" t="s">
        <v>1496</v>
      </c>
      <c r="E44" s="564">
        <v>1.278</v>
      </c>
      <c r="F44" s="564">
        <v>1.024</v>
      </c>
      <c r="G44" s="564"/>
      <c r="H44" s="564"/>
      <c r="I44" s="564"/>
      <c r="J44" s="564"/>
      <c r="K44" s="564"/>
      <c r="L44" s="564"/>
      <c r="M44" s="564"/>
      <c r="N44" s="564"/>
      <c r="O44" s="564"/>
      <c r="P44" s="564"/>
      <c r="Q44" s="564"/>
      <c r="R44" s="570"/>
      <c r="S44" s="570"/>
      <c r="T44" s="571"/>
      <c r="U44" s="571"/>
      <c r="V44" s="571"/>
    </row>
    <row r="45" spans="1:24">
      <c r="A45" s="550"/>
      <c r="B45" s="550"/>
      <c r="C45" s="564" t="s">
        <v>1497</v>
      </c>
      <c r="D45" s="562" t="s">
        <v>1457</v>
      </c>
      <c r="E45" s="564">
        <v>10.53</v>
      </c>
      <c r="F45" s="564">
        <v>12.385999999999999</v>
      </c>
      <c r="G45" s="564"/>
      <c r="H45" s="564"/>
      <c r="I45" s="564"/>
      <c r="J45" s="564"/>
      <c r="K45" s="564"/>
      <c r="L45" s="564"/>
      <c r="M45" s="564"/>
      <c r="N45" s="564"/>
      <c r="O45" s="564"/>
      <c r="P45" s="564"/>
      <c r="Q45" s="564"/>
      <c r="R45" s="570"/>
      <c r="S45" s="570"/>
      <c r="T45" s="571"/>
      <c r="U45" s="571"/>
      <c r="V45" s="571"/>
    </row>
    <row r="46" spans="1:24">
      <c r="A46" s="550"/>
      <c r="B46" s="550"/>
      <c r="C46" s="564" t="s">
        <v>1458</v>
      </c>
      <c r="D46" s="550" t="s">
        <v>1459</v>
      </c>
      <c r="E46" s="564">
        <v>1.3540000000000001</v>
      </c>
      <c r="F46" s="564">
        <v>1.44</v>
      </c>
      <c r="G46" s="564">
        <v>1.4910000000000001</v>
      </c>
      <c r="H46" s="564">
        <v>1.58</v>
      </c>
      <c r="I46" s="564"/>
      <c r="J46" s="564"/>
      <c r="K46" s="564"/>
      <c r="L46" s="564"/>
      <c r="M46" s="564"/>
      <c r="N46" s="564"/>
      <c r="O46" s="564"/>
      <c r="P46" s="564"/>
      <c r="Q46" s="564"/>
      <c r="R46" s="570"/>
      <c r="S46" s="570"/>
      <c r="T46" s="571"/>
      <c r="U46" s="571"/>
      <c r="V46" s="571"/>
    </row>
    <row r="47" spans="1:24">
      <c r="A47" s="550"/>
      <c r="B47" s="550"/>
      <c r="C47" s="564" t="s">
        <v>1460</v>
      </c>
      <c r="D47" s="550" t="s">
        <v>1461</v>
      </c>
      <c r="E47" s="564">
        <v>6.766</v>
      </c>
      <c r="F47" s="564">
        <v>6.548</v>
      </c>
      <c r="G47" s="564">
        <v>6.1059999999999999</v>
      </c>
      <c r="H47" s="564">
        <v>6.07</v>
      </c>
      <c r="I47" s="564"/>
      <c r="J47" s="564"/>
      <c r="K47" s="564"/>
      <c r="L47" s="564"/>
      <c r="M47" s="564"/>
      <c r="N47" s="564"/>
      <c r="O47" s="564"/>
      <c r="P47" s="564"/>
      <c r="Q47" s="564"/>
      <c r="R47" s="570"/>
      <c r="S47" s="570"/>
      <c r="T47" s="571"/>
      <c r="U47" s="571"/>
      <c r="V47" s="571"/>
    </row>
    <row r="48" spans="1:24">
      <c r="A48" s="550"/>
      <c r="B48" s="550"/>
      <c r="C48" s="564" t="s">
        <v>24</v>
      </c>
      <c r="D48" s="550" t="s">
        <v>25</v>
      </c>
      <c r="E48" s="564"/>
      <c r="F48" s="564"/>
      <c r="G48" s="564"/>
      <c r="H48" s="564">
        <v>-8.0180000000000007</v>
      </c>
      <c r="I48" s="564"/>
      <c r="J48" s="564"/>
      <c r="K48" s="564"/>
      <c r="L48" s="564"/>
      <c r="M48" s="564"/>
      <c r="N48" s="564"/>
      <c r="O48" s="564"/>
      <c r="P48" s="564"/>
      <c r="Q48" s="564"/>
      <c r="R48" s="570"/>
      <c r="S48" s="571"/>
      <c r="T48" s="571"/>
      <c r="U48" s="571"/>
      <c r="V48" s="571"/>
    </row>
    <row r="49" spans="1:42">
      <c r="A49" s="550"/>
      <c r="B49" s="562"/>
      <c r="C49" s="568" t="s">
        <v>1462</v>
      </c>
      <c r="D49" s="569" t="s">
        <v>1463</v>
      </c>
      <c r="E49" s="564">
        <v>-1.38768489432</v>
      </c>
      <c r="F49" s="564">
        <v>-1.31884489531</v>
      </c>
      <c r="G49" s="564">
        <v>-1.4936941459299999</v>
      </c>
      <c r="H49" s="564">
        <v>-1.44951007392</v>
      </c>
      <c r="I49" s="564">
        <v>-1.4169149115999999</v>
      </c>
      <c r="J49" s="564">
        <v>-0.972885</v>
      </c>
      <c r="K49" s="564"/>
      <c r="L49" s="564"/>
      <c r="M49" s="564" t="s">
        <v>189</v>
      </c>
      <c r="N49" s="564"/>
      <c r="O49" s="564"/>
      <c r="P49" s="564"/>
      <c r="Q49" s="564"/>
      <c r="R49" s="570"/>
      <c r="S49" s="570"/>
      <c r="T49" s="571"/>
      <c r="U49" s="571"/>
      <c r="V49" s="571"/>
    </row>
    <row r="50" spans="1:42">
      <c r="A50" s="551"/>
      <c r="B50" s="571"/>
      <c r="C50" s="572" t="s">
        <v>31</v>
      </c>
      <c r="D50" s="573" t="s">
        <v>34</v>
      </c>
      <c r="E50" s="564">
        <v>-0.58330800000000005</v>
      </c>
      <c r="F50" s="564">
        <v>-0.42441400000000001</v>
      </c>
      <c r="G50" s="564">
        <v>-0.40192499999999998</v>
      </c>
      <c r="H50" s="564">
        <v>-0.42134100000000002</v>
      </c>
      <c r="I50" s="564">
        <v>-0.38194899999999998</v>
      </c>
      <c r="J50" s="564">
        <v>-6.8902000000000005E-2</v>
      </c>
      <c r="K50" s="564">
        <v>0</v>
      </c>
      <c r="L50" s="564"/>
      <c r="M50" s="564"/>
      <c r="N50" s="564"/>
      <c r="O50" s="564"/>
      <c r="P50" s="564"/>
      <c r="Q50" s="564"/>
      <c r="R50" s="570"/>
      <c r="S50" s="570"/>
      <c r="T50" s="570"/>
      <c r="U50" s="571"/>
      <c r="V50" s="571"/>
    </row>
    <row r="51" spans="1:42">
      <c r="A51" s="551"/>
      <c r="B51" s="571"/>
      <c r="C51" s="572" t="s">
        <v>32</v>
      </c>
      <c r="D51" s="573" t="s">
        <v>33</v>
      </c>
      <c r="E51" s="564">
        <v>-0.35230099999999998</v>
      </c>
      <c r="F51" s="564">
        <v>-0.369641</v>
      </c>
      <c r="G51" s="564">
        <v>-0.40365699999999999</v>
      </c>
      <c r="H51" s="564">
        <v>-0.48304900000000001</v>
      </c>
      <c r="I51" s="564">
        <v>-0.43571700000000002</v>
      </c>
      <c r="J51" s="564">
        <v>-0.52786599999999995</v>
      </c>
      <c r="K51" s="564">
        <v>-0.50637299999999996</v>
      </c>
      <c r="L51" s="564"/>
      <c r="M51" s="564"/>
      <c r="N51" s="564"/>
      <c r="O51" s="564"/>
      <c r="P51" s="564"/>
      <c r="Q51" s="564"/>
      <c r="R51" s="570"/>
      <c r="S51" s="570"/>
      <c r="T51" s="570"/>
      <c r="U51" s="571"/>
      <c r="V51" s="571"/>
    </row>
    <row r="52" spans="1:42">
      <c r="A52" s="550"/>
      <c r="B52" s="562"/>
      <c r="C52" s="554" t="s">
        <v>1518</v>
      </c>
      <c r="D52" s="562" t="s">
        <v>1519</v>
      </c>
      <c r="E52" s="564">
        <v>-19.931999999999999</v>
      </c>
      <c r="F52" s="564">
        <v>-19.931999999999999</v>
      </c>
      <c r="G52" s="564">
        <v>-22.567</v>
      </c>
      <c r="H52" s="564">
        <v>-25.387</v>
      </c>
      <c r="I52" s="564">
        <v>-27.164000000000001</v>
      </c>
      <c r="J52" s="564">
        <v>-28.283999999999999</v>
      </c>
      <c r="K52" s="564">
        <v>-29.818000000000001</v>
      </c>
      <c r="L52" s="564">
        <v>-31.911000000000001</v>
      </c>
      <c r="M52" s="564"/>
      <c r="N52" s="564"/>
      <c r="O52" s="564"/>
      <c r="P52" s="564"/>
      <c r="Q52" s="564"/>
      <c r="R52" s="579"/>
      <c r="S52" s="579"/>
      <c r="T52" s="571"/>
      <c r="U52" s="571"/>
      <c r="V52" s="571"/>
    </row>
    <row r="53" spans="1:42">
      <c r="A53" s="550"/>
      <c r="B53" s="562"/>
      <c r="C53" s="554" t="s">
        <v>41</v>
      </c>
      <c r="D53" s="562" t="s">
        <v>1250</v>
      </c>
      <c r="E53" s="564">
        <v>-0.61619999999999997</v>
      </c>
      <c r="F53" s="564">
        <v>-0.55310000000000004</v>
      </c>
      <c r="G53" s="564">
        <v>-0.62849999999999995</v>
      </c>
      <c r="H53" s="564">
        <v>-0.67220000000000002</v>
      </c>
      <c r="I53" s="564">
        <v>-0.68710000000000004</v>
      </c>
      <c r="J53" s="564">
        <v>-0.63690000000000002</v>
      </c>
      <c r="K53" s="564">
        <v>-0.65029999999999999</v>
      </c>
      <c r="L53" s="564">
        <v>-0.74460000000000004</v>
      </c>
      <c r="M53" s="564">
        <v>-0.44425999999999999</v>
      </c>
      <c r="N53" s="564"/>
      <c r="O53" s="564"/>
      <c r="P53" s="564"/>
      <c r="Q53" s="564"/>
      <c r="R53" s="579"/>
      <c r="S53" s="579"/>
      <c r="T53" s="571"/>
      <c r="U53" s="571"/>
      <c r="V53" s="571"/>
    </row>
    <row r="54" spans="1:42">
      <c r="A54" s="550"/>
      <c r="B54" s="562"/>
      <c r="C54" s="554" t="s">
        <v>1179</v>
      </c>
      <c r="D54" s="571" t="s">
        <v>1180</v>
      </c>
      <c r="E54" s="564">
        <v>-20.068000000000001</v>
      </c>
      <c r="F54" s="564">
        <v>-20.995999999999999</v>
      </c>
      <c r="G54" s="564">
        <v>-20.661000000000001</v>
      </c>
      <c r="H54" s="564">
        <v>-21.265000000000001</v>
      </c>
      <c r="I54" s="564">
        <v>-20.524999999999999</v>
      </c>
      <c r="J54" s="564">
        <v>-19.196000000000002</v>
      </c>
      <c r="K54" s="564">
        <v>-20.873999999999999</v>
      </c>
      <c r="L54" s="564">
        <v>-23.704999999999998</v>
      </c>
      <c r="M54" s="564">
        <v>-26.167999999999999</v>
      </c>
      <c r="N54" s="564">
        <v>-25.754000000000001</v>
      </c>
      <c r="O54" s="564"/>
      <c r="P54" s="564"/>
      <c r="Q54" s="564"/>
      <c r="R54" s="579"/>
      <c r="S54" s="579"/>
      <c r="T54" s="571"/>
      <c r="U54" s="571"/>
      <c r="V54" s="571"/>
    </row>
    <row r="55" spans="1:42">
      <c r="A55" s="550"/>
      <c r="B55" s="562"/>
      <c r="C55" s="571" t="s">
        <v>1579</v>
      </c>
      <c r="D55" s="571" t="s">
        <v>1580</v>
      </c>
      <c r="E55" s="564">
        <v>0.2</v>
      </c>
      <c r="F55" s="564">
        <v>0.2</v>
      </c>
      <c r="G55" s="564">
        <v>0.2</v>
      </c>
      <c r="H55" s="564">
        <v>0.2</v>
      </c>
      <c r="I55" s="564">
        <v>0.2</v>
      </c>
      <c r="J55" s="564">
        <v>0.2</v>
      </c>
      <c r="K55" s="564">
        <v>0.2</v>
      </c>
      <c r="L55" s="564">
        <v>0.2</v>
      </c>
      <c r="M55" s="564">
        <v>0.2</v>
      </c>
      <c r="N55" s="564">
        <v>0.2</v>
      </c>
      <c r="O55" s="564">
        <v>0.2</v>
      </c>
      <c r="P55" s="564">
        <v>0.2</v>
      </c>
      <c r="Q55" s="564"/>
      <c r="R55" s="579"/>
      <c r="S55" s="579"/>
      <c r="T55" s="571"/>
      <c r="U55" s="571"/>
      <c r="V55" s="571"/>
    </row>
    <row r="56" spans="1:42">
      <c r="A56" s="550"/>
      <c r="B56" s="562"/>
      <c r="C56" s="571" t="s">
        <v>1581</v>
      </c>
      <c r="D56" s="571" t="s">
        <v>1568</v>
      </c>
      <c r="E56" s="564"/>
      <c r="F56" s="564"/>
      <c r="G56" s="564"/>
      <c r="H56" s="564"/>
      <c r="I56" s="564"/>
      <c r="J56" s="564"/>
      <c r="K56" s="564"/>
      <c r="L56" s="564"/>
      <c r="M56" s="564"/>
      <c r="N56" s="564"/>
      <c r="O56" s="564"/>
      <c r="P56" s="554">
        <v>0.2</v>
      </c>
      <c r="Q56" s="564"/>
      <c r="R56" s="579"/>
      <c r="S56" s="579"/>
      <c r="T56" s="571"/>
      <c r="U56" s="571"/>
      <c r="V56" s="571"/>
    </row>
    <row r="57" spans="1:42">
      <c r="A57" s="550"/>
      <c r="B57" s="562"/>
      <c r="C57" s="571" t="s">
        <v>549</v>
      </c>
      <c r="D57" s="571" t="s">
        <v>550</v>
      </c>
      <c r="E57" s="564"/>
      <c r="F57" s="564"/>
      <c r="G57" s="564"/>
      <c r="H57" s="564"/>
      <c r="I57" s="564"/>
      <c r="J57" s="564"/>
      <c r="K57" s="564"/>
      <c r="L57" s="564">
        <v>0.21343899999999999</v>
      </c>
      <c r="M57" s="564">
        <v>0.28618100000000002</v>
      </c>
      <c r="N57" s="564">
        <v>0.93922600000000001</v>
      </c>
      <c r="O57" s="564">
        <v>1.98932</v>
      </c>
      <c r="P57" s="564">
        <v>1.928418</v>
      </c>
      <c r="Q57" s="564">
        <v>1.1875420000000001</v>
      </c>
      <c r="R57" s="579"/>
      <c r="S57" s="579"/>
      <c r="T57" s="571"/>
      <c r="U57" s="571"/>
      <c r="V57" s="571"/>
    </row>
    <row r="58" spans="1:42">
      <c r="A58" s="550"/>
      <c r="B58" s="562"/>
      <c r="C58" s="571" t="s">
        <v>551</v>
      </c>
      <c r="D58" s="571" t="s">
        <v>1250</v>
      </c>
      <c r="E58" s="564"/>
      <c r="F58" s="564"/>
      <c r="G58" s="564"/>
      <c r="H58" s="564"/>
      <c r="I58" s="564"/>
      <c r="J58" s="564"/>
      <c r="K58" s="564"/>
      <c r="L58" s="564"/>
      <c r="M58" s="564"/>
      <c r="N58" s="571">
        <v>0.79400000000000004</v>
      </c>
      <c r="O58" s="571">
        <v>0.73799999999999999</v>
      </c>
      <c r="P58" s="571">
        <v>0.73932299999999995</v>
      </c>
      <c r="Q58" s="571">
        <v>0.73499999999999999</v>
      </c>
      <c r="R58" s="579"/>
      <c r="S58" s="579"/>
      <c r="T58" s="571"/>
      <c r="U58" s="571"/>
      <c r="V58" s="571"/>
    </row>
    <row r="59" spans="1:42">
      <c r="A59" s="550"/>
      <c r="B59" s="562"/>
      <c r="C59" s="571" t="s">
        <v>329</v>
      </c>
      <c r="D59" s="571" t="s">
        <v>330</v>
      </c>
      <c r="E59" s="564"/>
      <c r="F59" s="564"/>
      <c r="G59" s="571">
        <v>0.1</v>
      </c>
      <c r="H59" s="571">
        <v>0.1</v>
      </c>
      <c r="I59" s="571">
        <v>0.1</v>
      </c>
      <c r="J59" s="571">
        <v>0.2</v>
      </c>
      <c r="K59" s="571">
        <v>0.3</v>
      </c>
      <c r="L59" s="571">
        <v>0.4</v>
      </c>
      <c r="M59" s="571">
        <v>0.7</v>
      </c>
      <c r="N59" s="571">
        <v>0.7</v>
      </c>
      <c r="O59" s="571">
        <v>0.6</v>
      </c>
      <c r="P59" s="571">
        <v>0.5</v>
      </c>
      <c r="Q59" s="571">
        <v>0.7</v>
      </c>
      <c r="R59" s="571">
        <v>0.9</v>
      </c>
      <c r="S59" s="571">
        <v>0.8</v>
      </c>
      <c r="T59" s="571"/>
      <c r="U59" s="571"/>
      <c r="V59" s="571"/>
    </row>
    <row r="60" spans="1:42">
      <c r="A60" s="550"/>
      <c r="B60" s="562"/>
      <c r="C60" s="571" t="s">
        <v>1621</v>
      </c>
      <c r="D60" s="571" t="s">
        <v>330</v>
      </c>
      <c r="E60" s="571"/>
      <c r="F60" s="571"/>
      <c r="G60" s="571"/>
      <c r="H60" s="571"/>
      <c r="I60" s="571"/>
      <c r="J60" s="571">
        <v>2.3E-2</v>
      </c>
      <c r="K60" s="571">
        <v>0.05</v>
      </c>
      <c r="L60" s="571">
        <v>8.5982000000000003E-2</v>
      </c>
      <c r="M60" s="571">
        <v>0.24284900000000001</v>
      </c>
      <c r="N60" s="571">
        <v>0.34250000000000003</v>
      </c>
      <c r="O60" s="571">
        <v>0.65356000000000003</v>
      </c>
      <c r="P60" s="571">
        <v>0.63125799999999999</v>
      </c>
      <c r="Q60" s="571">
        <v>0.65390999999999999</v>
      </c>
      <c r="R60" s="571">
        <v>0.69574400000000003</v>
      </c>
      <c r="S60" s="571">
        <v>0.68249199999999999</v>
      </c>
      <c r="T60" s="571">
        <v>0.5</v>
      </c>
      <c r="U60" s="571"/>
      <c r="V60" s="571"/>
    </row>
    <row r="61" spans="1:42">
      <c r="A61" s="550"/>
      <c r="B61" s="562"/>
      <c r="C61" s="571" t="s">
        <v>1624</v>
      </c>
      <c r="D61" s="571" t="s">
        <v>1623</v>
      </c>
      <c r="E61" s="571"/>
      <c r="F61" s="571"/>
      <c r="G61" s="571"/>
      <c r="H61" s="571"/>
      <c r="I61" s="571"/>
      <c r="J61" s="571">
        <v>0.7</v>
      </c>
      <c r="K61" s="571">
        <v>0.8</v>
      </c>
      <c r="L61" s="571">
        <v>0.9</v>
      </c>
      <c r="M61" s="571">
        <v>1</v>
      </c>
      <c r="N61" s="571">
        <v>1.1000000000000001</v>
      </c>
      <c r="O61" s="571">
        <v>1.2</v>
      </c>
      <c r="P61" s="571">
        <v>1.3</v>
      </c>
      <c r="Q61" s="571">
        <v>1.4</v>
      </c>
      <c r="R61" s="571">
        <v>1.5</v>
      </c>
      <c r="S61" s="571">
        <v>1.6</v>
      </c>
      <c r="T61" s="571">
        <v>1.66</v>
      </c>
      <c r="U61" s="571"/>
      <c r="V61" s="571"/>
      <c r="AH61" s="560"/>
      <c r="AI61" s="560"/>
      <c r="AJ61" s="560"/>
      <c r="AK61" s="560"/>
      <c r="AL61" s="560"/>
      <c r="AM61" s="560"/>
      <c r="AN61" s="560"/>
      <c r="AO61" s="561"/>
      <c r="AP61" s="561"/>
    </row>
    <row r="62" spans="1:42">
      <c r="A62" s="550"/>
      <c r="B62" s="562"/>
      <c r="C62" s="571" t="s">
        <v>1692</v>
      </c>
      <c r="D62" s="571" t="s">
        <v>66</v>
      </c>
      <c r="E62" s="571"/>
      <c r="F62" s="571"/>
      <c r="G62" s="571"/>
      <c r="H62" s="571"/>
      <c r="I62" s="571"/>
      <c r="J62" s="571"/>
      <c r="K62" s="571"/>
      <c r="L62" s="571"/>
      <c r="M62" s="571"/>
      <c r="N62" s="571"/>
      <c r="O62" s="571"/>
      <c r="P62" s="571"/>
      <c r="Q62" s="571"/>
      <c r="R62" s="571"/>
      <c r="S62" s="571"/>
      <c r="T62" s="571">
        <v>0</v>
      </c>
      <c r="U62" s="571">
        <v>0.1005479</v>
      </c>
      <c r="V62" s="571"/>
      <c r="W62" s="571"/>
      <c r="X62" s="571"/>
    </row>
    <row r="63" spans="1:42">
      <c r="A63" s="550"/>
      <c r="B63" s="563"/>
      <c r="C63" s="574" t="s">
        <v>2020</v>
      </c>
      <c r="D63" s="574" t="s">
        <v>2021</v>
      </c>
      <c r="E63" s="574"/>
      <c r="F63" s="574"/>
      <c r="G63" s="713">
        <v>-1.179</v>
      </c>
      <c r="H63" s="713">
        <v>-1.4379999999999999</v>
      </c>
      <c r="I63" s="713">
        <v>-1.6544366939999999</v>
      </c>
      <c r="J63" s="713">
        <v>-2.0085824809999999</v>
      </c>
      <c r="K63" s="713">
        <v>-2.4380000000000002</v>
      </c>
      <c r="L63" s="574">
        <v>-2.93</v>
      </c>
      <c r="M63" s="574">
        <v>-3.3360246</v>
      </c>
      <c r="N63" s="574">
        <v>-3.9372343019999998</v>
      </c>
      <c r="O63" s="574">
        <v>-4.3255546990000004</v>
      </c>
      <c r="P63" s="574">
        <v>-4.6158010000000003</v>
      </c>
      <c r="Q63" s="574">
        <v>-4.7929440000000003</v>
      </c>
      <c r="R63" s="574">
        <v>-4.903809979</v>
      </c>
      <c r="S63" s="574">
        <v>-4.9913311039999986</v>
      </c>
      <c r="T63" s="574">
        <v>-4.944632809999999</v>
      </c>
      <c r="U63" s="574">
        <v>-4.5397790929999999</v>
      </c>
      <c r="V63" s="574">
        <v>-4.0116720685100002</v>
      </c>
      <c r="W63" s="574">
        <v>-3.6200495526299998</v>
      </c>
      <c r="X63" s="574"/>
      <c r="Y63" s="267"/>
      <c r="Z63" s="267"/>
      <c r="AA63" s="267"/>
      <c r="AB63" s="714"/>
      <c r="AC63" s="714"/>
      <c r="AD63" s="714"/>
      <c r="AE63" s="714"/>
      <c r="AF63" s="714"/>
      <c r="AG63" s="714"/>
      <c r="AH63" s="714"/>
      <c r="AI63" s="714"/>
      <c r="AJ63" s="714"/>
      <c r="AK63" s="714"/>
      <c r="AL63" s="714"/>
      <c r="AM63" s="714"/>
      <c r="AN63" s="714"/>
      <c r="AO63" s="714"/>
    </row>
    <row r="64" spans="1:42">
      <c r="A64" s="551"/>
      <c r="B64" s="551"/>
      <c r="C64" s="551"/>
      <c r="D64" s="551"/>
      <c r="E64" s="551"/>
      <c r="F64" s="551"/>
      <c r="G64" s="551"/>
      <c r="H64" s="551"/>
      <c r="I64" s="551"/>
      <c r="J64" s="551"/>
      <c r="K64" s="551"/>
      <c r="L64" s="551"/>
      <c r="M64" s="551"/>
      <c r="N64" s="551"/>
      <c r="O64" s="551"/>
      <c r="P64" s="551"/>
      <c r="Q64" s="551"/>
      <c r="R64" s="551"/>
      <c r="S64" s="551"/>
      <c r="T64" s="551"/>
      <c r="U64" s="551"/>
      <c r="V64" s="551"/>
      <c r="Y64" s="714"/>
      <c r="Z64" s="714"/>
      <c r="AA64" s="714"/>
      <c r="AB64" s="714"/>
      <c r="AC64" s="714"/>
      <c r="AD64" s="714"/>
      <c r="AE64" s="714"/>
      <c r="AF64" s="714"/>
      <c r="AG64" s="714"/>
      <c r="AH64" s="714"/>
      <c r="AI64" s="714"/>
    </row>
    <row r="65" spans="1:24">
      <c r="A65" s="550"/>
      <c r="B65" s="550" t="s">
        <v>26</v>
      </c>
      <c r="C65" s="550"/>
      <c r="D65" s="566"/>
      <c r="E65" s="570">
        <f t="shared" ref="E65:X65" si="2">SUM(E38:E63)</f>
        <v>508.30650610567994</v>
      </c>
      <c r="F65" s="570">
        <f t="shared" si="2"/>
        <v>578.48200010469009</v>
      </c>
      <c r="G65" s="570">
        <f t="shared" si="2"/>
        <v>609.49022385407011</v>
      </c>
      <c r="H65" s="570">
        <f t="shared" si="2"/>
        <v>655.12941905734021</v>
      </c>
      <c r="I65" s="570">
        <f t="shared" si="2"/>
        <v>673.1388823944003</v>
      </c>
      <c r="J65" s="570">
        <f t="shared" si="2"/>
        <v>749.4278645190002</v>
      </c>
      <c r="K65" s="570">
        <f t="shared" si="2"/>
        <v>702.18887199999983</v>
      </c>
      <c r="L65" s="570">
        <f t="shared" si="2"/>
        <v>672.99625641375997</v>
      </c>
      <c r="M65" s="570">
        <f t="shared" si="2"/>
        <v>634.2121835431002</v>
      </c>
      <c r="N65" s="570">
        <f t="shared" si="2"/>
        <v>668.80221704799999</v>
      </c>
      <c r="O65" s="570">
        <f t="shared" si="2"/>
        <v>746.88043917200014</v>
      </c>
      <c r="P65" s="570">
        <f t="shared" si="2"/>
        <v>811.19818399999997</v>
      </c>
      <c r="Q65" s="570">
        <f t="shared" si="2"/>
        <v>863.59978999999998</v>
      </c>
      <c r="R65" s="570">
        <f t="shared" si="2"/>
        <v>899.46641145599995</v>
      </c>
      <c r="S65" s="570">
        <f t="shared" si="2"/>
        <v>707.627414896</v>
      </c>
      <c r="T65" s="570">
        <f t="shared" si="2"/>
        <v>776.73604018999993</v>
      </c>
      <c r="U65" s="570">
        <f t="shared" si="2"/>
        <v>867.97769080700004</v>
      </c>
      <c r="V65" s="570">
        <f t="shared" si="2"/>
        <v>783.56152045981992</v>
      </c>
      <c r="W65" s="570">
        <f t="shared" si="2"/>
        <v>786.91488637704003</v>
      </c>
      <c r="X65" s="570">
        <f t="shared" si="2"/>
        <v>790.20953565269997</v>
      </c>
    </row>
    <row r="66" spans="1:24">
      <c r="A66" s="550"/>
      <c r="B66" s="550"/>
      <c r="C66" s="550"/>
      <c r="D66" s="550"/>
      <c r="E66" s="564"/>
      <c r="F66" s="564"/>
      <c r="G66" s="564"/>
      <c r="H66" s="564"/>
      <c r="I66" s="564"/>
      <c r="J66" s="577"/>
      <c r="K66" s="564"/>
      <c r="L66" s="564"/>
      <c r="M66" s="554"/>
      <c r="N66" s="570"/>
      <c r="O66" s="570"/>
      <c r="P66" s="570"/>
      <c r="Q66" s="570"/>
      <c r="R66" s="570"/>
      <c r="S66" s="570"/>
      <c r="T66" s="570"/>
      <c r="U66" s="570"/>
      <c r="V66" s="570"/>
    </row>
    <row r="67" spans="1:24">
      <c r="A67" s="550"/>
      <c r="B67" s="562" t="s">
        <v>27</v>
      </c>
      <c r="C67" s="580"/>
      <c r="D67" s="580"/>
      <c r="E67" s="554">
        <v>-152.601</v>
      </c>
      <c r="F67" s="554">
        <v>-58.353000000000002</v>
      </c>
      <c r="G67" s="554">
        <v>-6.2280000000000229</v>
      </c>
      <c r="H67" s="554">
        <v>9.661559127790035</v>
      </c>
      <c r="I67" s="554">
        <v>81.957000000000065</v>
      </c>
      <c r="J67" s="554">
        <v>101.93199999999997</v>
      </c>
      <c r="K67" s="554">
        <v>38.746571000000017</v>
      </c>
      <c r="L67" s="554">
        <v>3.4891758639800674</v>
      </c>
      <c r="M67" s="554">
        <v>-46.551649624299927</v>
      </c>
      <c r="N67" s="554">
        <v>-50.513071862370133</v>
      </c>
      <c r="O67" s="554">
        <v>14.0538313782</v>
      </c>
      <c r="P67" s="554">
        <v>18.373191999999953</v>
      </c>
      <c r="Q67" s="554">
        <v>103.20971399999995</v>
      </c>
      <c r="R67" s="570">
        <v>135.19874076102988</v>
      </c>
      <c r="S67" s="570">
        <v>-176.13694399999997</v>
      </c>
      <c r="T67" s="570">
        <v>-1.05206</v>
      </c>
      <c r="U67" s="570">
        <v>67.801000000000002</v>
      </c>
      <c r="V67" s="570">
        <v>-24.907</v>
      </c>
      <c r="W67" s="570">
        <v>-130.87299999999999</v>
      </c>
      <c r="X67" s="570">
        <f>X38-X36</f>
        <v>-72.19413273686007</v>
      </c>
    </row>
    <row r="68" spans="1:24" ht="13.5" thickBot="1">
      <c r="A68" s="580"/>
      <c r="B68" s="575" t="s">
        <v>28</v>
      </c>
      <c r="C68" s="581"/>
      <c r="D68" s="581"/>
      <c r="E68" s="582">
        <f t="shared" ref="E68:W68" si="3">E65-E36</f>
        <v>-139.56819999999999</v>
      </c>
      <c r="F68" s="582">
        <f t="shared" si="3"/>
        <v>-21.272100000000023</v>
      </c>
      <c r="G68" s="582">
        <f t="shared" si="3"/>
        <v>-5.7980000000000018</v>
      </c>
      <c r="H68" s="582">
        <f t="shared" si="3"/>
        <v>2.6375591277901549</v>
      </c>
      <c r="I68" s="582">
        <f t="shared" si="3"/>
        <v>81.957000000000107</v>
      </c>
      <c r="J68" s="582">
        <f t="shared" si="3"/>
        <v>101.93200000000002</v>
      </c>
      <c r="K68" s="582">
        <f t="shared" si="3"/>
        <v>38.746571000000017</v>
      </c>
      <c r="L68" s="582">
        <f t="shared" si="3"/>
        <v>3.4890271777401267</v>
      </c>
      <c r="M68" s="582">
        <f t="shared" si="3"/>
        <v>-46.551649624299898</v>
      </c>
      <c r="N68" s="582">
        <f t="shared" si="3"/>
        <v>-50.513071862370111</v>
      </c>
      <c r="O68" s="582">
        <f t="shared" si="3"/>
        <v>14.053831378199902</v>
      </c>
      <c r="P68" s="582">
        <f t="shared" si="3"/>
        <v>18.373191999999904</v>
      </c>
      <c r="Q68" s="582">
        <f t="shared" si="3"/>
        <v>103.20971399999996</v>
      </c>
      <c r="R68" s="582">
        <f t="shared" si="3"/>
        <v>135.19874076102985</v>
      </c>
      <c r="S68" s="582">
        <f t="shared" si="3"/>
        <v>-176.13694400000008</v>
      </c>
      <c r="T68" s="582">
        <f t="shared" si="3"/>
        <v>-1.0520630000000892</v>
      </c>
      <c r="U68" s="582">
        <f t="shared" si="3"/>
        <v>67.801766000000043</v>
      </c>
      <c r="V68" s="582">
        <f t="shared" si="3"/>
        <v>-24.907248471670073</v>
      </c>
      <c r="W68" s="582">
        <f t="shared" si="3"/>
        <v>-130.87299999999993</v>
      </c>
      <c r="X68" s="582">
        <f>X65-X36</f>
        <v>-72.19413273686007</v>
      </c>
    </row>
    <row r="69" spans="1:24">
      <c r="B69" s="552" t="s">
        <v>179</v>
      </c>
    </row>
  </sheetData>
  <pageMargins left="0.25" right="0.25" top="0.75" bottom="0.75" header="0.3" footer="0.3"/>
  <pageSetup paperSize="9" scale="66"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1927</v>
      </c>
      <c r="C1" s="4"/>
      <c r="D1" s="4"/>
      <c r="E1" s="4"/>
      <c r="F1" s="4"/>
      <c r="G1" s="4"/>
      <c r="H1" s="4"/>
      <c r="I1" s="4"/>
      <c r="J1" s="4"/>
      <c r="K1" s="58"/>
    </row>
    <row r="2" spans="1:15">
      <c r="A2" s="1" t="s">
        <v>1928</v>
      </c>
      <c r="C2" s="4"/>
      <c r="D2" s="4"/>
      <c r="E2" s="4"/>
      <c r="F2" s="4"/>
      <c r="G2" s="4"/>
      <c r="H2" s="4"/>
      <c r="I2" s="4"/>
      <c r="J2" s="4"/>
      <c r="K2" s="58"/>
    </row>
    <row r="3" spans="1:15">
      <c r="A3" s="7" t="s">
        <v>1929</v>
      </c>
      <c r="C3" s="4"/>
      <c r="D3" s="4"/>
      <c r="E3" s="4"/>
      <c r="F3" s="4"/>
      <c r="G3" s="4"/>
      <c r="H3" s="4"/>
      <c r="I3" s="4"/>
      <c r="J3" s="55"/>
      <c r="K3" s="58"/>
    </row>
    <row r="4" spans="1:15">
      <c r="A4" s="7" t="s">
        <v>1911</v>
      </c>
      <c r="C4" s="4"/>
      <c r="D4" s="4"/>
      <c r="E4" s="4"/>
      <c r="F4" s="4"/>
      <c r="G4" s="4"/>
      <c r="H4" s="4"/>
      <c r="I4" s="4"/>
      <c r="J4" s="55"/>
      <c r="K4" s="58"/>
    </row>
    <row r="5" spans="1:15" ht="13.5" thickBot="1">
      <c r="B5" s="65"/>
      <c r="C5" s="4"/>
      <c r="D5" s="4"/>
      <c r="E5" s="4"/>
      <c r="F5" s="4"/>
      <c r="G5" s="4"/>
      <c r="H5" s="4"/>
      <c r="I5" s="4"/>
      <c r="J5" s="55"/>
      <c r="K5" s="58"/>
    </row>
    <row r="6" spans="1:15">
      <c r="A6" s="470" t="s">
        <v>1896</v>
      </c>
      <c r="C6" s="437" t="s">
        <v>1806</v>
      </c>
      <c r="D6" s="437" t="s">
        <v>1807</v>
      </c>
      <c r="E6" s="437" t="s">
        <v>1808</v>
      </c>
      <c r="F6" s="437" t="s">
        <v>1093</v>
      </c>
      <c r="G6" s="437" t="s">
        <v>1809</v>
      </c>
      <c r="H6" s="471" t="s">
        <v>178</v>
      </c>
      <c r="I6" s="437" t="s">
        <v>1810</v>
      </c>
      <c r="J6" s="58"/>
      <c r="K6" s="58"/>
    </row>
    <row r="7" spans="1:15" ht="13.5" thickBot="1">
      <c r="A7" s="44"/>
      <c r="B7" s="44"/>
      <c r="C7" s="39" t="s">
        <v>1811</v>
      </c>
      <c r="D7" s="39" t="s">
        <v>1812</v>
      </c>
      <c r="E7" s="39" t="s">
        <v>1813</v>
      </c>
      <c r="F7" s="39"/>
      <c r="G7" s="39" t="s">
        <v>1814</v>
      </c>
      <c r="H7" s="472"/>
      <c r="I7" s="39"/>
      <c r="J7" s="58"/>
      <c r="K7" s="58"/>
    </row>
    <row r="8" spans="1:15">
      <c r="B8" s="4"/>
      <c r="C8" s="4"/>
      <c r="D8" s="4"/>
      <c r="E8" s="4"/>
      <c r="F8" s="4"/>
      <c r="G8" s="4"/>
      <c r="H8" s="2"/>
      <c r="I8" s="4"/>
      <c r="J8" s="58"/>
      <c r="K8" s="58"/>
    </row>
    <row r="9" spans="1:15">
      <c r="A9" s="529">
        <v>1</v>
      </c>
      <c r="B9" s="7" t="s">
        <v>462</v>
      </c>
      <c r="C9" s="68">
        <v>126773</v>
      </c>
      <c r="D9" s="68">
        <v>33693</v>
      </c>
      <c r="E9" s="68">
        <v>382</v>
      </c>
      <c r="F9" s="68">
        <v>33089</v>
      </c>
      <c r="G9" s="68">
        <v>1369</v>
      </c>
      <c r="H9" s="6">
        <f t="shared" ref="H9:H18" si="0">SUM(C9:G9)</f>
        <v>195306</v>
      </c>
      <c r="I9" s="31">
        <f>+H9/H$20*100</f>
        <v>24.714050891918259</v>
      </c>
      <c r="J9" s="58"/>
      <c r="K9" s="58"/>
    </row>
    <row r="10" spans="1:15">
      <c r="A10" s="529">
        <v>2</v>
      </c>
      <c r="B10" s="7" t="s">
        <v>180</v>
      </c>
      <c r="C10" s="68">
        <v>1975</v>
      </c>
      <c r="D10" s="68">
        <v>30343</v>
      </c>
      <c r="E10" s="68">
        <v>9464</v>
      </c>
      <c r="F10" s="68">
        <v>46</v>
      </c>
      <c r="G10" s="68">
        <v>664</v>
      </c>
      <c r="H10" s="6">
        <f t="shared" si="0"/>
        <v>42492</v>
      </c>
      <c r="I10" s="31">
        <f t="shared" ref="I10:I18" si="1">+H10/H$20*100</f>
        <v>5.3769441312575692</v>
      </c>
      <c r="J10" s="58"/>
      <c r="K10" s="490"/>
      <c r="L10" s="490"/>
      <c r="M10" s="490"/>
      <c r="N10" s="490"/>
      <c r="O10" s="490"/>
    </row>
    <row r="11" spans="1:15">
      <c r="A11" s="529">
        <v>3</v>
      </c>
      <c r="B11" s="7" t="s">
        <v>183</v>
      </c>
      <c r="C11" s="68">
        <v>642</v>
      </c>
      <c r="D11" s="68">
        <v>33510</v>
      </c>
      <c r="E11" s="68">
        <v>3</v>
      </c>
      <c r="F11" s="68">
        <v>127</v>
      </c>
      <c r="G11" s="68">
        <v>1240</v>
      </c>
      <c r="H11" s="6">
        <f t="shared" si="0"/>
        <v>35522</v>
      </c>
      <c r="I11" s="31">
        <f t="shared" si="1"/>
        <v>4.4949592730521353</v>
      </c>
      <c r="J11" s="58"/>
      <c r="K11" s="58"/>
    </row>
    <row r="12" spans="1:15">
      <c r="A12" s="529">
        <v>4</v>
      </c>
      <c r="B12" s="7" t="s">
        <v>463</v>
      </c>
      <c r="C12" s="68">
        <v>37132</v>
      </c>
      <c r="D12" s="68">
        <v>22517</v>
      </c>
      <c r="E12" s="68">
        <v>16740</v>
      </c>
      <c r="F12" s="68">
        <v>1811</v>
      </c>
      <c r="G12" s="68">
        <v>49175</v>
      </c>
      <c r="H12" s="6">
        <f t="shared" si="0"/>
        <v>127375</v>
      </c>
      <c r="I12" s="31">
        <f t="shared" si="1"/>
        <v>16.118051838438596</v>
      </c>
      <c r="J12" s="58"/>
      <c r="K12" s="58"/>
    </row>
    <row r="13" spans="1:15">
      <c r="A13" s="529">
        <v>5</v>
      </c>
      <c r="B13" s="7" t="s">
        <v>464</v>
      </c>
      <c r="C13" s="68">
        <v>1360</v>
      </c>
      <c r="D13" s="68">
        <v>2641</v>
      </c>
      <c r="E13" s="68">
        <v>445</v>
      </c>
      <c r="F13" s="68">
        <v>-3</v>
      </c>
      <c r="G13" s="68">
        <v>13</v>
      </c>
      <c r="H13" s="6">
        <f t="shared" si="0"/>
        <v>4456</v>
      </c>
      <c r="I13" s="31">
        <f t="shared" si="1"/>
        <v>0.56386291652272724</v>
      </c>
      <c r="J13" s="58"/>
      <c r="K13" s="58"/>
    </row>
    <row r="14" spans="1:15">
      <c r="A14" s="529">
        <v>6</v>
      </c>
      <c r="B14" s="7" t="s">
        <v>399</v>
      </c>
      <c r="C14" s="68">
        <v>3189</v>
      </c>
      <c r="D14" s="68">
        <v>445</v>
      </c>
      <c r="E14" s="68">
        <v>1</v>
      </c>
      <c r="F14" s="68">
        <v>-1</v>
      </c>
      <c r="G14" s="68">
        <v>77</v>
      </c>
      <c r="H14" s="6">
        <f t="shared" si="0"/>
        <v>3711</v>
      </c>
      <c r="I14" s="31">
        <f t="shared" si="1"/>
        <v>0.469590503414686</v>
      </c>
      <c r="J14" s="58"/>
      <c r="K14" s="58"/>
    </row>
    <row r="15" spans="1:15">
      <c r="A15" s="529">
        <v>7</v>
      </c>
      <c r="B15" s="7" t="s">
        <v>546</v>
      </c>
      <c r="C15" s="68">
        <v>25352</v>
      </c>
      <c r="D15" s="68">
        <v>4070</v>
      </c>
      <c r="E15" s="68">
        <v>9</v>
      </c>
      <c r="F15" s="68">
        <v>-5</v>
      </c>
      <c r="G15" s="68">
        <v>25</v>
      </c>
      <c r="H15" s="6">
        <f t="shared" si="0"/>
        <v>29451</v>
      </c>
      <c r="I15" s="31">
        <f t="shared" si="1"/>
        <v>3.7267340113354668</v>
      </c>
      <c r="J15" s="58"/>
      <c r="K15" s="58"/>
    </row>
    <row r="16" spans="1:15">
      <c r="A16" s="529">
        <v>8</v>
      </c>
      <c r="B16" s="7" t="s">
        <v>1453</v>
      </c>
      <c r="C16" s="68">
        <v>5197</v>
      </c>
      <c r="D16" s="68">
        <v>1781</v>
      </c>
      <c r="E16" s="68">
        <v>18</v>
      </c>
      <c r="F16" s="68">
        <v>5</v>
      </c>
      <c r="G16" s="68">
        <v>71</v>
      </c>
      <c r="H16" s="6">
        <f t="shared" si="0"/>
        <v>7072</v>
      </c>
      <c r="I16" s="31">
        <f t="shared" si="1"/>
        <v>0.89489195369136609</v>
      </c>
      <c r="J16" s="58"/>
      <c r="K16" s="58"/>
    </row>
    <row r="17" spans="1:14">
      <c r="A17" s="529">
        <v>9</v>
      </c>
      <c r="B17" s="7" t="s">
        <v>465</v>
      </c>
      <c r="C17" s="68">
        <v>22304</v>
      </c>
      <c r="D17" s="68">
        <v>20660</v>
      </c>
      <c r="E17" s="68">
        <v>510</v>
      </c>
      <c r="F17" s="68">
        <v>4434</v>
      </c>
      <c r="G17" s="68">
        <v>334</v>
      </c>
      <c r="H17" s="6">
        <f t="shared" si="0"/>
        <v>48242</v>
      </c>
      <c r="I17" s="31">
        <f t="shared" si="1"/>
        <v>6.104550004239095</v>
      </c>
      <c r="J17" s="58"/>
      <c r="K17" s="58"/>
    </row>
    <row r="18" spans="1:14">
      <c r="A18" s="529">
        <v>10</v>
      </c>
      <c r="B18" s="7" t="s">
        <v>466</v>
      </c>
      <c r="C18" s="68">
        <v>278604</v>
      </c>
      <c r="D18" s="68">
        <v>17289</v>
      </c>
      <c r="E18" s="68">
        <v>17</v>
      </c>
      <c r="F18" s="68">
        <v>71</v>
      </c>
      <c r="G18" s="68">
        <v>655</v>
      </c>
      <c r="H18" s="6">
        <f t="shared" si="0"/>
        <v>296636</v>
      </c>
      <c r="I18" s="31">
        <f t="shared" si="1"/>
        <v>37.536364476130096</v>
      </c>
      <c r="J18" s="58"/>
      <c r="K18" s="58"/>
    </row>
    <row r="19" spans="1:14">
      <c r="B19" s="4"/>
      <c r="C19" s="3"/>
      <c r="D19" s="3"/>
      <c r="E19" s="3"/>
      <c r="F19" s="3"/>
      <c r="G19" s="3"/>
      <c r="H19" s="3"/>
      <c r="I19" s="4"/>
      <c r="J19" s="58"/>
      <c r="K19" s="58"/>
    </row>
    <row r="20" spans="1:14" ht="13.5" thickBot="1">
      <c r="A20" s="33"/>
      <c r="B20" s="33" t="s">
        <v>178</v>
      </c>
      <c r="C20" s="40">
        <v>502529.13</v>
      </c>
      <c r="D20" s="40">
        <v>166948.641</v>
      </c>
      <c r="E20" s="40">
        <v>27589.371999999999</v>
      </c>
      <c r="F20" s="40">
        <v>39573.686999999998</v>
      </c>
      <c r="G20" s="40">
        <v>53622.383999999998</v>
      </c>
      <c r="H20" s="40">
        <v>790263</v>
      </c>
      <c r="I20" s="479">
        <f>SUM(I9:I18)</f>
        <v>100</v>
      </c>
      <c r="J20" s="58"/>
      <c r="K20" s="58"/>
    </row>
    <row r="21" spans="1:14">
      <c r="A21" s="46" t="s">
        <v>179</v>
      </c>
      <c r="C21" s="4"/>
      <c r="D21" s="4"/>
      <c r="E21" s="4"/>
      <c r="F21" s="4"/>
      <c r="G21" s="4"/>
      <c r="H21" s="4"/>
      <c r="I21" s="4"/>
      <c r="J21" s="58"/>
      <c r="K21" s="58"/>
    </row>
    <row r="22" spans="1:14" ht="12.75" customHeight="1">
      <c r="A22" s="42" t="s">
        <v>539</v>
      </c>
      <c r="C22" s="4" t="s">
        <v>189</v>
      </c>
      <c r="D22" s="4" t="s">
        <v>189</v>
      </c>
      <c r="E22" s="4"/>
      <c r="F22" s="4"/>
      <c r="G22" s="4"/>
      <c r="H22" s="4"/>
      <c r="I22" s="4"/>
      <c r="J22" s="58"/>
      <c r="K22" s="58"/>
    </row>
    <row r="23" spans="1:14">
      <c r="A23" s="58"/>
      <c r="B23" s="55"/>
      <c r="C23" s="59"/>
      <c r="D23" s="59"/>
      <c r="E23" s="59"/>
      <c r="F23" s="59"/>
      <c r="G23" s="59"/>
      <c r="H23" s="55"/>
      <c r="I23" s="55"/>
      <c r="J23" s="473"/>
      <c r="K23" s="58"/>
      <c r="L23" s="58"/>
      <c r="M23" s="59"/>
      <c r="N23" s="58"/>
    </row>
    <row r="24" spans="1:14">
      <c r="A24" s="58"/>
      <c r="B24" s="58"/>
      <c r="C24" s="59"/>
      <c r="D24" s="59"/>
      <c r="E24" s="59"/>
      <c r="F24" s="59"/>
      <c r="G24" s="59"/>
      <c r="H24" s="58"/>
      <c r="I24" s="58"/>
      <c r="J24" s="58"/>
      <c r="K24" s="58"/>
      <c r="L24" s="58"/>
      <c r="M24" s="59"/>
      <c r="N24" s="58"/>
    </row>
    <row r="25" spans="1:14">
      <c r="A25" s="58"/>
      <c r="B25" s="58"/>
      <c r="C25" s="59"/>
      <c r="D25" s="59"/>
      <c r="E25" s="59"/>
      <c r="F25" s="59"/>
      <c r="G25" s="59"/>
      <c r="H25" s="58"/>
      <c r="I25" s="58"/>
      <c r="J25" s="58"/>
      <c r="K25" s="58"/>
      <c r="L25" s="58"/>
      <c r="M25" s="59"/>
      <c r="N25" s="58"/>
    </row>
    <row r="26" spans="1:14">
      <c r="A26" s="58"/>
      <c r="B26" s="58"/>
      <c r="C26" s="59"/>
      <c r="D26" s="59"/>
      <c r="E26" s="59"/>
      <c r="F26" s="59"/>
      <c r="G26" s="59"/>
      <c r="H26" s="58"/>
      <c r="I26" s="58"/>
      <c r="J26" s="58"/>
      <c r="K26" s="58"/>
      <c r="L26" s="58"/>
      <c r="M26" s="59"/>
      <c r="N26" s="58"/>
    </row>
    <row r="27" spans="1:14">
      <c r="C27" s="473"/>
      <c r="D27" s="473"/>
      <c r="E27" s="473"/>
      <c r="F27" s="473"/>
      <c r="G27" s="473"/>
      <c r="H27" s="473"/>
      <c r="J27" s="473"/>
      <c r="K27" s="58"/>
      <c r="L27" s="58"/>
      <c r="M27" s="59"/>
      <c r="N27" s="58"/>
    </row>
    <row r="28" spans="1:14">
      <c r="C28" s="473"/>
      <c r="D28" s="473"/>
      <c r="E28" s="473"/>
      <c r="F28" s="473"/>
      <c r="G28" s="473"/>
      <c r="H28" s="473"/>
      <c r="J28" s="58"/>
      <c r="K28" s="58"/>
      <c r="L28" s="58"/>
      <c r="M28" s="59"/>
      <c r="N28" s="58"/>
    </row>
    <row r="29" spans="1:14">
      <c r="C29" s="473"/>
      <c r="D29" s="473"/>
      <c r="E29" s="473"/>
      <c r="F29" s="473"/>
      <c r="G29" s="473"/>
      <c r="H29" s="473"/>
      <c r="J29" s="59"/>
      <c r="K29" s="58"/>
      <c r="L29" s="58"/>
      <c r="M29" s="59"/>
      <c r="N29" s="58"/>
    </row>
    <row r="30" spans="1:14">
      <c r="C30" s="473"/>
      <c r="D30" s="473"/>
      <c r="E30" s="473"/>
      <c r="F30" s="473"/>
      <c r="G30" s="473"/>
      <c r="H30" s="473"/>
      <c r="J30" s="58"/>
      <c r="K30" s="58"/>
      <c r="L30" s="58"/>
      <c r="M30" s="59"/>
      <c r="N30" s="58"/>
    </row>
    <row r="31" spans="1:14">
      <c r="C31" s="473"/>
      <c r="D31" s="473"/>
      <c r="E31" s="473"/>
      <c r="F31" s="473"/>
      <c r="G31" s="473"/>
      <c r="H31" s="473"/>
      <c r="J31" s="58"/>
      <c r="K31" s="58"/>
      <c r="L31" s="58"/>
      <c r="M31" s="59"/>
      <c r="N31" s="58"/>
    </row>
    <row r="32" spans="1:14">
      <c r="C32" s="473"/>
      <c r="D32" s="473"/>
      <c r="E32" s="473"/>
      <c r="F32" s="473"/>
      <c r="G32" s="473"/>
      <c r="H32" s="473"/>
      <c r="J32" s="58"/>
      <c r="K32" s="58"/>
      <c r="L32" s="58"/>
      <c r="M32" s="59"/>
      <c r="N32" s="58"/>
    </row>
    <row r="33" spans="3:14">
      <c r="C33" s="473"/>
      <c r="D33" s="473"/>
      <c r="E33" s="473"/>
      <c r="F33" s="473"/>
      <c r="G33" s="473"/>
      <c r="H33" s="473"/>
      <c r="J33" s="58"/>
      <c r="K33" s="58"/>
      <c r="L33" s="58"/>
      <c r="M33" s="59"/>
      <c r="N33" s="58"/>
    </row>
    <row r="34" spans="3:14">
      <c r="C34" s="473"/>
      <c r="D34" s="473"/>
      <c r="E34" s="473"/>
      <c r="F34" s="473"/>
      <c r="G34" s="473"/>
      <c r="H34" s="473"/>
      <c r="J34" s="58"/>
      <c r="K34" s="58"/>
      <c r="L34" s="58"/>
      <c r="M34" s="59"/>
      <c r="N34" s="58"/>
    </row>
    <row r="35" spans="3:14">
      <c r="C35" s="473"/>
      <c r="D35" s="473"/>
      <c r="E35" s="473"/>
      <c r="F35" s="473"/>
      <c r="G35" s="473"/>
      <c r="H35" s="473"/>
      <c r="J35" s="58"/>
      <c r="K35" s="58"/>
      <c r="L35" s="58"/>
      <c r="M35" s="59"/>
      <c r="N35" s="58"/>
    </row>
    <row r="36" spans="3:14">
      <c r="C36" s="473"/>
      <c r="D36" s="473"/>
      <c r="E36" s="473"/>
      <c r="F36" s="473"/>
      <c r="G36" s="473"/>
      <c r="H36" s="473"/>
      <c r="J36" s="58"/>
      <c r="K36" s="58"/>
      <c r="L36" s="58"/>
      <c r="M36" s="59"/>
      <c r="N36" s="58"/>
    </row>
    <row r="37" spans="3:14">
      <c r="J37" s="58"/>
      <c r="K37" s="58"/>
      <c r="L37" s="58"/>
      <c r="M37" s="59"/>
      <c r="N37" s="58"/>
    </row>
    <row r="38" spans="3:14">
      <c r="J38" s="58"/>
      <c r="K38" s="58"/>
      <c r="L38" s="58"/>
      <c r="M38" s="59"/>
      <c r="N38" s="58"/>
    </row>
    <row r="39" spans="3:14">
      <c r="J39" s="58"/>
      <c r="K39" s="58"/>
      <c r="L39" s="58"/>
      <c r="M39" s="59"/>
      <c r="N39" s="58"/>
    </row>
    <row r="40" spans="3:14">
      <c r="J40" s="58"/>
      <c r="K40" s="58"/>
      <c r="L40" s="58"/>
      <c r="M40" s="59"/>
      <c r="N40" s="58"/>
    </row>
    <row r="41" spans="3:14">
      <c r="J41" s="58"/>
      <c r="K41" s="58"/>
      <c r="L41" s="58"/>
      <c r="M41" s="59"/>
      <c r="N41" s="58"/>
    </row>
    <row r="42" spans="3:14">
      <c r="J42" s="58"/>
      <c r="K42" s="58"/>
      <c r="L42" s="58"/>
      <c r="M42" s="59"/>
      <c r="N42" s="58"/>
    </row>
    <row r="43" spans="3:14">
      <c r="J43" s="58"/>
      <c r="K43" s="58"/>
      <c r="L43" s="58"/>
      <c r="M43" s="59"/>
      <c r="N43" s="58"/>
    </row>
    <row r="44" spans="3:14">
      <c r="J44" s="58"/>
      <c r="K44" s="58"/>
      <c r="L44" s="58"/>
      <c r="M44" s="59"/>
      <c r="N44" s="58"/>
    </row>
    <row r="45" spans="3:14">
      <c r="J45" s="58"/>
      <c r="K45" s="58"/>
      <c r="L45" s="58"/>
      <c r="M45" s="59"/>
      <c r="N45" s="58"/>
    </row>
    <row r="46" spans="3:14">
      <c r="J46" s="58"/>
      <c r="K46" s="58"/>
      <c r="L46" s="58"/>
      <c r="M46" s="59"/>
      <c r="N46" s="58"/>
    </row>
    <row r="47" spans="3:14">
      <c r="J47" s="58"/>
      <c r="K47" s="58"/>
      <c r="L47" s="58"/>
      <c r="M47" s="59"/>
      <c r="N47" s="58"/>
    </row>
    <row r="48" spans="3:14">
      <c r="J48" s="58"/>
      <c r="K48" s="58"/>
      <c r="L48" s="58"/>
      <c r="M48" s="59"/>
      <c r="N48" s="58"/>
    </row>
    <row r="49" spans="10:14">
      <c r="J49" s="473"/>
      <c r="K49" s="58"/>
      <c r="L49" s="58"/>
      <c r="M49" s="59"/>
      <c r="N49" s="58"/>
    </row>
    <row r="50" spans="10:14">
      <c r="J50" s="58"/>
      <c r="K50" s="58"/>
      <c r="L50" s="58"/>
      <c r="M50" s="59"/>
      <c r="N50" s="58"/>
    </row>
    <row r="51" spans="10:14">
      <c r="J51" s="58"/>
      <c r="K51" s="58"/>
      <c r="L51" s="58"/>
      <c r="M51" s="59"/>
      <c r="N51" s="58"/>
    </row>
    <row r="52" spans="10:14">
      <c r="J52" s="58"/>
      <c r="K52" s="58"/>
      <c r="L52" s="58"/>
      <c r="M52" s="59"/>
      <c r="N52" s="58"/>
    </row>
    <row r="53" spans="10:14">
      <c r="J53" s="58"/>
      <c r="K53" s="58"/>
      <c r="L53" s="58"/>
      <c r="M53" s="59"/>
      <c r="N53" s="58"/>
    </row>
    <row r="54" spans="10:14">
      <c r="J54" s="58"/>
      <c r="K54" s="58"/>
      <c r="L54" s="58"/>
      <c r="M54" s="59"/>
      <c r="N54" s="58"/>
    </row>
    <row r="55" spans="10:14">
      <c r="J55" s="58"/>
      <c r="K55" s="58"/>
      <c r="L55" s="58"/>
      <c r="M55" s="59"/>
      <c r="N55" s="58"/>
    </row>
    <row r="56" spans="10:14">
      <c r="J56" s="58"/>
      <c r="K56" s="58"/>
      <c r="L56" s="58"/>
      <c r="M56" s="59"/>
      <c r="N56" s="58"/>
    </row>
    <row r="57" spans="10:14">
      <c r="J57" s="58"/>
      <c r="K57" s="58"/>
      <c r="L57" s="58"/>
      <c r="M57" s="59"/>
      <c r="N57" s="58"/>
    </row>
    <row r="58" spans="10:14">
      <c r="J58" s="58"/>
      <c r="K58" s="58"/>
      <c r="L58" s="58"/>
      <c r="M58" s="59"/>
      <c r="N58" s="58"/>
    </row>
    <row r="59" spans="10:14">
      <c r="J59" s="58"/>
      <c r="K59" s="58"/>
      <c r="L59" s="58"/>
      <c r="M59" s="59"/>
      <c r="N59" s="58"/>
    </row>
    <row r="60" spans="10:14">
      <c r="J60" s="58"/>
      <c r="K60" s="58"/>
      <c r="L60" s="58"/>
      <c r="M60" s="59"/>
      <c r="N60" s="58"/>
    </row>
    <row r="61" spans="10:14">
      <c r="J61" s="58"/>
      <c r="K61" s="58"/>
      <c r="L61" s="58"/>
      <c r="M61" s="59"/>
      <c r="N61" s="58"/>
    </row>
    <row r="62" spans="10:14">
      <c r="J62" s="58"/>
      <c r="K62" s="58"/>
      <c r="L62" s="58"/>
      <c r="M62" s="59"/>
      <c r="N62" s="58"/>
    </row>
    <row r="63" spans="10:14">
      <c r="J63" s="473"/>
      <c r="K63" s="58"/>
      <c r="L63" s="58"/>
      <c r="M63" s="59"/>
      <c r="N63" s="58"/>
    </row>
    <row r="64" spans="10:14">
      <c r="J64" s="58"/>
      <c r="K64" s="58"/>
      <c r="L64" s="58"/>
      <c r="M64" s="59"/>
      <c r="N64" s="58"/>
    </row>
    <row r="65" spans="10:14">
      <c r="J65" s="58"/>
      <c r="K65" s="58"/>
      <c r="L65" s="58"/>
      <c r="M65" s="59"/>
      <c r="N65" s="58"/>
    </row>
    <row r="66" spans="10:14">
      <c r="J66" s="58"/>
      <c r="K66" s="58"/>
      <c r="L66" s="58"/>
      <c r="M66" s="59"/>
      <c r="N66" s="58"/>
    </row>
    <row r="67" spans="10:14">
      <c r="J67" s="58"/>
      <c r="K67" s="58"/>
      <c r="L67" s="58"/>
      <c r="M67" s="59"/>
      <c r="N67" s="58"/>
    </row>
    <row r="68" spans="10:14">
      <c r="J68" s="58"/>
      <c r="K68" s="58"/>
      <c r="L68" s="58"/>
      <c r="M68" s="59"/>
      <c r="N68" s="58"/>
    </row>
    <row r="69" spans="10:14">
      <c r="J69" s="58"/>
      <c r="K69" s="58"/>
      <c r="L69" s="58"/>
      <c r="M69" s="59"/>
      <c r="N69" s="58"/>
    </row>
    <row r="70" spans="10:14">
      <c r="J70" s="58"/>
      <c r="K70" s="58"/>
      <c r="L70" s="58"/>
      <c r="M70" s="59"/>
      <c r="N70" s="58"/>
    </row>
    <row r="71" spans="10:14">
      <c r="J71" s="58"/>
      <c r="K71" s="58"/>
      <c r="L71" s="58"/>
      <c r="M71" s="59"/>
      <c r="N71" s="58"/>
    </row>
    <row r="72" spans="10:14">
      <c r="J72" s="58"/>
      <c r="K72" s="58"/>
      <c r="L72" s="59"/>
      <c r="M72" s="58"/>
      <c r="N72" s="58"/>
    </row>
    <row r="73" spans="10:14">
      <c r="J73" s="58"/>
      <c r="K73" s="58"/>
      <c r="L73" s="59"/>
      <c r="M73" s="58"/>
      <c r="N73" s="58"/>
    </row>
    <row r="74" spans="10:14">
      <c r="J74" s="58"/>
      <c r="K74" s="58"/>
      <c r="L74" s="59"/>
      <c r="M74" s="58"/>
      <c r="N74" s="58"/>
    </row>
    <row r="75" spans="10:14">
      <c r="J75" s="58"/>
      <c r="K75" s="58"/>
      <c r="L75" s="59"/>
      <c r="M75" s="58"/>
      <c r="N75" s="58"/>
    </row>
    <row r="76" spans="10:14">
      <c r="J76" s="58"/>
      <c r="K76" s="58"/>
      <c r="L76" s="59"/>
      <c r="M76" s="58"/>
      <c r="N76" s="58"/>
    </row>
    <row r="77" spans="10:14">
      <c r="J77" s="58"/>
      <c r="K77" s="58"/>
      <c r="L77" s="59"/>
      <c r="M77" s="58"/>
    </row>
    <row r="78" spans="10:14">
      <c r="J78" s="58"/>
      <c r="K78" s="58"/>
      <c r="L78" s="59"/>
      <c r="M78" s="58"/>
    </row>
    <row r="79" spans="10:14">
      <c r="J79" s="58"/>
      <c r="K79" s="58"/>
      <c r="L79" s="59"/>
      <c r="M79" s="58"/>
    </row>
    <row r="80" spans="10:14">
      <c r="J80" s="58"/>
      <c r="K80" s="58"/>
      <c r="L80" s="59"/>
      <c r="M80" s="58"/>
    </row>
    <row r="81" spans="10:13">
      <c r="J81" s="58"/>
      <c r="K81" s="58"/>
      <c r="L81" s="59"/>
      <c r="M81" s="58"/>
    </row>
    <row r="82" spans="10:13">
      <c r="J82" s="58"/>
      <c r="K82" s="58"/>
      <c r="L82" s="59"/>
      <c r="M82" s="58"/>
    </row>
    <row r="83" spans="10:13">
      <c r="J83" s="58"/>
      <c r="K83" s="58"/>
      <c r="L83" s="59"/>
      <c r="M83" s="58"/>
    </row>
    <row r="84" spans="10:13">
      <c r="J84" s="58"/>
      <c r="K84" s="58"/>
      <c r="L84" s="59"/>
      <c r="M84" s="58"/>
    </row>
    <row r="85" spans="10:13">
      <c r="J85" s="58"/>
      <c r="K85" s="58"/>
      <c r="L85" s="59"/>
      <c r="M85" s="58"/>
    </row>
    <row r="86" spans="10:13">
      <c r="J86" s="58"/>
      <c r="K86" s="58"/>
      <c r="L86" s="59"/>
      <c r="M86" s="58"/>
    </row>
    <row r="87" spans="10:13">
      <c r="J87" s="58"/>
      <c r="K87" s="58"/>
      <c r="L87" s="59"/>
      <c r="M87" s="58"/>
    </row>
    <row r="88" spans="10:13">
      <c r="J88" s="58"/>
      <c r="K88" s="58"/>
      <c r="L88" s="59"/>
      <c r="M88" s="58"/>
    </row>
    <row r="89" spans="10:13">
      <c r="J89" s="58"/>
      <c r="K89" s="58"/>
      <c r="L89" s="59"/>
      <c r="M89" s="58"/>
    </row>
    <row r="90" spans="10:13">
      <c r="J90" s="58"/>
      <c r="K90" s="58"/>
      <c r="L90" s="59"/>
      <c r="M90" s="58"/>
    </row>
    <row r="91" spans="10:13">
      <c r="J91" s="58"/>
      <c r="K91" s="58"/>
      <c r="L91" s="59"/>
      <c r="M91" s="58"/>
    </row>
    <row r="92" spans="10:13">
      <c r="J92" s="58"/>
      <c r="K92" s="58"/>
      <c r="L92" s="59"/>
      <c r="M92" s="58"/>
    </row>
    <row r="93" spans="10:13">
      <c r="J93" s="58"/>
      <c r="K93" s="58"/>
      <c r="L93" s="59"/>
      <c r="M93" s="58"/>
    </row>
    <row r="94" spans="10:13">
      <c r="J94" s="58"/>
      <c r="K94" s="58"/>
      <c r="L94" s="59"/>
      <c r="M94" s="58"/>
    </row>
    <row r="95" spans="10:13">
      <c r="J95" s="58"/>
      <c r="K95" s="58"/>
      <c r="L95" s="59"/>
      <c r="M95" s="58"/>
    </row>
    <row r="96" spans="10:13">
      <c r="J96" s="58"/>
      <c r="K96" s="58"/>
      <c r="L96" s="59"/>
      <c r="M96" s="58"/>
    </row>
    <row r="97" spans="10:13">
      <c r="J97" s="58"/>
      <c r="K97" s="58"/>
      <c r="L97" s="59"/>
      <c r="M97" s="58"/>
    </row>
    <row r="98" spans="10:13">
      <c r="J98" s="58"/>
      <c r="K98" s="58"/>
      <c r="L98" s="59"/>
      <c r="M98" s="58"/>
    </row>
    <row r="99" spans="10:13">
      <c r="J99" s="58"/>
      <c r="K99" s="58"/>
      <c r="L99" s="59"/>
      <c r="M99" s="58"/>
    </row>
    <row r="100" spans="10:13">
      <c r="J100" s="58"/>
      <c r="K100" s="58"/>
      <c r="L100" s="59"/>
      <c r="M100" s="58"/>
    </row>
    <row r="101" spans="10:13">
      <c r="J101" s="58"/>
      <c r="K101" s="58"/>
      <c r="L101" s="59"/>
      <c r="M101" s="58"/>
    </row>
    <row r="102" spans="10:13">
      <c r="J102" s="58"/>
      <c r="K102" s="58"/>
      <c r="L102" s="59"/>
      <c r="M102" s="58"/>
    </row>
    <row r="103" spans="10:13">
      <c r="J103" s="58"/>
      <c r="K103" s="58"/>
      <c r="L103" s="59"/>
      <c r="M103" s="58"/>
    </row>
    <row r="104" spans="10:13">
      <c r="J104" s="58"/>
      <c r="K104" s="58"/>
      <c r="L104" s="59"/>
      <c r="M104" s="58"/>
    </row>
    <row r="105" spans="10:13">
      <c r="J105" s="58"/>
      <c r="K105" s="58"/>
      <c r="L105" s="59"/>
      <c r="M105" s="58"/>
    </row>
    <row r="106" spans="10:13">
      <c r="J106" s="58"/>
      <c r="K106" s="58"/>
      <c r="L106" s="59"/>
      <c r="M106" s="58"/>
    </row>
    <row r="107" spans="10:13">
      <c r="J107" s="58"/>
      <c r="K107" s="58"/>
      <c r="L107" s="59"/>
      <c r="M107" s="58"/>
    </row>
    <row r="108" spans="10:13">
      <c r="J108" s="58"/>
      <c r="K108" s="58"/>
      <c r="L108" s="59"/>
      <c r="M108" s="58"/>
    </row>
    <row r="109" spans="10:13">
      <c r="J109" s="58"/>
      <c r="K109" s="58"/>
      <c r="L109" s="59"/>
      <c r="M109" s="58"/>
    </row>
    <row r="110" spans="10:13">
      <c r="J110" s="58"/>
      <c r="K110" s="58"/>
      <c r="L110" s="59"/>
      <c r="M110" s="58"/>
    </row>
    <row r="111" spans="10:13">
      <c r="J111" s="58"/>
      <c r="K111" s="58"/>
      <c r="L111" s="59"/>
      <c r="M111" s="58"/>
    </row>
    <row r="112" spans="10:13">
      <c r="J112" s="58"/>
      <c r="K112" s="58"/>
      <c r="L112" s="59"/>
      <c r="M112" s="58"/>
    </row>
    <row r="113" spans="10:13">
      <c r="J113" s="58"/>
      <c r="K113" s="58"/>
      <c r="L113" s="59"/>
      <c r="M113" s="58"/>
    </row>
    <row r="114" spans="10:13">
      <c r="J114" s="58"/>
      <c r="K114" s="58"/>
      <c r="L114" s="59"/>
      <c r="M114" s="58"/>
    </row>
    <row r="115" spans="10:13">
      <c r="J115" s="58"/>
      <c r="K115" s="58"/>
      <c r="L115" s="59"/>
      <c r="M115" s="58"/>
    </row>
    <row r="116" spans="10:13">
      <c r="J116" s="58"/>
      <c r="K116" s="58"/>
      <c r="L116" s="59"/>
      <c r="M116" s="58"/>
    </row>
    <row r="117" spans="10:13">
      <c r="J117" s="58"/>
      <c r="K117" s="58"/>
      <c r="L117" s="59"/>
      <c r="M117" s="58"/>
    </row>
    <row r="118" spans="10:13">
      <c r="J118" s="58"/>
      <c r="K118" s="58"/>
      <c r="L118" s="59"/>
      <c r="M118" s="58"/>
    </row>
    <row r="119" spans="10:13">
      <c r="J119" s="58"/>
      <c r="K119" s="58"/>
      <c r="L119" s="59"/>
      <c r="M119" s="58"/>
    </row>
    <row r="120" spans="10:13">
      <c r="J120" s="58"/>
      <c r="K120" s="58"/>
      <c r="L120" s="59"/>
      <c r="M120" s="58"/>
    </row>
    <row r="121" spans="10:13">
      <c r="J121" s="58"/>
      <c r="K121" s="58"/>
      <c r="L121" s="59"/>
      <c r="M121" s="58"/>
    </row>
    <row r="122" spans="10:13">
      <c r="J122" s="58"/>
      <c r="K122" s="58"/>
      <c r="L122" s="59"/>
      <c r="M122" s="58"/>
    </row>
    <row r="123" spans="10:13">
      <c r="J123" s="58"/>
      <c r="K123" s="58"/>
      <c r="L123" s="59"/>
      <c r="M123" s="58"/>
    </row>
    <row r="124" spans="10:13">
      <c r="J124" s="58"/>
      <c r="K124" s="58"/>
      <c r="L124" s="59"/>
      <c r="M124" s="58"/>
    </row>
    <row r="125" spans="10:13">
      <c r="J125" s="58"/>
      <c r="K125" s="58"/>
      <c r="L125" s="59"/>
      <c r="M125" s="58"/>
    </row>
    <row r="126" spans="10:13">
      <c r="J126" s="58"/>
      <c r="K126" s="58"/>
      <c r="L126" s="59"/>
      <c r="M126" s="58"/>
    </row>
    <row r="127" spans="10:13">
      <c r="J127" s="58"/>
      <c r="K127" s="58"/>
      <c r="L127" s="59"/>
      <c r="M127" s="58"/>
    </row>
    <row r="128" spans="10:13">
      <c r="J128" s="58"/>
      <c r="K128" s="58"/>
      <c r="L128" s="59"/>
      <c r="M128" s="58"/>
    </row>
    <row r="129" spans="10:13">
      <c r="J129" s="58"/>
      <c r="K129" s="58"/>
      <c r="L129" s="59"/>
      <c r="M129" s="58"/>
    </row>
    <row r="130" spans="10:13">
      <c r="J130" s="58"/>
      <c r="K130" s="58"/>
      <c r="L130" s="59"/>
      <c r="M130" s="58"/>
    </row>
    <row r="131" spans="10:13">
      <c r="J131" s="58"/>
      <c r="K131" s="58"/>
      <c r="L131" s="59"/>
      <c r="M131" s="58"/>
    </row>
    <row r="132" spans="10:13">
      <c r="J132" s="58"/>
      <c r="K132" s="58"/>
      <c r="L132" s="59"/>
      <c r="M132" s="58"/>
    </row>
    <row r="133" spans="10:13">
      <c r="J133" s="58"/>
      <c r="K133" s="58"/>
      <c r="L133" s="59"/>
      <c r="M133" s="58"/>
    </row>
    <row r="134" spans="10:13">
      <c r="J134" s="58"/>
      <c r="K134" s="58"/>
      <c r="L134" s="59"/>
      <c r="M134" s="58"/>
    </row>
    <row r="135" spans="10:13">
      <c r="J135" s="58"/>
      <c r="K135" s="58"/>
      <c r="L135" s="59"/>
      <c r="M135" s="58"/>
    </row>
    <row r="136" spans="10:13">
      <c r="J136" s="58"/>
      <c r="K136" s="58"/>
      <c r="L136" s="59"/>
      <c r="M136" s="58"/>
    </row>
    <row r="137" spans="10:13">
      <c r="J137" s="58"/>
      <c r="K137" s="58"/>
      <c r="L137" s="59"/>
      <c r="M137" s="58"/>
    </row>
    <row r="138" spans="10:13">
      <c r="J138" s="58"/>
      <c r="K138" s="58"/>
      <c r="L138" s="59"/>
      <c r="M138" s="58"/>
    </row>
    <row r="139" spans="10:13">
      <c r="J139" s="58"/>
      <c r="K139" s="58"/>
      <c r="L139" s="59"/>
      <c r="M139" s="58"/>
    </row>
    <row r="140" spans="10:13">
      <c r="J140" s="58"/>
      <c r="K140" s="58"/>
      <c r="L140" s="59"/>
      <c r="M140" s="58"/>
    </row>
    <row r="141" spans="10:13">
      <c r="J141" s="58"/>
      <c r="K141" s="58"/>
      <c r="L141" s="59"/>
      <c r="M141" s="58"/>
    </row>
    <row r="142" spans="10:13">
      <c r="J142" s="58"/>
      <c r="K142" s="58"/>
      <c r="L142" s="59"/>
      <c r="M142" s="58"/>
    </row>
    <row r="143" spans="10:13">
      <c r="J143" s="58"/>
      <c r="K143" s="58"/>
      <c r="L143" s="59"/>
      <c r="M143" s="58"/>
    </row>
    <row r="144" spans="10:13">
      <c r="J144" s="58"/>
      <c r="K144" s="58"/>
      <c r="L144" s="59"/>
      <c r="M144" s="58"/>
    </row>
    <row r="145" spans="10:13">
      <c r="J145" s="58"/>
      <c r="K145" s="58"/>
      <c r="L145" s="59"/>
      <c r="M145" s="58"/>
    </row>
    <row r="146" spans="10:13">
      <c r="J146" s="58"/>
      <c r="K146" s="58"/>
      <c r="L146" s="59"/>
      <c r="M146" s="58"/>
    </row>
    <row r="147" spans="10:13">
      <c r="J147" s="58"/>
      <c r="K147" s="58"/>
      <c r="L147" s="59"/>
      <c r="M147" s="58"/>
    </row>
    <row r="148" spans="10:13">
      <c r="J148" s="58"/>
      <c r="K148" s="58"/>
      <c r="L148" s="59"/>
      <c r="M148" s="58"/>
    </row>
    <row r="149" spans="10:13">
      <c r="J149" s="58"/>
      <c r="K149" s="58"/>
      <c r="L149" s="59"/>
      <c r="M149" s="58"/>
    </row>
    <row r="150" spans="10:13">
      <c r="J150" s="58"/>
      <c r="K150" s="58"/>
      <c r="L150" s="59"/>
      <c r="M150" s="58"/>
    </row>
    <row r="151" spans="10:13">
      <c r="J151" s="58"/>
      <c r="K151" s="58"/>
      <c r="L151" s="59"/>
      <c r="M151" s="58"/>
    </row>
    <row r="152" spans="10:13">
      <c r="J152" s="58"/>
      <c r="K152" s="58"/>
      <c r="L152" s="59"/>
      <c r="M152" s="58"/>
    </row>
    <row r="153" spans="10:13">
      <c r="J153" s="58"/>
      <c r="K153" s="58"/>
      <c r="L153" s="59"/>
      <c r="M153" s="58"/>
    </row>
    <row r="154" spans="10:13">
      <c r="J154" s="58"/>
      <c r="K154" s="58"/>
      <c r="L154" s="59"/>
      <c r="M154" s="58"/>
    </row>
    <row r="155" spans="10:13">
      <c r="J155" s="58"/>
      <c r="K155" s="58"/>
      <c r="L155" s="59"/>
      <c r="M155" s="58"/>
    </row>
    <row r="156" spans="10:13">
      <c r="J156" s="58"/>
      <c r="K156" s="58"/>
      <c r="L156" s="59"/>
      <c r="M156" s="58"/>
    </row>
    <row r="157" spans="10:13">
      <c r="J157" s="58"/>
      <c r="K157" s="58"/>
      <c r="L157" s="59"/>
      <c r="M157" s="58"/>
    </row>
    <row r="158" spans="10:13">
      <c r="J158" s="58"/>
      <c r="K158" s="58"/>
      <c r="L158" s="59"/>
      <c r="M158" s="58"/>
    </row>
    <row r="159" spans="10:13">
      <c r="J159" s="58"/>
      <c r="K159" s="58"/>
      <c r="L159" s="59"/>
      <c r="M159" s="58"/>
    </row>
    <row r="160" spans="10:13">
      <c r="J160" s="58"/>
      <c r="K160" s="58"/>
      <c r="L160" s="59"/>
      <c r="M160" s="58"/>
    </row>
    <row r="161" spans="10:13">
      <c r="J161" s="58"/>
      <c r="K161" s="58"/>
      <c r="L161" s="59"/>
      <c r="M161" s="58"/>
    </row>
    <row r="162" spans="10:13">
      <c r="J162" s="58"/>
      <c r="K162" s="58"/>
      <c r="L162" s="59"/>
      <c r="M162" s="58"/>
    </row>
    <row r="163" spans="10:13">
      <c r="J163" s="58"/>
      <c r="K163" s="58"/>
      <c r="L163" s="59"/>
      <c r="M163" s="58"/>
    </row>
    <row r="164" spans="10:13">
      <c r="J164" s="58"/>
      <c r="K164" s="58"/>
      <c r="L164" s="59"/>
      <c r="M164" s="58"/>
    </row>
    <row r="165" spans="10:13">
      <c r="J165" s="58"/>
      <c r="K165" s="58"/>
      <c r="L165" s="59"/>
      <c r="M165" s="58"/>
    </row>
    <row r="166" spans="10:13">
      <c r="J166" s="58"/>
      <c r="K166" s="58"/>
      <c r="L166" s="59"/>
      <c r="M166" s="58"/>
    </row>
    <row r="167" spans="10:13">
      <c r="J167" s="58"/>
      <c r="K167" s="58"/>
      <c r="L167" s="59"/>
      <c r="M167" s="58"/>
    </row>
    <row r="168" spans="10:13">
      <c r="J168" s="58"/>
      <c r="K168" s="58"/>
      <c r="L168" s="59"/>
      <c r="M168" s="58"/>
    </row>
    <row r="169" spans="10:13">
      <c r="J169" s="58"/>
      <c r="K169" s="58"/>
      <c r="L169" s="59"/>
      <c r="M169" s="58"/>
    </row>
    <row r="170" spans="10:13">
      <c r="J170" s="58"/>
      <c r="K170" s="58"/>
      <c r="L170" s="59"/>
      <c r="M170" s="58"/>
    </row>
    <row r="171" spans="10:13">
      <c r="J171" s="58"/>
      <c r="K171" s="58"/>
      <c r="L171" s="59"/>
      <c r="M171" s="58"/>
    </row>
    <row r="172" spans="10:13">
      <c r="J172" s="58"/>
      <c r="K172" s="58"/>
      <c r="L172" s="59"/>
      <c r="M172" s="58"/>
    </row>
    <row r="173" spans="10:13">
      <c r="J173" s="58"/>
      <c r="K173" s="58"/>
      <c r="L173" s="59"/>
      <c r="M173" s="58"/>
    </row>
    <row r="174" spans="10:13">
      <c r="J174" s="58"/>
      <c r="K174" s="58"/>
      <c r="L174" s="59"/>
      <c r="M174" s="58"/>
    </row>
    <row r="175" spans="10:13">
      <c r="J175" s="58"/>
      <c r="K175" s="58"/>
      <c r="L175" s="59"/>
      <c r="M175" s="58"/>
    </row>
    <row r="176" spans="10:13">
      <c r="J176" s="58"/>
      <c r="K176" s="58"/>
      <c r="L176" s="59"/>
      <c r="M176" s="58"/>
    </row>
    <row r="177" spans="10:13">
      <c r="J177" s="58"/>
      <c r="K177" s="58"/>
      <c r="L177" s="59"/>
      <c r="M177" s="58"/>
    </row>
    <row r="178" spans="10:13">
      <c r="J178" s="58"/>
      <c r="K178" s="58"/>
      <c r="L178" s="59"/>
      <c r="M178" s="58"/>
    </row>
    <row r="179" spans="10:13">
      <c r="J179" s="58"/>
      <c r="K179" s="58"/>
      <c r="L179" s="59"/>
      <c r="M179" s="58"/>
    </row>
    <row r="180" spans="10:13">
      <c r="J180" s="58"/>
      <c r="K180" s="58"/>
      <c r="L180" s="59"/>
      <c r="M180" s="58"/>
    </row>
    <row r="181" spans="10:13">
      <c r="J181" s="58"/>
      <c r="K181" s="58"/>
      <c r="L181" s="59"/>
      <c r="M181" s="58"/>
    </row>
    <row r="182" spans="10:13">
      <c r="J182" s="58"/>
      <c r="K182" s="58"/>
      <c r="L182" s="59"/>
      <c r="M182" s="58"/>
    </row>
    <row r="183" spans="10:13">
      <c r="J183" s="58"/>
      <c r="K183" s="58"/>
      <c r="L183" s="59"/>
      <c r="M183" s="58"/>
    </row>
    <row r="184" spans="10:13">
      <c r="J184" s="58"/>
      <c r="K184" s="58"/>
      <c r="L184" s="59"/>
      <c r="M184" s="58"/>
    </row>
    <row r="185" spans="10:13">
      <c r="J185" s="58"/>
      <c r="K185" s="58"/>
      <c r="L185" s="59"/>
      <c r="M185" s="58"/>
    </row>
    <row r="186" spans="10:13">
      <c r="J186" s="58"/>
      <c r="K186" s="58"/>
      <c r="L186" s="59"/>
      <c r="M186" s="58"/>
    </row>
    <row r="187" spans="10:13">
      <c r="J187" s="58"/>
      <c r="K187" s="58"/>
      <c r="L187" s="59"/>
      <c r="M187" s="58"/>
    </row>
    <row r="188" spans="10:13">
      <c r="J188" s="58"/>
      <c r="K188" s="58"/>
      <c r="L188" s="59"/>
      <c r="M188" s="58"/>
    </row>
    <row r="189" spans="10:13">
      <c r="J189" s="58"/>
      <c r="K189" s="58"/>
      <c r="L189" s="59"/>
      <c r="M189" s="58"/>
    </row>
    <row r="190" spans="10:13">
      <c r="J190" s="58"/>
      <c r="K190" s="58"/>
      <c r="L190" s="59"/>
      <c r="M190" s="58"/>
    </row>
    <row r="191" spans="10:13">
      <c r="J191" s="58"/>
      <c r="K191" s="58"/>
      <c r="L191" s="59"/>
      <c r="M191" s="58"/>
    </row>
    <row r="192" spans="10:13">
      <c r="J192" s="58"/>
      <c r="K192" s="58"/>
      <c r="L192" s="59"/>
      <c r="M192" s="58"/>
    </row>
    <row r="193" spans="10:13">
      <c r="J193" s="58"/>
      <c r="K193" s="58"/>
      <c r="L193" s="59"/>
      <c r="M193" s="58"/>
    </row>
    <row r="194" spans="10:13">
      <c r="J194" s="58"/>
      <c r="K194" s="58"/>
      <c r="L194" s="59"/>
      <c r="M194" s="58"/>
    </row>
    <row r="195" spans="10:13">
      <c r="J195" s="58"/>
      <c r="K195" s="58"/>
      <c r="L195" s="59"/>
      <c r="M195" s="58"/>
    </row>
    <row r="196" spans="10:13">
      <c r="J196" s="58"/>
      <c r="K196" s="58"/>
      <c r="L196" s="59"/>
      <c r="M196" s="58"/>
    </row>
    <row r="197" spans="10:13">
      <c r="J197" s="58"/>
      <c r="K197" s="58"/>
      <c r="L197" s="59"/>
      <c r="M197" s="58"/>
    </row>
    <row r="198" spans="10:13">
      <c r="J198" s="58"/>
      <c r="K198" s="58"/>
      <c r="L198" s="59"/>
      <c r="M198" s="58"/>
    </row>
    <row r="199" spans="10:13">
      <c r="J199" s="58"/>
      <c r="K199" s="58"/>
      <c r="L199" s="59"/>
      <c r="M199" s="58"/>
    </row>
    <row r="200" spans="10:13">
      <c r="J200" s="58"/>
      <c r="K200" s="58"/>
      <c r="L200" s="59"/>
      <c r="M200" s="58"/>
    </row>
    <row r="201" spans="10:13">
      <c r="J201" s="58"/>
      <c r="K201" s="58"/>
      <c r="L201" s="59"/>
      <c r="M201" s="58"/>
    </row>
    <row r="202" spans="10:13">
      <c r="J202" s="58"/>
      <c r="K202" s="58"/>
      <c r="L202" s="59"/>
      <c r="M202" s="58"/>
    </row>
    <row r="203" spans="10:13">
      <c r="J203" s="58"/>
      <c r="K203" s="58"/>
      <c r="L203" s="59"/>
      <c r="M203" s="58"/>
    </row>
    <row r="204" spans="10:13">
      <c r="J204" s="58"/>
      <c r="K204" s="58"/>
      <c r="L204" s="59"/>
      <c r="M204" s="58"/>
    </row>
    <row r="205" spans="10:13">
      <c r="J205" s="58"/>
      <c r="K205" s="58"/>
      <c r="L205" s="59"/>
      <c r="M205" s="58"/>
    </row>
    <row r="206" spans="10:13">
      <c r="J206" s="58"/>
      <c r="K206" s="58"/>
      <c r="L206" s="59"/>
      <c r="M206" s="58"/>
    </row>
    <row r="207" spans="10:13">
      <c r="J207" s="58"/>
      <c r="K207" s="58"/>
      <c r="L207" s="59"/>
      <c r="M207" s="58"/>
    </row>
    <row r="208" spans="10:13">
      <c r="J208" s="58"/>
      <c r="K208" s="58"/>
      <c r="L208" s="59"/>
      <c r="M208" s="58"/>
    </row>
    <row r="209" spans="10:13">
      <c r="J209" s="58"/>
      <c r="K209" s="58"/>
      <c r="L209" s="59"/>
      <c r="M209" s="58"/>
    </row>
    <row r="210" spans="10:13">
      <c r="J210" s="58"/>
      <c r="K210" s="58"/>
      <c r="L210" s="59"/>
      <c r="M210" s="58"/>
    </row>
    <row r="211" spans="10:13">
      <c r="J211" s="58"/>
      <c r="K211" s="58"/>
      <c r="L211" s="59"/>
      <c r="M211" s="58"/>
    </row>
    <row r="212" spans="10:13">
      <c r="J212" s="58"/>
      <c r="K212" s="58"/>
      <c r="L212" s="59"/>
      <c r="M212" s="58"/>
    </row>
    <row r="213" spans="10:13">
      <c r="J213" s="58"/>
      <c r="K213" s="58"/>
      <c r="L213" s="59"/>
      <c r="M213" s="58"/>
    </row>
    <row r="214" spans="10:13">
      <c r="J214" s="58"/>
      <c r="K214" s="58"/>
      <c r="L214" s="59"/>
      <c r="M214" s="58"/>
    </row>
    <row r="215" spans="10:13">
      <c r="J215" s="58"/>
      <c r="K215" s="58"/>
      <c r="L215" s="59"/>
      <c r="M215" s="58"/>
    </row>
    <row r="216" spans="10:13">
      <c r="J216" s="58"/>
      <c r="K216" s="58"/>
      <c r="L216" s="59"/>
      <c r="M216" s="58"/>
    </row>
    <row r="217" spans="10:13">
      <c r="J217" s="58"/>
      <c r="K217" s="58"/>
      <c r="L217" s="59"/>
      <c r="M217" s="58"/>
    </row>
    <row r="218" spans="10:13">
      <c r="J218" s="58"/>
      <c r="K218" s="58"/>
      <c r="L218" s="59"/>
      <c r="M218" s="58"/>
    </row>
    <row r="219" spans="10:13">
      <c r="J219" s="58"/>
      <c r="K219" s="58"/>
      <c r="L219" s="59"/>
      <c r="M219" s="58"/>
    </row>
    <row r="220" spans="10:13">
      <c r="J220" s="58"/>
      <c r="K220" s="58"/>
      <c r="L220" s="59"/>
      <c r="M220" s="58"/>
    </row>
    <row r="221" spans="10:13">
      <c r="J221" s="58"/>
      <c r="K221" s="58"/>
      <c r="L221" s="59"/>
      <c r="M221" s="58"/>
    </row>
    <row r="222" spans="10:13">
      <c r="J222" s="58"/>
      <c r="K222" s="58"/>
      <c r="L222" s="59"/>
      <c r="M222" s="58"/>
    </row>
    <row r="223" spans="10:13">
      <c r="J223" s="58"/>
      <c r="K223" s="58"/>
      <c r="L223" s="59"/>
      <c r="M223" s="58"/>
    </row>
    <row r="224" spans="10:13">
      <c r="J224" s="58"/>
      <c r="K224" s="58"/>
      <c r="L224" s="59"/>
      <c r="M224" s="58"/>
    </row>
    <row r="225" spans="10:13">
      <c r="J225" s="58"/>
      <c r="K225" s="58"/>
      <c r="L225" s="59"/>
      <c r="M225" s="58"/>
    </row>
    <row r="226" spans="10:13">
      <c r="J226" s="58"/>
      <c r="K226" s="58"/>
      <c r="L226" s="59"/>
      <c r="M226" s="58"/>
    </row>
    <row r="227" spans="10:13">
      <c r="J227" s="58"/>
      <c r="K227" s="58"/>
      <c r="L227" s="59"/>
      <c r="M227" s="58"/>
    </row>
    <row r="228" spans="10:13">
      <c r="J228" s="58"/>
      <c r="K228" s="58"/>
      <c r="L228" s="59"/>
      <c r="M228" s="58"/>
    </row>
    <row r="229" spans="10:13">
      <c r="J229" s="58"/>
      <c r="K229" s="58"/>
      <c r="L229" s="59"/>
      <c r="M229" s="58"/>
    </row>
    <row r="230" spans="10:13">
      <c r="J230" s="58"/>
      <c r="K230" s="58"/>
      <c r="L230" s="59"/>
      <c r="M230" s="58"/>
    </row>
    <row r="231" spans="10:13">
      <c r="J231" s="58"/>
      <c r="K231" s="58"/>
      <c r="L231" s="59"/>
      <c r="M231" s="58"/>
    </row>
    <row r="232" spans="10:13">
      <c r="J232" s="58"/>
      <c r="K232" s="58"/>
      <c r="L232" s="59"/>
      <c r="M232" s="58"/>
    </row>
    <row r="233" spans="10:13">
      <c r="J233" s="58"/>
      <c r="K233" s="58"/>
      <c r="L233" s="59"/>
      <c r="M233" s="58"/>
    </row>
    <row r="234" spans="10:13">
      <c r="J234" s="58"/>
      <c r="K234" s="58"/>
      <c r="L234" s="58"/>
      <c r="M234" s="58"/>
    </row>
    <row r="235" spans="10:13">
      <c r="J235" s="58"/>
      <c r="K235" s="58"/>
      <c r="L235" s="58"/>
      <c r="M235" s="58"/>
    </row>
    <row r="236" spans="10:13">
      <c r="J236" s="58"/>
      <c r="K236" s="58"/>
      <c r="L236" s="58"/>
      <c r="M236" s="58"/>
    </row>
    <row r="237" spans="10:13">
      <c r="J237" s="58"/>
      <c r="K237" s="58"/>
      <c r="L237" s="58"/>
      <c r="M237" s="58"/>
    </row>
    <row r="238" spans="10:13">
      <c r="J238" s="58"/>
      <c r="K238" s="58"/>
      <c r="L238" s="58"/>
      <c r="M238" s="58"/>
    </row>
    <row r="239" spans="10:13">
      <c r="J239" s="58"/>
      <c r="K239" s="58"/>
      <c r="L239" s="58"/>
      <c r="M239" s="58"/>
    </row>
    <row r="240" spans="10:13">
      <c r="J240" s="58"/>
      <c r="K240" s="58"/>
      <c r="L240" s="58"/>
      <c r="M240" s="58"/>
    </row>
    <row r="241" spans="10:13">
      <c r="J241" s="58"/>
      <c r="K241" s="58"/>
      <c r="L241" s="58"/>
      <c r="M241" s="58"/>
    </row>
    <row r="242" spans="10:13">
      <c r="J242" s="58"/>
      <c r="K242" s="58"/>
      <c r="L242" s="58"/>
      <c r="M242" s="58"/>
    </row>
    <row r="243" spans="10:13">
      <c r="J243" s="58"/>
      <c r="K243" s="58"/>
      <c r="L243" s="58"/>
      <c r="M243" s="58"/>
    </row>
    <row r="244" spans="10:13">
      <c r="J244" s="58"/>
      <c r="K244" s="58"/>
      <c r="L244" s="58"/>
      <c r="M244" s="58"/>
    </row>
    <row r="245" spans="10:13">
      <c r="J245" s="58"/>
      <c r="K245" s="58"/>
      <c r="L245" s="58"/>
      <c r="M245" s="58"/>
    </row>
    <row r="246" spans="10:13">
      <c r="J246" s="58"/>
      <c r="K246" s="58"/>
      <c r="L246" s="58"/>
      <c r="M246" s="58"/>
    </row>
    <row r="247" spans="10:13">
      <c r="J247" s="58"/>
      <c r="K247" s="58"/>
      <c r="L247" s="58"/>
      <c r="M247" s="58"/>
    </row>
    <row r="248" spans="10:13">
      <c r="J248" s="58"/>
      <c r="K248" s="58"/>
      <c r="L248" s="58"/>
      <c r="M248" s="58"/>
    </row>
    <row r="249" spans="10:13">
      <c r="J249" s="58"/>
      <c r="K249" s="58"/>
      <c r="L249" s="58"/>
      <c r="M249" s="58"/>
    </row>
    <row r="250" spans="10:13">
      <c r="J250" s="58"/>
      <c r="K250" s="58"/>
      <c r="L250" s="58"/>
      <c r="M250" s="58"/>
    </row>
    <row r="251" spans="10:13">
      <c r="J251" s="58"/>
      <c r="K251" s="58"/>
      <c r="L251" s="58"/>
      <c r="M251" s="58"/>
    </row>
    <row r="252" spans="10:13">
      <c r="J252" s="58"/>
      <c r="K252" s="58"/>
      <c r="L252" s="58"/>
      <c r="M252" s="58"/>
    </row>
    <row r="253" spans="10:13">
      <c r="J253" s="58"/>
      <c r="K253" s="58"/>
      <c r="L253" s="58"/>
      <c r="M253" s="58"/>
    </row>
    <row r="254" spans="10:13">
      <c r="J254" s="58"/>
      <c r="K254" s="58"/>
      <c r="L254" s="58"/>
      <c r="M254" s="58"/>
    </row>
    <row r="255" spans="10:13">
      <c r="J255" s="58"/>
      <c r="K255" s="58"/>
      <c r="L255" s="58"/>
      <c r="M255" s="58"/>
    </row>
    <row r="256" spans="10:13">
      <c r="J256" s="58"/>
      <c r="K256" s="58"/>
      <c r="L256" s="58"/>
      <c r="M256" s="58"/>
    </row>
    <row r="257" spans="10:13">
      <c r="J257" s="58"/>
      <c r="K257" s="58"/>
      <c r="L257" s="58"/>
      <c r="M257" s="58"/>
    </row>
    <row r="258" spans="10:13">
      <c r="J258" s="58"/>
      <c r="K258" s="58"/>
      <c r="L258" s="58"/>
      <c r="M258" s="58"/>
    </row>
    <row r="259" spans="10:13">
      <c r="J259" s="58"/>
      <c r="K259" s="58"/>
      <c r="L259" s="58"/>
      <c r="M259" s="58"/>
    </row>
    <row r="260" spans="10:13">
      <c r="J260" s="58"/>
      <c r="K260" s="58"/>
      <c r="L260" s="58"/>
      <c r="M260" s="58"/>
    </row>
    <row r="261" spans="10:13">
      <c r="J261" s="58"/>
      <c r="K261" s="58"/>
      <c r="L261" s="58"/>
      <c r="M261" s="58"/>
    </row>
    <row r="262" spans="10:13">
      <c r="J262" s="58"/>
      <c r="K262" s="58"/>
      <c r="L262" s="58"/>
      <c r="M262" s="58"/>
    </row>
    <row r="263" spans="10:13">
      <c r="J263" s="58"/>
      <c r="K263" s="58"/>
      <c r="L263" s="58"/>
      <c r="M263" s="58"/>
    </row>
    <row r="264" spans="10:13">
      <c r="J264" s="58"/>
      <c r="K264" s="58"/>
      <c r="L264" s="58"/>
      <c r="M264" s="58"/>
    </row>
    <row r="265" spans="10:13">
      <c r="J265" s="58"/>
      <c r="K265" s="58"/>
      <c r="L265" s="58"/>
      <c r="M265" s="58"/>
    </row>
    <row r="266" spans="10:13">
      <c r="J266" s="58"/>
      <c r="K266" s="58"/>
      <c r="L266" s="58"/>
      <c r="M266" s="58"/>
    </row>
    <row r="267" spans="10:13">
      <c r="J267" s="58"/>
      <c r="K267" s="58"/>
      <c r="L267" s="58"/>
      <c r="M267" s="58"/>
    </row>
    <row r="268" spans="10:13">
      <c r="J268" s="58"/>
      <c r="K268" s="58"/>
      <c r="L268" s="58"/>
      <c r="M268" s="58"/>
    </row>
    <row r="269" spans="10:13">
      <c r="J269" s="58"/>
      <c r="K269" s="58"/>
      <c r="L269" s="58"/>
      <c r="M269" s="58"/>
    </row>
    <row r="270" spans="10:13">
      <c r="J270" s="58"/>
      <c r="K270" s="58"/>
      <c r="L270" s="58"/>
      <c r="M270" s="58"/>
    </row>
    <row r="271" spans="10:13">
      <c r="J271" s="58"/>
      <c r="K271" s="58"/>
      <c r="L271" s="58"/>
      <c r="M271" s="58"/>
    </row>
    <row r="272" spans="10:13">
      <c r="J272" s="58"/>
      <c r="K272" s="58"/>
      <c r="L272" s="58"/>
      <c r="M272" s="58"/>
    </row>
    <row r="273" spans="10:13">
      <c r="J273" s="58"/>
      <c r="K273" s="58"/>
      <c r="L273" s="58"/>
      <c r="M273" s="58"/>
    </row>
    <row r="274" spans="10:13">
      <c r="J274" s="58"/>
      <c r="K274" s="58"/>
      <c r="L274" s="58"/>
      <c r="M274" s="58"/>
    </row>
    <row r="275" spans="10:13">
      <c r="J275" s="58"/>
      <c r="K275" s="58"/>
      <c r="L275" s="58"/>
      <c r="M275" s="58"/>
    </row>
    <row r="276" spans="10:13">
      <c r="J276" s="58"/>
      <c r="K276" s="58"/>
      <c r="L276" s="58"/>
      <c r="M276" s="58"/>
    </row>
    <row r="277" spans="10:13">
      <c r="J277" s="58"/>
      <c r="K277" s="58"/>
      <c r="L277" s="58"/>
      <c r="M277" s="58"/>
    </row>
    <row r="278" spans="10:13">
      <c r="J278" s="58"/>
      <c r="K278" s="58"/>
      <c r="L278" s="58"/>
      <c r="M278" s="58"/>
    </row>
    <row r="279" spans="10:13">
      <c r="J279" s="58"/>
      <c r="K279" s="58"/>
      <c r="L279" s="58"/>
      <c r="M279" s="58"/>
    </row>
    <row r="280" spans="10:13">
      <c r="J280" s="58"/>
      <c r="K280" s="58"/>
      <c r="L280" s="58"/>
      <c r="M280" s="58"/>
    </row>
    <row r="281" spans="10:13">
      <c r="J281" s="58"/>
      <c r="K281" s="58"/>
      <c r="L281" s="58"/>
      <c r="M281" s="58"/>
    </row>
    <row r="282" spans="10:13">
      <c r="J282" s="58"/>
      <c r="K282" s="58"/>
      <c r="L282" s="58"/>
      <c r="M282" s="58"/>
    </row>
    <row r="283" spans="10:13">
      <c r="J283" s="58"/>
      <c r="K283" s="58"/>
      <c r="L283" s="58"/>
      <c r="M283" s="58"/>
    </row>
    <row r="284" spans="10:13">
      <c r="J284" s="58"/>
      <c r="K284" s="58"/>
      <c r="L284" s="58"/>
      <c r="M284" s="58"/>
    </row>
    <row r="285" spans="10:13">
      <c r="J285" s="58"/>
      <c r="K285" s="58"/>
      <c r="L285" s="58"/>
      <c r="M285" s="58"/>
    </row>
    <row r="286" spans="10:13">
      <c r="J286" s="58"/>
      <c r="K286" s="58"/>
      <c r="L286" s="58"/>
      <c r="M286" s="58"/>
    </row>
    <row r="287" spans="10:13">
      <c r="J287" s="58"/>
      <c r="K287" s="58"/>
      <c r="L287" s="58"/>
      <c r="M287" s="58"/>
    </row>
    <row r="288" spans="10:13">
      <c r="J288" s="58"/>
      <c r="K288" s="58"/>
      <c r="L288" s="58"/>
      <c r="M288" s="58"/>
    </row>
    <row r="289" spans="10:13">
      <c r="J289" s="58"/>
      <c r="K289" s="58"/>
      <c r="L289" s="58"/>
      <c r="M289" s="58"/>
    </row>
    <row r="290" spans="10:13">
      <c r="J290" s="58"/>
      <c r="K290" s="58"/>
      <c r="L290" s="58"/>
      <c r="M290" s="58"/>
    </row>
    <row r="291" spans="10:13">
      <c r="J291" s="58"/>
      <c r="K291" s="58"/>
      <c r="L291" s="58"/>
      <c r="M291" s="58"/>
    </row>
    <row r="292" spans="10:13">
      <c r="J292" s="58"/>
      <c r="K292" s="58"/>
      <c r="L292" s="58"/>
      <c r="M292" s="58"/>
    </row>
    <row r="293" spans="10:13">
      <c r="J293" s="58"/>
      <c r="K293" s="58"/>
      <c r="L293" s="58"/>
      <c r="M293" s="58"/>
    </row>
    <row r="294" spans="10:13">
      <c r="J294" s="58"/>
      <c r="K294" s="58"/>
      <c r="L294" s="58"/>
      <c r="M294" s="58"/>
    </row>
    <row r="295" spans="10:13">
      <c r="J295" s="58"/>
      <c r="K295" s="58"/>
      <c r="L295" s="58"/>
      <c r="M295" s="58"/>
    </row>
    <row r="296" spans="10:13">
      <c r="J296" s="58"/>
      <c r="K296" s="58"/>
      <c r="L296" s="58"/>
      <c r="M296" s="58"/>
    </row>
    <row r="297" spans="10:13">
      <c r="J297" s="58"/>
      <c r="K297" s="58"/>
      <c r="L297" s="58"/>
      <c r="M297" s="58"/>
    </row>
    <row r="298" spans="10:13">
      <c r="J298" s="58"/>
      <c r="K298" s="58"/>
      <c r="L298" s="58"/>
      <c r="M298" s="58"/>
    </row>
    <row r="299" spans="10:13">
      <c r="J299" s="58"/>
      <c r="K299" s="58"/>
      <c r="L299" s="58"/>
      <c r="M299" s="58"/>
    </row>
    <row r="300" spans="10:13">
      <c r="J300" s="58"/>
      <c r="K300" s="58"/>
      <c r="L300" s="58"/>
      <c r="M300" s="58"/>
    </row>
    <row r="301" spans="10:13">
      <c r="J301" s="58"/>
      <c r="K301" s="58"/>
      <c r="L301" s="58"/>
      <c r="M301" s="58"/>
    </row>
    <row r="302" spans="10:13">
      <c r="J302" s="58"/>
      <c r="K302" s="58"/>
      <c r="L302" s="58"/>
      <c r="M302" s="58"/>
    </row>
    <row r="303" spans="10:13">
      <c r="J303" s="58"/>
      <c r="K303" s="58"/>
      <c r="L303" s="58"/>
      <c r="M303" s="58"/>
    </row>
    <row r="304" spans="10:13">
      <c r="J304" s="58"/>
      <c r="K304" s="58"/>
      <c r="L304" s="58"/>
      <c r="M304" s="58"/>
    </row>
    <row r="305" spans="10:13">
      <c r="J305" s="58"/>
      <c r="K305" s="58"/>
      <c r="L305" s="58"/>
      <c r="M305" s="58"/>
    </row>
    <row r="306" spans="10:13">
      <c r="J306" s="58"/>
      <c r="K306" s="58"/>
      <c r="L306" s="58"/>
      <c r="M306" s="58"/>
    </row>
    <row r="307" spans="10:13">
      <c r="J307" s="58"/>
      <c r="K307" s="58"/>
      <c r="L307" s="58"/>
      <c r="M307" s="58"/>
    </row>
    <row r="308" spans="10:13">
      <c r="J308" s="58"/>
      <c r="K308" s="58"/>
      <c r="L308" s="58"/>
      <c r="M308" s="58"/>
    </row>
    <row r="309" spans="10:13">
      <c r="J309" s="58"/>
      <c r="K309" s="58"/>
      <c r="L309" s="58"/>
      <c r="M309" s="58"/>
    </row>
    <row r="310" spans="10:13">
      <c r="J310" s="58"/>
      <c r="K310" s="58"/>
      <c r="L310" s="58"/>
      <c r="M310" s="58"/>
    </row>
    <row r="311" spans="10:13">
      <c r="J311" s="58"/>
      <c r="K311" s="58"/>
      <c r="L311" s="58"/>
      <c r="M311" s="58"/>
    </row>
    <row r="312" spans="10:13">
      <c r="J312" s="58"/>
      <c r="K312" s="58"/>
      <c r="L312" s="58"/>
      <c r="M312" s="58"/>
    </row>
    <row r="313" spans="10:13">
      <c r="J313" s="58"/>
      <c r="K313" s="58"/>
      <c r="L313" s="58"/>
      <c r="M313" s="58"/>
    </row>
    <row r="314" spans="10:13">
      <c r="J314" s="58"/>
      <c r="K314" s="58"/>
      <c r="L314" s="58"/>
      <c r="M314" s="58"/>
    </row>
    <row r="315" spans="10:13">
      <c r="J315" s="58"/>
      <c r="K315" s="58"/>
      <c r="L315" s="58"/>
      <c r="M315" s="58"/>
    </row>
    <row r="316" spans="10:13">
      <c r="J316" s="58"/>
      <c r="K316" s="58"/>
      <c r="L316" s="58"/>
      <c r="M316" s="58"/>
    </row>
    <row r="317" spans="10:13">
      <c r="J317" s="58"/>
      <c r="K317" s="58"/>
      <c r="L317" s="58"/>
      <c r="M317" s="58"/>
    </row>
    <row r="318" spans="10:13">
      <c r="J318" s="58"/>
      <c r="K318" s="58"/>
      <c r="L318" s="58"/>
      <c r="M318" s="58"/>
    </row>
    <row r="319" spans="10:13">
      <c r="J319" s="58"/>
      <c r="K319" s="58"/>
      <c r="L319" s="58"/>
      <c r="M319" s="58"/>
    </row>
    <row r="320" spans="10:13">
      <c r="J320" s="58"/>
      <c r="K320" s="58"/>
      <c r="L320" s="58"/>
      <c r="M320" s="58"/>
    </row>
    <row r="321" spans="10:13">
      <c r="J321" s="58"/>
      <c r="K321" s="58"/>
      <c r="L321" s="58"/>
      <c r="M321" s="58"/>
    </row>
    <row r="322" spans="10:13">
      <c r="J322" s="58"/>
      <c r="K322" s="58"/>
      <c r="L322" s="58"/>
      <c r="M322" s="58"/>
    </row>
    <row r="323" spans="10:13">
      <c r="J323" s="58"/>
      <c r="K323" s="58"/>
      <c r="L323" s="58"/>
      <c r="M323" s="58"/>
    </row>
    <row r="324" spans="10:13">
      <c r="J324" s="58"/>
      <c r="K324" s="58"/>
      <c r="L324" s="58"/>
      <c r="M324" s="58"/>
    </row>
    <row r="325" spans="10:13">
      <c r="J325" s="58"/>
      <c r="K325" s="58"/>
      <c r="L325" s="58"/>
      <c r="M325" s="58"/>
    </row>
    <row r="326" spans="10:13">
      <c r="J326" s="58"/>
      <c r="K326" s="58"/>
      <c r="L326" s="58"/>
      <c r="M326" s="58"/>
    </row>
    <row r="327" spans="10:13">
      <c r="J327" s="58"/>
      <c r="K327" s="58"/>
      <c r="L327" s="58"/>
      <c r="M327" s="58"/>
    </row>
    <row r="328" spans="10:13">
      <c r="J328" s="58"/>
      <c r="K328" s="58"/>
      <c r="L328" s="58"/>
      <c r="M328" s="58"/>
    </row>
    <row r="329" spans="10:13">
      <c r="J329" s="58"/>
      <c r="K329" s="58"/>
      <c r="L329" s="58"/>
      <c r="M329" s="58"/>
    </row>
    <row r="330" spans="10:13">
      <c r="J330" s="58"/>
      <c r="K330" s="58"/>
      <c r="L330" s="58"/>
      <c r="M330" s="58"/>
    </row>
    <row r="331" spans="10:13">
      <c r="J331" s="58"/>
      <c r="K331" s="58"/>
      <c r="L331" s="58"/>
      <c r="M331" s="58"/>
    </row>
    <row r="332" spans="10:13">
      <c r="J332" s="58"/>
      <c r="K332" s="58"/>
      <c r="L332" s="58"/>
      <c r="M332" s="58"/>
    </row>
    <row r="333" spans="10:13">
      <c r="J333" s="58"/>
      <c r="K333" s="58"/>
      <c r="L333" s="58"/>
      <c r="M333" s="58"/>
    </row>
    <row r="334" spans="10:13">
      <c r="J334" s="58"/>
      <c r="K334" s="58"/>
      <c r="L334" s="58"/>
      <c r="M334" s="58"/>
    </row>
    <row r="335" spans="10:13">
      <c r="J335" s="58"/>
      <c r="K335" s="58"/>
      <c r="L335" s="58"/>
      <c r="M335" s="58"/>
    </row>
    <row r="336" spans="10:13">
      <c r="J336" s="58"/>
      <c r="K336" s="58"/>
      <c r="L336" s="58"/>
      <c r="M336" s="58"/>
    </row>
    <row r="337" spans="10:13">
      <c r="J337" s="58"/>
      <c r="K337" s="58"/>
      <c r="L337" s="58"/>
      <c r="M337" s="58"/>
    </row>
    <row r="338" spans="10:13">
      <c r="J338" s="58"/>
      <c r="K338" s="58"/>
      <c r="L338" s="58"/>
      <c r="M338" s="58"/>
    </row>
    <row r="339" spans="10:13">
      <c r="J339" s="58"/>
      <c r="K339" s="58"/>
      <c r="L339" s="58"/>
      <c r="M339" s="58"/>
    </row>
    <row r="340" spans="10:13">
      <c r="J340" s="58"/>
      <c r="K340" s="58"/>
      <c r="L340" s="58"/>
      <c r="M340" s="58"/>
    </row>
    <row r="341" spans="10:13">
      <c r="J341" s="58"/>
      <c r="K341" s="58"/>
      <c r="L341" s="58"/>
      <c r="M341" s="58"/>
    </row>
    <row r="342" spans="10:13">
      <c r="J342" s="58"/>
      <c r="K342" s="58"/>
      <c r="L342" s="58"/>
      <c r="M342" s="58"/>
    </row>
    <row r="343" spans="10:13">
      <c r="J343" s="58"/>
      <c r="K343" s="58"/>
      <c r="L343" s="58"/>
      <c r="M343" s="58"/>
    </row>
    <row r="344" spans="10:13">
      <c r="J344" s="58"/>
      <c r="K344" s="58"/>
      <c r="L344" s="58"/>
      <c r="M344" s="58"/>
    </row>
    <row r="345" spans="10:13">
      <c r="J345" s="58"/>
      <c r="K345" s="58"/>
      <c r="L345" s="58"/>
      <c r="M345" s="58"/>
    </row>
    <row r="346" spans="10:13">
      <c r="J346" s="58"/>
      <c r="K346" s="58"/>
      <c r="L346" s="58"/>
      <c r="M346" s="58"/>
    </row>
    <row r="347" spans="10:13">
      <c r="J347" s="58"/>
      <c r="K347" s="58"/>
      <c r="L347" s="58"/>
      <c r="M347" s="58"/>
    </row>
    <row r="348" spans="10:13">
      <c r="J348" s="58"/>
      <c r="K348" s="58"/>
      <c r="L348" s="58"/>
      <c r="M348" s="58"/>
    </row>
    <row r="349" spans="10:13">
      <c r="J349" s="58"/>
      <c r="K349" s="58"/>
      <c r="L349" s="58"/>
      <c r="M349" s="58"/>
    </row>
    <row r="350" spans="10:13">
      <c r="J350" s="58"/>
      <c r="K350" s="58"/>
      <c r="L350" s="58"/>
      <c r="M350" s="58"/>
    </row>
    <row r="351" spans="10:13">
      <c r="J351" s="58"/>
      <c r="K351" s="58"/>
      <c r="L351" s="58"/>
      <c r="M351" s="58"/>
    </row>
    <row r="352" spans="10:13">
      <c r="J352" s="58"/>
      <c r="K352" s="58"/>
      <c r="L352" s="58"/>
      <c r="M352" s="58"/>
    </row>
    <row r="353" spans="10:13">
      <c r="J353" s="58"/>
      <c r="K353" s="58"/>
      <c r="L353" s="58"/>
      <c r="M353" s="58"/>
    </row>
    <row r="354" spans="10:13">
      <c r="J354" s="58"/>
      <c r="K354" s="58"/>
      <c r="L354" s="58"/>
      <c r="M354" s="58"/>
    </row>
    <row r="355" spans="10:13">
      <c r="J355" s="58"/>
      <c r="K355" s="58"/>
      <c r="L355" s="58"/>
      <c r="M355" s="58"/>
    </row>
    <row r="356" spans="10:13">
      <c r="J356" s="58"/>
      <c r="K356" s="58"/>
      <c r="L356" s="58"/>
      <c r="M356" s="58"/>
    </row>
    <row r="357" spans="10:13">
      <c r="J357" s="58"/>
      <c r="K357" s="58"/>
      <c r="L357" s="58"/>
      <c r="M357" s="58"/>
    </row>
    <row r="358" spans="10:13">
      <c r="J358" s="58"/>
      <c r="K358" s="58"/>
      <c r="L358" s="58"/>
      <c r="M358" s="58"/>
    </row>
    <row r="359" spans="10:13">
      <c r="J359" s="58"/>
      <c r="K359" s="58"/>
      <c r="L359" s="58"/>
      <c r="M359" s="58"/>
    </row>
    <row r="360" spans="10:13">
      <c r="J360" s="58"/>
      <c r="K360" s="58"/>
      <c r="L360" s="58"/>
      <c r="M360" s="58"/>
    </row>
    <row r="361" spans="10:13">
      <c r="J361" s="58"/>
      <c r="K361" s="58"/>
      <c r="L361" s="58"/>
      <c r="M361" s="58"/>
    </row>
    <row r="362" spans="10:13">
      <c r="J362" s="58"/>
      <c r="K362" s="58"/>
      <c r="L362" s="58"/>
      <c r="M362" s="58"/>
    </row>
    <row r="363" spans="10:13">
      <c r="J363" s="58"/>
      <c r="K363" s="58"/>
      <c r="L363" s="58"/>
      <c r="M363" s="58"/>
    </row>
    <row r="364" spans="10:13">
      <c r="J364" s="58"/>
      <c r="K364" s="58"/>
      <c r="L364" s="58"/>
      <c r="M364" s="58"/>
    </row>
    <row r="365" spans="10:13">
      <c r="J365" s="58"/>
      <c r="K365" s="58"/>
      <c r="L365" s="58"/>
      <c r="M365" s="58"/>
    </row>
    <row r="366" spans="10:13">
      <c r="J366" s="58"/>
      <c r="K366" s="58"/>
      <c r="L366" s="58"/>
      <c r="M366" s="58"/>
    </row>
    <row r="367" spans="10:13">
      <c r="J367" s="58"/>
      <c r="K367" s="58"/>
      <c r="L367" s="58"/>
      <c r="M367" s="58"/>
    </row>
    <row r="368" spans="10:13">
      <c r="J368" s="58"/>
      <c r="K368" s="58"/>
      <c r="L368" s="58"/>
      <c r="M368" s="58"/>
    </row>
    <row r="369" spans="10:13">
      <c r="J369" s="58"/>
      <c r="K369" s="58"/>
      <c r="L369" s="58"/>
      <c r="M369" s="58"/>
    </row>
    <row r="370" spans="10:13">
      <c r="J370" s="58"/>
      <c r="K370" s="58"/>
      <c r="L370" s="58"/>
      <c r="M370" s="58"/>
    </row>
    <row r="371" spans="10:13">
      <c r="J371" s="58"/>
      <c r="K371" s="58"/>
      <c r="L371" s="58"/>
      <c r="M371" s="58"/>
    </row>
    <row r="372" spans="10:13">
      <c r="J372" s="58"/>
      <c r="K372" s="58"/>
      <c r="L372" s="58"/>
      <c r="M372" s="58"/>
    </row>
    <row r="373" spans="10:13">
      <c r="J373" s="58"/>
      <c r="K373" s="58"/>
      <c r="L373" s="58"/>
      <c r="M373" s="58"/>
    </row>
    <row r="374" spans="10:13">
      <c r="J374" s="58"/>
      <c r="K374" s="58"/>
      <c r="L374" s="58"/>
      <c r="M374" s="58"/>
    </row>
    <row r="375" spans="10:13">
      <c r="J375" s="58"/>
      <c r="K375" s="58"/>
      <c r="L375" s="58"/>
      <c r="M375" s="58"/>
    </row>
    <row r="376" spans="10:13">
      <c r="J376" s="58"/>
      <c r="K376" s="58"/>
      <c r="L376" s="58"/>
      <c r="M376" s="58"/>
    </row>
    <row r="377" spans="10:13">
      <c r="J377" s="58"/>
      <c r="K377" s="58"/>
      <c r="L377" s="58"/>
      <c r="M377" s="58"/>
    </row>
    <row r="378" spans="10:13">
      <c r="J378" s="58"/>
      <c r="K378" s="58"/>
      <c r="L378" s="58"/>
      <c r="M378" s="58"/>
    </row>
    <row r="379" spans="10:13">
      <c r="J379" s="58"/>
      <c r="K379" s="58"/>
      <c r="L379" s="58"/>
      <c r="M379" s="58"/>
    </row>
    <row r="380" spans="10:13">
      <c r="J380" s="58"/>
      <c r="K380" s="58"/>
      <c r="L380" s="58"/>
      <c r="M380" s="58"/>
    </row>
    <row r="381" spans="10:13">
      <c r="J381" s="58"/>
      <c r="K381" s="58"/>
      <c r="L381" s="58"/>
      <c r="M381" s="58"/>
    </row>
    <row r="382" spans="10:13">
      <c r="J382" s="58"/>
      <c r="K382" s="58"/>
      <c r="L382" s="58"/>
      <c r="M382" s="58"/>
    </row>
    <row r="383" spans="10:13">
      <c r="J383" s="58"/>
      <c r="K383" s="58"/>
      <c r="L383" s="58"/>
      <c r="M383" s="58"/>
    </row>
    <row r="384" spans="10:13">
      <c r="J384" s="58"/>
      <c r="K384" s="58"/>
      <c r="L384" s="58"/>
      <c r="M384" s="58"/>
    </row>
    <row r="385" spans="10:13">
      <c r="J385" s="58"/>
      <c r="K385" s="58"/>
      <c r="L385" s="58"/>
      <c r="M385" s="58"/>
    </row>
    <row r="386" spans="10:13">
      <c r="J386" s="58"/>
      <c r="K386" s="58"/>
      <c r="L386" s="58"/>
      <c r="M386" s="58"/>
    </row>
    <row r="387" spans="10:13">
      <c r="J387" s="58"/>
      <c r="K387" s="58"/>
      <c r="L387" s="58"/>
      <c r="M387" s="58"/>
    </row>
    <row r="388" spans="10:13">
      <c r="J388" s="58"/>
      <c r="K388" s="58"/>
      <c r="L388" s="58"/>
      <c r="M388" s="58"/>
    </row>
    <row r="389" spans="10:13">
      <c r="J389" s="58"/>
      <c r="K389" s="58"/>
      <c r="L389" s="58"/>
      <c r="M389" s="58"/>
    </row>
    <row r="390" spans="10:13">
      <c r="J390" s="58"/>
      <c r="K390" s="58"/>
      <c r="L390" s="58"/>
      <c r="M390" s="58"/>
    </row>
    <row r="391" spans="10:13">
      <c r="J391" s="58"/>
      <c r="K391" s="58"/>
      <c r="L391" s="58"/>
      <c r="M391" s="58"/>
    </row>
    <row r="392" spans="10:13">
      <c r="J392" s="58"/>
      <c r="K392" s="58"/>
      <c r="L392" s="58"/>
      <c r="M392" s="58"/>
    </row>
    <row r="393" spans="10:13">
      <c r="J393" s="58"/>
      <c r="K393" s="58"/>
      <c r="L393" s="58"/>
      <c r="M393" s="58"/>
    </row>
    <row r="394" spans="10:13">
      <c r="J394" s="58"/>
      <c r="K394" s="58"/>
      <c r="L394" s="58"/>
      <c r="M394" s="58"/>
    </row>
    <row r="395" spans="10:13">
      <c r="J395" s="58"/>
      <c r="K395" s="58"/>
      <c r="L395" s="58"/>
      <c r="M395" s="58"/>
    </row>
    <row r="396" spans="10:13">
      <c r="J396" s="58"/>
      <c r="K396" s="58"/>
      <c r="L396" s="58"/>
      <c r="M396" s="58"/>
    </row>
    <row r="397" spans="10:13">
      <c r="J397" s="58"/>
      <c r="K397" s="58"/>
      <c r="L397" s="58"/>
      <c r="M397" s="58"/>
    </row>
    <row r="398" spans="10:13">
      <c r="J398" s="58"/>
      <c r="K398" s="58"/>
      <c r="L398" s="58"/>
      <c r="M398" s="58"/>
    </row>
    <row r="399" spans="10:13">
      <c r="J399" s="58"/>
      <c r="K399" s="58"/>
      <c r="L399" s="58"/>
      <c r="M399" s="58"/>
    </row>
    <row r="400" spans="10:13">
      <c r="J400" s="58"/>
      <c r="K400" s="58"/>
      <c r="L400" s="58"/>
      <c r="M400" s="58"/>
    </row>
    <row r="401" spans="10:13">
      <c r="J401" s="58"/>
      <c r="K401" s="58"/>
      <c r="L401" s="58"/>
      <c r="M401" s="58"/>
    </row>
    <row r="402" spans="10:13">
      <c r="J402" s="58"/>
      <c r="K402" s="58"/>
      <c r="L402" s="58"/>
      <c r="M402" s="58"/>
    </row>
    <row r="403" spans="10:13">
      <c r="J403" s="58"/>
      <c r="K403" s="58"/>
      <c r="L403" s="58"/>
      <c r="M403" s="58"/>
    </row>
    <row r="404" spans="10:13">
      <c r="J404" s="58"/>
      <c r="K404" s="58"/>
      <c r="L404" s="58"/>
      <c r="M404" s="58"/>
    </row>
    <row r="405" spans="10:13">
      <c r="J405" s="58"/>
      <c r="K405" s="58"/>
      <c r="L405" s="58"/>
      <c r="M405" s="58"/>
    </row>
    <row r="406" spans="10:13">
      <c r="J406" s="58"/>
      <c r="K406" s="58"/>
      <c r="L406" s="58"/>
      <c r="M406" s="58"/>
    </row>
    <row r="407" spans="10:13">
      <c r="J407" s="58"/>
      <c r="K407" s="58"/>
      <c r="L407" s="58"/>
      <c r="M407" s="58"/>
    </row>
    <row r="408" spans="10:13">
      <c r="J408" s="58"/>
      <c r="K408" s="58"/>
      <c r="L408" s="58"/>
      <c r="M408" s="58"/>
    </row>
    <row r="409" spans="10:13">
      <c r="J409" s="58"/>
      <c r="K409" s="58"/>
      <c r="L409" s="58"/>
      <c r="M409" s="58"/>
    </row>
    <row r="410" spans="10:13">
      <c r="J410" s="58"/>
      <c r="K410" s="58"/>
      <c r="L410" s="58"/>
      <c r="M410" s="58"/>
    </row>
    <row r="411" spans="10:13">
      <c r="J411" s="58"/>
      <c r="K411" s="58"/>
      <c r="L411" s="58"/>
      <c r="M411" s="58"/>
    </row>
    <row r="412" spans="10:13">
      <c r="J412" s="58"/>
      <c r="K412" s="58"/>
      <c r="L412" s="58"/>
      <c r="M412" s="58"/>
    </row>
    <row r="413" spans="10:13">
      <c r="J413" s="58"/>
      <c r="K413" s="58"/>
      <c r="L413" s="58"/>
      <c r="M413" s="58"/>
    </row>
    <row r="414" spans="10:13">
      <c r="J414" s="58"/>
      <c r="K414" s="58"/>
      <c r="L414" s="58"/>
      <c r="M414" s="58"/>
    </row>
    <row r="415" spans="10:13">
      <c r="J415" s="58"/>
      <c r="K415" s="58"/>
      <c r="L415" s="58"/>
      <c r="M415" s="58"/>
    </row>
    <row r="416" spans="10:13">
      <c r="J416" s="58"/>
      <c r="K416" s="58"/>
      <c r="L416" s="58"/>
      <c r="M416" s="58"/>
    </row>
    <row r="417" spans="10:13">
      <c r="J417" s="58"/>
      <c r="K417" s="58"/>
      <c r="L417" s="58"/>
      <c r="M417" s="58"/>
    </row>
    <row r="418" spans="10:13">
      <c r="J418" s="58"/>
      <c r="K418" s="58"/>
      <c r="L418" s="58"/>
      <c r="M418" s="58"/>
    </row>
    <row r="419" spans="10:13">
      <c r="J419" s="58"/>
      <c r="K419" s="58"/>
      <c r="L419" s="58"/>
      <c r="M419" s="58"/>
    </row>
    <row r="420" spans="10:13">
      <c r="J420" s="58"/>
      <c r="K420" s="58"/>
      <c r="L420" s="58"/>
      <c r="M420" s="58"/>
    </row>
    <row r="421" spans="10:13">
      <c r="J421" s="58"/>
      <c r="K421" s="58"/>
      <c r="L421" s="58"/>
      <c r="M421" s="58"/>
    </row>
    <row r="422" spans="10:13">
      <c r="J422" s="58"/>
      <c r="K422" s="58"/>
      <c r="L422" s="58"/>
      <c r="M422" s="58"/>
    </row>
    <row r="423" spans="10:13">
      <c r="J423" s="58"/>
      <c r="K423" s="58"/>
      <c r="L423" s="58"/>
      <c r="M423" s="58"/>
    </row>
    <row r="424" spans="10:13">
      <c r="J424" s="58"/>
      <c r="K424" s="58"/>
      <c r="L424" s="58"/>
      <c r="M424" s="58"/>
    </row>
    <row r="425" spans="10:13">
      <c r="J425" s="58"/>
      <c r="K425" s="58"/>
      <c r="L425" s="58"/>
      <c r="M425" s="58"/>
    </row>
    <row r="426" spans="10:13">
      <c r="J426" s="58"/>
      <c r="K426" s="58"/>
      <c r="L426" s="58"/>
      <c r="M426" s="58"/>
    </row>
    <row r="427" spans="10:13">
      <c r="J427" s="58"/>
      <c r="K427" s="58"/>
      <c r="L427" s="58"/>
      <c r="M427" s="58"/>
    </row>
    <row r="428" spans="10:13">
      <c r="J428" s="58"/>
      <c r="K428" s="58"/>
      <c r="L428" s="58"/>
      <c r="M428" s="58"/>
    </row>
    <row r="429" spans="10:13">
      <c r="J429" s="58"/>
      <c r="K429" s="58"/>
      <c r="L429" s="58"/>
      <c r="M429" s="58"/>
    </row>
    <row r="430" spans="10:13">
      <c r="J430" s="58"/>
      <c r="K430" s="58"/>
      <c r="L430" s="58"/>
      <c r="M430" s="58"/>
    </row>
    <row r="431" spans="10:13">
      <c r="J431" s="58"/>
      <c r="K431" s="58"/>
      <c r="L431" s="58"/>
      <c r="M431" s="58"/>
    </row>
    <row r="432" spans="10:13">
      <c r="J432" s="58"/>
      <c r="K432" s="58"/>
      <c r="L432" s="58"/>
      <c r="M432" s="58"/>
    </row>
    <row r="433" spans="10:13">
      <c r="J433" s="58"/>
      <c r="K433" s="58"/>
      <c r="L433" s="58"/>
      <c r="M433" s="58"/>
    </row>
    <row r="434" spans="10:13">
      <c r="J434" s="58"/>
      <c r="K434" s="58"/>
      <c r="L434" s="58"/>
      <c r="M434" s="58"/>
    </row>
    <row r="435" spans="10:13">
      <c r="J435" s="58"/>
      <c r="K435" s="58"/>
      <c r="L435" s="58"/>
      <c r="M435" s="58"/>
    </row>
    <row r="436" spans="10:13">
      <c r="J436" s="58"/>
      <c r="K436" s="58"/>
      <c r="L436" s="58"/>
      <c r="M436" s="58"/>
    </row>
    <row r="437" spans="10:13">
      <c r="J437" s="58"/>
      <c r="K437" s="58"/>
      <c r="L437" s="58"/>
      <c r="M437" s="58"/>
    </row>
    <row r="438" spans="10:13">
      <c r="J438" s="58"/>
      <c r="K438" s="58"/>
      <c r="L438" s="58"/>
      <c r="M438" s="58"/>
    </row>
    <row r="439" spans="10:13">
      <c r="J439" s="58"/>
      <c r="K439" s="58"/>
      <c r="L439" s="58"/>
      <c r="M439" s="58"/>
    </row>
    <row r="440" spans="10:13">
      <c r="J440" s="58"/>
      <c r="K440" s="58"/>
      <c r="L440" s="58"/>
      <c r="M440" s="58"/>
    </row>
    <row r="441" spans="10:13">
      <c r="J441" s="58"/>
      <c r="K441" s="58"/>
      <c r="L441" s="58"/>
      <c r="M441" s="58"/>
    </row>
    <row r="442" spans="10:13">
      <c r="J442" s="58"/>
      <c r="K442" s="58"/>
      <c r="L442" s="58"/>
      <c r="M442" s="58"/>
    </row>
    <row r="443" spans="10:13">
      <c r="J443" s="58"/>
      <c r="K443" s="58"/>
      <c r="L443" s="58"/>
      <c r="M443" s="58"/>
    </row>
    <row r="444" spans="10:13">
      <c r="J444" s="58"/>
      <c r="K444" s="58"/>
      <c r="L444" s="58"/>
      <c r="M444" s="58"/>
    </row>
    <row r="445" spans="10:13">
      <c r="J445" s="58"/>
      <c r="K445" s="58"/>
      <c r="L445" s="58"/>
      <c r="M445" s="58"/>
    </row>
    <row r="446" spans="10:13">
      <c r="J446" s="58"/>
      <c r="K446" s="58"/>
      <c r="L446" s="58"/>
      <c r="M446" s="58"/>
    </row>
    <row r="447" spans="10:13">
      <c r="J447" s="58"/>
      <c r="K447" s="58"/>
      <c r="L447" s="58"/>
      <c r="M447" s="58"/>
    </row>
    <row r="448" spans="10:13">
      <c r="J448" s="58"/>
      <c r="K448" s="58"/>
      <c r="L448" s="58"/>
      <c r="M448" s="58"/>
    </row>
    <row r="449" spans="10:13">
      <c r="J449" s="58"/>
      <c r="K449" s="58"/>
      <c r="L449" s="58"/>
      <c r="M449" s="58"/>
    </row>
    <row r="450" spans="10:13">
      <c r="J450" s="58"/>
      <c r="K450" s="58"/>
      <c r="L450" s="58"/>
      <c r="M450" s="58"/>
    </row>
    <row r="451" spans="10:13">
      <c r="J451" s="58"/>
      <c r="K451" s="58"/>
      <c r="L451" s="58"/>
      <c r="M451" s="58"/>
    </row>
    <row r="452" spans="10:13">
      <c r="J452" s="58"/>
      <c r="K452" s="58"/>
      <c r="L452" s="58"/>
      <c r="M452" s="58"/>
    </row>
    <row r="453" spans="10:13">
      <c r="J453" s="58"/>
      <c r="K453" s="58"/>
      <c r="L453" s="58"/>
      <c r="M453" s="58"/>
    </row>
    <row r="454" spans="10:13">
      <c r="J454" s="58"/>
      <c r="K454" s="58"/>
      <c r="L454" s="58"/>
      <c r="M454" s="58"/>
    </row>
    <row r="455" spans="10:13">
      <c r="J455" s="58"/>
      <c r="K455" s="58"/>
      <c r="L455" s="58"/>
      <c r="M455" s="58"/>
    </row>
    <row r="456" spans="10:13">
      <c r="J456" s="58"/>
      <c r="K456" s="58"/>
      <c r="L456" s="58"/>
      <c r="M456" s="58"/>
    </row>
    <row r="457" spans="10:13">
      <c r="J457" s="58"/>
      <c r="K457" s="58"/>
      <c r="L457" s="58"/>
      <c r="M457" s="58"/>
    </row>
    <row r="458" spans="10:13">
      <c r="J458" s="58"/>
      <c r="K458" s="58"/>
      <c r="L458" s="58"/>
      <c r="M458" s="58"/>
    </row>
    <row r="459" spans="10:13">
      <c r="J459" s="58"/>
      <c r="K459" s="58"/>
      <c r="L459" s="58"/>
      <c r="M459" s="58"/>
    </row>
    <row r="460" spans="10:13">
      <c r="J460" s="58"/>
      <c r="K460" s="58"/>
      <c r="L460" s="58"/>
      <c r="M460" s="58"/>
    </row>
    <row r="461" spans="10:13">
      <c r="J461" s="58"/>
      <c r="K461" s="58"/>
      <c r="L461" s="58"/>
      <c r="M461" s="58"/>
    </row>
    <row r="462" spans="10:13">
      <c r="J462" s="58"/>
      <c r="K462" s="58"/>
      <c r="L462" s="58"/>
      <c r="M462" s="58"/>
    </row>
    <row r="463" spans="10:13">
      <c r="J463" s="58"/>
      <c r="K463" s="58"/>
      <c r="L463" s="58"/>
      <c r="M463" s="58"/>
    </row>
    <row r="464" spans="10:13">
      <c r="J464" s="58"/>
      <c r="K464" s="58"/>
      <c r="L464" s="58"/>
      <c r="M464" s="58"/>
    </row>
    <row r="465" spans="10:13">
      <c r="J465" s="58"/>
      <c r="K465" s="58"/>
      <c r="L465" s="58"/>
      <c r="M465" s="58"/>
    </row>
    <row r="466" spans="10:13">
      <c r="J466" s="58"/>
      <c r="K466" s="58"/>
      <c r="L466" s="58"/>
      <c r="M466" s="58"/>
    </row>
    <row r="467" spans="10:13">
      <c r="J467" s="58"/>
      <c r="K467" s="58"/>
      <c r="L467" s="58"/>
      <c r="M467" s="58"/>
    </row>
    <row r="468" spans="10:13">
      <c r="J468" s="58"/>
      <c r="K468" s="58"/>
      <c r="L468" s="58"/>
      <c r="M468" s="58"/>
    </row>
    <row r="469" spans="10:13">
      <c r="J469" s="58"/>
      <c r="K469" s="58"/>
      <c r="L469" s="58"/>
      <c r="M469" s="58"/>
    </row>
    <row r="470" spans="10:13">
      <c r="J470" s="58"/>
      <c r="K470" s="58"/>
      <c r="L470" s="58"/>
      <c r="M470" s="58"/>
    </row>
    <row r="471" spans="10:13">
      <c r="J471" s="58"/>
      <c r="K471" s="58"/>
      <c r="L471" s="58"/>
      <c r="M471" s="58"/>
    </row>
    <row r="472" spans="10:13">
      <c r="J472" s="58"/>
      <c r="K472" s="58"/>
      <c r="L472" s="58"/>
      <c r="M472" s="58"/>
    </row>
    <row r="473" spans="10:13">
      <c r="J473" s="58"/>
      <c r="K473" s="58"/>
      <c r="L473" s="58"/>
      <c r="M473" s="58"/>
    </row>
    <row r="474" spans="10:13">
      <c r="J474" s="58"/>
      <c r="K474" s="58"/>
      <c r="L474" s="58"/>
      <c r="M474" s="58"/>
    </row>
    <row r="475" spans="10:13">
      <c r="J475" s="58"/>
      <c r="K475" s="58"/>
      <c r="L475" s="58"/>
      <c r="M475" s="58"/>
    </row>
    <row r="476" spans="10:13">
      <c r="J476" s="58"/>
      <c r="K476" s="58"/>
      <c r="L476" s="58"/>
      <c r="M476" s="58"/>
    </row>
    <row r="477" spans="10:13">
      <c r="J477" s="58"/>
      <c r="K477" s="58"/>
      <c r="L477" s="58"/>
      <c r="M477" s="58"/>
    </row>
    <row r="478" spans="10:13">
      <c r="J478" s="58"/>
      <c r="K478" s="58"/>
      <c r="L478" s="58"/>
      <c r="M478" s="58"/>
    </row>
    <row r="479" spans="10:13">
      <c r="J479" s="58"/>
      <c r="K479" s="58"/>
      <c r="L479" s="58"/>
      <c r="M479" s="58"/>
    </row>
    <row r="480" spans="10:13">
      <c r="J480" s="58"/>
      <c r="K480" s="58"/>
      <c r="L480" s="58"/>
      <c r="M480" s="58"/>
    </row>
    <row r="481" spans="10:13">
      <c r="J481" s="58"/>
      <c r="K481" s="58"/>
      <c r="L481" s="58"/>
      <c r="M481" s="58"/>
    </row>
    <row r="482" spans="10:13">
      <c r="J482" s="58"/>
      <c r="K482" s="58"/>
      <c r="L482" s="58"/>
      <c r="M482" s="58"/>
    </row>
    <row r="483" spans="10:13">
      <c r="J483" s="58"/>
      <c r="K483" s="58"/>
      <c r="L483" s="58"/>
      <c r="M483" s="58"/>
    </row>
    <row r="484" spans="10:13">
      <c r="J484" s="58"/>
      <c r="K484" s="58"/>
      <c r="L484" s="58"/>
      <c r="M484" s="58"/>
    </row>
    <row r="485" spans="10:13">
      <c r="J485" s="58"/>
      <c r="K485" s="58"/>
      <c r="L485" s="58"/>
      <c r="M485" s="58"/>
    </row>
    <row r="486" spans="10:13">
      <c r="J486" s="58"/>
      <c r="K486" s="58"/>
      <c r="L486" s="58"/>
      <c r="M486" s="58"/>
    </row>
    <row r="487" spans="10:13">
      <c r="J487" s="58"/>
      <c r="K487" s="58"/>
      <c r="L487" s="58"/>
      <c r="M487" s="58"/>
    </row>
    <row r="488" spans="10:13">
      <c r="J488" s="58"/>
      <c r="K488" s="58"/>
      <c r="L488" s="58"/>
      <c r="M488" s="58"/>
    </row>
    <row r="489" spans="10:13">
      <c r="J489" s="58"/>
      <c r="K489" s="58"/>
      <c r="L489" s="58"/>
      <c r="M489" s="58"/>
    </row>
    <row r="490" spans="10:13">
      <c r="J490" s="58"/>
      <c r="K490" s="58"/>
      <c r="L490" s="58"/>
      <c r="M490" s="58"/>
    </row>
    <row r="491" spans="10:13">
      <c r="J491" s="58"/>
      <c r="K491" s="58"/>
      <c r="L491" s="58"/>
      <c r="M491" s="58"/>
    </row>
    <row r="492" spans="10:13">
      <c r="J492" s="58"/>
      <c r="K492" s="58"/>
      <c r="L492" s="58"/>
      <c r="M492" s="58"/>
    </row>
    <row r="493" spans="10:13">
      <c r="J493" s="58"/>
      <c r="K493" s="58"/>
      <c r="L493" s="58"/>
      <c r="M493" s="58"/>
    </row>
    <row r="494" spans="10:13">
      <c r="J494" s="58"/>
      <c r="K494" s="58"/>
      <c r="L494" s="58"/>
      <c r="M494" s="58"/>
    </row>
    <row r="495" spans="10:13">
      <c r="J495" s="58"/>
      <c r="K495" s="58"/>
      <c r="L495" s="58"/>
      <c r="M495" s="58"/>
    </row>
    <row r="496" spans="10:13">
      <c r="J496" s="58"/>
      <c r="K496" s="58"/>
      <c r="L496" s="58"/>
      <c r="M496" s="58"/>
    </row>
    <row r="497" spans="10:13">
      <c r="J497" s="58"/>
      <c r="K497" s="58"/>
      <c r="L497" s="58"/>
      <c r="M497" s="58"/>
    </row>
    <row r="498" spans="10:13">
      <c r="J498" s="58"/>
      <c r="K498" s="58"/>
      <c r="L498" s="58"/>
      <c r="M498" s="58"/>
    </row>
    <row r="499" spans="10:13">
      <c r="J499" s="58"/>
      <c r="K499" s="58"/>
      <c r="L499" s="58"/>
      <c r="M499" s="58"/>
    </row>
    <row r="500" spans="10:13">
      <c r="J500" s="58"/>
      <c r="K500" s="58"/>
      <c r="L500" s="58"/>
      <c r="M500" s="58"/>
    </row>
    <row r="501" spans="10:13">
      <c r="J501" s="58"/>
      <c r="K501" s="58"/>
      <c r="L501" s="58"/>
      <c r="M501" s="58"/>
    </row>
    <row r="502" spans="10:13">
      <c r="J502" s="58"/>
      <c r="K502" s="58"/>
      <c r="L502" s="58"/>
      <c r="M502" s="58"/>
    </row>
    <row r="503" spans="10:13">
      <c r="J503" s="58"/>
      <c r="K503" s="58"/>
      <c r="L503" s="58"/>
      <c r="M503" s="58"/>
    </row>
    <row r="504" spans="10:13">
      <c r="J504" s="58"/>
      <c r="K504" s="58"/>
      <c r="L504" s="58"/>
      <c r="M504" s="58"/>
    </row>
    <row r="505" spans="10:13">
      <c r="J505" s="58"/>
      <c r="K505" s="58"/>
      <c r="L505" s="58"/>
      <c r="M505" s="58"/>
    </row>
    <row r="506" spans="10:13">
      <c r="J506" s="58"/>
      <c r="K506" s="58"/>
      <c r="L506" s="58"/>
      <c r="M506" s="58"/>
    </row>
    <row r="507" spans="10:13">
      <c r="J507" s="58"/>
      <c r="K507" s="58"/>
      <c r="L507" s="58"/>
      <c r="M507" s="58"/>
    </row>
    <row r="508" spans="10:13">
      <c r="J508" s="58"/>
      <c r="K508" s="58"/>
      <c r="L508" s="58"/>
      <c r="M508" s="58"/>
    </row>
    <row r="509" spans="10:13">
      <c r="J509" s="58"/>
      <c r="K509" s="58"/>
      <c r="L509" s="58"/>
      <c r="M509" s="58"/>
    </row>
    <row r="510" spans="10:13">
      <c r="J510" s="58"/>
      <c r="K510" s="58"/>
      <c r="L510" s="58"/>
      <c r="M510" s="58"/>
    </row>
    <row r="511" spans="10:13">
      <c r="J511" s="58"/>
      <c r="K511" s="58"/>
      <c r="L511" s="58"/>
      <c r="M511" s="58"/>
    </row>
    <row r="512" spans="10:13">
      <c r="J512" s="58"/>
      <c r="K512" s="58"/>
      <c r="L512" s="58"/>
      <c r="M512" s="58"/>
    </row>
    <row r="513" spans="10:13">
      <c r="J513" s="58"/>
      <c r="K513" s="58"/>
      <c r="L513" s="58"/>
      <c r="M513" s="58"/>
    </row>
    <row r="514" spans="10:13">
      <c r="J514" s="58"/>
      <c r="K514" s="58"/>
      <c r="L514" s="58"/>
      <c r="M514" s="58"/>
    </row>
    <row r="515" spans="10:13">
      <c r="J515" s="58"/>
      <c r="K515" s="58"/>
      <c r="L515" s="58"/>
      <c r="M515" s="58"/>
    </row>
    <row r="516" spans="10:13">
      <c r="J516" s="58"/>
      <c r="K516" s="58"/>
      <c r="L516" s="58"/>
      <c r="M516" s="58"/>
    </row>
    <row r="517" spans="10:13">
      <c r="J517" s="58"/>
      <c r="K517" s="58"/>
      <c r="L517" s="58"/>
      <c r="M517" s="58"/>
    </row>
    <row r="518" spans="10:13">
      <c r="J518" s="58"/>
      <c r="K518" s="58"/>
      <c r="L518" s="58"/>
      <c r="M518" s="58"/>
    </row>
    <row r="519" spans="10:13">
      <c r="J519" s="58"/>
      <c r="K519" s="58"/>
      <c r="L519" s="58"/>
      <c r="M519" s="58"/>
    </row>
    <row r="520" spans="10:13">
      <c r="J520" s="58"/>
      <c r="K520" s="58"/>
      <c r="L520" s="58"/>
      <c r="M520" s="58"/>
    </row>
    <row r="521" spans="10:13">
      <c r="J521" s="58"/>
      <c r="K521" s="58"/>
      <c r="L521" s="58"/>
      <c r="M521" s="58"/>
    </row>
    <row r="522" spans="10:13">
      <c r="J522" s="58"/>
      <c r="K522" s="58"/>
      <c r="L522" s="58"/>
      <c r="M522" s="58"/>
    </row>
    <row r="523" spans="10:13">
      <c r="J523" s="58"/>
      <c r="K523" s="58"/>
      <c r="L523" s="58"/>
      <c r="M523" s="58"/>
    </row>
    <row r="524" spans="10:13">
      <c r="J524" s="58"/>
      <c r="K524" s="58"/>
      <c r="L524" s="58"/>
      <c r="M524" s="58"/>
    </row>
    <row r="525" spans="10:13">
      <c r="J525" s="58"/>
      <c r="K525" s="58"/>
      <c r="L525" s="58"/>
      <c r="M525" s="58"/>
    </row>
    <row r="526" spans="10:13">
      <c r="J526" s="58"/>
      <c r="K526" s="58"/>
      <c r="L526" s="58"/>
      <c r="M526" s="58"/>
    </row>
    <row r="527" spans="10:13">
      <c r="J527" s="58"/>
      <c r="K527" s="58"/>
      <c r="L527" s="58"/>
      <c r="M527" s="58"/>
    </row>
    <row r="528" spans="10:13">
      <c r="J528" s="58"/>
      <c r="K528" s="58"/>
      <c r="L528" s="58"/>
      <c r="M528" s="58"/>
    </row>
    <row r="529" spans="10:13">
      <c r="J529" s="58"/>
      <c r="K529" s="58"/>
      <c r="L529" s="58"/>
      <c r="M529" s="58"/>
    </row>
    <row r="530" spans="10:13">
      <c r="J530" s="58"/>
      <c r="K530" s="58"/>
      <c r="L530" s="58"/>
      <c r="M530" s="58"/>
    </row>
    <row r="531" spans="10:13">
      <c r="J531" s="58"/>
      <c r="K531" s="58"/>
      <c r="L531" s="58"/>
      <c r="M531" s="58"/>
    </row>
    <row r="532" spans="10:13">
      <c r="J532" s="58"/>
      <c r="K532" s="58"/>
      <c r="L532" s="58"/>
      <c r="M532" s="58"/>
    </row>
    <row r="533" spans="10:13">
      <c r="J533" s="58"/>
      <c r="K533" s="58"/>
      <c r="L533" s="58"/>
      <c r="M533" s="58"/>
    </row>
    <row r="534" spans="10:13">
      <c r="J534" s="58"/>
      <c r="K534" s="58"/>
      <c r="L534" s="58"/>
      <c r="M534" s="58"/>
    </row>
    <row r="535" spans="10:13">
      <c r="J535" s="58"/>
      <c r="K535" s="58"/>
      <c r="L535" s="58"/>
      <c r="M535" s="58"/>
    </row>
    <row r="536" spans="10:13">
      <c r="J536" s="58"/>
      <c r="K536" s="58"/>
      <c r="L536" s="58"/>
      <c r="M536" s="58"/>
    </row>
    <row r="537" spans="10:13">
      <c r="J537" s="58"/>
      <c r="K537" s="58"/>
      <c r="L537" s="58"/>
      <c r="M537" s="58"/>
    </row>
    <row r="538" spans="10:13">
      <c r="J538" s="58"/>
      <c r="K538" s="58"/>
      <c r="L538" s="58"/>
      <c r="M538" s="58"/>
    </row>
    <row r="539" spans="10:13">
      <c r="J539" s="58"/>
      <c r="K539" s="58"/>
      <c r="L539" s="58"/>
      <c r="M539" s="58"/>
    </row>
    <row r="540" spans="10:13">
      <c r="J540" s="58"/>
      <c r="K540" s="58"/>
      <c r="L540" s="58"/>
      <c r="M540" s="58"/>
    </row>
    <row r="541" spans="10:13">
      <c r="J541" s="58"/>
      <c r="K541" s="58"/>
      <c r="L541" s="58"/>
      <c r="M541" s="58"/>
    </row>
    <row r="542" spans="10:13">
      <c r="J542" s="58"/>
      <c r="K542" s="58"/>
      <c r="L542" s="58"/>
      <c r="M542" s="58"/>
    </row>
    <row r="543" spans="10:13">
      <c r="J543" s="58"/>
      <c r="K543" s="58"/>
      <c r="L543" s="58"/>
      <c r="M543" s="58"/>
    </row>
    <row r="544" spans="10:13">
      <c r="J544" s="58"/>
      <c r="K544" s="58"/>
      <c r="L544" s="58"/>
      <c r="M544" s="58"/>
    </row>
    <row r="545" spans="10:13">
      <c r="J545" s="58"/>
      <c r="K545" s="58"/>
      <c r="L545" s="58"/>
      <c r="M545" s="58"/>
    </row>
    <row r="546" spans="10:13">
      <c r="J546" s="58"/>
      <c r="K546" s="58"/>
      <c r="L546" s="58"/>
      <c r="M546" s="58"/>
    </row>
    <row r="547" spans="10:13">
      <c r="J547" s="58"/>
      <c r="K547" s="58"/>
      <c r="L547" s="58"/>
      <c r="M547" s="58"/>
    </row>
    <row r="548" spans="10:13">
      <c r="J548" s="58"/>
      <c r="K548" s="58"/>
      <c r="L548" s="58"/>
      <c r="M548" s="58"/>
    </row>
    <row r="549" spans="10:13">
      <c r="J549" s="58"/>
      <c r="K549" s="58"/>
      <c r="L549" s="58"/>
      <c r="M549" s="58"/>
    </row>
    <row r="550" spans="10:13">
      <c r="J550" s="58"/>
      <c r="K550" s="58"/>
      <c r="L550" s="58"/>
      <c r="M550" s="58"/>
    </row>
    <row r="551" spans="10:13">
      <c r="J551" s="58"/>
      <c r="K551" s="58"/>
      <c r="L551" s="58"/>
      <c r="M551" s="58"/>
    </row>
    <row r="552" spans="10:13">
      <c r="J552" s="58"/>
      <c r="K552" s="58"/>
      <c r="L552" s="58"/>
      <c r="M552" s="58"/>
    </row>
    <row r="553" spans="10:13">
      <c r="J553" s="58"/>
      <c r="K553" s="58"/>
      <c r="L553" s="58"/>
      <c r="M553" s="58"/>
    </row>
    <row r="554" spans="10:13">
      <c r="J554" s="58"/>
      <c r="K554" s="58"/>
      <c r="L554" s="58"/>
      <c r="M554" s="58"/>
    </row>
    <row r="555" spans="10:13">
      <c r="J555" s="58"/>
      <c r="K555" s="58"/>
      <c r="L555" s="58"/>
      <c r="M555" s="58"/>
    </row>
    <row r="556" spans="10:13">
      <c r="J556" s="58"/>
      <c r="K556" s="58"/>
      <c r="L556" s="58"/>
      <c r="M556" s="58"/>
    </row>
    <row r="557" spans="10:13">
      <c r="J557" s="58"/>
      <c r="K557" s="58"/>
      <c r="L557" s="58"/>
      <c r="M557" s="58"/>
    </row>
    <row r="558" spans="10:13">
      <c r="J558" s="58"/>
      <c r="K558" s="58"/>
      <c r="L558" s="58"/>
      <c r="M558" s="58"/>
    </row>
    <row r="559" spans="10:13">
      <c r="J559" s="58"/>
      <c r="K559" s="58"/>
      <c r="L559" s="58"/>
      <c r="M559" s="58"/>
    </row>
    <row r="560" spans="10:13">
      <c r="J560" s="58"/>
      <c r="K560" s="58"/>
      <c r="L560" s="58"/>
      <c r="M560" s="58"/>
    </row>
    <row r="561" spans="10:13">
      <c r="J561" s="58"/>
      <c r="K561" s="58"/>
      <c r="L561" s="58"/>
      <c r="M561" s="58"/>
    </row>
    <row r="562" spans="10:13">
      <c r="J562" s="58"/>
      <c r="K562" s="58"/>
      <c r="L562" s="58"/>
      <c r="M562" s="58"/>
    </row>
    <row r="563" spans="10:13">
      <c r="J563" s="58"/>
      <c r="K563" s="58"/>
      <c r="L563" s="58"/>
      <c r="M563" s="58"/>
    </row>
    <row r="564" spans="10:13">
      <c r="J564" s="58"/>
      <c r="K564" s="58"/>
      <c r="L564" s="58"/>
      <c r="M564" s="58"/>
    </row>
    <row r="565" spans="10:13">
      <c r="J565" s="58"/>
      <c r="K565" s="58"/>
      <c r="L565" s="58"/>
      <c r="M565" s="58"/>
    </row>
    <row r="566" spans="10:13">
      <c r="J566" s="58"/>
      <c r="K566" s="58"/>
      <c r="L566" s="58"/>
      <c r="M566" s="58"/>
    </row>
    <row r="567" spans="10:13">
      <c r="J567" s="58"/>
      <c r="K567" s="58"/>
      <c r="L567" s="58"/>
      <c r="M567" s="58"/>
    </row>
    <row r="568" spans="10:13">
      <c r="J568" s="58"/>
      <c r="K568" s="58"/>
      <c r="L568" s="58"/>
      <c r="M568" s="58"/>
    </row>
    <row r="569" spans="10:13">
      <c r="J569" s="58"/>
      <c r="K569" s="58"/>
      <c r="L569" s="58"/>
      <c r="M569" s="58"/>
    </row>
    <row r="570" spans="10:13">
      <c r="J570" s="58"/>
      <c r="K570" s="58"/>
      <c r="L570" s="58"/>
      <c r="M570" s="58"/>
    </row>
    <row r="571" spans="10:13">
      <c r="J571" s="58"/>
      <c r="K571" s="58"/>
      <c r="L571" s="58"/>
      <c r="M571" s="58"/>
    </row>
    <row r="572" spans="10:13">
      <c r="J572" s="58"/>
      <c r="K572" s="58"/>
      <c r="L572" s="58"/>
      <c r="M572" s="58"/>
    </row>
    <row r="573" spans="10:13">
      <c r="J573" s="58"/>
      <c r="K573" s="58"/>
      <c r="L573" s="58"/>
      <c r="M573" s="58"/>
    </row>
    <row r="574" spans="10:13">
      <c r="J574" s="58"/>
      <c r="K574" s="58"/>
      <c r="L574" s="58"/>
      <c r="M574" s="58"/>
    </row>
    <row r="575" spans="10:13">
      <c r="J575" s="58"/>
      <c r="K575" s="58"/>
      <c r="L575" s="58"/>
      <c r="M575" s="58"/>
    </row>
    <row r="576" spans="10:13">
      <c r="J576" s="58"/>
      <c r="K576" s="58"/>
      <c r="L576" s="58"/>
      <c r="M576" s="58"/>
    </row>
    <row r="577" spans="10:13">
      <c r="J577" s="58"/>
      <c r="K577" s="58"/>
      <c r="L577" s="58"/>
      <c r="M577" s="58"/>
    </row>
    <row r="578" spans="10:13">
      <c r="J578" s="58"/>
      <c r="K578" s="58"/>
      <c r="L578" s="58"/>
      <c r="M578" s="58"/>
    </row>
    <row r="579" spans="10:13">
      <c r="J579" s="58"/>
      <c r="K579" s="58"/>
      <c r="L579" s="58"/>
      <c r="M579" s="58"/>
    </row>
    <row r="580" spans="10:13">
      <c r="J580" s="58"/>
      <c r="K580" s="58"/>
      <c r="L580" s="58"/>
      <c r="M580" s="58"/>
    </row>
    <row r="581" spans="10:13">
      <c r="J581" s="58"/>
      <c r="K581" s="58"/>
      <c r="L581" s="58"/>
      <c r="M581" s="58"/>
    </row>
    <row r="582" spans="10:13">
      <c r="J582" s="58"/>
      <c r="K582" s="58"/>
      <c r="L582" s="58"/>
      <c r="M582" s="58"/>
    </row>
    <row r="583" spans="10:13">
      <c r="J583" s="58"/>
      <c r="K583" s="58"/>
      <c r="L583" s="58"/>
      <c r="M583" s="58"/>
    </row>
    <row r="584" spans="10:13">
      <c r="J584" s="58"/>
      <c r="K584" s="58"/>
      <c r="L584" s="58"/>
      <c r="M584" s="58"/>
    </row>
    <row r="585" spans="10:13">
      <c r="J585" s="58"/>
      <c r="K585" s="58"/>
      <c r="L585" s="58"/>
      <c r="M585" s="58"/>
    </row>
    <row r="586" spans="10:13">
      <c r="J586" s="58"/>
      <c r="K586" s="58"/>
      <c r="L586" s="58"/>
      <c r="M586" s="58"/>
    </row>
    <row r="587" spans="10:13">
      <c r="J587" s="58"/>
      <c r="K587" s="58"/>
      <c r="L587" s="58"/>
      <c r="M587" s="58"/>
    </row>
    <row r="588" spans="10:13">
      <c r="J588" s="58"/>
      <c r="K588" s="58"/>
      <c r="L588" s="58"/>
      <c r="M588" s="58"/>
    </row>
    <row r="589" spans="10:13">
      <c r="J589" s="58"/>
      <c r="K589" s="58"/>
      <c r="L589" s="58"/>
      <c r="M589" s="58"/>
    </row>
    <row r="590" spans="10:13">
      <c r="J590" s="58"/>
      <c r="K590" s="58"/>
      <c r="L590" s="58"/>
      <c r="M590" s="58"/>
    </row>
    <row r="591" spans="10:13">
      <c r="J591" s="58"/>
      <c r="K591" s="58"/>
      <c r="L591" s="58"/>
      <c r="M591" s="58"/>
    </row>
    <row r="592" spans="10:13">
      <c r="J592" s="58"/>
      <c r="K592" s="58"/>
      <c r="L592" s="58"/>
      <c r="M592" s="58"/>
    </row>
    <row r="593" spans="10:13">
      <c r="J593" s="58"/>
      <c r="K593" s="58"/>
      <c r="L593" s="58"/>
      <c r="M593" s="58"/>
    </row>
    <row r="594" spans="10:13">
      <c r="J594" s="58"/>
      <c r="K594" s="58"/>
      <c r="L594" s="58"/>
      <c r="M594" s="58"/>
    </row>
    <row r="595" spans="10:13">
      <c r="J595" s="58"/>
      <c r="K595" s="58"/>
      <c r="L595" s="58"/>
      <c r="M595" s="58"/>
    </row>
    <row r="596" spans="10:13">
      <c r="J596" s="58"/>
      <c r="K596" s="58"/>
      <c r="L596" s="58"/>
      <c r="M596" s="58"/>
    </row>
    <row r="597" spans="10:13">
      <c r="J597" s="58"/>
      <c r="K597" s="58"/>
      <c r="L597" s="58"/>
      <c r="M597" s="58"/>
    </row>
    <row r="598" spans="10:13">
      <c r="J598" s="58"/>
      <c r="K598" s="58"/>
      <c r="L598" s="58"/>
      <c r="M598" s="58"/>
    </row>
    <row r="599" spans="10:13">
      <c r="J599" s="58"/>
      <c r="K599" s="58"/>
      <c r="L599" s="58"/>
      <c r="M599" s="58"/>
    </row>
    <row r="600" spans="10:13">
      <c r="J600" s="58"/>
      <c r="K600" s="58"/>
      <c r="L600" s="58"/>
      <c r="M600" s="58"/>
    </row>
    <row r="601" spans="10:13">
      <c r="J601" s="58"/>
      <c r="K601" s="58"/>
      <c r="L601" s="58"/>
      <c r="M601" s="58"/>
    </row>
    <row r="602" spans="10:13">
      <c r="J602" s="58"/>
      <c r="K602" s="58"/>
      <c r="L602" s="58"/>
      <c r="M602" s="58"/>
    </row>
    <row r="603" spans="10:13">
      <c r="J603" s="58"/>
      <c r="K603" s="58"/>
      <c r="L603" s="58"/>
      <c r="M603" s="58"/>
    </row>
    <row r="604" spans="10:13">
      <c r="J604" s="58"/>
      <c r="K604" s="58"/>
      <c r="L604" s="58"/>
      <c r="M604" s="58"/>
    </row>
    <row r="605" spans="10:13">
      <c r="J605" s="58"/>
      <c r="K605" s="58"/>
      <c r="L605" s="58"/>
      <c r="M605" s="58"/>
    </row>
    <row r="606" spans="10:13">
      <c r="J606" s="58"/>
      <c r="K606" s="58"/>
      <c r="L606" s="58"/>
      <c r="M606" s="58"/>
    </row>
    <row r="607" spans="10:13">
      <c r="J607" s="58"/>
      <c r="K607" s="58"/>
      <c r="L607" s="58"/>
      <c r="M607" s="58"/>
    </row>
    <row r="608" spans="10:13">
      <c r="J608" s="58"/>
      <c r="K608" s="58"/>
      <c r="L608" s="58"/>
      <c r="M608" s="58"/>
    </row>
    <row r="609" spans="10:13">
      <c r="J609" s="58"/>
      <c r="K609" s="58"/>
      <c r="L609" s="58"/>
      <c r="M609" s="58"/>
    </row>
    <row r="610" spans="10:13">
      <c r="J610" s="58"/>
      <c r="K610" s="58"/>
      <c r="L610" s="58"/>
      <c r="M610" s="58"/>
    </row>
    <row r="611" spans="10:13">
      <c r="J611" s="58"/>
      <c r="K611" s="58"/>
      <c r="L611" s="58"/>
      <c r="M611" s="58"/>
    </row>
    <row r="612" spans="10:13">
      <c r="J612" s="58"/>
      <c r="K612" s="58"/>
      <c r="L612" s="58"/>
      <c r="M612" s="58"/>
    </row>
    <row r="613" spans="10:13">
      <c r="J613" s="58"/>
      <c r="K613" s="58"/>
      <c r="L613" s="58"/>
      <c r="M613" s="58"/>
    </row>
    <row r="614" spans="10:13">
      <c r="J614" s="58"/>
      <c r="K614" s="58"/>
      <c r="L614" s="58"/>
      <c r="M614" s="58"/>
    </row>
    <row r="615" spans="10:13">
      <c r="J615" s="58"/>
      <c r="K615" s="58"/>
      <c r="L615" s="58"/>
      <c r="M615" s="58"/>
    </row>
    <row r="616" spans="10:13">
      <c r="J616" s="58"/>
      <c r="K616" s="58"/>
      <c r="L616" s="58"/>
      <c r="M616" s="58"/>
    </row>
    <row r="617" spans="10:13">
      <c r="J617" s="58"/>
      <c r="K617" s="58"/>
      <c r="L617" s="58"/>
      <c r="M617" s="58"/>
    </row>
    <row r="618" spans="10:13">
      <c r="J618" s="58"/>
      <c r="K618" s="58"/>
      <c r="L618" s="58"/>
      <c r="M618" s="58"/>
    </row>
    <row r="619" spans="10:13">
      <c r="J619" s="58"/>
      <c r="K619" s="58"/>
      <c r="L619" s="58"/>
      <c r="M619" s="58"/>
    </row>
    <row r="620" spans="10:13">
      <c r="J620" s="58"/>
      <c r="K620" s="58"/>
      <c r="L620" s="58"/>
      <c r="M620" s="58"/>
    </row>
    <row r="621" spans="10:13">
      <c r="J621" s="58"/>
      <c r="K621" s="58"/>
      <c r="L621" s="58"/>
      <c r="M621" s="58"/>
    </row>
    <row r="622" spans="10:13">
      <c r="J622" s="58"/>
      <c r="K622" s="58"/>
      <c r="L622" s="58"/>
      <c r="M622" s="58"/>
    </row>
    <row r="623" spans="10:13">
      <c r="J623" s="58"/>
      <c r="K623" s="58"/>
      <c r="L623" s="58"/>
      <c r="M623" s="58"/>
    </row>
    <row r="624" spans="10:13">
      <c r="J624" s="58"/>
      <c r="K624" s="58"/>
      <c r="L624" s="58"/>
      <c r="M624" s="58"/>
    </row>
    <row r="625" spans="10:13">
      <c r="J625" s="58"/>
      <c r="K625" s="58"/>
      <c r="L625" s="58"/>
      <c r="M625" s="58"/>
    </row>
    <row r="626" spans="10:13">
      <c r="J626" s="58"/>
      <c r="K626" s="58"/>
      <c r="L626" s="58"/>
      <c r="M626" s="58"/>
    </row>
    <row r="627" spans="10:13">
      <c r="J627" s="58"/>
      <c r="K627" s="58"/>
      <c r="L627" s="58"/>
      <c r="M627" s="58"/>
    </row>
    <row r="628" spans="10:13">
      <c r="J628" s="58"/>
      <c r="K628" s="58"/>
      <c r="L628" s="58"/>
      <c r="M628" s="58"/>
    </row>
    <row r="629" spans="10:13">
      <c r="J629" s="58"/>
      <c r="K629" s="58"/>
      <c r="L629" s="58"/>
      <c r="M629" s="58"/>
    </row>
    <row r="630" spans="10:13">
      <c r="J630" s="58"/>
      <c r="K630" s="58"/>
      <c r="L630" s="58"/>
      <c r="M630" s="58"/>
    </row>
    <row r="631" spans="10:13">
      <c r="J631" s="58"/>
      <c r="K631" s="58"/>
      <c r="L631" s="58"/>
      <c r="M631" s="58"/>
    </row>
    <row r="632" spans="10:13">
      <c r="J632" s="58"/>
      <c r="K632" s="58"/>
      <c r="L632" s="58"/>
      <c r="M632" s="58"/>
    </row>
    <row r="633" spans="10:13">
      <c r="J633" s="58"/>
      <c r="K633" s="58"/>
      <c r="L633" s="58"/>
      <c r="M633" s="58"/>
    </row>
    <row r="634" spans="10:13">
      <c r="J634" s="58"/>
      <c r="K634" s="58"/>
      <c r="L634" s="58"/>
      <c r="M634" s="58"/>
    </row>
  </sheetData>
  <pageMargins left="0.7" right="0.7" top="0.75" bottom="0.75" header="0.3" footer="0.3"/>
  <pageSetup paperSize="9" scale="9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1930</v>
      </c>
      <c r="C1" s="4"/>
      <c r="D1" s="4"/>
      <c r="E1" s="4"/>
      <c r="F1" s="4"/>
      <c r="G1" s="4"/>
      <c r="H1" s="4"/>
      <c r="I1" s="4"/>
      <c r="J1" s="4"/>
    </row>
    <row r="2" spans="1:12">
      <c r="A2" s="1" t="s">
        <v>1931</v>
      </c>
      <c r="C2" s="4"/>
      <c r="D2" s="4"/>
      <c r="E2" s="4"/>
      <c r="F2" s="4"/>
      <c r="G2" s="4"/>
      <c r="H2" s="4"/>
      <c r="I2" s="4"/>
      <c r="J2" s="4"/>
    </row>
    <row r="3" spans="1:12">
      <c r="A3" s="7" t="s">
        <v>1932</v>
      </c>
      <c r="C3" s="4"/>
      <c r="D3" s="4"/>
      <c r="E3" s="4"/>
      <c r="F3" s="4"/>
      <c r="G3" s="4"/>
      <c r="H3" s="4"/>
      <c r="I3" s="4"/>
      <c r="J3" s="55"/>
    </row>
    <row r="4" spans="1:12">
      <c r="A4" s="7" t="s">
        <v>1911</v>
      </c>
      <c r="C4" s="4"/>
      <c r="D4" s="4"/>
      <c r="E4" s="4"/>
      <c r="F4" s="4"/>
      <c r="G4" s="4"/>
      <c r="H4" s="4"/>
      <c r="I4" s="4"/>
      <c r="J4" s="55"/>
    </row>
    <row r="5" spans="1:12" ht="13.5" thickBot="1">
      <c r="B5" s="65"/>
      <c r="C5" s="4"/>
      <c r="D5" s="4"/>
      <c r="E5" s="4"/>
      <c r="F5" s="4"/>
      <c r="G5" s="4"/>
      <c r="H5" s="4"/>
      <c r="I5" s="4"/>
      <c r="J5" s="55"/>
    </row>
    <row r="6" spans="1:12">
      <c r="A6" s="470" t="s">
        <v>1896</v>
      </c>
      <c r="C6" s="437" t="s">
        <v>1806</v>
      </c>
      <c r="D6" s="437" t="s">
        <v>1807</v>
      </c>
      <c r="E6" s="437" t="s">
        <v>1808</v>
      </c>
      <c r="F6" s="437" t="s">
        <v>1093</v>
      </c>
      <c r="G6" s="437" t="s">
        <v>1809</v>
      </c>
      <c r="H6" s="471" t="s">
        <v>178</v>
      </c>
      <c r="I6" s="437" t="s">
        <v>1810</v>
      </c>
      <c r="J6" s="58"/>
    </row>
    <row r="7" spans="1:12" ht="13.5" thickBot="1">
      <c r="A7" s="44"/>
      <c r="B7" s="44"/>
      <c r="C7" s="39" t="s">
        <v>1811</v>
      </c>
      <c r="D7" s="39" t="s">
        <v>1812</v>
      </c>
      <c r="E7" s="39" t="s">
        <v>1813</v>
      </c>
      <c r="F7" s="39"/>
      <c r="G7" s="39" t="s">
        <v>1814</v>
      </c>
      <c r="H7" s="472"/>
      <c r="I7" s="39"/>
      <c r="J7" s="58"/>
    </row>
    <row r="8" spans="1:12">
      <c r="B8" s="4"/>
      <c r="C8" s="4"/>
      <c r="D8" s="4"/>
      <c r="E8" s="4"/>
      <c r="F8" s="4"/>
      <c r="G8" s="4"/>
      <c r="H8" s="2"/>
      <c r="I8" s="4"/>
      <c r="J8" s="58"/>
    </row>
    <row r="9" spans="1:12">
      <c r="A9" s="529">
        <v>1</v>
      </c>
      <c r="B9" s="7" t="s">
        <v>462</v>
      </c>
      <c r="C9" s="68">
        <v>160907</v>
      </c>
      <c r="D9" s="68">
        <v>27393</v>
      </c>
      <c r="E9" s="68">
        <v>50</v>
      </c>
      <c r="F9" s="68">
        <v>31202</v>
      </c>
      <c r="G9" s="68">
        <v>3560</v>
      </c>
      <c r="H9" s="6">
        <f>SUM(C9:G9)</f>
        <v>223112</v>
      </c>
      <c r="I9" s="31">
        <f>+H9/H$20*100</f>
        <v>28.55760492531391</v>
      </c>
      <c r="J9" s="58"/>
    </row>
    <row r="10" spans="1:12">
      <c r="A10" s="529">
        <v>2</v>
      </c>
      <c r="B10" s="7" t="s">
        <v>180</v>
      </c>
      <c r="C10" s="68">
        <v>2498</v>
      </c>
      <c r="D10" s="68">
        <v>34010</v>
      </c>
      <c r="E10" s="68">
        <v>6764</v>
      </c>
      <c r="F10" s="68">
        <v>60</v>
      </c>
      <c r="G10" s="68">
        <v>723</v>
      </c>
      <c r="H10" s="6">
        <f t="shared" ref="H10:H18" si="0">SUM(C10:G10)</f>
        <v>44055</v>
      </c>
      <c r="I10" s="31">
        <f t="shared" ref="I10:I18" si="1">+H10/H$20*100</f>
        <v>5.638895644271507</v>
      </c>
      <c r="J10" s="58"/>
      <c r="K10" s="61"/>
      <c r="L10" s="61"/>
    </row>
    <row r="11" spans="1:12">
      <c r="A11" s="529">
        <v>3</v>
      </c>
      <c r="B11" s="7" t="s">
        <v>183</v>
      </c>
      <c r="C11" s="68">
        <v>401</v>
      </c>
      <c r="D11" s="68">
        <v>35258</v>
      </c>
      <c r="E11" s="68">
        <v>77</v>
      </c>
      <c r="F11" s="68">
        <v>60</v>
      </c>
      <c r="G11" s="68">
        <v>1532</v>
      </c>
      <c r="H11" s="6">
        <f t="shared" si="0"/>
        <v>37328</v>
      </c>
      <c r="I11" s="31">
        <f t="shared" si="1"/>
        <v>4.7778616867408195</v>
      </c>
      <c r="J11" s="58"/>
    </row>
    <row r="12" spans="1:12">
      <c r="A12" s="529">
        <v>4</v>
      </c>
      <c r="B12" s="7" t="s">
        <v>463</v>
      </c>
      <c r="C12" s="68">
        <v>21796</v>
      </c>
      <c r="D12" s="68">
        <v>25234</v>
      </c>
      <c r="E12" s="68">
        <v>18789</v>
      </c>
      <c r="F12" s="68">
        <v>141</v>
      </c>
      <c r="G12" s="68">
        <v>2246</v>
      </c>
      <c r="H12" s="6">
        <f t="shared" si="0"/>
        <v>68206</v>
      </c>
      <c r="I12" s="31">
        <f t="shared" si="1"/>
        <v>8.7301445083005866</v>
      </c>
      <c r="J12" s="58"/>
    </row>
    <row r="13" spans="1:12">
      <c r="A13" s="529">
        <v>5</v>
      </c>
      <c r="B13" s="7" t="s">
        <v>464</v>
      </c>
      <c r="C13" s="68">
        <v>1014</v>
      </c>
      <c r="D13" s="68">
        <v>2147</v>
      </c>
      <c r="E13" s="68">
        <v>448</v>
      </c>
      <c r="F13" s="68">
        <v>1</v>
      </c>
      <c r="G13" s="68">
        <v>27</v>
      </c>
      <c r="H13" s="6">
        <f t="shared" si="0"/>
        <v>3637</v>
      </c>
      <c r="I13" s="31">
        <f t="shared" si="1"/>
        <v>0.46552408258348588</v>
      </c>
      <c r="J13" s="58"/>
    </row>
    <row r="14" spans="1:12">
      <c r="A14" s="529">
        <v>6</v>
      </c>
      <c r="B14" s="7" t="s">
        <v>399</v>
      </c>
      <c r="C14" s="68">
        <v>2047</v>
      </c>
      <c r="D14" s="68">
        <v>304</v>
      </c>
      <c r="E14" s="68">
        <v>1</v>
      </c>
      <c r="F14" s="68">
        <v>0</v>
      </c>
      <c r="G14" s="68">
        <v>27</v>
      </c>
      <c r="H14" s="6">
        <f t="shared" si="0"/>
        <v>2379</v>
      </c>
      <c r="I14" s="31">
        <f t="shared" si="1"/>
        <v>0.30450420469235989</v>
      </c>
      <c r="J14" s="58"/>
    </row>
    <row r="15" spans="1:12">
      <c r="A15" s="529">
        <v>7</v>
      </c>
      <c r="B15" s="7" t="s">
        <v>546</v>
      </c>
      <c r="C15" s="68">
        <v>24385</v>
      </c>
      <c r="D15" s="68">
        <v>1636</v>
      </c>
      <c r="E15" s="68">
        <v>11</v>
      </c>
      <c r="F15" s="68">
        <v>0</v>
      </c>
      <c r="G15" s="68">
        <v>42</v>
      </c>
      <c r="H15" s="6">
        <f t="shared" si="0"/>
        <v>26074</v>
      </c>
      <c r="I15" s="31">
        <f t="shared" si="1"/>
        <v>3.3373865629039901</v>
      </c>
      <c r="J15" s="58"/>
    </row>
    <row r="16" spans="1:12">
      <c r="A16" s="529">
        <v>8</v>
      </c>
      <c r="B16" s="7" t="s">
        <v>1453</v>
      </c>
      <c r="C16" s="68">
        <v>2990</v>
      </c>
      <c r="D16" s="68">
        <v>1717</v>
      </c>
      <c r="E16" s="68">
        <v>28</v>
      </c>
      <c r="F16" s="68">
        <v>1</v>
      </c>
      <c r="G16" s="68">
        <v>70</v>
      </c>
      <c r="H16" s="6">
        <f t="shared" si="0"/>
        <v>4806</v>
      </c>
      <c r="I16" s="31">
        <f t="shared" si="1"/>
        <v>0.61515225210234614</v>
      </c>
      <c r="J16" s="58"/>
    </row>
    <row r="17" spans="1:10">
      <c r="A17" s="529">
        <v>9</v>
      </c>
      <c r="B17" s="7" t="s">
        <v>465</v>
      </c>
      <c r="C17" s="68">
        <v>25085</v>
      </c>
      <c r="D17" s="68">
        <v>30595</v>
      </c>
      <c r="E17" s="68">
        <v>776</v>
      </c>
      <c r="F17" s="68">
        <v>5252</v>
      </c>
      <c r="G17" s="68">
        <v>1449</v>
      </c>
      <c r="H17" s="6">
        <f t="shared" si="0"/>
        <v>63157</v>
      </c>
      <c r="I17" s="31">
        <f t="shared" si="1"/>
        <v>8.0838890524402576</v>
      </c>
      <c r="J17" s="58"/>
    </row>
    <row r="18" spans="1:10">
      <c r="A18" s="529">
        <v>10</v>
      </c>
      <c r="B18" s="7" t="s">
        <v>466</v>
      </c>
      <c r="C18" s="68">
        <v>282793</v>
      </c>
      <c r="D18" s="68">
        <v>24986</v>
      </c>
      <c r="E18" s="68">
        <v>30</v>
      </c>
      <c r="F18" s="68">
        <v>10</v>
      </c>
      <c r="G18" s="68">
        <v>697</v>
      </c>
      <c r="H18" s="6">
        <f t="shared" si="0"/>
        <v>308516</v>
      </c>
      <c r="I18" s="31">
        <f t="shared" si="1"/>
        <v>39.489037080650732</v>
      </c>
      <c r="J18" s="58"/>
    </row>
    <row r="19" spans="1:10">
      <c r="B19" s="4"/>
      <c r="C19" s="3"/>
      <c r="D19" s="3"/>
      <c r="E19" s="3"/>
      <c r="F19" s="3"/>
      <c r="G19" s="3"/>
      <c r="H19" s="3"/>
      <c r="I19" s="4"/>
      <c r="J19" s="58"/>
    </row>
    <row r="20" spans="1:10" ht="13.5" thickBot="1">
      <c r="A20" s="33"/>
      <c r="B20" s="33" t="s">
        <v>998</v>
      </c>
      <c r="C20" s="40">
        <v>523915.98200000002</v>
      </c>
      <c r="D20" s="40">
        <v>183279.473</v>
      </c>
      <c r="E20" s="40">
        <v>26974.719000000001</v>
      </c>
      <c r="F20" s="40">
        <v>36726.614000000001</v>
      </c>
      <c r="G20" s="40">
        <v>10372.916999999999</v>
      </c>
      <c r="H20" s="40">
        <v>781270</v>
      </c>
      <c r="I20" s="479">
        <f>SUM(I9:I18)</f>
        <v>100</v>
      </c>
      <c r="J20" s="58"/>
    </row>
    <row r="21" spans="1:10">
      <c r="A21" s="46" t="s">
        <v>179</v>
      </c>
      <c r="C21" s="4"/>
      <c r="D21" s="4"/>
      <c r="E21" s="4"/>
      <c r="F21" s="4"/>
      <c r="G21" s="4"/>
      <c r="H21" s="4"/>
      <c r="I21" s="4"/>
      <c r="J21" s="58"/>
    </row>
    <row r="22" spans="1:10" ht="12.75" customHeight="1">
      <c r="A22" s="42" t="s">
        <v>539</v>
      </c>
      <c r="C22" s="4" t="s">
        <v>189</v>
      </c>
      <c r="D22" s="4" t="s">
        <v>189</v>
      </c>
      <c r="E22" s="4"/>
      <c r="F22" s="4"/>
      <c r="G22" s="4"/>
      <c r="H22" s="4"/>
      <c r="I22" s="4"/>
      <c r="J22" s="58"/>
    </row>
    <row r="25" spans="1:10">
      <c r="C25" s="510"/>
      <c r="D25" s="510"/>
      <c r="E25" s="510"/>
      <c r="F25" s="510"/>
      <c r="G25" s="510"/>
      <c r="H25" s="510"/>
    </row>
  </sheetData>
  <pageMargins left="0.7" right="0.7" top="0.75" bottom="0.75" header="0.3" footer="0.3"/>
  <pageSetup paperSize="9" scale="9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1933</v>
      </c>
      <c r="C1" s="4"/>
      <c r="D1" s="4"/>
      <c r="E1" s="4"/>
      <c r="F1" s="4"/>
      <c r="G1" s="4"/>
      <c r="H1" s="4"/>
      <c r="I1" s="4"/>
    </row>
    <row r="2" spans="1:12">
      <c r="A2" s="1" t="s">
        <v>1934</v>
      </c>
      <c r="C2" s="4"/>
      <c r="D2" s="4"/>
      <c r="E2" s="4"/>
      <c r="F2" s="4"/>
      <c r="G2" s="4"/>
      <c r="H2" s="4"/>
      <c r="I2" s="4"/>
    </row>
    <row r="3" spans="1:12">
      <c r="A3" s="7" t="s">
        <v>1935</v>
      </c>
      <c r="C3" s="4"/>
      <c r="D3" s="4"/>
      <c r="E3" s="4"/>
      <c r="F3" s="4"/>
      <c r="G3" s="4"/>
      <c r="H3" s="4"/>
      <c r="I3" s="4"/>
    </row>
    <row r="4" spans="1:12">
      <c r="A4" s="7" t="s">
        <v>1911</v>
      </c>
      <c r="C4" s="4"/>
      <c r="D4" s="4"/>
      <c r="E4" s="4"/>
      <c r="F4" s="4"/>
      <c r="G4" s="4"/>
      <c r="H4" s="4"/>
      <c r="I4" s="4"/>
    </row>
    <row r="5" spans="1:12" ht="13.5" thickBot="1">
      <c r="B5" s="65"/>
      <c r="C5" s="4"/>
      <c r="D5" s="4"/>
      <c r="E5" s="4"/>
      <c r="F5" s="4"/>
      <c r="G5" s="4"/>
      <c r="H5" s="4"/>
      <c r="I5" s="4"/>
    </row>
    <row r="6" spans="1:12">
      <c r="A6" s="470" t="s">
        <v>1896</v>
      </c>
      <c r="C6" s="531" t="s">
        <v>1806</v>
      </c>
      <c r="D6" s="531" t="s">
        <v>1807</v>
      </c>
      <c r="E6" s="531" t="s">
        <v>1808</v>
      </c>
      <c r="F6" s="531" t="s">
        <v>1093</v>
      </c>
      <c r="G6" s="531" t="s">
        <v>1809</v>
      </c>
      <c r="H6" s="532" t="s">
        <v>178</v>
      </c>
      <c r="I6" s="531" t="s">
        <v>1810</v>
      </c>
    </row>
    <row r="7" spans="1:12" ht="13.5" thickBot="1">
      <c r="A7" s="44"/>
      <c r="B7" s="44"/>
      <c r="C7" s="533" t="s">
        <v>1811</v>
      </c>
      <c r="D7" s="533" t="s">
        <v>1812</v>
      </c>
      <c r="E7" s="533" t="s">
        <v>1813</v>
      </c>
      <c r="F7" s="533"/>
      <c r="G7" s="533" t="s">
        <v>1814</v>
      </c>
      <c r="H7" s="534"/>
      <c r="I7" s="533"/>
    </row>
    <row r="8" spans="1:12">
      <c r="B8" s="4"/>
      <c r="C8" s="535"/>
      <c r="D8" s="535"/>
      <c r="E8" s="535"/>
      <c r="F8" s="535"/>
      <c r="G8" s="535"/>
      <c r="H8" s="536"/>
      <c r="I8" s="535"/>
    </row>
    <row r="9" spans="1:12">
      <c r="A9" s="529">
        <v>1</v>
      </c>
      <c r="B9" s="7" t="s">
        <v>462</v>
      </c>
      <c r="C9" s="26">
        <v>137031</v>
      </c>
      <c r="D9" s="26">
        <v>36245</v>
      </c>
      <c r="E9" s="26">
        <v>406</v>
      </c>
      <c r="F9" s="26">
        <v>23250</v>
      </c>
      <c r="G9" s="26">
        <v>1632</v>
      </c>
      <c r="H9" s="537">
        <f t="shared" ref="H9:H18" si="0">SUM(C9:G9)</f>
        <v>198564</v>
      </c>
      <c r="I9" s="538">
        <f>+H9/H$20*100</f>
        <v>25.250098869643395</v>
      </c>
    </row>
    <row r="10" spans="1:12">
      <c r="A10" s="529">
        <v>2</v>
      </c>
      <c r="B10" s="7" t="s">
        <v>180</v>
      </c>
      <c r="C10" s="26">
        <v>1221</v>
      </c>
      <c r="D10" s="26">
        <v>36370</v>
      </c>
      <c r="E10" s="26">
        <v>6863</v>
      </c>
      <c r="F10" s="26">
        <v>59</v>
      </c>
      <c r="G10" s="26">
        <v>515</v>
      </c>
      <c r="H10" s="537">
        <f t="shared" si="0"/>
        <v>45028</v>
      </c>
      <c r="I10" s="538">
        <f t="shared" ref="I10:I18" si="1">+H10/H$20*100</f>
        <v>5.7259193605200478</v>
      </c>
      <c r="K10" s="61"/>
      <c r="L10" s="61"/>
    </row>
    <row r="11" spans="1:12">
      <c r="A11" s="529">
        <v>3</v>
      </c>
      <c r="B11" s="7" t="s">
        <v>183</v>
      </c>
      <c r="C11" s="26">
        <v>484</v>
      </c>
      <c r="D11" s="26">
        <v>36273</v>
      </c>
      <c r="E11" s="26">
        <v>88</v>
      </c>
      <c r="F11" s="26">
        <v>50</v>
      </c>
      <c r="G11" s="26">
        <v>1459</v>
      </c>
      <c r="H11" s="537">
        <f t="shared" si="0"/>
        <v>38354</v>
      </c>
      <c r="I11" s="538">
        <f t="shared" si="1"/>
        <v>4.8772299714263552</v>
      </c>
    </row>
    <row r="12" spans="1:12">
      <c r="A12" s="529">
        <v>4</v>
      </c>
      <c r="B12" s="7" t="s">
        <v>463</v>
      </c>
      <c r="C12" s="26">
        <v>39659</v>
      </c>
      <c r="D12" s="26">
        <v>29708</v>
      </c>
      <c r="E12" s="26">
        <v>18785</v>
      </c>
      <c r="F12" s="26">
        <v>211</v>
      </c>
      <c r="G12" s="26">
        <v>4440</v>
      </c>
      <c r="H12" s="537">
        <f t="shared" si="0"/>
        <v>92803</v>
      </c>
      <c r="I12" s="538">
        <f t="shared" si="1"/>
        <v>11.801156933782137</v>
      </c>
    </row>
    <row r="13" spans="1:12">
      <c r="A13" s="529">
        <v>5</v>
      </c>
      <c r="B13" s="7" t="s">
        <v>464</v>
      </c>
      <c r="C13" s="26">
        <v>1179</v>
      </c>
      <c r="D13" s="26">
        <v>2788</v>
      </c>
      <c r="E13" s="26">
        <v>324</v>
      </c>
      <c r="F13" s="26">
        <v>1</v>
      </c>
      <c r="G13" s="26">
        <v>26</v>
      </c>
      <c r="H13" s="537">
        <f t="shared" si="0"/>
        <v>4318</v>
      </c>
      <c r="I13" s="538">
        <f t="shared" si="1"/>
        <v>0.54909211598839758</v>
      </c>
    </row>
    <row r="14" spans="1:12">
      <c r="A14" s="529">
        <v>6</v>
      </c>
      <c r="B14" s="7" t="s">
        <v>399</v>
      </c>
      <c r="C14" s="26">
        <v>3635</v>
      </c>
      <c r="D14" s="26">
        <v>540</v>
      </c>
      <c r="E14" s="26">
        <v>3</v>
      </c>
      <c r="F14" s="26">
        <v>-2</v>
      </c>
      <c r="G14" s="26">
        <v>40</v>
      </c>
      <c r="H14" s="537">
        <f t="shared" si="0"/>
        <v>4216</v>
      </c>
      <c r="I14" s="538">
        <f t="shared" si="1"/>
        <v>0.53612143608315987</v>
      </c>
    </row>
    <row r="15" spans="1:12">
      <c r="A15" s="529">
        <v>7</v>
      </c>
      <c r="B15" s="7" t="s">
        <v>546</v>
      </c>
      <c r="C15" s="26">
        <v>28884</v>
      </c>
      <c r="D15" s="26">
        <v>4882</v>
      </c>
      <c r="E15" s="26">
        <v>11</v>
      </c>
      <c r="F15" s="26">
        <v>-1</v>
      </c>
      <c r="G15" s="26">
        <v>70</v>
      </c>
      <c r="H15" s="537">
        <f t="shared" si="0"/>
        <v>33846</v>
      </c>
      <c r="I15" s="538">
        <f t="shared" si="1"/>
        <v>4.30397678502624</v>
      </c>
    </row>
    <row r="16" spans="1:12">
      <c r="A16" s="529">
        <v>8</v>
      </c>
      <c r="B16" s="7" t="s">
        <v>1453</v>
      </c>
      <c r="C16" s="26">
        <v>6567</v>
      </c>
      <c r="D16" s="26">
        <v>1715</v>
      </c>
      <c r="E16" s="26">
        <v>21</v>
      </c>
      <c r="F16" s="26">
        <v>2</v>
      </c>
      <c r="G16" s="26">
        <v>84</v>
      </c>
      <c r="H16" s="537">
        <f t="shared" si="0"/>
        <v>8389</v>
      </c>
      <c r="I16" s="538">
        <f t="shared" si="1"/>
        <v>1.0667748404415627</v>
      </c>
    </row>
    <row r="17" spans="1:9">
      <c r="A17" s="529">
        <v>9</v>
      </c>
      <c r="B17" s="7" t="s">
        <v>465</v>
      </c>
      <c r="C17" s="26">
        <v>26874</v>
      </c>
      <c r="D17" s="26">
        <v>23594</v>
      </c>
      <c r="E17" s="26">
        <v>505</v>
      </c>
      <c r="F17" s="26">
        <v>5435</v>
      </c>
      <c r="G17" s="26">
        <v>795</v>
      </c>
      <c r="H17" s="537">
        <f t="shared" si="0"/>
        <v>57203</v>
      </c>
      <c r="I17" s="538">
        <f t="shared" si="1"/>
        <v>7.2741353197971996</v>
      </c>
    </row>
    <row r="18" spans="1:9">
      <c r="A18" s="529">
        <v>10</v>
      </c>
      <c r="B18" s="7" t="s">
        <v>466</v>
      </c>
      <c r="C18" s="26">
        <v>284491</v>
      </c>
      <c r="D18" s="26">
        <v>18005</v>
      </c>
      <c r="E18" s="26">
        <v>73</v>
      </c>
      <c r="F18" s="26">
        <v>82</v>
      </c>
      <c r="G18" s="26">
        <v>1017</v>
      </c>
      <c r="H18" s="537">
        <f t="shared" si="0"/>
        <v>303668</v>
      </c>
      <c r="I18" s="538">
        <f t="shared" si="1"/>
        <v>38.615494367291511</v>
      </c>
    </row>
    <row r="19" spans="1:9">
      <c r="B19" s="4"/>
      <c r="C19" s="539"/>
      <c r="D19" s="539"/>
      <c r="E19" s="539"/>
      <c r="F19" s="539"/>
      <c r="G19" s="539"/>
      <c r="H19" s="539"/>
      <c r="I19" s="535"/>
    </row>
    <row r="20" spans="1:9" ht="13.5" thickBot="1">
      <c r="A20" s="33"/>
      <c r="B20" s="33" t="s">
        <v>998</v>
      </c>
      <c r="C20" s="75">
        <v>530025.375</v>
      </c>
      <c r="D20" s="75">
        <v>190120</v>
      </c>
      <c r="E20" s="75">
        <v>27078.879000000001</v>
      </c>
      <c r="F20" s="75">
        <v>29086.626</v>
      </c>
      <c r="G20" s="75">
        <v>10078</v>
      </c>
      <c r="H20" s="75">
        <v>786389</v>
      </c>
      <c r="I20" s="540">
        <f>SUM(I9:I18)</f>
        <v>100</v>
      </c>
    </row>
    <row r="21" spans="1:9">
      <c r="A21" s="46" t="s">
        <v>179</v>
      </c>
      <c r="C21" s="4"/>
      <c r="D21" s="4"/>
      <c r="E21" s="4"/>
      <c r="F21" s="4"/>
      <c r="G21" s="4"/>
      <c r="H21" s="4"/>
      <c r="I21" s="4"/>
    </row>
    <row r="22" spans="1:9"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1936</v>
      </c>
      <c r="C1" s="4"/>
      <c r="D1" s="4"/>
      <c r="E1" s="4"/>
      <c r="F1" s="4"/>
      <c r="G1" s="4"/>
      <c r="H1" s="4"/>
      <c r="I1" s="4"/>
    </row>
    <row r="2" spans="1:12">
      <c r="A2" s="1" t="s">
        <v>1937</v>
      </c>
      <c r="C2" s="4"/>
      <c r="D2" s="4"/>
      <c r="E2" s="4"/>
      <c r="F2" s="4"/>
      <c r="G2" s="4"/>
      <c r="H2" s="4"/>
      <c r="I2" s="4"/>
    </row>
    <row r="3" spans="1:12">
      <c r="A3" s="7" t="s">
        <v>1938</v>
      </c>
      <c r="C3" s="4"/>
      <c r="D3" s="4"/>
      <c r="E3" s="4"/>
      <c r="F3" s="4"/>
      <c r="G3" s="4"/>
      <c r="H3" s="4"/>
      <c r="I3" s="4"/>
    </row>
    <row r="4" spans="1:12">
      <c r="A4" s="7" t="s">
        <v>1911</v>
      </c>
      <c r="C4" s="4"/>
      <c r="D4" s="4"/>
      <c r="E4" s="4"/>
      <c r="F4" s="4"/>
      <c r="G4" s="4"/>
      <c r="H4" s="4"/>
      <c r="I4" s="4"/>
    </row>
    <row r="5" spans="1:12" ht="13.5" customHeight="1" thickBot="1">
      <c r="B5" s="65"/>
      <c r="C5" s="4"/>
      <c r="D5" s="4"/>
      <c r="E5" s="4"/>
      <c r="F5" s="4"/>
      <c r="G5" s="4"/>
      <c r="H5" s="4"/>
      <c r="I5" s="4"/>
    </row>
    <row r="6" spans="1:12">
      <c r="A6" s="470" t="s">
        <v>1896</v>
      </c>
      <c r="C6" s="531" t="s">
        <v>1806</v>
      </c>
      <c r="D6" s="531" t="s">
        <v>1807</v>
      </c>
      <c r="E6" s="531" t="s">
        <v>1808</v>
      </c>
      <c r="F6" s="531" t="s">
        <v>1093</v>
      </c>
      <c r="G6" s="531" t="s">
        <v>1809</v>
      </c>
      <c r="H6" s="532" t="s">
        <v>178</v>
      </c>
      <c r="I6" s="531" t="s">
        <v>1810</v>
      </c>
    </row>
    <row r="7" spans="1:12" ht="13.5" thickBot="1">
      <c r="A7" s="44"/>
      <c r="B7" s="44"/>
      <c r="C7" s="533" t="s">
        <v>1811</v>
      </c>
      <c r="D7" s="533" t="s">
        <v>1812</v>
      </c>
      <c r="E7" s="533" t="s">
        <v>1813</v>
      </c>
      <c r="F7" s="533"/>
      <c r="G7" s="533" t="s">
        <v>1814</v>
      </c>
      <c r="H7" s="534"/>
      <c r="I7" s="533"/>
    </row>
    <row r="8" spans="1:12">
      <c r="B8" s="4"/>
      <c r="C8" s="535"/>
      <c r="D8" s="535"/>
      <c r="E8" s="535"/>
      <c r="F8" s="535"/>
      <c r="G8" s="535"/>
      <c r="H8" s="536"/>
      <c r="I8" s="535"/>
    </row>
    <row r="9" spans="1:12">
      <c r="A9" s="529">
        <v>1</v>
      </c>
      <c r="B9" s="7" t="s">
        <v>462</v>
      </c>
      <c r="C9" s="26">
        <v>152275</v>
      </c>
      <c r="D9" s="26">
        <v>37007</v>
      </c>
      <c r="E9" s="26">
        <v>803</v>
      </c>
      <c r="F9" s="26">
        <v>34306</v>
      </c>
      <c r="G9" s="26">
        <v>1627</v>
      </c>
      <c r="H9" s="537">
        <f>SUM(C9:G9)</f>
        <v>226018</v>
      </c>
      <c r="I9" s="538">
        <f>+H9/H$20*100</f>
        <v>28.200150222464</v>
      </c>
    </row>
    <row r="10" spans="1:12">
      <c r="A10" s="529">
        <v>2</v>
      </c>
      <c r="B10" s="7" t="s">
        <v>180</v>
      </c>
      <c r="C10" s="26">
        <v>968</v>
      </c>
      <c r="D10" s="26">
        <v>35873</v>
      </c>
      <c r="E10" s="26">
        <v>5463</v>
      </c>
      <c r="F10" s="26">
        <v>62</v>
      </c>
      <c r="G10" s="26">
        <v>1172</v>
      </c>
      <c r="H10" s="537">
        <f t="shared" ref="H10:H18" si="0">SUM(C10:G10)</f>
        <v>43538</v>
      </c>
      <c r="I10" s="538">
        <f t="shared" ref="I10:I20" si="1">+H10/H$20*100</f>
        <v>5.4322139846633348</v>
      </c>
      <c r="K10" s="61"/>
      <c r="L10" s="61"/>
    </row>
    <row r="11" spans="1:12">
      <c r="A11" s="529">
        <v>3</v>
      </c>
      <c r="B11" s="7" t="s">
        <v>183</v>
      </c>
      <c r="C11" s="26">
        <v>422</v>
      </c>
      <c r="D11" s="26">
        <v>37880</v>
      </c>
      <c r="E11" s="26">
        <v>212</v>
      </c>
      <c r="F11" s="26">
        <v>58</v>
      </c>
      <c r="G11" s="26">
        <v>1601</v>
      </c>
      <c r="H11" s="537">
        <f t="shared" si="0"/>
        <v>40173</v>
      </c>
      <c r="I11" s="538">
        <f t="shared" si="1"/>
        <v>5.01236465629749</v>
      </c>
    </row>
    <row r="12" spans="1:12">
      <c r="A12" s="529">
        <v>4</v>
      </c>
      <c r="B12" s="7" t="s">
        <v>463</v>
      </c>
      <c r="C12" s="26">
        <v>38764</v>
      </c>
      <c r="D12" s="26">
        <v>30126</v>
      </c>
      <c r="E12" s="26">
        <v>16696</v>
      </c>
      <c r="F12" s="26">
        <v>278</v>
      </c>
      <c r="G12" s="26">
        <v>1862</v>
      </c>
      <c r="H12" s="537">
        <f t="shared" si="0"/>
        <v>87726</v>
      </c>
      <c r="I12" s="538">
        <f t="shared" si="1"/>
        <v>10.945528136767322</v>
      </c>
    </row>
    <row r="13" spans="1:12">
      <c r="A13" s="529">
        <v>5</v>
      </c>
      <c r="B13" s="7" t="s">
        <v>464</v>
      </c>
      <c r="C13" s="26">
        <v>800</v>
      </c>
      <c r="D13" s="26">
        <v>3282</v>
      </c>
      <c r="E13" s="26">
        <v>262</v>
      </c>
      <c r="F13" s="26">
        <v>0</v>
      </c>
      <c r="G13" s="26">
        <v>51</v>
      </c>
      <c r="H13" s="537">
        <f t="shared" si="0"/>
        <v>4395</v>
      </c>
      <c r="I13" s="538">
        <f t="shared" si="1"/>
        <v>0.54836190138718721</v>
      </c>
    </row>
    <row r="14" spans="1:12">
      <c r="A14" s="529">
        <v>6</v>
      </c>
      <c r="B14" s="7" t="s">
        <v>399</v>
      </c>
      <c r="C14" s="26">
        <v>3017</v>
      </c>
      <c r="D14" s="26">
        <v>530</v>
      </c>
      <c r="E14" s="26">
        <v>5</v>
      </c>
      <c r="F14" s="26">
        <v>-2</v>
      </c>
      <c r="G14" s="26">
        <v>41</v>
      </c>
      <c r="H14" s="537">
        <f t="shared" si="0"/>
        <v>3591</v>
      </c>
      <c r="I14" s="538">
        <f t="shared" si="1"/>
        <v>0.4480472327375174</v>
      </c>
    </row>
    <row r="15" spans="1:12">
      <c r="A15" s="529">
        <v>7</v>
      </c>
      <c r="B15" s="7" t="s">
        <v>546</v>
      </c>
      <c r="C15" s="26">
        <v>28439</v>
      </c>
      <c r="D15" s="26">
        <v>5022</v>
      </c>
      <c r="E15" s="26">
        <v>16</v>
      </c>
      <c r="F15" s="26">
        <v>-2</v>
      </c>
      <c r="G15" s="26">
        <v>55</v>
      </c>
      <c r="H15" s="537">
        <f t="shared" si="0"/>
        <v>33530</v>
      </c>
      <c r="I15" s="538">
        <f t="shared" si="1"/>
        <v>4.1835209450540125</v>
      </c>
    </row>
    <row r="16" spans="1:12">
      <c r="A16" s="529">
        <v>8</v>
      </c>
      <c r="B16" s="7" t="s">
        <v>1453</v>
      </c>
      <c r="C16" s="26">
        <v>7042</v>
      </c>
      <c r="D16" s="26">
        <v>1753</v>
      </c>
      <c r="E16" s="26">
        <v>21</v>
      </c>
      <c r="F16" s="26">
        <v>1</v>
      </c>
      <c r="G16" s="26">
        <v>80</v>
      </c>
      <c r="H16" s="537">
        <f t="shared" si="0"/>
        <v>8897</v>
      </c>
      <c r="I16" s="538">
        <f t="shared" si="1"/>
        <v>1.1100741380299897</v>
      </c>
    </row>
    <row r="17" spans="1:9">
      <c r="A17" s="529">
        <v>9</v>
      </c>
      <c r="B17" s="7" t="s">
        <v>465</v>
      </c>
      <c r="C17" s="26">
        <v>26686</v>
      </c>
      <c r="D17" s="26">
        <v>23639</v>
      </c>
      <c r="E17" s="26">
        <v>507</v>
      </c>
      <c r="F17" s="26">
        <v>4650</v>
      </c>
      <c r="G17" s="26">
        <v>930</v>
      </c>
      <c r="H17" s="537">
        <f t="shared" si="0"/>
        <v>56412</v>
      </c>
      <c r="I17" s="538">
        <f t="shared" si="1"/>
        <v>7.0384963779417529</v>
      </c>
    </row>
    <row r="18" spans="1:9">
      <c r="A18" s="529">
        <v>10</v>
      </c>
      <c r="B18" s="7" t="s">
        <v>466</v>
      </c>
      <c r="C18" s="26">
        <v>277804</v>
      </c>
      <c r="D18" s="26">
        <v>18288</v>
      </c>
      <c r="E18" s="26">
        <v>93</v>
      </c>
      <c r="F18" s="26">
        <v>40</v>
      </c>
      <c r="G18" s="26">
        <v>973</v>
      </c>
      <c r="H18" s="537">
        <f t="shared" si="0"/>
        <v>297198</v>
      </c>
      <c r="I18" s="538">
        <f t="shared" si="1"/>
        <v>37.081242404657395</v>
      </c>
    </row>
    <row r="19" spans="1:9">
      <c r="B19" s="4"/>
      <c r="C19" s="539"/>
      <c r="D19" s="539"/>
      <c r="E19" s="539"/>
      <c r="F19" s="539"/>
      <c r="G19" s="539"/>
      <c r="H19" s="539"/>
      <c r="I19" s="538"/>
    </row>
    <row r="20" spans="1:9" ht="13.5" thickBot="1">
      <c r="A20" s="33"/>
      <c r="B20" s="33" t="s">
        <v>998</v>
      </c>
      <c r="C20" s="75">
        <v>536217.27</v>
      </c>
      <c r="D20" s="541">
        <v>193401.07</v>
      </c>
      <c r="E20" s="75">
        <v>24077.937000000002</v>
      </c>
      <c r="F20" s="75">
        <v>39390.453999999998</v>
      </c>
      <c r="G20" s="75">
        <v>8391.4230000000007</v>
      </c>
      <c r="H20" s="75">
        <v>801478</v>
      </c>
      <c r="I20" s="540">
        <f t="shared" si="1"/>
        <v>100</v>
      </c>
    </row>
    <row r="21" spans="1:9">
      <c r="A21" s="46" t="s">
        <v>179</v>
      </c>
      <c r="C21" s="4"/>
      <c r="D21" s="4"/>
      <c r="E21" s="4"/>
      <c r="F21" s="4"/>
      <c r="G21" s="4"/>
      <c r="H21" s="4"/>
      <c r="I21" s="4"/>
    </row>
    <row r="22" spans="1:9"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1939</v>
      </c>
      <c r="C1" s="4"/>
      <c r="D1" s="4"/>
      <c r="E1" s="4"/>
      <c r="F1" s="4"/>
      <c r="G1" s="4"/>
      <c r="H1" s="4"/>
      <c r="I1" s="4"/>
    </row>
    <row r="2" spans="1:12">
      <c r="A2" s="1" t="s">
        <v>1940</v>
      </c>
      <c r="C2" s="4"/>
      <c r="D2" s="4"/>
      <c r="E2" s="4"/>
      <c r="F2" s="4"/>
      <c r="G2" s="4"/>
      <c r="H2" s="4"/>
      <c r="I2" s="4"/>
    </row>
    <row r="3" spans="1:12">
      <c r="A3" s="7" t="s">
        <v>1941</v>
      </c>
      <c r="C3" s="4"/>
      <c r="D3" s="4"/>
      <c r="E3" s="4"/>
      <c r="F3" s="4"/>
      <c r="G3" s="4"/>
      <c r="H3" s="4"/>
      <c r="I3" s="4"/>
    </row>
    <row r="4" spans="1:12">
      <c r="A4" s="7" t="s">
        <v>1911</v>
      </c>
      <c r="C4" s="4"/>
      <c r="D4" s="4"/>
      <c r="E4" s="4"/>
      <c r="F4" s="4"/>
      <c r="G4" s="4"/>
      <c r="H4" s="4"/>
      <c r="I4" s="4"/>
    </row>
    <row r="5" spans="1:12" ht="13.5" thickBot="1">
      <c r="B5" s="65"/>
      <c r="C5" s="4"/>
      <c r="D5" s="4"/>
      <c r="E5" s="4"/>
      <c r="F5" s="4"/>
      <c r="G5" s="4"/>
      <c r="H5" s="4"/>
      <c r="I5" s="4"/>
    </row>
    <row r="6" spans="1:12">
      <c r="A6" s="470" t="s">
        <v>1896</v>
      </c>
      <c r="C6" s="531" t="s">
        <v>1806</v>
      </c>
      <c r="D6" s="531" t="s">
        <v>1807</v>
      </c>
      <c r="E6" s="531" t="s">
        <v>1808</v>
      </c>
      <c r="F6" s="531" t="s">
        <v>1093</v>
      </c>
      <c r="G6" s="531" t="s">
        <v>1809</v>
      </c>
      <c r="H6" s="532" t="s">
        <v>178</v>
      </c>
      <c r="I6" s="531" t="s">
        <v>1810</v>
      </c>
    </row>
    <row r="7" spans="1:12" ht="13.5" thickBot="1">
      <c r="A7" s="44"/>
      <c r="B7" s="44"/>
      <c r="C7" s="533" t="s">
        <v>1811</v>
      </c>
      <c r="D7" s="533" t="s">
        <v>1812</v>
      </c>
      <c r="E7" s="533" t="s">
        <v>1813</v>
      </c>
      <c r="F7" s="533"/>
      <c r="G7" s="533" t="s">
        <v>1814</v>
      </c>
      <c r="H7" s="534"/>
      <c r="I7" s="533"/>
    </row>
    <row r="8" spans="1:12">
      <c r="B8" s="4"/>
      <c r="C8" s="535"/>
      <c r="D8" s="535"/>
      <c r="E8" s="535"/>
      <c r="F8" s="535"/>
      <c r="G8" s="535"/>
      <c r="H8" s="536"/>
      <c r="I8" s="535"/>
    </row>
    <row r="9" spans="1:12">
      <c r="A9" s="529">
        <v>1</v>
      </c>
      <c r="B9" s="7" t="s">
        <v>462</v>
      </c>
      <c r="C9" s="26">
        <v>150740.37</v>
      </c>
      <c r="D9" s="26">
        <v>38938.638000000006</v>
      </c>
      <c r="E9" s="26">
        <v>1160.3320000000001</v>
      </c>
      <c r="F9" s="26">
        <v>27239.920999999998</v>
      </c>
      <c r="G9" s="26">
        <v>1587.8869999999999</v>
      </c>
      <c r="H9" s="542">
        <f>SUM(C9:G9)</f>
        <v>219667.14799999999</v>
      </c>
      <c r="I9" s="538">
        <f>+H9/H$20*100</f>
        <v>27.083037329021316</v>
      </c>
    </row>
    <row r="10" spans="1:12">
      <c r="A10" s="529">
        <v>2</v>
      </c>
      <c r="B10" s="7" t="s">
        <v>180</v>
      </c>
      <c r="C10" s="26">
        <v>864.59299999999996</v>
      </c>
      <c r="D10" s="26">
        <v>36374.239000000001</v>
      </c>
      <c r="E10" s="26">
        <v>6049.2920000000004</v>
      </c>
      <c r="F10" s="26">
        <v>31.567</v>
      </c>
      <c r="G10" s="26">
        <v>1373.6220000000001</v>
      </c>
      <c r="H10" s="542">
        <f t="shared" ref="H10:H18" si="0">SUM(C10:G10)</f>
        <v>44693.313000000009</v>
      </c>
      <c r="I10" s="538">
        <f t="shared" ref="I10:I17" si="1">+H10/H$20*100</f>
        <v>5.510294440280318</v>
      </c>
      <c r="K10" s="61"/>
      <c r="L10" s="61"/>
    </row>
    <row r="11" spans="1:12">
      <c r="A11" s="529">
        <v>3</v>
      </c>
      <c r="B11" s="7" t="s">
        <v>183</v>
      </c>
      <c r="C11" s="26">
        <v>558.40099999999995</v>
      </c>
      <c r="D11" s="26">
        <v>39045.332999999999</v>
      </c>
      <c r="E11" s="26">
        <v>249.232</v>
      </c>
      <c r="F11" s="26">
        <v>51.566000000000003</v>
      </c>
      <c r="G11" s="26">
        <v>1631.932</v>
      </c>
      <c r="H11" s="542">
        <f t="shared" si="0"/>
        <v>41536.464</v>
      </c>
      <c r="I11" s="538">
        <f t="shared" si="1"/>
        <v>5.1210825800294453</v>
      </c>
    </row>
    <row r="12" spans="1:12">
      <c r="A12" s="529">
        <v>4</v>
      </c>
      <c r="B12" s="7" t="s">
        <v>463</v>
      </c>
      <c r="C12" s="26">
        <v>40353.351000000002</v>
      </c>
      <c r="D12" s="26">
        <v>32038.197</v>
      </c>
      <c r="E12" s="26">
        <v>17546.754000000001</v>
      </c>
      <c r="F12" s="26">
        <v>421.29399999999998</v>
      </c>
      <c r="G12" s="26">
        <v>3064.6600000000003</v>
      </c>
      <c r="H12" s="542">
        <f t="shared" si="0"/>
        <v>93424.256000000008</v>
      </c>
      <c r="I12" s="538">
        <f t="shared" si="1"/>
        <v>11.518393331551078</v>
      </c>
    </row>
    <row r="13" spans="1:12">
      <c r="A13" s="529">
        <v>5</v>
      </c>
      <c r="B13" s="7" t="s">
        <v>464</v>
      </c>
      <c r="C13" s="26">
        <v>616.53399999999999</v>
      </c>
      <c r="D13" s="26">
        <v>3410.4799999999996</v>
      </c>
      <c r="E13" s="26">
        <v>202.60599999999999</v>
      </c>
      <c r="F13" s="26">
        <v>1.3340000000000001</v>
      </c>
      <c r="G13" s="26">
        <v>75.89</v>
      </c>
      <c r="H13" s="542">
        <f t="shared" si="0"/>
        <v>4306.8440000000001</v>
      </c>
      <c r="I13" s="538">
        <f t="shared" si="1"/>
        <v>0.53099618165148421</v>
      </c>
    </row>
    <row r="14" spans="1:12">
      <c r="A14" s="529">
        <v>6</v>
      </c>
      <c r="B14" s="7" t="s">
        <v>399</v>
      </c>
      <c r="C14" s="26">
        <v>2920.2640000000001</v>
      </c>
      <c r="D14" s="26">
        <v>530.86900000000003</v>
      </c>
      <c r="E14" s="26">
        <v>5.5389999999999997</v>
      </c>
      <c r="F14" s="26">
        <v>-2.6749999999999998</v>
      </c>
      <c r="G14" s="26">
        <v>42.026000000000003</v>
      </c>
      <c r="H14" s="542">
        <f t="shared" si="0"/>
        <v>3496.0230000000001</v>
      </c>
      <c r="I14" s="538">
        <f t="shared" si="1"/>
        <v>0.43102904678362319</v>
      </c>
    </row>
    <row r="15" spans="1:12">
      <c r="A15" s="529">
        <v>7</v>
      </c>
      <c r="B15" s="7" t="s">
        <v>546</v>
      </c>
      <c r="C15" s="26">
        <v>29884.434000000001</v>
      </c>
      <c r="D15" s="26">
        <v>5657.4110000000001</v>
      </c>
      <c r="E15" s="26">
        <v>11.371</v>
      </c>
      <c r="F15" s="26">
        <v>-1.8620000000000001</v>
      </c>
      <c r="G15" s="26">
        <v>45.619</v>
      </c>
      <c r="H15" s="542">
        <f t="shared" si="0"/>
        <v>35596.972999999998</v>
      </c>
      <c r="I15" s="538">
        <f t="shared" si="1"/>
        <v>4.3887953084325737</v>
      </c>
    </row>
    <row r="16" spans="1:12">
      <c r="A16" s="529">
        <v>8</v>
      </c>
      <c r="B16" s="7" t="s">
        <v>1453</v>
      </c>
      <c r="C16" s="26">
        <v>7371.75</v>
      </c>
      <c r="D16" s="26">
        <v>1754.941</v>
      </c>
      <c r="E16" s="26">
        <v>18.183</v>
      </c>
      <c r="F16" s="26">
        <v>0.316</v>
      </c>
      <c r="G16" s="26">
        <v>79.384</v>
      </c>
      <c r="H16" s="542">
        <f t="shared" si="0"/>
        <v>9224.5740000000023</v>
      </c>
      <c r="I16" s="538">
        <f t="shared" si="1"/>
        <v>1.1373092620400367</v>
      </c>
    </row>
    <row r="17" spans="1:12">
      <c r="A17" s="529">
        <v>9</v>
      </c>
      <c r="B17" s="7" t="s">
        <v>465</v>
      </c>
      <c r="C17" s="26">
        <v>25522.855</v>
      </c>
      <c r="D17" s="26">
        <v>23592.510999999999</v>
      </c>
      <c r="E17" s="26">
        <v>482.6</v>
      </c>
      <c r="F17" s="26">
        <v>3863.8510000000001</v>
      </c>
      <c r="G17" s="26">
        <v>758.78399999999999</v>
      </c>
      <c r="H17" s="542">
        <f t="shared" si="0"/>
        <v>54220.600999999995</v>
      </c>
      <c r="I17" s="538">
        <f t="shared" si="1"/>
        <v>6.6849256898667901</v>
      </c>
    </row>
    <row r="18" spans="1:12">
      <c r="A18" s="529">
        <v>10</v>
      </c>
      <c r="B18" s="7" t="s">
        <v>466</v>
      </c>
      <c r="C18" s="26">
        <v>282414.98599999998</v>
      </c>
      <c r="D18" s="26">
        <v>20192.600999999999</v>
      </c>
      <c r="E18" s="26">
        <v>117.267</v>
      </c>
      <c r="F18" s="26">
        <v>93.162999999999997</v>
      </c>
      <c r="G18" s="26">
        <v>2103.3510000000001</v>
      </c>
      <c r="H18" s="542">
        <f t="shared" si="0"/>
        <v>304921.36800000002</v>
      </c>
      <c r="I18" s="538">
        <f>+H18/H$20*100</f>
        <v>37.594136707052094</v>
      </c>
    </row>
    <row r="19" spans="1:12">
      <c r="B19" s="4"/>
      <c r="C19" s="26"/>
      <c r="D19" s="539"/>
      <c r="E19" s="539"/>
      <c r="F19" s="539"/>
      <c r="G19" s="539"/>
      <c r="H19" s="539"/>
      <c r="I19" s="538"/>
      <c r="L19" s="26"/>
    </row>
    <row r="20" spans="1:12" ht="13.5" thickBot="1">
      <c r="A20" s="33"/>
      <c r="B20" s="33" t="s">
        <v>998</v>
      </c>
      <c r="C20" s="75">
        <v>541247.54</v>
      </c>
      <c r="D20" s="75">
        <v>201535.508</v>
      </c>
      <c r="E20" s="75">
        <v>25842.884999999998</v>
      </c>
      <c r="F20" s="75">
        <v>31698.474999999999</v>
      </c>
      <c r="G20" s="75">
        <v>10763.155000000001</v>
      </c>
      <c r="H20" s="75">
        <v>811087.56499999994</v>
      </c>
      <c r="I20" s="540">
        <f>+H20/H$20*100</f>
        <v>100</v>
      </c>
    </row>
    <row r="21" spans="1:12">
      <c r="A21" s="46" t="s">
        <v>179</v>
      </c>
      <c r="C21" s="4"/>
      <c r="D21" s="4"/>
      <c r="E21" s="4"/>
      <c r="F21" s="4"/>
      <c r="G21" s="4"/>
      <c r="H21" s="4"/>
      <c r="I21" s="4"/>
    </row>
    <row r="22" spans="1:12" ht="12.75" customHeight="1">
      <c r="A22" s="42" t="s">
        <v>539</v>
      </c>
      <c r="C22" s="4" t="s">
        <v>189</v>
      </c>
      <c r="D22" s="4" t="s">
        <v>189</v>
      </c>
      <c r="E22" s="4"/>
      <c r="F22" s="4"/>
      <c r="G22" s="4"/>
      <c r="H22" s="4"/>
      <c r="I22" s="4"/>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1942</v>
      </c>
      <c r="C1" s="4"/>
      <c r="D1" s="4"/>
      <c r="E1" s="4"/>
      <c r="F1" s="4"/>
      <c r="G1" s="4"/>
      <c r="H1" s="4"/>
      <c r="I1" s="4"/>
    </row>
    <row r="2" spans="1:13">
      <c r="A2" s="1" t="s">
        <v>1943</v>
      </c>
      <c r="C2" s="4"/>
      <c r="D2" s="4"/>
      <c r="E2" s="4"/>
      <c r="F2" s="4"/>
      <c r="G2" s="4"/>
      <c r="H2" s="4"/>
      <c r="I2" s="4"/>
      <c r="M2" s="523"/>
    </row>
    <row r="3" spans="1:13">
      <c r="A3" s="7" t="s">
        <v>1944</v>
      </c>
      <c r="C3" s="4"/>
      <c r="D3" s="4"/>
      <c r="E3" s="4"/>
      <c r="F3" s="4"/>
      <c r="G3" s="4"/>
      <c r="H3" s="4"/>
      <c r="I3" s="4"/>
    </row>
    <row r="4" spans="1:13">
      <c r="A4" s="7" t="s">
        <v>1911</v>
      </c>
      <c r="C4" s="4"/>
      <c r="D4" s="4"/>
      <c r="E4" s="4"/>
      <c r="F4" s="4"/>
      <c r="G4" s="4"/>
      <c r="H4" s="4"/>
      <c r="I4" s="4"/>
    </row>
    <row r="5" spans="1:13" ht="13.5" thickBot="1">
      <c r="B5" s="65"/>
      <c r="C5" s="4"/>
      <c r="D5" s="4"/>
      <c r="E5" s="4"/>
      <c r="F5" s="4"/>
      <c r="G5" s="4"/>
      <c r="H5" s="4"/>
      <c r="I5" s="4"/>
    </row>
    <row r="6" spans="1:13">
      <c r="A6" s="470" t="s">
        <v>1896</v>
      </c>
      <c r="C6" s="531" t="s">
        <v>1806</v>
      </c>
      <c r="D6" s="531" t="s">
        <v>1807</v>
      </c>
      <c r="E6" s="531" t="s">
        <v>1808</v>
      </c>
      <c r="F6" s="531" t="s">
        <v>1093</v>
      </c>
      <c r="G6" s="531" t="s">
        <v>1809</v>
      </c>
      <c r="H6" s="532" t="s">
        <v>178</v>
      </c>
      <c r="I6" s="531" t="s">
        <v>1810</v>
      </c>
    </row>
    <row r="7" spans="1:13" ht="13.5" thickBot="1">
      <c r="A7" s="44"/>
      <c r="B7" s="44"/>
      <c r="C7" s="533" t="s">
        <v>1811</v>
      </c>
      <c r="D7" s="533" t="s">
        <v>1812</v>
      </c>
      <c r="E7" s="533" t="s">
        <v>1813</v>
      </c>
      <c r="F7" s="533"/>
      <c r="G7" s="533" t="s">
        <v>1814</v>
      </c>
      <c r="H7" s="534"/>
      <c r="I7" s="533"/>
    </row>
    <row r="8" spans="1:13">
      <c r="B8" s="4"/>
      <c r="C8" s="535"/>
      <c r="D8" s="535"/>
      <c r="E8" s="535"/>
      <c r="F8" s="535"/>
      <c r="G8" s="535"/>
      <c r="H8" s="536"/>
      <c r="I8" s="535"/>
    </row>
    <row r="9" spans="1:13">
      <c r="A9" s="529">
        <v>1</v>
      </c>
      <c r="B9" s="7" t="s">
        <v>462</v>
      </c>
      <c r="C9" s="543">
        <v>161360</v>
      </c>
      <c r="D9" s="543">
        <v>40269</v>
      </c>
      <c r="E9" s="543">
        <v>1126</v>
      </c>
      <c r="F9" s="543">
        <v>19199</v>
      </c>
      <c r="G9" s="543">
        <v>1688</v>
      </c>
      <c r="H9" s="544">
        <f>SUM(C9:G9)</f>
        <v>223642</v>
      </c>
      <c r="I9" s="545">
        <f>+H9/H$20*100</f>
        <v>27.029881990069953</v>
      </c>
    </row>
    <row r="10" spans="1:13">
      <c r="A10" s="529">
        <v>2</v>
      </c>
      <c r="B10" s="7" t="s">
        <v>180</v>
      </c>
      <c r="C10" s="543">
        <v>913</v>
      </c>
      <c r="D10" s="543">
        <v>35243.421000000002</v>
      </c>
      <c r="E10" s="543">
        <v>7204.5789999999997</v>
      </c>
      <c r="F10" s="543">
        <v>36</v>
      </c>
      <c r="G10" s="543">
        <v>1340</v>
      </c>
      <c r="H10" s="544">
        <f t="shared" ref="H10:H18" si="0">SUM(C10:G10)</f>
        <v>44737</v>
      </c>
      <c r="I10" s="545">
        <f t="shared" ref="I10:I17" si="1">+H10/H$20*100</f>
        <v>5.4070158136206956</v>
      </c>
      <c r="K10" s="61"/>
      <c r="L10" s="61"/>
    </row>
    <row r="11" spans="1:13">
      <c r="A11" s="529">
        <v>3</v>
      </c>
      <c r="B11" s="7" t="s">
        <v>183</v>
      </c>
      <c r="C11" s="543">
        <v>632</v>
      </c>
      <c r="D11" s="543">
        <v>40200</v>
      </c>
      <c r="E11" s="543">
        <v>286</v>
      </c>
      <c r="F11" s="543">
        <v>38</v>
      </c>
      <c r="G11" s="543">
        <v>1644</v>
      </c>
      <c r="H11" s="544">
        <f t="shared" si="0"/>
        <v>42800</v>
      </c>
      <c r="I11" s="545">
        <f t="shared" si="1"/>
        <v>5.1729055775524904</v>
      </c>
    </row>
    <row r="12" spans="1:13">
      <c r="A12" s="529">
        <v>4</v>
      </c>
      <c r="B12" s="7" t="s">
        <v>463</v>
      </c>
      <c r="C12" s="543">
        <v>42478</v>
      </c>
      <c r="D12" s="543">
        <v>34595</v>
      </c>
      <c r="E12" s="543">
        <v>15452</v>
      </c>
      <c r="F12" s="543">
        <v>651</v>
      </c>
      <c r="G12" s="543">
        <v>2027</v>
      </c>
      <c r="H12" s="544">
        <f t="shared" si="0"/>
        <v>95203</v>
      </c>
      <c r="I12" s="545">
        <f t="shared" si="1"/>
        <v>11.506451628498358</v>
      </c>
    </row>
    <row r="13" spans="1:13">
      <c r="A13" s="529">
        <v>5</v>
      </c>
      <c r="B13" s="7" t="s">
        <v>464</v>
      </c>
      <c r="C13" s="543">
        <v>803</v>
      </c>
      <c r="D13" s="543">
        <v>3298</v>
      </c>
      <c r="E13" s="543">
        <v>798</v>
      </c>
      <c r="F13" s="543">
        <v>2</v>
      </c>
      <c r="G13" s="543">
        <v>-618</v>
      </c>
      <c r="H13" s="544">
        <f t="shared" si="0"/>
        <v>4283</v>
      </c>
      <c r="I13" s="545">
        <f t="shared" si="1"/>
        <v>0.51765314459479717</v>
      </c>
    </row>
    <row r="14" spans="1:13">
      <c r="A14" s="529">
        <v>6</v>
      </c>
      <c r="B14" s="7" t="s">
        <v>399</v>
      </c>
      <c r="C14" s="543">
        <v>2800</v>
      </c>
      <c r="D14" s="543">
        <v>581</v>
      </c>
      <c r="E14" s="543">
        <v>3</v>
      </c>
      <c r="F14" s="543">
        <v>-2</v>
      </c>
      <c r="G14" s="543">
        <v>32</v>
      </c>
      <c r="H14" s="544">
        <f t="shared" si="0"/>
        <v>3414</v>
      </c>
      <c r="I14" s="545">
        <f t="shared" si="1"/>
        <v>0.41262382340570569</v>
      </c>
    </row>
    <row r="15" spans="1:13">
      <c r="A15" s="529">
        <v>7</v>
      </c>
      <c r="B15" s="7" t="s">
        <v>546</v>
      </c>
      <c r="C15" s="543">
        <v>29295</v>
      </c>
      <c r="D15" s="543">
        <v>6219</v>
      </c>
      <c r="E15" s="543">
        <v>12</v>
      </c>
      <c r="F15" s="543">
        <v>-3</v>
      </c>
      <c r="G15" s="543">
        <v>43</v>
      </c>
      <c r="H15" s="544">
        <f t="shared" si="0"/>
        <v>35566</v>
      </c>
      <c r="I15" s="545">
        <f t="shared" si="1"/>
        <v>4.2985878451222401</v>
      </c>
    </row>
    <row r="16" spans="1:13">
      <c r="A16" s="529">
        <v>8</v>
      </c>
      <c r="B16" s="7" t="s">
        <v>1453</v>
      </c>
      <c r="C16" s="543">
        <v>7460</v>
      </c>
      <c r="D16" s="543">
        <v>1804</v>
      </c>
      <c r="E16" s="543">
        <v>26</v>
      </c>
      <c r="F16" s="543">
        <v>0</v>
      </c>
      <c r="G16" s="543">
        <v>80</v>
      </c>
      <c r="H16" s="544">
        <f t="shared" si="0"/>
        <v>9370</v>
      </c>
      <c r="I16" s="545">
        <f t="shared" si="1"/>
        <v>1.1324795621884776</v>
      </c>
    </row>
    <row r="17" spans="1:12">
      <c r="A17" s="529">
        <v>9</v>
      </c>
      <c r="B17" s="7" t="s">
        <v>465</v>
      </c>
      <c r="C17" s="543">
        <v>27021</v>
      </c>
      <c r="D17" s="543">
        <v>24627</v>
      </c>
      <c r="E17" s="543">
        <v>172</v>
      </c>
      <c r="F17" s="543">
        <v>3400</v>
      </c>
      <c r="G17" s="543">
        <v>793</v>
      </c>
      <c r="H17" s="544">
        <f t="shared" si="0"/>
        <v>56013</v>
      </c>
      <c r="I17" s="545">
        <f t="shared" si="1"/>
        <v>6.7698588812020484</v>
      </c>
    </row>
    <row r="18" spans="1:12">
      <c r="A18" s="529">
        <v>10</v>
      </c>
      <c r="B18" s="7" t="s">
        <v>466</v>
      </c>
      <c r="C18" s="543">
        <v>289609</v>
      </c>
      <c r="D18" s="543">
        <v>21612</v>
      </c>
      <c r="E18" s="543">
        <v>70</v>
      </c>
      <c r="F18" s="543">
        <v>29</v>
      </c>
      <c r="G18" s="543">
        <v>1036</v>
      </c>
      <c r="H18" s="544">
        <f t="shared" si="0"/>
        <v>312356</v>
      </c>
      <c r="I18" s="545">
        <f>+H18/H$20*100</f>
        <v>37.752058284625832</v>
      </c>
    </row>
    <row r="19" spans="1:12">
      <c r="B19" s="4"/>
      <c r="C19" s="543"/>
      <c r="D19" s="546"/>
      <c r="E19" s="546"/>
      <c r="F19" s="546"/>
      <c r="G19" s="546"/>
      <c r="H19" s="546"/>
      <c r="I19" s="545"/>
      <c r="L19" s="26"/>
    </row>
    <row r="20" spans="1:12" ht="13.5" thickBot="1">
      <c r="A20" s="33"/>
      <c r="B20" s="33" t="s">
        <v>998</v>
      </c>
      <c r="C20" s="541">
        <v>562372.522</v>
      </c>
      <c r="D20" s="541">
        <v>208447.9</v>
      </c>
      <c r="E20" s="541">
        <v>25149.510999999999</v>
      </c>
      <c r="F20" s="541">
        <v>23352.303</v>
      </c>
      <c r="G20" s="541">
        <v>8065.9139999999998</v>
      </c>
      <c r="H20" s="541">
        <v>827388</v>
      </c>
      <c r="I20" s="547">
        <f>+H20/H$20*100</f>
        <v>100</v>
      </c>
    </row>
    <row r="21" spans="1:12">
      <c r="A21" s="46" t="s">
        <v>179</v>
      </c>
      <c r="C21" s="4"/>
      <c r="D21" s="4"/>
      <c r="E21" s="4"/>
      <c r="F21" s="4"/>
      <c r="G21" s="4"/>
      <c r="H21" s="4"/>
      <c r="I21" s="4"/>
    </row>
    <row r="22" spans="1:12" ht="12.75" customHeight="1">
      <c r="A22" s="548" t="s">
        <v>539</v>
      </c>
      <c r="B22" s="523"/>
      <c r="C22" s="4" t="s">
        <v>189</v>
      </c>
      <c r="D22" s="4" t="s">
        <v>189</v>
      </c>
      <c r="E22" s="4"/>
      <c r="F22" s="4"/>
      <c r="G22" s="4"/>
      <c r="H22" s="4"/>
      <c r="I22" s="4"/>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workbookViewId="0">
      <selection activeCell="F49" sqref="F49"/>
    </sheetView>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2062</v>
      </c>
      <c r="C1" s="4"/>
      <c r="D1" s="4"/>
      <c r="E1" s="4"/>
      <c r="F1" s="4"/>
      <c r="G1" s="4"/>
      <c r="H1" s="4"/>
      <c r="I1" s="4"/>
    </row>
    <row r="2" spans="1:13">
      <c r="A2" s="1" t="s">
        <v>1945</v>
      </c>
      <c r="C2" s="4"/>
      <c r="D2" s="4"/>
      <c r="E2" s="4"/>
      <c r="F2" s="4"/>
      <c r="G2" s="4"/>
      <c r="H2" s="4"/>
      <c r="I2" s="4"/>
      <c r="M2" s="523"/>
    </row>
    <row r="3" spans="1:13">
      <c r="A3" s="7" t="s">
        <v>1946</v>
      </c>
      <c r="C3" s="4"/>
      <c r="D3" s="4"/>
      <c r="E3" s="4"/>
      <c r="F3" s="4"/>
      <c r="G3" s="4"/>
      <c r="H3" s="4"/>
      <c r="I3" s="4"/>
    </row>
    <row r="4" spans="1:13">
      <c r="A4" s="7" t="s">
        <v>1911</v>
      </c>
      <c r="C4" s="4"/>
      <c r="D4" s="4"/>
      <c r="E4" s="4"/>
      <c r="F4" s="4"/>
      <c r="G4" s="4"/>
      <c r="H4" s="4"/>
      <c r="I4" s="4"/>
    </row>
    <row r="5" spans="1:13" ht="13.5" thickBot="1">
      <c r="B5" s="65"/>
      <c r="C5" s="4"/>
      <c r="D5" s="4"/>
      <c r="E5" s="4"/>
      <c r="F5" s="4"/>
      <c r="G5" s="4"/>
      <c r="H5" s="4"/>
      <c r="I5" s="4"/>
    </row>
    <row r="6" spans="1:13">
      <c r="A6" s="470" t="s">
        <v>1896</v>
      </c>
      <c r="C6" s="531" t="s">
        <v>1806</v>
      </c>
      <c r="D6" s="531" t="s">
        <v>1807</v>
      </c>
      <c r="E6" s="531" t="s">
        <v>1808</v>
      </c>
      <c r="F6" s="531" t="s">
        <v>1093</v>
      </c>
      <c r="G6" s="531" t="s">
        <v>1809</v>
      </c>
      <c r="H6" s="532" t="s">
        <v>178</v>
      </c>
      <c r="I6" s="531" t="s">
        <v>1810</v>
      </c>
    </row>
    <row r="7" spans="1:13" ht="13.5" thickBot="1">
      <c r="A7" s="44"/>
      <c r="B7" s="44"/>
      <c r="C7" s="533" t="s">
        <v>1811</v>
      </c>
      <c r="D7" s="533" t="s">
        <v>1812</v>
      </c>
      <c r="E7" s="533" t="s">
        <v>1813</v>
      </c>
      <c r="F7" s="533"/>
      <c r="G7" s="533" t="s">
        <v>1814</v>
      </c>
      <c r="H7" s="534"/>
      <c r="I7" s="533"/>
    </row>
    <row r="8" spans="1:13">
      <c r="B8" s="4"/>
      <c r="C8" s="535"/>
      <c r="D8" s="535"/>
      <c r="E8" s="535"/>
      <c r="F8" s="535"/>
      <c r="G8" s="535"/>
      <c r="H8" s="536"/>
      <c r="I8" s="535"/>
    </row>
    <row r="9" spans="1:13">
      <c r="A9" s="529">
        <v>1</v>
      </c>
      <c r="B9" s="7" t="s">
        <v>462</v>
      </c>
      <c r="C9" s="543">
        <v>170369</v>
      </c>
      <c r="D9" s="543">
        <v>41886</v>
      </c>
      <c r="E9" s="543">
        <v>1306</v>
      </c>
      <c r="F9" s="543">
        <v>3190</v>
      </c>
      <c r="G9" s="543">
        <v>2378</v>
      </c>
      <c r="H9" s="544">
        <f>SUM(C9:G9)</f>
        <v>219129</v>
      </c>
      <c r="I9" s="545">
        <f>+H9/H$20*100</f>
        <v>26.059733229314329</v>
      </c>
    </row>
    <row r="10" spans="1:13">
      <c r="A10" s="529">
        <v>2</v>
      </c>
      <c r="B10" s="7" t="s">
        <v>180</v>
      </c>
      <c r="C10" s="543">
        <v>916</v>
      </c>
      <c r="D10" s="543">
        <v>36499</v>
      </c>
      <c r="E10" s="543">
        <v>8592</v>
      </c>
      <c r="F10" s="543">
        <v>49</v>
      </c>
      <c r="G10" s="543">
        <v>1146</v>
      </c>
      <c r="H10" s="544">
        <f t="shared" ref="H10:H17" si="0">SUM(C10:G10)</f>
        <v>47202</v>
      </c>
      <c r="I10" s="545">
        <f t="shared" ref="I10:I17" si="1">+H10/H$20*100</f>
        <v>5.613458409841213</v>
      </c>
    </row>
    <row r="11" spans="1:13">
      <c r="A11" s="529">
        <v>3</v>
      </c>
      <c r="B11" s="7" t="s">
        <v>183</v>
      </c>
      <c r="C11" s="543">
        <v>730</v>
      </c>
      <c r="D11" s="543">
        <v>41048</v>
      </c>
      <c r="E11" s="543">
        <v>228</v>
      </c>
      <c r="F11" s="543">
        <v>33</v>
      </c>
      <c r="G11" s="543">
        <v>1749</v>
      </c>
      <c r="H11" s="544">
        <f t="shared" si="0"/>
        <v>43788</v>
      </c>
      <c r="I11" s="545">
        <f t="shared" si="1"/>
        <v>5.2074513124470787</v>
      </c>
    </row>
    <row r="12" spans="1:13">
      <c r="A12" s="529">
        <v>4</v>
      </c>
      <c r="B12" s="7" t="s">
        <v>463</v>
      </c>
      <c r="C12" s="543">
        <v>43935</v>
      </c>
      <c r="D12" s="543">
        <v>33353</v>
      </c>
      <c r="E12" s="543">
        <v>18368</v>
      </c>
      <c r="F12" s="543">
        <v>701</v>
      </c>
      <c r="G12" s="543">
        <v>1776</v>
      </c>
      <c r="H12" s="544">
        <f t="shared" si="0"/>
        <v>98133</v>
      </c>
      <c r="I12" s="545">
        <f t="shared" si="1"/>
        <v>11.670385028874787</v>
      </c>
    </row>
    <row r="13" spans="1:13">
      <c r="A13" s="529">
        <v>5</v>
      </c>
      <c r="B13" s="7" t="s">
        <v>464</v>
      </c>
      <c r="C13" s="543">
        <v>962</v>
      </c>
      <c r="D13" s="543">
        <v>3385</v>
      </c>
      <c r="E13" s="543">
        <v>187</v>
      </c>
      <c r="F13" s="543">
        <v>3</v>
      </c>
      <c r="G13" s="543">
        <v>51</v>
      </c>
      <c r="H13" s="544">
        <f t="shared" si="0"/>
        <v>4588</v>
      </c>
      <c r="I13" s="545">
        <f t="shared" si="1"/>
        <v>0.54562406644530914</v>
      </c>
    </row>
    <row r="14" spans="1:13">
      <c r="A14" s="529">
        <v>6</v>
      </c>
      <c r="B14" s="7" t="s">
        <v>399</v>
      </c>
      <c r="C14" s="543">
        <v>2450</v>
      </c>
      <c r="D14" s="543">
        <v>613</v>
      </c>
      <c r="E14" s="543">
        <v>3</v>
      </c>
      <c r="F14" s="543">
        <v>-1</v>
      </c>
      <c r="G14" s="543">
        <v>21</v>
      </c>
      <c r="H14" s="544">
        <f t="shared" si="0"/>
        <v>3086</v>
      </c>
      <c r="I14" s="545">
        <f t="shared" si="1"/>
        <v>0.36699997145820051</v>
      </c>
    </row>
    <row r="15" spans="1:13">
      <c r="A15" s="529">
        <v>7</v>
      </c>
      <c r="B15" s="7" t="s">
        <v>546</v>
      </c>
      <c r="C15" s="543">
        <v>29645</v>
      </c>
      <c r="D15" s="543">
        <v>6406</v>
      </c>
      <c r="E15" s="543">
        <v>10</v>
      </c>
      <c r="F15" s="543">
        <v>-1</v>
      </c>
      <c r="G15" s="543">
        <v>47</v>
      </c>
      <c r="H15" s="544">
        <f t="shared" si="0"/>
        <v>36107</v>
      </c>
      <c r="I15" s="545">
        <f t="shared" si="1"/>
        <v>4.2939948053924972</v>
      </c>
    </row>
    <row r="16" spans="1:13">
      <c r="A16" s="529">
        <v>8</v>
      </c>
      <c r="B16" s="7" t="s">
        <v>1453</v>
      </c>
      <c r="C16" s="543">
        <v>7433</v>
      </c>
      <c r="D16" s="543">
        <v>1882</v>
      </c>
      <c r="E16" s="543">
        <v>25</v>
      </c>
      <c r="F16" s="543">
        <v>0</v>
      </c>
      <c r="G16" s="543">
        <v>81</v>
      </c>
      <c r="H16" s="544">
        <f t="shared" si="0"/>
        <v>9421</v>
      </c>
      <c r="I16" s="545">
        <f t="shared" si="1"/>
        <v>1.1203845531781293</v>
      </c>
    </row>
    <row r="17" spans="1:12">
      <c r="A17" s="529">
        <v>9</v>
      </c>
      <c r="B17" s="7" t="s">
        <v>465</v>
      </c>
      <c r="C17" s="543">
        <v>28180</v>
      </c>
      <c r="D17" s="543">
        <v>25105</v>
      </c>
      <c r="E17" s="543">
        <v>165</v>
      </c>
      <c r="F17" s="543">
        <v>1580</v>
      </c>
      <c r="G17" s="543">
        <v>1881</v>
      </c>
      <c r="H17" s="544">
        <f t="shared" si="0"/>
        <v>56911</v>
      </c>
      <c r="I17" s="545">
        <f t="shared" si="1"/>
        <v>6.7680931223777216</v>
      </c>
    </row>
    <row r="18" spans="1:12">
      <c r="A18" s="529">
        <v>10</v>
      </c>
      <c r="B18" s="7" t="s">
        <v>466</v>
      </c>
      <c r="C18" s="543">
        <v>297072</v>
      </c>
      <c r="D18" s="543">
        <v>24142</v>
      </c>
      <c r="E18" s="543">
        <v>93</v>
      </c>
      <c r="F18" s="543">
        <v>33</v>
      </c>
      <c r="G18" s="543">
        <v>1165</v>
      </c>
      <c r="H18" s="544">
        <f>SUM(C18:G18)</f>
        <v>322505</v>
      </c>
      <c r="I18" s="545">
        <f>+H18/H$20*100</f>
        <v>38.353637652341853</v>
      </c>
    </row>
    <row r="19" spans="1:12">
      <c r="B19" s="4"/>
      <c r="C19" s="543"/>
      <c r="D19" s="546"/>
      <c r="E19" s="546"/>
      <c r="F19" s="546"/>
      <c r="G19" s="546"/>
      <c r="H19" s="546"/>
      <c r="I19" s="545"/>
      <c r="L19" s="26"/>
    </row>
    <row r="20" spans="1:12" ht="13.5" thickBot="1">
      <c r="A20" s="33"/>
      <c r="B20" s="541" t="s">
        <v>998</v>
      </c>
      <c r="C20" s="541">
        <v>581691.92500000005</v>
      </c>
      <c r="D20" s="541">
        <v>214320.236</v>
      </c>
      <c r="E20" s="541">
        <v>28977.786</v>
      </c>
      <c r="F20" s="541">
        <v>5588.558</v>
      </c>
      <c r="G20" s="541">
        <v>10293.231</v>
      </c>
      <c r="H20" s="541">
        <v>840872</v>
      </c>
      <c r="I20" s="547">
        <f>+H20/H$20*100</f>
        <v>100</v>
      </c>
    </row>
    <row r="21" spans="1:12">
      <c r="A21" s="46" t="s">
        <v>179</v>
      </c>
      <c r="C21" s="4"/>
      <c r="D21" s="4"/>
      <c r="E21" s="4"/>
      <c r="F21" s="4"/>
      <c r="G21" s="4"/>
      <c r="H21" s="4"/>
      <c r="I21" s="4"/>
    </row>
    <row r="22" spans="1:12" ht="12.75" customHeight="1">
      <c r="A22" s="548" t="s">
        <v>539</v>
      </c>
      <c r="B22" s="523"/>
      <c r="C22" s="4" t="s">
        <v>189</v>
      </c>
      <c r="D22" s="4" t="s">
        <v>189</v>
      </c>
      <c r="E22" s="4"/>
      <c r="F22" s="4"/>
      <c r="G22" s="4"/>
      <c r="H22" s="4"/>
      <c r="I22" s="4"/>
    </row>
    <row r="24" spans="1:12">
      <c r="C24" s="3"/>
      <c r="D24" s="3"/>
      <c r="E24" s="3"/>
      <c r="F24" s="3"/>
      <c r="G24" s="3"/>
      <c r="H24" s="3"/>
    </row>
    <row r="25" spans="1:12">
      <c r="C25" s="4"/>
      <c r="D25" s="3"/>
      <c r="E25" s="3"/>
      <c r="F25" s="4"/>
      <c r="G25" s="3"/>
      <c r="H25" s="3"/>
    </row>
    <row r="26" spans="1:12">
      <c r="C26" s="4"/>
      <c r="D26" s="3"/>
      <c r="E26" s="4"/>
      <c r="F26" s="4"/>
      <c r="G26" s="3"/>
      <c r="H26" s="3"/>
    </row>
    <row r="27" spans="1:12">
      <c r="C27" s="3"/>
      <c r="D27" s="3"/>
      <c r="E27" s="3"/>
      <c r="F27" s="4"/>
      <c r="G27" s="3"/>
      <c r="H27" s="3"/>
    </row>
    <row r="28" spans="1:12">
      <c r="C28" s="4"/>
      <c r="D28" s="3"/>
      <c r="E28" s="4"/>
      <c r="F28" s="4"/>
      <c r="G28" s="4"/>
      <c r="H28" s="3"/>
    </row>
    <row r="29" spans="1:12">
      <c r="C29" s="3"/>
      <c r="D29" s="4"/>
      <c r="E29" s="4"/>
      <c r="F29" s="4"/>
      <c r="G29" s="4"/>
      <c r="H29" s="3"/>
    </row>
    <row r="30" spans="1:12">
      <c r="C30" s="3"/>
      <c r="D30" s="3"/>
      <c r="E30" s="4"/>
      <c r="F30" s="4"/>
      <c r="G30" s="4"/>
      <c r="H30" s="3"/>
    </row>
    <row r="31" spans="1:12">
      <c r="C31" s="3"/>
      <c r="D31" s="3"/>
      <c r="E31" s="4"/>
      <c r="F31" s="4"/>
      <c r="G31" s="4"/>
      <c r="H31" s="3"/>
    </row>
    <row r="32" spans="1:12">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workbookViewId="0">
      <selection activeCell="F49" sqref="F49"/>
    </sheetView>
  </sheetViews>
  <sheetFormatPr defaultRowHeight="12.75"/>
  <cols>
    <col min="1" max="1" width="3.332031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1" t="s">
        <v>934</v>
      </c>
      <c r="B1" s="4"/>
      <c r="C1" s="4"/>
      <c r="D1" s="4"/>
      <c r="E1" s="4"/>
      <c r="F1" s="4"/>
      <c r="G1" s="4"/>
      <c r="H1" s="4"/>
      <c r="I1" s="4"/>
      <c r="J1" s="4"/>
      <c r="K1" s="4"/>
      <c r="L1" s="4"/>
      <c r="M1" s="4"/>
      <c r="N1" s="4"/>
      <c r="O1" s="4"/>
      <c r="P1" s="4"/>
      <c r="Q1" s="4"/>
      <c r="R1" s="4"/>
    </row>
    <row r="2" spans="1:18">
      <c r="A2" s="41" t="s">
        <v>1690</v>
      </c>
      <c r="B2" s="4"/>
      <c r="C2" s="4"/>
      <c r="D2" s="4"/>
      <c r="E2" s="4"/>
      <c r="F2" s="4"/>
      <c r="G2" s="4"/>
      <c r="H2" s="4"/>
      <c r="I2" s="4"/>
      <c r="J2" s="4"/>
      <c r="K2" s="4"/>
      <c r="L2" s="4"/>
      <c r="M2" s="4"/>
      <c r="N2" s="4"/>
      <c r="O2" s="4"/>
      <c r="P2" s="4"/>
      <c r="Q2" s="4"/>
      <c r="R2" s="4"/>
    </row>
    <row r="3" spans="1:18">
      <c r="A3" s="9" t="s">
        <v>841</v>
      </c>
      <c r="B3" s="4"/>
      <c r="C3" s="4"/>
      <c r="D3" s="4"/>
      <c r="E3" s="4"/>
      <c r="F3" s="4"/>
      <c r="G3" s="4"/>
      <c r="H3" s="4"/>
      <c r="I3" s="4"/>
      <c r="J3" s="4"/>
      <c r="K3" s="4"/>
      <c r="L3" s="4"/>
      <c r="M3" s="4"/>
      <c r="N3" s="4"/>
      <c r="O3" s="4"/>
      <c r="P3" s="4"/>
      <c r="Q3" s="4"/>
      <c r="R3" s="4"/>
    </row>
    <row r="4" spans="1:18" ht="13.5" thickBot="1">
      <c r="A4" s="39"/>
      <c r="B4" s="43"/>
      <c r="C4" s="4"/>
      <c r="D4" s="4"/>
      <c r="E4" s="4"/>
      <c r="F4" s="4"/>
      <c r="G4" s="4"/>
      <c r="H4" s="4"/>
      <c r="I4" s="4"/>
      <c r="J4" s="4"/>
      <c r="K4" s="4"/>
      <c r="L4" s="4"/>
      <c r="M4" s="4"/>
      <c r="N4" s="4"/>
      <c r="O4" s="4"/>
      <c r="P4" s="4"/>
      <c r="Q4" s="4"/>
      <c r="R4" s="4"/>
    </row>
    <row r="5" spans="1:18" ht="45.75" thickBot="1">
      <c r="A5" s="745" t="s">
        <v>1226</v>
      </c>
      <c r="B5" s="745"/>
      <c r="C5" s="439" t="s">
        <v>543</v>
      </c>
      <c r="D5" s="439" t="s">
        <v>544</v>
      </c>
      <c r="E5" s="439" t="s">
        <v>1736</v>
      </c>
      <c r="F5" s="439" t="s">
        <v>1734</v>
      </c>
      <c r="G5" s="439" t="s">
        <v>546</v>
      </c>
      <c r="H5" s="439" t="s">
        <v>547</v>
      </c>
      <c r="I5" s="439" t="s">
        <v>1731</v>
      </c>
      <c r="J5" s="439" t="s">
        <v>1424</v>
      </c>
      <c r="K5" s="439" t="s">
        <v>77</v>
      </c>
      <c r="L5" s="439" t="s">
        <v>1425</v>
      </c>
      <c r="M5" s="439" t="s">
        <v>1737</v>
      </c>
      <c r="N5" s="439" t="s">
        <v>78</v>
      </c>
      <c r="O5" s="439" t="s">
        <v>1735</v>
      </c>
      <c r="P5" s="439" t="s">
        <v>188</v>
      </c>
      <c r="Q5" s="440" t="s">
        <v>998</v>
      </c>
      <c r="R5" s="51"/>
    </row>
    <row r="6" spans="1:18">
      <c r="A6" s="437"/>
      <c r="B6" s="438"/>
      <c r="C6" s="438"/>
      <c r="D6" s="438"/>
      <c r="E6" s="438"/>
      <c r="F6" s="438"/>
      <c r="G6" s="438"/>
      <c r="H6" s="438"/>
      <c r="I6" s="438"/>
      <c r="J6" s="438"/>
      <c r="K6" s="438"/>
      <c r="L6" s="438"/>
      <c r="M6" s="438"/>
      <c r="N6" s="438"/>
      <c r="O6" s="438"/>
      <c r="P6" s="438"/>
      <c r="Q6" s="438"/>
      <c r="R6" s="4"/>
    </row>
    <row r="7" spans="1:18">
      <c r="A7" s="17">
        <v>1</v>
      </c>
      <c r="B7" s="4" t="s">
        <v>401</v>
      </c>
      <c r="C7" s="3">
        <v>3920</v>
      </c>
      <c r="D7" s="45" t="s">
        <v>1229</v>
      </c>
      <c r="E7" s="3">
        <v>58</v>
      </c>
      <c r="F7" s="45" t="s">
        <v>1229</v>
      </c>
      <c r="G7" s="45" t="s">
        <v>1229</v>
      </c>
      <c r="H7" s="45" t="s">
        <v>1229</v>
      </c>
      <c r="I7" s="45" t="s">
        <v>1229</v>
      </c>
      <c r="J7" s="3">
        <v>815</v>
      </c>
      <c r="K7" s="45" t="s">
        <v>1229</v>
      </c>
      <c r="L7" s="45" t="s">
        <v>1229</v>
      </c>
      <c r="M7" s="45" t="s">
        <v>1229</v>
      </c>
      <c r="N7" s="45" t="s">
        <v>1229</v>
      </c>
      <c r="O7" s="3">
        <v>27</v>
      </c>
      <c r="P7" s="45" t="s">
        <v>1229</v>
      </c>
      <c r="Q7" s="6">
        <f>SUM(C7:P7)</f>
        <v>4820</v>
      </c>
      <c r="R7" s="4"/>
    </row>
    <row r="8" spans="1:18">
      <c r="A8" s="17">
        <v>2</v>
      </c>
      <c r="B8" s="4" t="s">
        <v>402</v>
      </c>
      <c r="C8" s="3">
        <v>1298</v>
      </c>
      <c r="D8" s="45" t="s">
        <v>1229</v>
      </c>
      <c r="E8" s="45" t="s">
        <v>1229</v>
      </c>
      <c r="F8" s="45" t="s">
        <v>1229</v>
      </c>
      <c r="G8" s="45" t="s">
        <v>1229</v>
      </c>
      <c r="H8" s="45" t="s">
        <v>1229</v>
      </c>
      <c r="I8" s="45" t="s">
        <v>1229</v>
      </c>
      <c r="J8" s="45" t="s">
        <v>1229</v>
      </c>
      <c r="K8" s="45" t="s">
        <v>1229</v>
      </c>
      <c r="L8" s="45" t="s">
        <v>1229</v>
      </c>
      <c r="M8" s="45" t="s">
        <v>1229</v>
      </c>
      <c r="N8" s="45" t="s">
        <v>1229</v>
      </c>
      <c r="O8" s="3">
        <v>204</v>
      </c>
      <c r="P8" s="45" t="s">
        <v>1229</v>
      </c>
      <c r="Q8" s="6">
        <f t="shared" ref="Q8:Q33" si="0">SUM(C8:P8)</f>
        <v>1502</v>
      </c>
      <c r="R8" s="4"/>
    </row>
    <row r="9" spans="1:18">
      <c r="A9" s="17">
        <v>3</v>
      </c>
      <c r="B9" s="4" t="s">
        <v>207</v>
      </c>
      <c r="C9" s="3">
        <v>6170</v>
      </c>
      <c r="D9" s="45" t="s">
        <v>1229</v>
      </c>
      <c r="E9" s="45" t="s">
        <v>1229</v>
      </c>
      <c r="F9" s="45" t="s">
        <v>1229</v>
      </c>
      <c r="G9" s="45" t="s">
        <v>1229</v>
      </c>
      <c r="H9" s="45" t="s">
        <v>1229</v>
      </c>
      <c r="I9" s="45" t="s">
        <v>1229</v>
      </c>
      <c r="J9" s="45" t="s">
        <v>1229</v>
      </c>
      <c r="K9" s="45" t="s">
        <v>1229</v>
      </c>
      <c r="L9" s="45" t="s">
        <v>1229</v>
      </c>
      <c r="M9" s="45" t="s">
        <v>1229</v>
      </c>
      <c r="N9" s="45" t="s">
        <v>1229</v>
      </c>
      <c r="O9" s="45" t="s">
        <v>1229</v>
      </c>
      <c r="P9" s="45" t="s">
        <v>1229</v>
      </c>
      <c r="Q9" s="6">
        <f t="shared" si="0"/>
        <v>6170</v>
      </c>
      <c r="R9" s="4"/>
    </row>
    <row r="10" spans="1:18">
      <c r="A10" s="17">
        <v>4</v>
      </c>
      <c r="B10" s="4" t="s">
        <v>1267</v>
      </c>
      <c r="C10" s="3">
        <v>2</v>
      </c>
      <c r="D10" s="45" t="s">
        <v>1229</v>
      </c>
      <c r="E10" s="3">
        <v>23312</v>
      </c>
      <c r="F10" s="45" t="s">
        <v>1229</v>
      </c>
      <c r="G10" s="45" t="s">
        <v>1229</v>
      </c>
      <c r="H10" s="45" t="s">
        <v>1229</v>
      </c>
      <c r="I10" s="3">
        <v>3</v>
      </c>
      <c r="J10" s="45" t="s">
        <v>1229</v>
      </c>
      <c r="K10" s="45" t="s">
        <v>1229</v>
      </c>
      <c r="L10" s="45" t="s">
        <v>1229</v>
      </c>
      <c r="M10" s="45" t="s">
        <v>1229</v>
      </c>
      <c r="N10" s="45" t="s">
        <v>1229</v>
      </c>
      <c r="O10" s="45" t="s">
        <v>1229</v>
      </c>
      <c r="P10" s="45" t="s">
        <v>1229</v>
      </c>
      <c r="Q10" s="6">
        <f t="shared" si="0"/>
        <v>23317</v>
      </c>
      <c r="R10" s="4"/>
    </row>
    <row r="11" spans="1:18">
      <c r="A11" s="17">
        <v>5</v>
      </c>
      <c r="B11" s="4" t="s">
        <v>1183</v>
      </c>
      <c r="C11" s="3">
        <v>2752</v>
      </c>
      <c r="D11" s="3">
        <v>220</v>
      </c>
      <c r="E11" s="45" t="s">
        <v>1229</v>
      </c>
      <c r="F11" s="45" t="s">
        <v>1229</v>
      </c>
      <c r="G11" s="45" t="s">
        <v>1229</v>
      </c>
      <c r="H11" s="3">
        <v>4</v>
      </c>
      <c r="I11" s="45" t="s">
        <v>1229</v>
      </c>
      <c r="J11" s="3">
        <v>7</v>
      </c>
      <c r="K11" s="45" t="s">
        <v>1229</v>
      </c>
      <c r="L11" s="45" t="s">
        <v>1229</v>
      </c>
      <c r="M11" s="45" t="s">
        <v>1229</v>
      </c>
      <c r="N11" s="45" t="s">
        <v>1229</v>
      </c>
      <c r="O11" s="45" t="s">
        <v>1229</v>
      </c>
      <c r="P11" s="45" t="s">
        <v>1229</v>
      </c>
      <c r="Q11" s="6">
        <f t="shared" si="0"/>
        <v>2983</v>
      </c>
      <c r="R11" s="4"/>
    </row>
    <row r="12" spans="1:18">
      <c r="A12" s="17">
        <v>6</v>
      </c>
      <c r="B12" s="4" t="s">
        <v>1268</v>
      </c>
      <c r="C12" s="45" t="s">
        <v>1229</v>
      </c>
      <c r="D12" s="3">
        <v>46137</v>
      </c>
      <c r="E12" s="3">
        <v>28</v>
      </c>
      <c r="F12" s="45" t="s">
        <v>1229</v>
      </c>
      <c r="G12" s="45" t="s">
        <v>1229</v>
      </c>
      <c r="H12" s="45" t="s">
        <v>1229</v>
      </c>
      <c r="I12" s="45" t="s">
        <v>1229</v>
      </c>
      <c r="J12" s="45" t="s">
        <v>1229</v>
      </c>
      <c r="K12" s="45" t="s">
        <v>1229</v>
      </c>
      <c r="L12" s="45" t="s">
        <v>1229</v>
      </c>
      <c r="M12" s="45" t="s">
        <v>1229</v>
      </c>
      <c r="N12" s="45" t="s">
        <v>1229</v>
      </c>
      <c r="O12" s="45" t="s">
        <v>1229</v>
      </c>
      <c r="P12" s="45" t="s">
        <v>1229</v>
      </c>
      <c r="Q12" s="6">
        <f t="shared" si="0"/>
        <v>46165</v>
      </c>
      <c r="R12" s="4"/>
    </row>
    <row r="13" spans="1:18">
      <c r="A13" s="17">
        <v>7</v>
      </c>
      <c r="B13" s="4" t="s">
        <v>1269</v>
      </c>
      <c r="C13" s="3">
        <v>15285</v>
      </c>
      <c r="D13" s="45" t="s">
        <v>1229</v>
      </c>
      <c r="E13" s="45" t="s">
        <v>1229</v>
      </c>
      <c r="F13" s="45" t="s">
        <v>1229</v>
      </c>
      <c r="G13" s="45" t="s">
        <v>1229</v>
      </c>
      <c r="H13" s="45" t="s">
        <v>1229</v>
      </c>
      <c r="I13" s="45" t="s">
        <v>1229</v>
      </c>
      <c r="J13" s="45" t="s">
        <v>1229</v>
      </c>
      <c r="K13" s="45" t="s">
        <v>1229</v>
      </c>
      <c r="L13" s="45" t="s">
        <v>1229</v>
      </c>
      <c r="M13" s="45" t="s">
        <v>1229</v>
      </c>
      <c r="N13" s="45" t="s">
        <v>1229</v>
      </c>
      <c r="O13" s="3">
        <v>32</v>
      </c>
      <c r="P13" s="45" t="s">
        <v>1229</v>
      </c>
      <c r="Q13" s="6">
        <f t="shared" si="0"/>
        <v>15317</v>
      </c>
      <c r="R13" s="4"/>
    </row>
    <row r="14" spans="1:18">
      <c r="A14" s="17">
        <v>8</v>
      </c>
      <c r="B14" s="4" t="s">
        <v>1270</v>
      </c>
      <c r="C14" s="3">
        <v>646</v>
      </c>
      <c r="D14" s="45" t="s">
        <v>1229</v>
      </c>
      <c r="E14" s="3">
        <v>126</v>
      </c>
      <c r="F14" s="45" t="s">
        <v>1229</v>
      </c>
      <c r="G14" s="45" t="s">
        <v>1229</v>
      </c>
      <c r="H14" s="3">
        <v>3692</v>
      </c>
      <c r="I14" s="45" t="s">
        <v>1229</v>
      </c>
      <c r="J14" s="45" t="s">
        <v>1229</v>
      </c>
      <c r="K14" s="45" t="s">
        <v>1229</v>
      </c>
      <c r="L14" s="45" t="s">
        <v>1229</v>
      </c>
      <c r="M14" s="45" t="s">
        <v>1229</v>
      </c>
      <c r="N14" s="45" t="s">
        <v>1229</v>
      </c>
      <c r="O14" s="3">
        <v>8</v>
      </c>
      <c r="P14" s="45" t="s">
        <v>1229</v>
      </c>
      <c r="Q14" s="6">
        <f t="shared" si="0"/>
        <v>4472</v>
      </c>
      <c r="R14" s="4"/>
    </row>
    <row r="15" spans="1:18">
      <c r="A15" s="17">
        <v>9</v>
      </c>
      <c r="B15" s="4" t="s">
        <v>1271</v>
      </c>
      <c r="C15" s="3">
        <v>64</v>
      </c>
      <c r="D15" s="3"/>
      <c r="E15" s="45" t="s">
        <v>1229</v>
      </c>
      <c r="F15" s="45" t="s">
        <v>1229</v>
      </c>
      <c r="G15" s="3">
        <v>18756</v>
      </c>
      <c r="H15" s="3">
        <v>9754</v>
      </c>
      <c r="I15" s="45" t="s">
        <v>1229</v>
      </c>
      <c r="J15" s="45" t="s">
        <v>1229</v>
      </c>
      <c r="K15" s="45" t="s">
        <v>1229</v>
      </c>
      <c r="L15" s="45" t="s">
        <v>1229</v>
      </c>
      <c r="M15" s="45" t="s">
        <v>1229</v>
      </c>
      <c r="N15" s="45" t="s">
        <v>1229</v>
      </c>
      <c r="O15" s="45" t="s">
        <v>1229</v>
      </c>
      <c r="P15" s="45" t="s">
        <v>1229</v>
      </c>
      <c r="Q15" s="6">
        <f t="shared" si="0"/>
        <v>28574</v>
      </c>
      <c r="R15" s="4"/>
    </row>
    <row r="16" spans="1:18">
      <c r="A16" s="17">
        <v>10</v>
      </c>
      <c r="B16" s="4" t="s">
        <v>1272</v>
      </c>
      <c r="C16" s="45" t="s">
        <v>1229</v>
      </c>
      <c r="D16" s="3">
        <v>61</v>
      </c>
      <c r="E16" s="45" t="s">
        <v>1229</v>
      </c>
      <c r="F16" s="45" t="s">
        <v>1229</v>
      </c>
      <c r="G16" s="45" t="s">
        <v>1229</v>
      </c>
      <c r="H16" s="3">
        <v>97874</v>
      </c>
      <c r="I16" s="45" t="s">
        <v>1229</v>
      </c>
      <c r="J16" s="45" t="s">
        <v>1229</v>
      </c>
      <c r="K16" s="45" t="s">
        <v>1229</v>
      </c>
      <c r="L16" s="45" t="s">
        <v>1229</v>
      </c>
      <c r="M16" s="45" t="s">
        <v>1229</v>
      </c>
      <c r="N16" s="45" t="s">
        <v>1229</v>
      </c>
      <c r="O16" s="3">
        <v>2</v>
      </c>
      <c r="P16" s="45" t="s">
        <v>1229</v>
      </c>
      <c r="Q16" s="6">
        <f t="shared" si="0"/>
        <v>97937</v>
      </c>
      <c r="R16" s="4"/>
    </row>
    <row r="17" spans="1:18">
      <c r="A17" s="17">
        <v>11</v>
      </c>
      <c r="B17" s="4" t="s">
        <v>1273</v>
      </c>
      <c r="C17" s="45" t="s">
        <v>1229</v>
      </c>
      <c r="D17" s="45" t="s">
        <v>1229</v>
      </c>
      <c r="E17" s="45" t="s">
        <v>1229</v>
      </c>
      <c r="F17" s="45" t="s">
        <v>1229</v>
      </c>
      <c r="G17" s="45" t="s">
        <v>1229</v>
      </c>
      <c r="H17" s="3">
        <v>33538</v>
      </c>
      <c r="I17" s="45" t="s">
        <v>1229</v>
      </c>
      <c r="J17" s="45" t="s">
        <v>1229</v>
      </c>
      <c r="K17" s="45" t="s">
        <v>1229</v>
      </c>
      <c r="L17" s="45" t="s">
        <v>1229</v>
      </c>
      <c r="M17" s="45" t="s">
        <v>1229</v>
      </c>
      <c r="N17" s="45" t="s">
        <v>1229</v>
      </c>
      <c r="O17" s="45" t="s">
        <v>1229</v>
      </c>
      <c r="P17" s="45" t="s">
        <v>1229</v>
      </c>
      <c r="Q17" s="6">
        <f t="shared" si="0"/>
        <v>33538</v>
      </c>
      <c r="R17" s="4"/>
    </row>
    <row r="18" spans="1:18">
      <c r="A18" s="17">
        <v>12</v>
      </c>
      <c r="B18" s="4" t="s">
        <v>593</v>
      </c>
      <c r="C18" s="45" t="s">
        <v>1229</v>
      </c>
      <c r="D18" s="45" t="s">
        <v>1229</v>
      </c>
      <c r="E18" s="45" t="s">
        <v>1229</v>
      </c>
      <c r="F18" s="45" t="s">
        <v>1229</v>
      </c>
      <c r="G18" s="45" t="s">
        <v>1229</v>
      </c>
      <c r="H18" s="3">
        <v>44596</v>
      </c>
      <c r="I18" s="45" t="s">
        <v>1229</v>
      </c>
      <c r="J18" s="45" t="s">
        <v>1229</v>
      </c>
      <c r="K18" s="45" t="s">
        <v>1229</v>
      </c>
      <c r="L18" s="45" t="s">
        <v>1229</v>
      </c>
      <c r="M18" s="45" t="s">
        <v>1229</v>
      </c>
      <c r="N18" s="45" t="s">
        <v>1229</v>
      </c>
      <c r="O18" s="45" t="s">
        <v>1229</v>
      </c>
      <c r="P18" s="45" t="s">
        <v>1229</v>
      </c>
      <c r="Q18" s="6">
        <f t="shared" si="0"/>
        <v>44596</v>
      </c>
      <c r="R18" s="4"/>
    </row>
    <row r="19" spans="1:18">
      <c r="A19" s="17">
        <v>13</v>
      </c>
      <c r="B19" s="4" t="s">
        <v>594</v>
      </c>
      <c r="C19" s="45" t="s">
        <v>1229</v>
      </c>
      <c r="D19" s="45" t="s">
        <v>1229</v>
      </c>
      <c r="E19" s="45" t="s">
        <v>1229</v>
      </c>
      <c r="F19" s="45" t="s">
        <v>1229</v>
      </c>
      <c r="G19" s="45" t="s">
        <v>1229</v>
      </c>
      <c r="H19" s="3">
        <v>33224</v>
      </c>
      <c r="I19" s="45" t="s">
        <v>1229</v>
      </c>
      <c r="J19" s="45" t="s">
        <v>1229</v>
      </c>
      <c r="K19" s="45" t="s">
        <v>1229</v>
      </c>
      <c r="L19" s="45" t="s">
        <v>1229</v>
      </c>
      <c r="M19" s="45" t="s">
        <v>1229</v>
      </c>
      <c r="N19" s="45" t="s">
        <v>1229</v>
      </c>
      <c r="O19" s="45" t="s">
        <v>1229</v>
      </c>
      <c r="P19" s="45" t="s">
        <v>1229</v>
      </c>
      <c r="Q19" s="6">
        <f t="shared" si="0"/>
        <v>33224</v>
      </c>
      <c r="R19" s="4"/>
    </row>
    <row r="20" spans="1:18">
      <c r="A20" s="17">
        <v>14</v>
      </c>
      <c r="B20" s="4" t="s">
        <v>595</v>
      </c>
      <c r="C20" s="3">
        <v>395</v>
      </c>
      <c r="D20" s="45" t="s">
        <v>1229</v>
      </c>
      <c r="E20" s="45" t="s">
        <v>1229</v>
      </c>
      <c r="F20" s="3"/>
      <c r="G20" s="45" t="s">
        <v>1229</v>
      </c>
      <c r="H20" s="3">
        <v>12018</v>
      </c>
      <c r="I20" s="45" t="s">
        <v>1229</v>
      </c>
      <c r="J20" s="45" t="s">
        <v>1229</v>
      </c>
      <c r="K20" s="45" t="s">
        <v>1229</v>
      </c>
      <c r="L20" s="45" t="s">
        <v>1229</v>
      </c>
      <c r="M20" s="45" t="s">
        <v>1229</v>
      </c>
      <c r="N20" s="45" t="s">
        <v>1229</v>
      </c>
      <c r="O20" s="3">
        <v>28654</v>
      </c>
      <c r="P20" s="45" t="s">
        <v>1229</v>
      </c>
      <c r="Q20" s="6">
        <f t="shared" si="0"/>
        <v>41067</v>
      </c>
      <c r="R20" s="4"/>
    </row>
    <row r="21" spans="1:18">
      <c r="A21" s="17">
        <v>15</v>
      </c>
      <c r="B21" s="4" t="s">
        <v>596</v>
      </c>
      <c r="C21" s="45" t="s">
        <v>1229</v>
      </c>
      <c r="D21" s="45" t="s">
        <v>1229</v>
      </c>
      <c r="E21" s="45" t="s">
        <v>1229</v>
      </c>
      <c r="F21" s="3">
        <v>19681</v>
      </c>
      <c r="G21" s="45" t="s">
        <v>1229</v>
      </c>
      <c r="H21" s="45" t="s">
        <v>1229</v>
      </c>
      <c r="I21" s="45" t="s">
        <v>1229</v>
      </c>
      <c r="J21" s="45" t="s">
        <v>1229</v>
      </c>
      <c r="K21" s="45" t="s">
        <v>1229</v>
      </c>
      <c r="L21" s="45" t="s">
        <v>1229</v>
      </c>
      <c r="M21" s="45" t="s">
        <v>1229</v>
      </c>
      <c r="N21" s="45" t="s">
        <v>1229</v>
      </c>
      <c r="O21" s="45" t="s">
        <v>1229</v>
      </c>
      <c r="P21" s="45" t="s">
        <v>1229</v>
      </c>
      <c r="Q21" s="6">
        <f t="shared" si="0"/>
        <v>19681</v>
      </c>
      <c r="R21" s="4"/>
    </row>
    <row r="22" spans="1:18">
      <c r="A22" s="17">
        <v>16</v>
      </c>
      <c r="B22" s="4" t="s">
        <v>73</v>
      </c>
      <c r="C22" s="3">
        <v>49</v>
      </c>
      <c r="D22" s="45" t="s">
        <v>1229</v>
      </c>
      <c r="E22" s="45" t="s">
        <v>1229</v>
      </c>
      <c r="F22" s="3">
        <v>31108</v>
      </c>
      <c r="G22" s="45" t="s">
        <v>1229</v>
      </c>
      <c r="H22" s="45" t="s">
        <v>1229</v>
      </c>
      <c r="I22" s="45" t="s">
        <v>1229</v>
      </c>
      <c r="J22" s="3">
        <v>207</v>
      </c>
      <c r="K22" s="45" t="s">
        <v>1229</v>
      </c>
      <c r="L22" s="45" t="s">
        <v>1229</v>
      </c>
      <c r="M22" s="45" t="s">
        <v>1229</v>
      </c>
      <c r="N22" s="45" t="s">
        <v>1229</v>
      </c>
      <c r="O22" s="45" t="s">
        <v>1229</v>
      </c>
      <c r="P22" s="45" t="s">
        <v>1229</v>
      </c>
      <c r="Q22" s="6">
        <f t="shared" si="0"/>
        <v>31364</v>
      </c>
      <c r="R22" s="4"/>
    </row>
    <row r="23" spans="1:18">
      <c r="A23" s="17">
        <v>17</v>
      </c>
      <c r="B23" s="4" t="s">
        <v>74</v>
      </c>
      <c r="C23" s="3">
        <v>417</v>
      </c>
      <c r="D23" s="45" t="s">
        <v>1229</v>
      </c>
      <c r="E23" s="45" t="s">
        <v>1229</v>
      </c>
      <c r="F23" s="3">
        <v>2567</v>
      </c>
      <c r="G23" s="45" t="s">
        <v>1229</v>
      </c>
      <c r="H23" s="45" t="s">
        <v>1229</v>
      </c>
      <c r="I23" s="45" t="s">
        <v>1229</v>
      </c>
      <c r="J23" s="3">
        <v>4581</v>
      </c>
      <c r="K23" s="45" t="s">
        <v>1229</v>
      </c>
      <c r="L23" s="45" t="s">
        <v>1229</v>
      </c>
      <c r="M23" s="45" t="s">
        <v>1229</v>
      </c>
      <c r="N23" s="45" t="s">
        <v>1229</v>
      </c>
      <c r="O23" s="3">
        <v>24</v>
      </c>
      <c r="P23" s="45" t="s">
        <v>1229</v>
      </c>
      <c r="Q23" s="6">
        <f t="shared" si="0"/>
        <v>7589</v>
      </c>
      <c r="R23" s="4"/>
    </row>
    <row r="24" spans="1:18" ht="22.5">
      <c r="A24" s="52">
        <v>18</v>
      </c>
      <c r="B24" s="82" t="s">
        <v>75</v>
      </c>
      <c r="C24" s="3">
        <v>1830</v>
      </c>
      <c r="D24" s="45" t="s">
        <v>1229</v>
      </c>
      <c r="E24" s="45" t="s">
        <v>1229</v>
      </c>
      <c r="F24" s="45" t="s">
        <v>1229</v>
      </c>
      <c r="G24" s="45" t="s">
        <v>1229</v>
      </c>
      <c r="H24" s="3">
        <v>4377</v>
      </c>
      <c r="I24" s="3">
        <v>4472</v>
      </c>
      <c r="J24" s="45" t="s">
        <v>1229</v>
      </c>
      <c r="K24" s="45" t="s">
        <v>1229</v>
      </c>
      <c r="L24" s="3">
        <v>607</v>
      </c>
      <c r="M24" s="3">
        <v>150</v>
      </c>
      <c r="N24" s="45" t="s">
        <v>1229</v>
      </c>
      <c r="O24" s="3">
        <v>430</v>
      </c>
      <c r="P24" s="45" t="s">
        <v>1229</v>
      </c>
      <c r="Q24" s="6">
        <f t="shared" si="0"/>
        <v>11866</v>
      </c>
      <c r="R24" s="4"/>
    </row>
    <row r="25" spans="1:18">
      <c r="A25" s="17">
        <v>19</v>
      </c>
      <c r="B25" s="4" t="s">
        <v>76</v>
      </c>
      <c r="C25" s="45" t="s">
        <v>1229</v>
      </c>
      <c r="D25" s="45" t="s">
        <v>1229</v>
      </c>
      <c r="E25" s="45" t="s">
        <v>1229</v>
      </c>
      <c r="F25" s="45" t="s">
        <v>1229</v>
      </c>
      <c r="G25" s="45" t="s">
        <v>1229</v>
      </c>
      <c r="H25" s="45" t="s">
        <v>1229</v>
      </c>
      <c r="I25" s="3">
        <v>2683</v>
      </c>
      <c r="J25" s="45" t="s">
        <v>1229</v>
      </c>
      <c r="K25" s="45" t="s">
        <v>1229</v>
      </c>
      <c r="L25" s="45" t="s">
        <v>1229</v>
      </c>
      <c r="M25" s="45" t="s">
        <v>1229</v>
      </c>
      <c r="N25" s="3">
        <v>321</v>
      </c>
      <c r="O25" s="3">
        <v>2</v>
      </c>
      <c r="P25" s="45" t="s">
        <v>1229</v>
      </c>
      <c r="Q25" s="6">
        <f t="shared" si="0"/>
        <v>3006</v>
      </c>
      <c r="R25" s="4"/>
    </row>
    <row r="26" spans="1:18">
      <c r="A26" s="17">
        <v>20</v>
      </c>
      <c r="B26" s="4" t="s">
        <v>1225</v>
      </c>
      <c r="C26" s="3">
        <v>98</v>
      </c>
      <c r="D26" s="45" t="s">
        <v>1229</v>
      </c>
      <c r="E26" s="45" t="s">
        <v>1229</v>
      </c>
      <c r="F26" s="45" t="s">
        <v>1229</v>
      </c>
      <c r="G26" s="45" t="s">
        <v>1229</v>
      </c>
      <c r="H26" s="45" t="s">
        <v>1229</v>
      </c>
      <c r="I26" s="3">
        <v>1454</v>
      </c>
      <c r="J26" s="45" t="s">
        <v>1229</v>
      </c>
      <c r="K26" s="3">
        <v>149</v>
      </c>
      <c r="L26" s="45" t="s">
        <v>1229</v>
      </c>
      <c r="M26" s="45" t="s">
        <v>1229</v>
      </c>
      <c r="N26" s="45" t="s">
        <v>1229</v>
      </c>
      <c r="O26" s="45" t="s">
        <v>1229</v>
      </c>
      <c r="P26" s="45" t="s">
        <v>1229</v>
      </c>
      <c r="Q26" s="6">
        <f t="shared" si="0"/>
        <v>1701</v>
      </c>
      <c r="R26" s="4"/>
    </row>
    <row r="27" spans="1:18">
      <c r="A27" s="17">
        <v>21</v>
      </c>
      <c r="B27" s="4" t="s">
        <v>77</v>
      </c>
      <c r="C27" s="45" t="s">
        <v>1229</v>
      </c>
      <c r="D27" s="45" t="s">
        <v>1229</v>
      </c>
      <c r="E27" s="45" t="s">
        <v>1229</v>
      </c>
      <c r="F27" s="45" t="s">
        <v>1229</v>
      </c>
      <c r="G27" s="45" t="s">
        <v>1229</v>
      </c>
      <c r="H27" s="45" t="s">
        <v>1229</v>
      </c>
      <c r="I27" s="45" t="s">
        <v>1229</v>
      </c>
      <c r="J27" s="45" t="s">
        <v>1229</v>
      </c>
      <c r="K27" s="3">
        <v>1731</v>
      </c>
      <c r="L27" s="45" t="s">
        <v>1229</v>
      </c>
      <c r="M27" s="45" t="s">
        <v>1229</v>
      </c>
      <c r="N27" s="45" t="s">
        <v>1229</v>
      </c>
      <c r="O27" s="45" t="s">
        <v>1229</v>
      </c>
      <c r="P27" s="45" t="s">
        <v>1229</v>
      </c>
      <c r="Q27" s="6">
        <f t="shared" si="0"/>
        <v>1731</v>
      </c>
      <c r="R27" s="4"/>
    </row>
    <row r="28" spans="1:18">
      <c r="A28" s="17">
        <v>22</v>
      </c>
      <c r="B28" s="4" t="s">
        <v>78</v>
      </c>
      <c r="C28" s="3">
        <v>1655</v>
      </c>
      <c r="D28" s="45" t="s">
        <v>1229</v>
      </c>
      <c r="E28" s="45" t="s">
        <v>1229</v>
      </c>
      <c r="F28" s="45" t="s">
        <v>1229</v>
      </c>
      <c r="G28" s="45" t="s">
        <v>1229</v>
      </c>
      <c r="H28" s="45" t="s">
        <v>1229</v>
      </c>
      <c r="I28" s="45" t="s">
        <v>1229</v>
      </c>
      <c r="J28" s="45" t="s">
        <v>1229</v>
      </c>
      <c r="K28" s="45" t="s">
        <v>1229</v>
      </c>
      <c r="L28" s="45" t="s">
        <v>1229</v>
      </c>
      <c r="M28" s="45" t="s">
        <v>1229</v>
      </c>
      <c r="N28" s="3">
        <v>23498</v>
      </c>
      <c r="O28" s="3">
        <v>193</v>
      </c>
      <c r="P28" s="45" t="s">
        <v>1229</v>
      </c>
      <c r="Q28" s="6">
        <f t="shared" si="0"/>
        <v>25346</v>
      </c>
      <c r="R28" s="4"/>
    </row>
    <row r="29" spans="1:18" ht="22.5">
      <c r="A29" s="52">
        <v>23</v>
      </c>
      <c r="B29" s="82" t="s">
        <v>1086</v>
      </c>
      <c r="C29" s="3">
        <v>38</v>
      </c>
      <c r="D29" s="3">
        <v>5</v>
      </c>
      <c r="E29" s="45" t="s">
        <v>1229</v>
      </c>
      <c r="F29" s="3">
        <v>1163</v>
      </c>
      <c r="G29" s="45" t="s">
        <v>1229</v>
      </c>
      <c r="H29" s="45" t="s">
        <v>1229</v>
      </c>
      <c r="I29" s="45" t="s">
        <v>1229</v>
      </c>
      <c r="J29" s="45" t="s">
        <v>1229</v>
      </c>
      <c r="K29" s="45" t="s">
        <v>1229</v>
      </c>
      <c r="L29" s="3">
        <v>8412</v>
      </c>
      <c r="M29" s="45" t="s">
        <v>1229</v>
      </c>
      <c r="N29" s="45" t="s">
        <v>1229</v>
      </c>
      <c r="O29" s="3">
        <v>122</v>
      </c>
      <c r="P29" s="45" t="s">
        <v>1229</v>
      </c>
      <c r="Q29" s="6">
        <f t="shared" si="0"/>
        <v>9740</v>
      </c>
      <c r="R29" s="4"/>
    </row>
    <row r="30" spans="1:18">
      <c r="A30" s="17">
        <v>24</v>
      </c>
      <c r="B30" s="4" t="s">
        <v>1087</v>
      </c>
      <c r="C30" s="3">
        <v>90</v>
      </c>
      <c r="D30" s="45" t="s">
        <v>1229</v>
      </c>
      <c r="E30" s="45" t="s">
        <v>1229</v>
      </c>
      <c r="F30" s="3">
        <v>1</v>
      </c>
      <c r="G30" s="45" t="s">
        <v>1229</v>
      </c>
      <c r="H30" s="45" t="s">
        <v>1229</v>
      </c>
      <c r="I30" s="45" t="s">
        <v>1229</v>
      </c>
      <c r="J30" s="45" t="s">
        <v>1229</v>
      </c>
      <c r="K30" s="3">
        <v>37</v>
      </c>
      <c r="L30" s="45" t="s">
        <v>1229</v>
      </c>
      <c r="M30" s="3">
        <v>2165</v>
      </c>
      <c r="N30" s="3">
        <v>30</v>
      </c>
      <c r="O30" s="3">
        <v>1495</v>
      </c>
      <c r="P30" s="45" t="s">
        <v>1229</v>
      </c>
      <c r="Q30" s="6">
        <f t="shared" si="0"/>
        <v>3818</v>
      </c>
      <c r="R30" s="4"/>
    </row>
    <row r="31" spans="1:18">
      <c r="A31" s="17">
        <v>25</v>
      </c>
      <c r="B31" s="4" t="s">
        <v>1088</v>
      </c>
      <c r="C31" s="45" t="s">
        <v>1229</v>
      </c>
      <c r="D31" s="45" t="s">
        <v>1229</v>
      </c>
      <c r="E31" s="45" t="s">
        <v>1229</v>
      </c>
      <c r="F31" s="45" t="s">
        <v>1229</v>
      </c>
      <c r="G31" s="45" t="s">
        <v>1229</v>
      </c>
      <c r="H31" s="45" t="s">
        <v>1229</v>
      </c>
      <c r="I31" s="45" t="s">
        <v>1229</v>
      </c>
      <c r="J31" s="45" t="s">
        <v>1229</v>
      </c>
      <c r="K31" s="45" t="s">
        <v>1229</v>
      </c>
      <c r="L31" s="45" t="s">
        <v>1229</v>
      </c>
      <c r="M31" s="45" t="s">
        <v>1229</v>
      </c>
      <c r="N31" s="45" t="s">
        <v>1229</v>
      </c>
      <c r="O31" s="45" t="s">
        <v>1229</v>
      </c>
      <c r="P31" s="3">
        <v>97535</v>
      </c>
      <c r="Q31" s="6">
        <f t="shared" si="0"/>
        <v>97535</v>
      </c>
      <c r="R31" s="4"/>
    </row>
    <row r="32" spans="1:18">
      <c r="A32" s="17">
        <v>26</v>
      </c>
      <c r="B32" s="4" t="s">
        <v>422</v>
      </c>
      <c r="C32" s="3">
        <v>17</v>
      </c>
      <c r="D32" s="45" t="s">
        <v>1229</v>
      </c>
      <c r="E32" s="45" t="s">
        <v>1229</v>
      </c>
      <c r="F32" s="45" t="s">
        <v>1229</v>
      </c>
      <c r="G32" s="45" t="s">
        <v>1229</v>
      </c>
      <c r="H32" s="45" t="s">
        <v>1229</v>
      </c>
      <c r="I32" s="45" t="s">
        <v>1229</v>
      </c>
      <c r="J32" s="45" t="s">
        <v>1229</v>
      </c>
      <c r="K32" s="45" t="s">
        <v>1229</v>
      </c>
      <c r="L32" s="45" t="s">
        <v>1229</v>
      </c>
      <c r="M32" s="45" t="s">
        <v>1229</v>
      </c>
      <c r="N32" s="45" t="s">
        <v>1229</v>
      </c>
      <c r="O32" s="45" t="s">
        <v>1229</v>
      </c>
      <c r="P32" s="3">
        <v>90196</v>
      </c>
      <c r="Q32" s="6">
        <f t="shared" si="0"/>
        <v>90213</v>
      </c>
      <c r="R32" s="4"/>
    </row>
    <row r="33" spans="1:18">
      <c r="A33" s="17">
        <v>27</v>
      </c>
      <c r="B33" s="4" t="s">
        <v>1089</v>
      </c>
      <c r="C33" s="3">
        <v>22295</v>
      </c>
      <c r="D33" s="45" t="s">
        <v>1229</v>
      </c>
      <c r="E33" s="45" t="s">
        <v>1229</v>
      </c>
      <c r="F33" s="45" t="s">
        <v>1229</v>
      </c>
      <c r="G33" s="45" t="s">
        <v>1229</v>
      </c>
      <c r="H33" s="45" t="s">
        <v>1229</v>
      </c>
      <c r="I33" s="45" t="s">
        <v>1229</v>
      </c>
      <c r="J33" s="45" t="s">
        <v>1229</v>
      </c>
      <c r="K33" s="45" t="s">
        <v>1229</v>
      </c>
      <c r="L33" s="45" t="s">
        <v>1229</v>
      </c>
      <c r="M33" s="45" t="s">
        <v>1229</v>
      </c>
      <c r="N33" s="45" t="s">
        <v>1229</v>
      </c>
      <c r="O33" s="45" t="s">
        <v>1229</v>
      </c>
      <c r="P33" s="45" t="s">
        <v>1229</v>
      </c>
      <c r="Q33" s="6">
        <f t="shared" si="0"/>
        <v>22295</v>
      </c>
      <c r="R33" s="4"/>
    </row>
    <row r="34" spans="1:18">
      <c r="A34" s="17"/>
      <c r="B34" s="4"/>
      <c r="C34" s="3"/>
      <c r="D34" s="3"/>
      <c r="E34" s="3"/>
      <c r="F34" s="3"/>
      <c r="G34" s="3"/>
      <c r="H34" s="3"/>
      <c r="I34" s="3"/>
      <c r="J34" s="3"/>
      <c r="K34" s="3"/>
      <c r="L34" s="3"/>
      <c r="M34" s="3"/>
      <c r="N34" s="3"/>
      <c r="O34" s="3"/>
      <c r="P34" s="3"/>
      <c r="Q34" s="3"/>
      <c r="R34" s="4"/>
    </row>
    <row r="35" spans="1:18" ht="13.5" thickBot="1">
      <c r="A35" s="39"/>
      <c r="B35" s="33" t="s">
        <v>1092</v>
      </c>
      <c r="C35" s="40">
        <f>SUM(C7:C34)</f>
        <v>57021</v>
      </c>
      <c r="D35" s="40">
        <f>SUM(D7:D34)</f>
        <v>46423</v>
      </c>
      <c r="E35" s="40">
        <f>SUM(E7:E34)</f>
        <v>23524</v>
      </c>
      <c r="F35" s="40">
        <f t="shared" ref="F35:N35" si="1">SUM(F7:F34)</f>
        <v>54520</v>
      </c>
      <c r="G35" s="40">
        <f t="shared" si="1"/>
        <v>18756</v>
      </c>
      <c r="H35" s="40">
        <f t="shared" si="1"/>
        <v>239077</v>
      </c>
      <c r="I35" s="40">
        <f t="shared" si="1"/>
        <v>8612</v>
      </c>
      <c r="J35" s="40">
        <f t="shared" si="1"/>
        <v>5610</v>
      </c>
      <c r="K35" s="40">
        <f t="shared" si="1"/>
        <v>1917</v>
      </c>
      <c r="L35" s="40">
        <f t="shared" si="1"/>
        <v>9019</v>
      </c>
      <c r="M35" s="40">
        <f t="shared" si="1"/>
        <v>2315</v>
      </c>
      <c r="N35" s="40">
        <f t="shared" si="1"/>
        <v>23849</v>
      </c>
      <c r="O35" s="40">
        <f>SUM(O7:O34)</f>
        <v>31193</v>
      </c>
      <c r="P35" s="40">
        <f>SUM(P7:P34)</f>
        <v>187731</v>
      </c>
      <c r="Q35" s="40">
        <f>SUM(C35:P35)</f>
        <v>709567</v>
      </c>
      <c r="R35" s="4"/>
    </row>
    <row r="36" spans="1:18">
      <c r="A36" s="42" t="s">
        <v>179</v>
      </c>
      <c r="B36" s="4"/>
      <c r="C36" s="4"/>
      <c r="D36" s="4"/>
      <c r="E36" s="4"/>
      <c r="F36" s="4"/>
      <c r="G36" s="4"/>
      <c r="H36" s="4"/>
      <c r="I36" s="4"/>
      <c r="J36" s="4"/>
      <c r="K36" s="4"/>
      <c r="L36" s="4"/>
      <c r="M36" s="4"/>
      <c r="N36" s="4"/>
      <c r="O36" s="4"/>
      <c r="P36" s="4"/>
      <c r="Q36" s="4"/>
      <c r="R36" s="4"/>
    </row>
    <row r="37" spans="1:18">
      <c r="A37" s="42" t="s">
        <v>539</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mergeCells count="1">
    <mergeCell ref="A5:B5"/>
  </mergeCells>
  <phoneticPr fontId="15"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F49" sqref="F49"/>
    </sheetView>
  </sheetViews>
  <sheetFormatPr defaultColWidth="10.83203125" defaultRowHeight="11.25"/>
  <cols>
    <col min="1" max="1" width="3.5" style="17"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1" t="s">
        <v>935</v>
      </c>
      <c r="S1"/>
      <c r="T1"/>
      <c r="U1"/>
    </row>
    <row r="2" spans="1:21" ht="12.75">
      <c r="A2" s="41" t="s">
        <v>1689</v>
      </c>
      <c r="S2"/>
      <c r="T2"/>
      <c r="U2"/>
    </row>
    <row r="3" spans="1:21" ht="12.75">
      <c r="A3" s="9" t="s">
        <v>840</v>
      </c>
      <c r="S3"/>
      <c r="T3"/>
      <c r="U3"/>
    </row>
    <row r="4" spans="1:21" ht="13.5" thickBot="1">
      <c r="A4" s="39"/>
      <c r="B4" s="43"/>
      <c r="S4"/>
      <c r="T4"/>
      <c r="U4"/>
    </row>
    <row r="5" spans="1:21" s="51" customFormat="1" ht="45.75" thickBot="1">
      <c r="A5" s="745" t="s">
        <v>1226</v>
      </c>
      <c r="B5" s="745"/>
      <c r="C5" s="439" t="s">
        <v>543</v>
      </c>
      <c r="D5" s="439" t="s">
        <v>544</v>
      </c>
      <c r="E5" s="439" t="s">
        <v>1736</v>
      </c>
      <c r="F5" s="439" t="s">
        <v>1734</v>
      </c>
      <c r="G5" s="439" t="s">
        <v>546</v>
      </c>
      <c r="H5" s="439" t="s">
        <v>547</v>
      </c>
      <c r="I5" s="439" t="s">
        <v>1731</v>
      </c>
      <c r="J5" s="439" t="s">
        <v>1424</v>
      </c>
      <c r="K5" s="439" t="s">
        <v>77</v>
      </c>
      <c r="L5" s="439" t="s">
        <v>1425</v>
      </c>
      <c r="M5" s="439" t="s">
        <v>1737</v>
      </c>
      <c r="N5" s="439" t="s">
        <v>78</v>
      </c>
      <c r="O5" s="439" t="s">
        <v>1735</v>
      </c>
      <c r="P5" s="439" t="s">
        <v>188</v>
      </c>
      <c r="Q5" s="440" t="s">
        <v>998</v>
      </c>
      <c r="S5"/>
      <c r="T5"/>
      <c r="U5"/>
    </row>
    <row r="6" spans="1:21" ht="12.75">
      <c r="A6" s="437"/>
      <c r="B6" s="438"/>
      <c r="C6" s="438"/>
      <c r="D6" s="438"/>
      <c r="E6" s="438"/>
      <c r="F6" s="438"/>
      <c r="G6" s="438"/>
      <c r="H6" s="438"/>
      <c r="I6" s="438"/>
      <c r="J6" s="438"/>
      <c r="K6" s="438"/>
      <c r="L6" s="438"/>
      <c r="M6" s="438"/>
      <c r="N6" s="438"/>
      <c r="O6" s="438"/>
      <c r="P6" s="438"/>
      <c r="Q6" s="438"/>
      <c r="S6" s="58"/>
      <c r="T6" s="58"/>
      <c r="U6" s="58"/>
    </row>
    <row r="7" spans="1:21" ht="12.75">
      <c r="A7" s="17">
        <v>1</v>
      </c>
      <c r="B7" s="4" t="s">
        <v>401</v>
      </c>
      <c r="C7" s="3">
        <v>4523.8208129412005</v>
      </c>
      <c r="D7" s="45" t="s">
        <v>1229</v>
      </c>
      <c r="E7" s="3">
        <v>60.968200169300012</v>
      </c>
      <c r="F7" s="45" t="s">
        <v>1229</v>
      </c>
      <c r="G7" s="45" t="s">
        <v>1229</v>
      </c>
      <c r="H7" s="45" t="s">
        <v>1229</v>
      </c>
      <c r="I7" s="45" t="s">
        <v>1229</v>
      </c>
      <c r="J7" s="3">
        <v>798.45766185839989</v>
      </c>
      <c r="K7" s="45" t="s">
        <v>1229</v>
      </c>
      <c r="L7" s="45" t="s">
        <v>1229</v>
      </c>
      <c r="M7" s="45" t="s">
        <v>1229</v>
      </c>
      <c r="N7" s="45" t="s">
        <v>1229</v>
      </c>
      <c r="O7" s="3">
        <v>29.492599669900002</v>
      </c>
      <c r="P7" s="45" t="s">
        <v>1229</v>
      </c>
      <c r="Q7" s="6">
        <f t="shared" ref="Q7:Q33" si="0">SUM(C7:P7)</f>
        <v>5412.7392746388005</v>
      </c>
      <c r="R7"/>
      <c r="S7" s="58"/>
      <c r="T7" s="58"/>
      <c r="U7" s="3"/>
    </row>
    <row r="8" spans="1:21" ht="12.75">
      <c r="A8" s="17">
        <v>2</v>
      </c>
      <c r="B8" s="4" t="s">
        <v>402</v>
      </c>
      <c r="C8" s="3">
        <v>1964.5376961588997</v>
      </c>
      <c r="D8" s="45" t="s">
        <v>1229</v>
      </c>
      <c r="E8" s="45" t="s">
        <v>1229</v>
      </c>
      <c r="F8" s="45" t="s">
        <v>1229</v>
      </c>
      <c r="G8" s="45" t="s">
        <v>1229</v>
      </c>
      <c r="H8" s="45" t="s">
        <v>1229</v>
      </c>
      <c r="I8" s="45" t="s">
        <v>1229</v>
      </c>
      <c r="J8" s="45" t="s">
        <v>1229</v>
      </c>
      <c r="K8" s="45" t="s">
        <v>1229</v>
      </c>
      <c r="L8" s="45" t="s">
        <v>1229</v>
      </c>
      <c r="M8" s="45" t="s">
        <v>1229</v>
      </c>
      <c r="N8" s="45" t="s">
        <v>1229</v>
      </c>
      <c r="O8" s="3">
        <v>157.19334472899996</v>
      </c>
      <c r="P8" s="45" t="s">
        <v>1229</v>
      </c>
      <c r="Q8" s="6">
        <f t="shared" si="0"/>
        <v>2121.7310408878998</v>
      </c>
      <c r="R8"/>
      <c r="S8" s="58"/>
      <c r="T8" s="58"/>
      <c r="U8" s="3"/>
    </row>
    <row r="9" spans="1:21" ht="12.75">
      <c r="A9" s="17">
        <v>3</v>
      </c>
      <c r="B9" s="4" t="s">
        <v>207</v>
      </c>
      <c r="C9" s="3">
        <v>6431.7535256349975</v>
      </c>
      <c r="D9" s="45" t="s">
        <v>1229</v>
      </c>
      <c r="E9" s="45" t="s">
        <v>1229</v>
      </c>
      <c r="F9" s="45" t="s">
        <v>1229</v>
      </c>
      <c r="G9" s="45" t="s">
        <v>1229</v>
      </c>
      <c r="H9" s="45" t="s">
        <v>1229</v>
      </c>
      <c r="I9" s="45" t="s">
        <v>1229</v>
      </c>
      <c r="J9" s="45" t="s">
        <v>1229</v>
      </c>
      <c r="K9" s="45" t="s">
        <v>1229</v>
      </c>
      <c r="L9" s="45" t="s">
        <v>1229</v>
      </c>
      <c r="M9" s="45" t="s">
        <v>1229</v>
      </c>
      <c r="N9" s="45" t="s">
        <v>1229</v>
      </c>
      <c r="O9" s="45" t="s">
        <v>1229</v>
      </c>
      <c r="P9" s="45" t="s">
        <v>1229</v>
      </c>
      <c r="Q9" s="6">
        <f t="shared" si="0"/>
        <v>6431.7535256349975</v>
      </c>
      <c r="R9"/>
      <c r="S9" s="58"/>
      <c r="T9" s="58"/>
      <c r="U9" s="3"/>
    </row>
    <row r="10" spans="1:21" ht="12.75">
      <c r="A10" s="17">
        <v>4</v>
      </c>
      <c r="B10" s="4" t="s">
        <v>1267</v>
      </c>
      <c r="C10" s="3">
        <v>6.8542518300000008</v>
      </c>
      <c r="D10" s="45" t="s">
        <v>1229</v>
      </c>
      <c r="E10" s="3">
        <v>24141.921689193918</v>
      </c>
      <c r="F10" s="45" t="s">
        <v>1229</v>
      </c>
      <c r="G10" s="45" t="s">
        <v>1229</v>
      </c>
      <c r="H10" s="45" t="s">
        <v>1229</v>
      </c>
      <c r="I10" s="45" t="s">
        <v>1229</v>
      </c>
      <c r="J10" s="45" t="s">
        <v>1229</v>
      </c>
      <c r="K10" s="45" t="s">
        <v>1229</v>
      </c>
      <c r="L10" s="45" t="s">
        <v>1229</v>
      </c>
      <c r="M10" s="45" t="s">
        <v>1229</v>
      </c>
      <c r="N10" s="45" t="s">
        <v>1229</v>
      </c>
      <c r="O10" s="45" t="s">
        <v>1229</v>
      </c>
      <c r="P10" s="45" t="s">
        <v>1229</v>
      </c>
      <c r="Q10" s="6">
        <f t="shared" si="0"/>
        <v>24148.775941023916</v>
      </c>
      <c r="R10" s="3"/>
      <c r="S10" s="58"/>
      <c r="T10" s="58"/>
      <c r="U10" s="3"/>
    </row>
    <row r="11" spans="1:21" ht="12.75">
      <c r="A11" s="17">
        <v>5</v>
      </c>
      <c r="B11" s="4" t="s">
        <v>1183</v>
      </c>
      <c r="C11" s="3">
        <v>2867.5036040828004</v>
      </c>
      <c r="D11" s="3">
        <v>137.75496895979998</v>
      </c>
      <c r="E11" s="45" t="s">
        <v>1229</v>
      </c>
      <c r="F11" s="45" t="s">
        <v>1229</v>
      </c>
      <c r="G11" s="45" t="s">
        <v>1229</v>
      </c>
      <c r="H11" s="3">
        <v>2.8811191506</v>
      </c>
      <c r="I11" s="45" t="s">
        <v>1229</v>
      </c>
      <c r="J11" s="3">
        <v>7.1280000000000001</v>
      </c>
      <c r="K11" s="45" t="s">
        <v>1229</v>
      </c>
      <c r="L11" s="45" t="s">
        <v>1229</v>
      </c>
      <c r="M11" s="45" t="s">
        <v>1229</v>
      </c>
      <c r="N11" s="45" t="s">
        <v>1229</v>
      </c>
      <c r="O11" s="45" t="s">
        <v>1229</v>
      </c>
      <c r="P11" s="45" t="s">
        <v>1229</v>
      </c>
      <c r="Q11" s="6">
        <f t="shared" si="0"/>
        <v>3015.2676921932007</v>
      </c>
      <c r="R11" s="3"/>
      <c r="S11" s="58"/>
      <c r="T11" s="58"/>
      <c r="U11" s="3"/>
    </row>
    <row r="12" spans="1:21" ht="12.75">
      <c r="A12" s="17">
        <v>6</v>
      </c>
      <c r="B12" s="4" t="s">
        <v>1268</v>
      </c>
      <c r="C12" s="45" t="s">
        <v>1229</v>
      </c>
      <c r="D12" s="3">
        <v>44824.950836404991</v>
      </c>
      <c r="E12" s="3">
        <v>69.93466394939999</v>
      </c>
      <c r="F12" s="45" t="s">
        <v>1229</v>
      </c>
      <c r="G12" s="45" t="s">
        <v>1229</v>
      </c>
      <c r="H12" s="45" t="s">
        <v>1229</v>
      </c>
      <c r="I12" s="45" t="s">
        <v>1229</v>
      </c>
      <c r="J12" s="45" t="s">
        <v>1229</v>
      </c>
      <c r="K12" s="45" t="s">
        <v>1229</v>
      </c>
      <c r="L12" s="45" t="s">
        <v>1229</v>
      </c>
      <c r="M12" s="45" t="s">
        <v>1229</v>
      </c>
      <c r="N12" s="45" t="s">
        <v>1229</v>
      </c>
      <c r="O12" s="45" t="s">
        <v>1229</v>
      </c>
      <c r="P12" s="45" t="s">
        <v>1229</v>
      </c>
      <c r="Q12" s="6">
        <f t="shared" si="0"/>
        <v>44894.885500354394</v>
      </c>
      <c r="R12"/>
      <c r="S12" s="58"/>
      <c r="T12" s="58"/>
      <c r="U12" s="3"/>
    </row>
    <row r="13" spans="1:21" ht="12.75">
      <c r="A13" s="17">
        <v>7</v>
      </c>
      <c r="B13" s="4" t="s">
        <v>1269</v>
      </c>
      <c r="C13" s="3">
        <v>16888.513606400713</v>
      </c>
      <c r="D13" s="45" t="s">
        <v>1229</v>
      </c>
      <c r="E13" s="45" t="s">
        <v>1229</v>
      </c>
      <c r="F13" s="45" t="s">
        <v>1229</v>
      </c>
      <c r="G13" s="45" t="s">
        <v>1229</v>
      </c>
      <c r="H13" s="45" t="s">
        <v>1229</v>
      </c>
      <c r="I13" s="45" t="s">
        <v>1229</v>
      </c>
      <c r="J13" s="45" t="s">
        <v>1229</v>
      </c>
      <c r="K13" s="45" t="s">
        <v>1229</v>
      </c>
      <c r="L13" s="45" t="s">
        <v>1229</v>
      </c>
      <c r="M13" s="45" t="s">
        <v>1229</v>
      </c>
      <c r="N13" s="45" t="s">
        <v>1229</v>
      </c>
      <c r="O13" s="3">
        <v>100.8</v>
      </c>
      <c r="P13" s="45" t="s">
        <v>1229</v>
      </c>
      <c r="Q13" s="6">
        <f t="shared" si="0"/>
        <v>16989.313606400712</v>
      </c>
      <c r="R13"/>
      <c r="S13" s="58"/>
      <c r="T13" s="58"/>
      <c r="U13" s="3"/>
    </row>
    <row r="14" spans="1:21" ht="12.75">
      <c r="A14" s="17">
        <v>8</v>
      </c>
      <c r="B14" s="4" t="s">
        <v>1270</v>
      </c>
      <c r="C14" s="3">
        <v>703.74843266360006</v>
      </c>
      <c r="D14" s="45" t="s">
        <v>1229</v>
      </c>
      <c r="E14" s="3">
        <v>155.49247435010005</v>
      </c>
      <c r="F14" s="45" t="s">
        <v>1229</v>
      </c>
      <c r="G14" s="45" t="s">
        <v>1229</v>
      </c>
      <c r="H14" s="3">
        <v>4410.2576612918001</v>
      </c>
      <c r="I14" s="45" t="s">
        <v>1229</v>
      </c>
      <c r="J14" s="45" t="s">
        <v>1229</v>
      </c>
      <c r="K14" s="45" t="s">
        <v>1229</v>
      </c>
      <c r="L14" s="45" t="s">
        <v>1229</v>
      </c>
      <c r="M14" s="45" t="s">
        <v>1229</v>
      </c>
      <c r="N14" s="45" t="s">
        <v>1229</v>
      </c>
      <c r="O14" s="3">
        <v>12.048394610200001</v>
      </c>
      <c r="P14" s="45" t="s">
        <v>1229</v>
      </c>
      <c r="Q14" s="6">
        <f t="shared" si="0"/>
        <v>5281.5469629157005</v>
      </c>
      <c r="R14" s="3"/>
      <c r="S14" s="58"/>
      <c r="T14" s="58"/>
      <c r="U14" s="3"/>
    </row>
    <row r="15" spans="1:21" ht="12.75">
      <c r="A15" s="17">
        <v>9</v>
      </c>
      <c r="B15" s="4" t="s">
        <v>1271</v>
      </c>
      <c r="C15" s="3">
        <v>36.636531479799999</v>
      </c>
      <c r="D15" s="45" t="s">
        <v>1229</v>
      </c>
      <c r="E15" s="45" t="s">
        <v>1229</v>
      </c>
      <c r="F15" s="3">
        <v>14.995651860099997</v>
      </c>
      <c r="G15" s="3">
        <v>18345.766050632981</v>
      </c>
      <c r="H15" s="3">
        <v>10843.286174972702</v>
      </c>
      <c r="I15" s="45" t="s">
        <v>1229</v>
      </c>
      <c r="J15" s="45" t="s">
        <v>1229</v>
      </c>
      <c r="K15" s="45" t="s">
        <v>1229</v>
      </c>
      <c r="L15" s="45" t="s">
        <v>1229</v>
      </c>
      <c r="M15" s="45" t="s">
        <v>1229</v>
      </c>
      <c r="N15" s="45" t="s">
        <v>1229</v>
      </c>
      <c r="O15" s="3">
        <v>250.96612264090001</v>
      </c>
      <c r="P15" s="45" t="s">
        <v>1229</v>
      </c>
      <c r="Q15" s="6">
        <f t="shared" si="0"/>
        <v>29491.650531586485</v>
      </c>
      <c r="R15"/>
      <c r="S15" s="58"/>
      <c r="T15" s="58"/>
      <c r="U15" s="3"/>
    </row>
    <row r="16" spans="1:21" ht="12.75">
      <c r="A16" s="17">
        <v>10</v>
      </c>
      <c r="B16" s="4" t="s">
        <v>1272</v>
      </c>
      <c r="C16" s="45" t="s">
        <v>1229</v>
      </c>
      <c r="D16" s="3">
        <v>58.8674163596</v>
      </c>
      <c r="E16" s="45" t="s">
        <v>1229</v>
      </c>
      <c r="F16" s="45" t="s">
        <v>1229</v>
      </c>
      <c r="G16" s="45" t="s">
        <v>1229</v>
      </c>
      <c r="H16" s="3">
        <v>107251.63653852491</v>
      </c>
      <c r="I16" s="45" t="s">
        <v>1229</v>
      </c>
      <c r="J16" s="45" t="s">
        <v>1229</v>
      </c>
      <c r="K16" s="45" t="s">
        <v>1229</v>
      </c>
      <c r="L16" s="45" t="s">
        <v>1229</v>
      </c>
      <c r="M16" s="45" t="s">
        <v>1229</v>
      </c>
      <c r="N16" s="45" t="s">
        <v>1229</v>
      </c>
      <c r="O16" s="3">
        <v>5.0024881800000003</v>
      </c>
      <c r="P16" s="45" t="s">
        <v>1229</v>
      </c>
      <c r="Q16" s="6">
        <f t="shared" si="0"/>
        <v>107315.50644306451</v>
      </c>
      <c r="R16"/>
      <c r="S16" s="58"/>
      <c r="T16" s="58"/>
      <c r="U16" s="3"/>
    </row>
    <row r="17" spans="1:21" ht="12.75">
      <c r="A17" s="17">
        <v>11</v>
      </c>
      <c r="B17" s="4" t="s">
        <v>1273</v>
      </c>
      <c r="C17" s="45" t="s">
        <v>1229</v>
      </c>
      <c r="D17" s="45" t="s">
        <v>1229</v>
      </c>
      <c r="E17" s="45" t="s">
        <v>1229</v>
      </c>
      <c r="F17" s="45" t="s">
        <v>1229</v>
      </c>
      <c r="G17" s="45" t="s">
        <v>1229</v>
      </c>
      <c r="H17" s="3">
        <v>33839.037469996001</v>
      </c>
      <c r="I17" s="45" t="s">
        <v>1229</v>
      </c>
      <c r="J17" s="45" t="s">
        <v>1229</v>
      </c>
      <c r="K17" s="45" t="s">
        <v>1229</v>
      </c>
      <c r="L17" s="45" t="s">
        <v>1229</v>
      </c>
      <c r="M17" s="45" t="s">
        <v>1229</v>
      </c>
      <c r="N17" s="45" t="s">
        <v>1229</v>
      </c>
      <c r="O17" s="45" t="s">
        <v>1229</v>
      </c>
      <c r="P17" s="45" t="s">
        <v>1229</v>
      </c>
      <c r="Q17" s="6">
        <f t="shared" si="0"/>
        <v>33839.037469996001</v>
      </c>
      <c r="R17"/>
      <c r="S17" s="58"/>
      <c r="T17" s="58"/>
      <c r="U17" s="3"/>
    </row>
    <row r="18" spans="1:21" ht="12.75">
      <c r="A18" s="17">
        <v>12</v>
      </c>
      <c r="B18" s="4" t="s">
        <v>593</v>
      </c>
      <c r="C18" s="45" t="s">
        <v>1229</v>
      </c>
      <c r="D18" s="45" t="s">
        <v>1229</v>
      </c>
      <c r="E18" s="45" t="s">
        <v>1229</v>
      </c>
      <c r="F18" s="45" t="s">
        <v>1229</v>
      </c>
      <c r="G18" s="45" t="s">
        <v>1229</v>
      </c>
      <c r="H18" s="3">
        <v>48288.768824329993</v>
      </c>
      <c r="I18" s="45" t="s">
        <v>1229</v>
      </c>
      <c r="J18" s="45" t="s">
        <v>1229</v>
      </c>
      <c r="K18" s="45" t="s">
        <v>1229</v>
      </c>
      <c r="L18" s="45" t="s">
        <v>1229</v>
      </c>
      <c r="M18" s="45" t="s">
        <v>1229</v>
      </c>
      <c r="N18" s="45" t="s">
        <v>1229</v>
      </c>
      <c r="O18" s="45" t="s">
        <v>1229</v>
      </c>
      <c r="P18" s="45" t="s">
        <v>1229</v>
      </c>
      <c r="Q18" s="6">
        <f t="shared" si="0"/>
        <v>48288.768824329993</v>
      </c>
      <c r="R18"/>
      <c r="S18" s="58"/>
      <c r="T18" s="58"/>
      <c r="U18" s="3"/>
    </row>
    <row r="19" spans="1:21" ht="12.75">
      <c r="A19" s="17">
        <v>13</v>
      </c>
      <c r="B19" s="4" t="s">
        <v>594</v>
      </c>
      <c r="C19" s="45" t="s">
        <v>1229</v>
      </c>
      <c r="D19" s="45" t="s">
        <v>1229</v>
      </c>
      <c r="E19" s="45" t="s">
        <v>1229</v>
      </c>
      <c r="F19" s="45" t="s">
        <v>1229</v>
      </c>
      <c r="G19" s="45" t="s">
        <v>1229</v>
      </c>
      <c r="H19" s="3">
        <v>41724.738162654896</v>
      </c>
      <c r="I19" s="45" t="s">
        <v>1229</v>
      </c>
      <c r="J19" s="45" t="s">
        <v>1229</v>
      </c>
      <c r="K19" s="45" t="s">
        <v>1229</v>
      </c>
      <c r="L19" s="45" t="s">
        <v>1229</v>
      </c>
      <c r="M19" s="45" t="s">
        <v>1229</v>
      </c>
      <c r="N19" s="45" t="s">
        <v>1229</v>
      </c>
      <c r="O19" s="3">
        <v>16902.665785118501</v>
      </c>
      <c r="P19" s="45" t="s">
        <v>1229</v>
      </c>
      <c r="Q19" s="6">
        <f t="shared" si="0"/>
        <v>58627.403947773397</v>
      </c>
      <c r="R19" s="3"/>
      <c r="S19" s="58"/>
      <c r="T19" s="58"/>
      <c r="U19" s="3"/>
    </row>
    <row r="20" spans="1:21" ht="12.75">
      <c r="A20" s="17">
        <v>14</v>
      </c>
      <c r="B20" s="4" t="s">
        <v>595</v>
      </c>
      <c r="C20" s="3">
        <v>108.14249409969999</v>
      </c>
      <c r="D20" s="45" t="s">
        <v>1229</v>
      </c>
      <c r="E20" s="45" t="s">
        <v>1229</v>
      </c>
      <c r="F20" s="3"/>
      <c r="G20" s="45" t="s">
        <v>1229</v>
      </c>
      <c r="H20" s="3">
        <v>7458.4475199999997</v>
      </c>
      <c r="I20" s="45" t="s">
        <v>1229</v>
      </c>
      <c r="J20" s="45" t="s">
        <v>1229</v>
      </c>
      <c r="K20" s="45" t="s">
        <v>1229</v>
      </c>
      <c r="L20" s="45" t="s">
        <v>1229</v>
      </c>
      <c r="M20" s="45" t="s">
        <v>1229</v>
      </c>
      <c r="N20" s="45" t="s">
        <v>1229</v>
      </c>
      <c r="O20" s="3">
        <v>940.23262935359992</v>
      </c>
      <c r="P20" s="45" t="s">
        <v>1229</v>
      </c>
      <c r="Q20" s="6">
        <f t="shared" si="0"/>
        <v>8506.8226434533008</v>
      </c>
      <c r="R20"/>
      <c r="S20" s="58"/>
      <c r="T20" s="58"/>
      <c r="U20" s="3"/>
    </row>
    <row r="21" spans="1:21" ht="12.75">
      <c r="A21" s="17">
        <v>15</v>
      </c>
      <c r="B21" s="4" t="s">
        <v>596</v>
      </c>
      <c r="C21" s="45" t="s">
        <v>1229</v>
      </c>
      <c r="D21" s="45" t="s">
        <v>1229</v>
      </c>
      <c r="E21" s="45" t="s">
        <v>1229</v>
      </c>
      <c r="F21" s="3">
        <v>19088.543610620196</v>
      </c>
      <c r="G21" s="45" t="s">
        <v>1229</v>
      </c>
      <c r="H21" s="45" t="s">
        <v>1229</v>
      </c>
      <c r="I21" s="45" t="s">
        <v>1229</v>
      </c>
      <c r="J21" s="45" t="s">
        <v>1229</v>
      </c>
      <c r="K21" s="45" t="s">
        <v>1229</v>
      </c>
      <c r="L21" s="45" t="s">
        <v>1229</v>
      </c>
      <c r="M21" s="45" t="s">
        <v>1229</v>
      </c>
      <c r="N21" s="45" t="s">
        <v>1229</v>
      </c>
      <c r="O21" s="45" t="s">
        <v>1229</v>
      </c>
      <c r="P21" s="45" t="s">
        <v>1229</v>
      </c>
      <c r="Q21" s="6">
        <f t="shared" si="0"/>
        <v>19088.543610620196</v>
      </c>
      <c r="R21" s="3"/>
      <c r="S21" s="58"/>
      <c r="T21" s="58"/>
      <c r="U21" s="3"/>
    </row>
    <row r="22" spans="1:21" ht="12.75">
      <c r="A22" s="17">
        <v>16</v>
      </c>
      <c r="B22" s="4" t="s">
        <v>73</v>
      </c>
      <c r="C22" s="3">
        <v>47.966578240299995</v>
      </c>
      <c r="D22" s="45" t="s">
        <v>1229</v>
      </c>
      <c r="E22" s="45" t="s">
        <v>1229</v>
      </c>
      <c r="F22" s="3">
        <v>32976.738765484472</v>
      </c>
      <c r="G22" s="45" t="s">
        <v>1229</v>
      </c>
      <c r="H22" s="45" t="s">
        <v>1229</v>
      </c>
      <c r="I22" s="45" t="s">
        <v>1229</v>
      </c>
      <c r="J22" s="3">
        <v>234.73678004079997</v>
      </c>
      <c r="K22" s="45" t="s">
        <v>1229</v>
      </c>
      <c r="L22" s="45" t="s">
        <v>1229</v>
      </c>
      <c r="M22" s="45" t="s">
        <v>1229</v>
      </c>
      <c r="N22" s="45" t="s">
        <v>1229</v>
      </c>
      <c r="O22" s="45" t="s">
        <v>1229</v>
      </c>
      <c r="P22" s="45" t="s">
        <v>1229</v>
      </c>
      <c r="Q22" s="6">
        <f t="shared" si="0"/>
        <v>33259.442123765577</v>
      </c>
      <c r="R22"/>
      <c r="S22" s="58"/>
      <c r="T22" s="58"/>
      <c r="U22" s="3"/>
    </row>
    <row r="23" spans="1:21" ht="12.75">
      <c r="A23" s="17">
        <v>17</v>
      </c>
      <c r="B23" s="4" t="s">
        <v>74</v>
      </c>
      <c r="C23" s="3">
        <v>428.00849378370003</v>
      </c>
      <c r="D23" s="45" t="s">
        <v>1229</v>
      </c>
      <c r="E23" s="45" t="s">
        <v>1229</v>
      </c>
      <c r="F23" s="3">
        <v>2591.3617899999999</v>
      </c>
      <c r="G23" s="45" t="s">
        <v>1229</v>
      </c>
      <c r="H23" s="45" t="s">
        <v>1229</v>
      </c>
      <c r="I23" s="45" t="s">
        <v>1229</v>
      </c>
      <c r="J23" s="3">
        <v>4762.5476140220044</v>
      </c>
      <c r="K23" s="45" t="s">
        <v>1229</v>
      </c>
      <c r="L23" s="45" t="s">
        <v>1229</v>
      </c>
      <c r="M23" s="45" t="s">
        <v>1229</v>
      </c>
      <c r="N23" s="45" t="s">
        <v>1229</v>
      </c>
      <c r="O23" s="3">
        <v>31.9491967198</v>
      </c>
      <c r="P23" s="45" t="s">
        <v>1229</v>
      </c>
      <c r="Q23" s="6">
        <f t="shared" si="0"/>
        <v>7813.8670945255044</v>
      </c>
      <c r="R23" s="3"/>
      <c r="S23" s="58"/>
      <c r="T23" s="58"/>
      <c r="U23" s="3"/>
    </row>
    <row r="24" spans="1:21" ht="22.5">
      <c r="A24" s="195">
        <v>18</v>
      </c>
      <c r="B24" s="82" t="s">
        <v>75</v>
      </c>
      <c r="C24" s="3">
        <v>1902.0787666731999</v>
      </c>
      <c r="D24" s="45" t="s">
        <v>1229</v>
      </c>
      <c r="E24" s="45" t="s">
        <v>1229</v>
      </c>
      <c r="F24" s="45" t="s">
        <v>1229</v>
      </c>
      <c r="G24" s="45" t="s">
        <v>1229</v>
      </c>
      <c r="H24" s="3">
        <v>4000.2016364300002</v>
      </c>
      <c r="I24" s="3">
        <v>2958.65</v>
      </c>
      <c r="J24" s="45" t="s">
        <v>1229</v>
      </c>
      <c r="K24" s="45" t="s">
        <v>1229</v>
      </c>
      <c r="L24" s="3">
        <v>1131.0345522622001</v>
      </c>
      <c r="M24" s="45" t="s">
        <v>1229</v>
      </c>
      <c r="N24" s="45" t="s">
        <v>1229</v>
      </c>
      <c r="O24" s="3">
        <v>442.31074042910001</v>
      </c>
      <c r="P24" s="45" t="s">
        <v>1229</v>
      </c>
      <c r="Q24" s="6">
        <f t="shared" si="0"/>
        <v>10434.275695794502</v>
      </c>
      <c r="R24"/>
      <c r="S24" s="58"/>
      <c r="T24" s="58"/>
      <c r="U24" s="3"/>
    </row>
    <row r="25" spans="1:21" ht="12.75">
      <c r="A25" s="17">
        <v>19</v>
      </c>
      <c r="B25" s="4" t="s">
        <v>76</v>
      </c>
      <c r="C25" s="45" t="s">
        <v>1229</v>
      </c>
      <c r="D25" s="45" t="s">
        <v>1229</v>
      </c>
      <c r="E25" s="45" t="s">
        <v>1229</v>
      </c>
      <c r="F25" s="45" t="s">
        <v>1229</v>
      </c>
      <c r="G25" s="45" t="s">
        <v>1229</v>
      </c>
      <c r="H25" s="45" t="s">
        <v>1229</v>
      </c>
      <c r="I25" s="3">
        <v>2797.6047855779016</v>
      </c>
      <c r="J25" s="45" t="s">
        <v>1229</v>
      </c>
      <c r="K25" s="45" t="s">
        <v>1229</v>
      </c>
      <c r="L25" s="45" t="s">
        <v>1229</v>
      </c>
      <c r="M25" s="45" t="s">
        <v>1229</v>
      </c>
      <c r="N25" s="3">
        <v>427.14803652260008</v>
      </c>
      <c r="O25" s="3">
        <v>33.282666000000006</v>
      </c>
      <c r="P25" s="45" t="s">
        <v>1229</v>
      </c>
      <c r="Q25" s="6">
        <f t="shared" si="0"/>
        <v>3258.0354881005019</v>
      </c>
      <c r="R25"/>
      <c r="S25" s="58"/>
      <c r="T25" s="58"/>
      <c r="U25" s="3"/>
    </row>
    <row r="26" spans="1:21" ht="12.75">
      <c r="A26" s="17">
        <v>20</v>
      </c>
      <c r="B26" s="4" t="s">
        <v>1225</v>
      </c>
      <c r="C26" s="3">
        <v>87.95092402989998</v>
      </c>
      <c r="D26" s="45" t="s">
        <v>1229</v>
      </c>
      <c r="E26" s="45" t="s">
        <v>1229</v>
      </c>
      <c r="F26" s="45" t="s">
        <v>1229</v>
      </c>
      <c r="G26" s="45" t="s">
        <v>1229</v>
      </c>
      <c r="H26" s="45" t="s">
        <v>1229</v>
      </c>
      <c r="I26" s="3">
        <v>1909.6245111398994</v>
      </c>
      <c r="J26" s="45" t="s">
        <v>1229</v>
      </c>
      <c r="K26" s="3">
        <v>155.09705045020002</v>
      </c>
      <c r="L26" s="45" t="s">
        <v>1229</v>
      </c>
      <c r="M26" s="3">
        <v>2.7755580000000001E-17</v>
      </c>
      <c r="N26" s="45" t="s">
        <v>1229</v>
      </c>
      <c r="O26" s="45" t="s">
        <v>1229</v>
      </c>
      <c r="P26" s="45" t="s">
        <v>1229</v>
      </c>
      <c r="Q26" s="6">
        <f t="shared" si="0"/>
        <v>2152.6724856199994</v>
      </c>
      <c r="R26"/>
      <c r="S26" s="58"/>
      <c r="T26" s="58"/>
      <c r="U26" s="3"/>
    </row>
    <row r="27" spans="1:21" ht="12.75">
      <c r="A27" s="17">
        <v>21</v>
      </c>
      <c r="B27" s="4" t="s">
        <v>77</v>
      </c>
      <c r="C27" s="45" t="s">
        <v>1229</v>
      </c>
      <c r="D27" s="45" t="s">
        <v>1229</v>
      </c>
      <c r="E27" s="45" t="s">
        <v>1229</v>
      </c>
      <c r="F27" s="45" t="s">
        <v>1229</v>
      </c>
      <c r="G27" s="45" t="s">
        <v>1229</v>
      </c>
      <c r="H27" s="45" t="s">
        <v>1229</v>
      </c>
      <c r="I27" s="45" t="s">
        <v>1229</v>
      </c>
      <c r="J27" s="45" t="s">
        <v>1229</v>
      </c>
      <c r="K27" s="3">
        <v>1950.4485293724001</v>
      </c>
      <c r="L27" s="45" t="s">
        <v>1229</v>
      </c>
      <c r="M27" s="45" t="s">
        <v>1229</v>
      </c>
      <c r="N27" s="45" t="s">
        <v>1229</v>
      </c>
      <c r="O27" s="45" t="s">
        <v>1229</v>
      </c>
      <c r="P27" s="45" t="s">
        <v>1229</v>
      </c>
      <c r="Q27" s="6">
        <f t="shared" si="0"/>
        <v>1950.4485293724001</v>
      </c>
      <c r="R27"/>
      <c r="S27" s="58"/>
      <c r="T27" s="58"/>
      <c r="U27" s="3"/>
    </row>
    <row r="28" spans="1:21" ht="12.75">
      <c r="A28" s="17">
        <v>22</v>
      </c>
      <c r="B28" s="4" t="s">
        <v>78</v>
      </c>
      <c r="C28" s="3">
        <v>11.8072357</v>
      </c>
      <c r="D28" s="45" t="s">
        <v>1229</v>
      </c>
      <c r="E28" s="45" t="s">
        <v>1229</v>
      </c>
      <c r="F28" s="45" t="s">
        <v>1229</v>
      </c>
      <c r="G28" s="45" t="s">
        <v>1229</v>
      </c>
      <c r="H28" s="45" t="s">
        <v>1229</v>
      </c>
      <c r="I28" s="45" t="s">
        <v>1229</v>
      </c>
      <c r="J28" s="45" t="s">
        <v>1229</v>
      </c>
      <c r="K28" s="45" t="s">
        <v>1229</v>
      </c>
      <c r="L28" s="45" t="s">
        <v>1229</v>
      </c>
      <c r="M28" s="45" t="s">
        <v>1229</v>
      </c>
      <c r="N28" s="3">
        <v>24329.620485780008</v>
      </c>
      <c r="O28" s="3">
        <v>226.8992912695</v>
      </c>
      <c r="P28" s="45" t="s">
        <v>1229</v>
      </c>
      <c r="Q28" s="6">
        <f t="shared" si="0"/>
        <v>24568.327012749505</v>
      </c>
      <c r="R28"/>
      <c r="S28" s="58"/>
      <c r="T28" s="58"/>
      <c r="U28" s="3"/>
    </row>
    <row r="29" spans="1:21" ht="22.5">
      <c r="A29" s="195">
        <v>23</v>
      </c>
      <c r="B29" s="82" t="s">
        <v>1086</v>
      </c>
      <c r="C29" s="3">
        <v>41.910039489499994</v>
      </c>
      <c r="D29" s="45" t="s">
        <v>1229</v>
      </c>
      <c r="E29" s="45" t="s">
        <v>1229</v>
      </c>
      <c r="F29" s="3">
        <v>1157.1089999955</v>
      </c>
      <c r="G29" s="45" t="s">
        <v>1229</v>
      </c>
      <c r="H29" s="45" t="s">
        <v>1229</v>
      </c>
      <c r="I29" s="45" t="s">
        <v>1229</v>
      </c>
      <c r="J29" s="45" t="s">
        <v>1229</v>
      </c>
      <c r="K29" s="45" t="s">
        <v>1229</v>
      </c>
      <c r="L29" s="3">
        <v>15278.581287110183</v>
      </c>
      <c r="M29" s="45" t="s">
        <v>1229</v>
      </c>
      <c r="N29" s="45" t="s">
        <v>1229</v>
      </c>
      <c r="O29" s="3">
        <v>148.99337944739997</v>
      </c>
      <c r="P29" s="45" t="s">
        <v>1229</v>
      </c>
      <c r="Q29" s="6">
        <f t="shared" si="0"/>
        <v>16626.593706042582</v>
      </c>
      <c r="R29"/>
      <c r="S29" s="58"/>
      <c r="T29" s="58"/>
      <c r="U29" s="3"/>
    </row>
    <row r="30" spans="1:21" ht="12.75">
      <c r="A30" s="17">
        <v>24</v>
      </c>
      <c r="B30" s="4" t="s">
        <v>1087</v>
      </c>
      <c r="C30" s="3">
        <v>129.726201449</v>
      </c>
      <c r="D30" s="45" t="s">
        <v>1229</v>
      </c>
      <c r="E30" s="45" t="s">
        <v>1229</v>
      </c>
      <c r="F30" s="45" t="s">
        <v>1229</v>
      </c>
      <c r="G30" s="45" t="s">
        <v>1229</v>
      </c>
      <c r="H30" s="45" t="s">
        <v>1229</v>
      </c>
      <c r="I30" s="45" t="s">
        <v>1229</v>
      </c>
      <c r="J30" s="45" t="s">
        <v>1229</v>
      </c>
      <c r="K30" s="3">
        <v>36.258490018999993</v>
      </c>
      <c r="L30" s="45" t="s">
        <v>1229</v>
      </c>
      <c r="M30" s="3">
        <v>167.16891309049998</v>
      </c>
      <c r="N30" s="3">
        <v>33.975009470000003</v>
      </c>
      <c r="O30" s="3">
        <v>2981.102286370101</v>
      </c>
      <c r="P30" s="45" t="s">
        <v>1229</v>
      </c>
      <c r="Q30" s="6">
        <f t="shared" si="0"/>
        <v>3348.2309003986011</v>
      </c>
      <c r="R30"/>
      <c r="S30" s="58"/>
      <c r="T30" s="58"/>
      <c r="U30" s="3"/>
    </row>
    <row r="31" spans="1:21" ht="12.75">
      <c r="A31" s="17">
        <v>25</v>
      </c>
      <c r="B31" s="4" t="s">
        <v>1088</v>
      </c>
      <c r="C31" s="45" t="s">
        <v>1229</v>
      </c>
      <c r="D31" s="45" t="s">
        <v>1229</v>
      </c>
      <c r="E31" s="45" t="s">
        <v>1229</v>
      </c>
      <c r="F31" s="45" t="s">
        <v>1229</v>
      </c>
      <c r="G31" s="45" t="s">
        <v>1229</v>
      </c>
      <c r="H31" s="45" t="s">
        <v>1229</v>
      </c>
      <c r="I31" s="45" t="s">
        <v>1229</v>
      </c>
      <c r="J31" s="45" t="s">
        <v>1229</v>
      </c>
      <c r="K31" s="45" t="s">
        <v>1229</v>
      </c>
      <c r="L31" s="45" t="s">
        <v>1229</v>
      </c>
      <c r="M31" s="45" t="s">
        <v>1229</v>
      </c>
      <c r="N31" s="45" t="s">
        <v>1229</v>
      </c>
      <c r="O31" s="45" t="s">
        <v>1229</v>
      </c>
      <c r="P31" s="3">
        <v>100639.38710677541</v>
      </c>
      <c r="Q31" s="6">
        <f t="shared" si="0"/>
        <v>100639.38710677541</v>
      </c>
      <c r="R31"/>
      <c r="S31" s="58"/>
      <c r="T31" s="58"/>
      <c r="U31" s="3"/>
    </row>
    <row r="32" spans="1:21" ht="12.75">
      <c r="A32" s="17">
        <v>26</v>
      </c>
      <c r="B32" s="4" t="s">
        <v>422</v>
      </c>
      <c r="C32" s="3">
        <v>186.53129824999999</v>
      </c>
      <c r="D32" s="45" t="s">
        <v>1229</v>
      </c>
      <c r="E32" s="45" t="s">
        <v>1229</v>
      </c>
      <c r="F32" s="45" t="s">
        <v>1229</v>
      </c>
      <c r="G32" s="45" t="s">
        <v>1229</v>
      </c>
      <c r="H32" s="45" t="s">
        <v>1229</v>
      </c>
      <c r="I32" s="45" t="s">
        <v>1229</v>
      </c>
      <c r="J32" s="45" t="s">
        <v>1229</v>
      </c>
      <c r="K32" s="45" t="s">
        <v>1229</v>
      </c>
      <c r="L32" s="45" t="s">
        <v>1229</v>
      </c>
      <c r="M32" s="45" t="s">
        <v>1229</v>
      </c>
      <c r="N32" s="45" t="s">
        <v>1229</v>
      </c>
      <c r="O32" s="45" t="s">
        <v>1229</v>
      </c>
      <c r="P32" s="3">
        <v>81073.342799999999</v>
      </c>
      <c r="Q32" s="6">
        <f t="shared" si="0"/>
        <v>81259.874098250002</v>
      </c>
      <c r="R32"/>
      <c r="S32" s="58"/>
      <c r="T32" s="58"/>
      <c r="U32" s="3"/>
    </row>
    <row r="33" spans="1:21" ht="12.75">
      <c r="A33" s="17">
        <v>27</v>
      </c>
      <c r="B33" s="4" t="s">
        <v>1089</v>
      </c>
      <c r="C33" s="3">
        <v>23271.537978799999</v>
      </c>
      <c r="D33" s="45" t="s">
        <v>1229</v>
      </c>
      <c r="E33" s="45" t="s">
        <v>1229</v>
      </c>
      <c r="F33" s="45" t="s">
        <v>1229</v>
      </c>
      <c r="G33" s="45" t="s">
        <v>1229</v>
      </c>
      <c r="H33" s="45" t="s">
        <v>1229</v>
      </c>
      <c r="I33" s="45" t="s">
        <v>1229</v>
      </c>
      <c r="J33" s="45" t="s">
        <v>1229</v>
      </c>
      <c r="K33" s="45" t="s">
        <v>1229</v>
      </c>
      <c r="L33" s="45" t="s">
        <v>1229</v>
      </c>
      <c r="M33" s="45" t="s">
        <v>1229</v>
      </c>
      <c r="N33" s="45" t="s">
        <v>1229</v>
      </c>
      <c r="O33" s="45" t="s">
        <v>1229</v>
      </c>
      <c r="P33" s="45" t="s">
        <v>1229</v>
      </c>
      <c r="Q33" s="6">
        <f t="shared" si="0"/>
        <v>23271.537978799999</v>
      </c>
      <c r="R33"/>
      <c r="S33" s="58"/>
      <c r="T33" s="58"/>
      <c r="U33" s="3"/>
    </row>
    <row r="34" spans="1:21" ht="12.75">
      <c r="C34" s="3"/>
      <c r="D34" s="3"/>
      <c r="E34" s="3"/>
      <c r="F34" s="3"/>
      <c r="G34" s="3"/>
      <c r="H34" s="3"/>
      <c r="I34" s="3"/>
      <c r="J34" s="3"/>
      <c r="K34" s="3"/>
      <c r="L34" s="3"/>
      <c r="M34" s="3"/>
      <c r="N34" s="3"/>
      <c r="O34" s="3"/>
      <c r="P34" s="3"/>
      <c r="Q34" s="3"/>
      <c r="R34" s="3"/>
      <c r="S34" s="58"/>
      <c r="T34" s="58"/>
      <c r="U34" s="3"/>
    </row>
    <row r="35" spans="1:21" ht="13.5" thickBot="1">
      <c r="A35" s="39"/>
      <c r="B35" s="33" t="s">
        <v>1092</v>
      </c>
      <c r="C35" s="40">
        <f>SUM(C7:C34)</f>
        <v>59639.028471707315</v>
      </c>
      <c r="D35" s="40">
        <f>SUM(D7:D34)</f>
        <v>45021.573221724393</v>
      </c>
      <c r="E35" s="40">
        <f>SUM(E7:E34)</f>
        <v>24428.317027662717</v>
      </c>
      <c r="F35" s="40">
        <f t="shared" ref="F35:N35" si="1">SUM(F7:F34)</f>
        <v>55828.748817960273</v>
      </c>
      <c r="G35" s="40">
        <f t="shared" si="1"/>
        <v>18345.766050632981</v>
      </c>
      <c r="H35" s="40">
        <f t="shared" si="1"/>
        <v>257819.25510735085</v>
      </c>
      <c r="I35" s="40">
        <f t="shared" si="1"/>
        <v>7665.8792967178006</v>
      </c>
      <c r="J35" s="40">
        <f>SUM(J7:J34)</f>
        <v>5802.8700559212048</v>
      </c>
      <c r="K35" s="40">
        <f t="shared" si="1"/>
        <v>2141.8040698416003</v>
      </c>
      <c r="L35" s="40">
        <f t="shared" si="1"/>
        <v>16409.615839372382</v>
      </c>
      <c r="M35" s="40">
        <f t="shared" si="1"/>
        <v>167.16891309049998</v>
      </c>
      <c r="N35" s="40">
        <f t="shared" si="1"/>
        <v>24790.743531772609</v>
      </c>
      <c r="O35" s="40">
        <f>SUM(O7:O34)</f>
        <v>22262.938924537997</v>
      </c>
      <c r="P35" s="40">
        <f>SUM(P7:P34)</f>
        <v>181712.72990677541</v>
      </c>
      <c r="Q35" s="40">
        <f>SUM(C35:P35)</f>
        <v>722036.43923506804</v>
      </c>
      <c r="R35"/>
      <c r="S35" s="58"/>
      <c r="T35" s="58"/>
      <c r="U35" s="3"/>
    </row>
    <row r="36" spans="1:21" ht="12.75">
      <c r="A36" s="42" t="s">
        <v>179</v>
      </c>
      <c r="R36" s="3"/>
      <c r="S36" s="58"/>
      <c r="T36" s="58"/>
      <c r="U36" s="3"/>
    </row>
    <row r="37" spans="1:21" ht="12.75">
      <c r="A37" s="42" t="s">
        <v>539</v>
      </c>
      <c r="R37"/>
      <c r="S37" s="58"/>
      <c r="T37" s="58"/>
      <c r="U37" s="3"/>
    </row>
    <row r="38" spans="1:21" ht="12.75">
      <c r="A38"/>
      <c r="B38"/>
      <c r="C38"/>
      <c r="D38"/>
      <c r="E38"/>
      <c r="F38"/>
      <c r="G38"/>
      <c r="H38"/>
      <c r="I38"/>
      <c r="J38"/>
      <c r="K38"/>
      <c r="L38"/>
      <c r="M38"/>
      <c r="N38"/>
      <c r="O38"/>
      <c r="P38"/>
      <c r="Q38"/>
      <c r="R38" s="3"/>
      <c r="S38" s="58"/>
      <c r="T38" s="58"/>
      <c r="U38" s="3"/>
    </row>
    <row r="39" spans="1:21" ht="12.75">
      <c r="A39"/>
      <c r="B39"/>
      <c r="C39"/>
      <c r="D39"/>
      <c r="E39"/>
      <c r="F39"/>
      <c r="G39"/>
      <c r="H39"/>
      <c r="I39"/>
      <c r="J39"/>
      <c r="K39"/>
      <c r="L39"/>
      <c r="M39"/>
      <c r="N39"/>
      <c r="O39"/>
      <c r="P39"/>
      <c r="Q39"/>
      <c r="R39" s="3"/>
      <c r="S39" s="58"/>
      <c r="T39" s="58"/>
      <c r="U39" s="3"/>
    </row>
    <row r="40" spans="1:21" ht="12.75">
      <c r="A40"/>
      <c r="B40"/>
      <c r="C40"/>
      <c r="D40"/>
      <c r="E40"/>
      <c r="F40"/>
      <c r="G40"/>
      <c r="H40"/>
      <c r="I40"/>
      <c r="J40"/>
      <c r="K40"/>
      <c r="L40"/>
      <c r="M40"/>
      <c r="N40"/>
      <c r="O40"/>
      <c r="P40"/>
      <c r="Q40"/>
      <c r="R40" s="3"/>
      <c r="S40" s="58"/>
      <c r="T40" s="58"/>
      <c r="U40" s="3"/>
    </row>
    <row r="41" spans="1:21" ht="12.75">
      <c r="A41"/>
      <c r="B41"/>
      <c r="C41"/>
      <c r="D41"/>
      <c r="E41"/>
      <c r="F41"/>
      <c r="G41"/>
      <c r="H41"/>
      <c r="I41"/>
      <c r="J41"/>
      <c r="K41"/>
      <c r="L41"/>
      <c r="M41"/>
      <c r="N41"/>
      <c r="O41"/>
      <c r="P41"/>
      <c r="Q41"/>
      <c r="R41"/>
      <c r="S41" s="58"/>
      <c r="T41" s="58"/>
      <c r="U41" s="3"/>
    </row>
    <row r="42" spans="1:21" ht="12.75">
      <c r="A42"/>
      <c r="B42"/>
      <c r="C42"/>
      <c r="D42"/>
      <c r="E42"/>
      <c r="F42"/>
      <c r="G42"/>
      <c r="H42"/>
      <c r="I42"/>
      <c r="J42"/>
      <c r="K42"/>
      <c r="L42"/>
      <c r="M42"/>
      <c r="N42"/>
      <c r="O42"/>
      <c r="P42"/>
      <c r="Q42"/>
      <c r="R42" s="3"/>
      <c r="S42" s="58"/>
      <c r="T42" s="58"/>
      <c r="U42" s="3"/>
    </row>
    <row r="43" spans="1:21" ht="12.75">
      <c r="A43"/>
      <c r="B43"/>
      <c r="C43"/>
      <c r="D43"/>
      <c r="E43"/>
      <c r="F43"/>
      <c r="G43"/>
      <c r="H43"/>
      <c r="I43"/>
      <c r="J43"/>
      <c r="K43"/>
      <c r="L43"/>
      <c r="M43"/>
      <c r="N43"/>
      <c r="O43"/>
      <c r="P43"/>
      <c r="Q43"/>
      <c r="R43" s="3"/>
      <c r="S43" s="58"/>
      <c r="T43" s="58"/>
      <c r="U43" s="3"/>
    </row>
    <row r="44" spans="1:21" ht="12.75">
      <c r="A44"/>
      <c r="B44"/>
      <c r="C44"/>
      <c r="D44"/>
      <c r="E44"/>
      <c r="F44"/>
      <c r="G44"/>
      <c r="H44"/>
      <c r="I44"/>
      <c r="J44"/>
      <c r="K44"/>
      <c r="L44"/>
      <c r="M44"/>
      <c r="N44"/>
      <c r="O44"/>
      <c r="P44" s="61"/>
      <c r="Q44"/>
      <c r="R44"/>
      <c r="S44" s="58"/>
      <c r="T44" s="58"/>
      <c r="U44" s="3"/>
    </row>
    <row r="45" spans="1:21" ht="12.75">
      <c r="A45"/>
      <c r="B45"/>
      <c r="C45"/>
      <c r="D45"/>
      <c r="E45"/>
      <c r="F45"/>
      <c r="G45"/>
      <c r="H45"/>
      <c r="I45"/>
      <c r="J45"/>
      <c r="K45"/>
      <c r="L45"/>
      <c r="M45"/>
      <c r="N45"/>
      <c r="O45"/>
      <c r="P45"/>
      <c r="Q45"/>
      <c r="R45"/>
      <c r="S45" s="58"/>
      <c r="T45" s="58"/>
      <c r="U45" s="3"/>
    </row>
    <row r="46" spans="1:21" ht="12.75">
      <c r="A46"/>
      <c r="B46"/>
      <c r="C46"/>
      <c r="D46"/>
      <c r="E46"/>
      <c r="F46"/>
      <c r="G46"/>
      <c r="H46"/>
      <c r="I46"/>
      <c r="J46"/>
      <c r="K46"/>
      <c r="L46"/>
      <c r="M46"/>
      <c r="N46"/>
      <c r="O46"/>
      <c r="P46"/>
      <c r="Q46"/>
      <c r="R46"/>
      <c r="S46" s="58"/>
      <c r="T46" s="58"/>
      <c r="U46" s="3"/>
    </row>
    <row r="47" spans="1:21" ht="12.75">
      <c r="A47"/>
      <c r="B47"/>
      <c r="C47"/>
      <c r="D47"/>
      <c r="E47"/>
      <c r="F47"/>
      <c r="G47"/>
      <c r="H47"/>
      <c r="I47"/>
      <c r="J47"/>
      <c r="K47"/>
      <c r="L47"/>
      <c r="M47"/>
      <c r="N47"/>
      <c r="O47"/>
      <c r="P47"/>
      <c r="Q47"/>
      <c r="R47"/>
      <c r="S47" s="58"/>
      <c r="T47" s="58"/>
      <c r="U47" s="3"/>
    </row>
    <row r="48" spans="1:21" ht="12.75">
      <c r="A48"/>
      <c r="B48"/>
      <c r="C48"/>
      <c r="D48"/>
      <c r="E48"/>
      <c r="F48"/>
      <c r="G48"/>
      <c r="H48"/>
      <c r="I48"/>
      <c r="J48"/>
      <c r="K48"/>
      <c r="L48"/>
      <c r="M48"/>
      <c r="N48"/>
      <c r="O48"/>
      <c r="P48"/>
      <c r="Q48"/>
      <c r="R48"/>
      <c r="S48" s="58"/>
      <c r="T48" s="58"/>
      <c r="U48" s="3"/>
    </row>
    <row r="49" spans="1:21" ht="12.75">
      <c r="A49"/>
      <c r="B49"/>
      <c r="C49"/>
      <c r="D49"/>
      <c r="E49"/>
      <c r="F49"/>
      <c r="G49"/>
      <c r="H49"/>
      <c r="I49"/>
      <c r="J49"/>
      <c r="K49"/>
      <c r="L49"/>
      <c r="M49"/>
      <c r="N49"/>
      <c r="O49"/>
      <c r="P49"/>
      <c r="Q49"/>
      <c r="R49"/>
      <c r="S49" s="58"/>
      <c r="T49" s="58"/>
      <c r="U49" s="3"/>
    </row>
    <row r="50" spans="1:21" ht="12.75">
      <c r="A50"/>
      <c r="B50"/>
      <c r="C50"/>
      <c r="D50"/>
      <c r="E50"/>
      <c r="F50"/>
      <c r="G50"/>
      <c r="H50"/>
      <c r="I50"/>
      <c r="J50"/>
      <c r="K50"/>
      <c r="L50"/>
      <c r="M50"/>
      <c r="N50"/>
      <c r="O50"/>
      <c r="P50"/>
      <c r="Q50"/>
      <c r="R50"/>
      <c r="S50" s="58"/>
      <c r="T50" s="58"/>
      <c r="U50" s="3"/>
    </row>
    <row r="51" spans="1:21" ht="12.75">
      <c r="A51"/>
      <c r="B51"/>
      <c r="C51"/>
      <c r="D51"/>
      <c r="E51"/>
      <c r="F51"/>
      <c r="G51"/>
      <c r="H51"/>
      <c r="I51"/>
      <c r="J51"/>
      <c r="K51"/>
      <c r="L51"/>
      <c r="M51"/>
      <c r="N51"/>
      <c r="O51"/>
      <c r="P51"/>
      <c r="Q51"/>
      <c r="R51"/>
      <c r="S51" s="58"/>
      <c r="T51" s="58"/>
      <c r="U51" s="3"/>
    </row>
    <row r="52" spans="1:21" ht="12.75">
      <c r="A52"/>
      <c r="B52"/>
      <c r="C52"/>
      <c r="D52"/>
      <c r="E52"/>
      <c r="F52"/>
      <c r="G52"/>
      <c r="H52"/>
      <c r="I52"/>
      <c r="J52"/>
      <c r="K52"/>
      <c r="L52"/>
      <c r="M52"/>
      <c r="N52"/>
      <c r="O52"/>
      <c r="P52"/>
      <c r="Q52"/>
      <c r="R52"/>
      <c r="S52" s="58"/>
      <c r="T52" s="58"/>
      <c r="U52" s="3"/>
    </row>
    <row r="53" spans="1:21" ht="12.75">
      <c r="A53"/>
      <c r="B53"/>
      <c r="C53"/>
      <c r="D53"/>
      <c r="E53"/>
      <c r="F53"/>
      <c r="G53"/>
      <c r="H53"/>
      <c r="I53"/>
      <c r="J53"/>
      <c r="K53"/>
      <c r="L53"/>
      <c r="M53"/>
      <c r="N53"/>
      <c r="O53"/>
      <c r="P53"/>
      <c r="Q53"/>
      <c r="R53"/>
      <c r="S53" s="58"/>
      <c r="T53" s="58"/>
      <c r="U53" s="3"/>
    </row>
    <row r="54" spans="1:21" ht="12.75">
      <c r="A54"/>
      <c r="B54"/>
      <c r="C54"/>
      <c r="D54"/>
      <c r="E54"/>
      <c r="F54"/>
      <c r="G54"/>
      <c r="H54"/>
      <c r="I54"/>
      <c r="J54"/>
      <c r="K54"/>
      <c r="L54"/>
      <c r="M54"/>
      <c r="N54"/>
      <c r="O54"/>
      <c r="P54"/>
      <c r="Q54"/>
      <c r="R54"/>
      <c r="S54" s="58"/>
      <c r="T54" s="58"/>
      <c r="U54" s="3"/>
    </row>
    <row r="55" spans="1:21" ht="12.75">
      <c r="A55"/>
      <c r="B55"/>
      <c r="C55"/>
      <c r="D55"/>
      <c r="E55"/>
      <c r="F55"/>
      <c r="G55"/>
      <c r="H55"/>
      <c r="I55"/>
      <c r="J55"/>
      <c r="K55"/>
      <c r="L55"/>
      <c r="M55"/>
      <c r="N55"/>
      <c r="O55"/>
      <c r="P55"/>
      <c r="Q55"/>
      <c r="R55"/>
      <c r="S55" s="58"/>
      <c r="T55" s="58"/>
      <c r="U55" s="3"/>
    </row>
    <row r="56" spans="1:21" ht="12.75">
      <c r="A56"/>
      <c r="B56"/>
      <c r="C56"/>
      <c r="D56"/>
      <c r="E56"/>
      <c r="F56"/>
      <c r="G56"/>
      <c r="H56"/>
      <c r="I56"/>
      <c r="J56"/>
      <c r="K56"/>
      <c r="L56"/>
      <c r="M56"/>
      <c r="N56"/>
      <c r="O56"/>
      <c r="P56"/>
      <c r="Q56"/>
      <c r="R56"/>
      <c r="S56" s="58"/>
      <c r="T56" s="58"/>
      <c r="U56" s="3"/>
    </row>
    <row r="57" spans="1:21" ht="12.75">
      <c r="A57"/>
      <c r="B57"/>
      <c r="C57"/>
      <c r="D57"/>
      <c r="E57"/>
      <c r="F57"/>
      <c r="G57"/>
      <c r="H57"/>
      <c r="I57"/>
      <c r="J57"/>
      <c r="K57"/>
      <c r="L57"/>
      <c r="M57"/>
      <c r="N57"/>
      <c r="O57"/>
      <c r="P57"/>
      <c r="Q57"/>
      <c r="R57"/>
      <c r="S57" s="58"/>
      <c r="T57" s="58"/>
      <c r="U57" s="3"/>
    </row>
    <row r="58" spans="1:21" ht="12.75">
      <c r="A58"/>
      <c r="B58"/>
      <c r="C58"/>
      <c r="D58"/>
      <c r="E58"/>
      <c r="F58"/>
      <c r="G58"/>
      <c r="H58"/>
      <c r="I58"/>
      <c r="J58"/>
      <c r="K58"/>
      <c r="L58"/>
      <c r="M58"/>
      <c r="N58"/>
      <c r="O58"/>
      <c r="P58"/>
      <c r="Q58"/>
      <c r="R58"/>
      <c r="S58" s="58"/>
      <c r="T58" s="58"/>
      <c r="U58" s="3"/>
    </row>
    <row r="59" spans="1:21" ht="12.75">
      <c r="A59"/>
      <c r="B59"/>
      <c r="C59"/>
      <c r="D59"/>
      <c r="E59"/>
      <c r="F59"/>
      <c r="G59"/>
      <c r="H59"/>
      <c r="I59"/>
      <c r="J59"/>
      <c r="K59"/>
      <c r="L59"/>
      <c r="M59"/>
      <c r="N59"/>
      <c r="O59"/>
      <c r="P59"/>
      <c r="Q59"/>
      <c r="R59"/>
      <c r="S59" s="58"/>
      <c r="T59" s="58"/>
      <c r="U59" s="3"/>
    </row>
    <row r="60" spans="1:21" ht="12.75">
      <c r="A60"/>
      <c r="B60"/>
      <c r="C60"/>
      <c r="D60"/>
      <c r="E60"/>
      <c r="F60"/>
      <c r="G60"/>
      <c r="H60"/>
      <c r="I60"/>
      <c r="J60"/>
      <c r="K60"/>
      <c r="L60"/>
      <c r="M60"/>
      <c r="N60"/>
      <c r="O60"/>
      <c r="P60"/>
      <c r="Q60"/>
      <c r="R60"/>
      <c r="S60" s="58"/>
      <c r="T60" s="58"/>
      <c r="U60" s="3"/>
    </row>
    <row r="61" spans="1:21" ht="12.75">
      <c r="A61"/>
      <c r="B61"/>
      <c r="C61"/>
      <c r="D61"/>
      <c r="E61"/>
      <c r="F61"/>
      <c r="G61"/>
      <c r="H61"/>
      <c r="I61"/>
      <c r="J61"/>
      <c r="K61"/>
      <c r="L61"/>
      <c r="M61"/>
      <c r="N61"/>
      <c r="O61"/>
      <c r="P61"/>
      <c r="Q61"/>
      <c r="R61"/>
      <c r="S61" s="58"/>
      <c r="T61" s="58"/>
      <c r="U61" s="3"/>
    </row>
    <row r="62" spans="1:21" ht="12.75">
      <c r="A62"/>
      <c r="B62"/>
      <c r="C62"/>
      <c r="D62"/>
      <c r="E62"/>
      <c r="F62"/>
      <c r="G62"/>
      <c r="H62"/>
      <c r="I62"/>
      <c r="J62"/>
      <c r="K62"/>
      <c r="L62"/>
      <c r="M62"/>
      <c r="N62"/>
      <c r="O62"/>
      <c r="P62"/>
      <c r="Q62"/>
      <c r="R62"/>
      <c r="S62" s="58"/>
      <c r="T62" s="58"/>
      <c r="U62" s="3"/>
    </row>
    <row r="63" spans="1:21" ht="12.75">
      <c r="A63"/>
      <c r="B63"/>
      <c r="C63"/>
      <c r="D63"/>
      <c r="E63"/>
      <c r="F63"/>
      <c r="G63"/>
      <c r="H63"/>
      <c r="I63"/>
      <c r="J63"/>
      <c r="K63"/>
      <c r="L63"/>
      <c r="M63"/>
      <c r="N63"/>
      <c r="O63"/>
      <c r="P63"/>
      <c r="Q63"/>
      <c r="R63"/>
      <c r="S63" s="58"/>
      <c r="T63" s="58"/>
      <c r="U63" s="3"/>
    </row>
    <row r="64" spans="1:21" ht="12.75">
      <c r="A64"/>
      <c r="B64"/>
      <c r="C64"/>
      <c r="D64"/>
      <c r="E64"/>
      <c r="F64"/>
      <c r="G64"/>
      <c r="H64"/>
      <c r="I64"/>
      <c r="J64"/>
      <c r="K64"/>
      <c r="L64"/>
      <c r="M64"/>
      <c r="N64"/>
      <c r="O64"/>
      <c r="P64"/>
      <c r="Q64"/>
      <c r="R64"/>
      <c r="S64" s="58"/>
      <c r="T64" s="58"/>
      <c r="U64" s="3"/>
    </row>
    <row r="65" spans="1:21" ht="12.75">
      <c r="A65"/>
      <c r="B65"/>
      <c r="C65"/>
      <c r="D65"/>
      <c r="E65"/>
      <c r="F65"/>
      <c r="G65"/>
      <c r="H65"/>
      <c r="I65"/>
      <c r="J65"/>
      <c r="K65"/>
      <c r="L65"/>
      <c r="M65"/>
      <c r="N65"/>
      <c r="O65"/>
      <c r="P65"/>
      <c r="Q65"/>
      <c r="R65"/>
      <c r="S65" s="58"/>
      <c r="T65" s="58"/>
      <c r="U65" s="3"/>
    </row>
    <row r="66" spans="1:21" ht="12.75">
      <c r="A66"/>
      <c r="B66"/>
      <c r="C66"/>
      <c r="D66"/>
      <c r="E66"/>
      <c r="F66"/>
      <c r="G66"/>
      <c r="H66"/>
      <c r="I66"/>
      <c r="J66"/>
      <c r="K66"/>
      <c r="L66"/>
      <c r="M66"/>
      <c r="N66"/>
      <c r="O66"/>
      <c r="P66"/>
      <c r="Q66"/>
      <c r="R66"/>
      <c r="S66" s="58"/>
      <c r="T66" s="58"/>
      <c r="U66" s="3"/>
    </row>
    <row r="67" spans="1:21" ht="12.75">
      <c r="A67"/>
      <c r="B67"/>
      <c r="C67"/>
      <c r="D67"/>
      <c r="E67"/>
      <c r="F67"/>
      <c r="G67"/>
      <c r="H67"/>
      <c r="I67"/>
      <c r="J67"/>
      <c r="K67"/>
      <c r="L67"/>
      <c r="M67"/>
      <c r="N67"/>
      <c r="O67"/>
      <c r="P67"/>
      <c r="Q67"/>
      <c r="R67"/>
      <c r="S67" s="58"/>
      <c r="T67" s="58"/>
      <c r="U67" s="3"/>
    </row>
    <row r="68" spans="1:21" ht="12.75">
      <c r="A68"/>
      <c r="B68"/>
      <c r="C68"/>
      <c r="D68"/>
      <c r="E68"/>
      <c r="F68"/>
      <c r="G68"/>
      <c r="H68"/>
      <c r="I68"/>
      <c r="J68"/>
      <c r="K68"/>
      <c r="L68"/>
      <c r="M68"/>
      <c r="N68"/>
      <c r="O68"/>
      <c r="P68"/>
      <c r="Q68"/>
      <c r="R68"/>
      <c r="S68" s="58"/>
      <c r="T68" s="58"/>
      <c r="U68" s="3"/>
    </row>
    <row r="69" spans="1:21" ht="12.75">
      <c r="A69"/>
      <c r="B69"/>
      <c r="C69"/>
      <c r="D69"/>
      <c r="E69"/>
      <c r="F69"/>
      <c r="G69"/>
      <c r="H69"/>
      <c r="I69"/>
      <c r="J69"/>
      <c r="K69"/>
      <c r="L69"/>
      <c r="M69"/>
      <c r="N69"/>
      <c r="O69"/>
      <c r="P69"/>
      <c r="Q69"/>
      <c r="R69"/>
      <c r="S69" s="58"/>
      <c r="T69" s="58"/>
      <c r="U69" s="3"/>
    </row>
    <row r="70" spans="1:21" ht="12.75">
      <c r="A70"/>
      <c r="B70"/>
      <c r="C70"/>
      <c r="D70"/>
      <c r="E70"/>
      <c r="F70"/>
      <c r="G70"/>
      <c r="H70"/>
      <c r="I70"/>
      <c r="J70"/>
      <c r="K70"/>
      <c r="L70"/>
      <c r="M70"/>
      <c r="N70"/>
      <c r="O70"/>
      <c r="P70"/>
      <c r="Q70"/>
      <c r="R70"/>
      <c r="S70" s="58"/>
      <c r="T70" s="58"/>
      <c r="U70" s="3"/>
    </row>
    <row r="71" spans="1:21" ht="12.75">
      <c r="A71"/>
      <c r="B71"/>
      <c r="C71"/>
      <c r="D71"/>
      <c r="E71"/>
      <c r="F71"/>
      <c r="G71"/>
      <c r="H71"/>
      <c r="I71"/>
      <c r="J71"/>
      <c r="K71"/>
      <c r="L71"/>
      <c r="M71"/>
      <c r="N71"/>
      <c r="O71"/>
      <c r="P71"/>
      <c r="Q71"/>
      <c r="R71"/>
      <c r="S71" s="58"/>
      <c r="T71" s="58"/>
      <c r="U71" s="3"/>
    </row>
    <row r="72" spans="1:21" ht="12.75">
      <c r="A72"/>
      <c r="B72"/>
      <c r="C72"/>
      <c r="D72"/>
      <c r="E72"/>
      <c r="F72"/>
      <c r="G72"/>
      <c r="H72"/>
      <c r="I72"/>
      <c r="J72"/>
      <c r="K72"/>
      <c r="L72"/>
      <c r="M72"/>
      <c r="N72"/>
      <c r="O72"/>
      <c r="P72"/>
      <c r="Q72"/>
      <c r="R72"/>
      <c r="S72" s="58"/>
      <c r="T72" s="58"/>
      <c r="U72" s="3"/>
    </row>
    <row r="73" spans="1:21" ht="12.75">
      <c r="A73"/>
      <c r="B73"/>
      <c r="C73"/>
      <c r="D73"/>
      <c r="E73"/>
      <c r="F73"/>
      <c r="G73"/>
      <c r="H73"/>
      <c r="I73"/>
      <c r="J73"/>
      <c r="K73"/>
      <c r="L73"/>
      <c r="M73"/>
      <c r="N73"/>
      <c r="O73"/>
      <c r="P73"/>
      <c r="Q73"/>
      <c r="R73"/>
      <c r="S73" s="58"/>
      <c r="T73" s="58"/>
      <c r="U73" s="3"/>
    </row>
    <row r="74" spans="1:21" ht="12.75">
      <c r="A74"/>
      <c r="B74"/>
      <c r="C74"/>
      <c r="D74"/>
      <c r="E74"/>
      <c r="F74"/>
      <c r="G74"/>
      <c r="H74"/>
      <c r="I74"/>
      <c r="J74"/>
      <c r="K74"/>
      <c r="L74"/>
      <c r="M74"/>
      <c r="N74"/>
      <c r="O74"/>
      <c r="P74"/>
      <c r="Q74"/>
      <c r="R74"/>
      <c r="S74" s="58"/>
      <c r="T74" s="58"/>
      <c r="U74" s="3"/>
    </row>
    <row r="75" spans="1:21" ht="12.75">
      <c r="A75"/>
      <c r="B75"/>
      <c r="C75"/>
      <c r="D75"/>
      <c r="E75"/>
      <c r="F75"/>
      <c r="G75"/>
      <c r="H75"/>
      <c r="I75"/>
      <c r="J75"/>
      <c r="K75"/>
      <c r="L75"/>
      <c r="M75"/>
      <c r="N75"/>
      <c r="O75"/>
      <c r="P75"/>
      <c r="Q75"/>
      <c r="R75"/>
      <c r="S75" s="58"/>
      <c r="T75" s="58"/>
      <c r="U75" s="3"/>
    </row>
    <row r="76" spans="1:21" ht="12.75">
      <c r="A76"/>
      <c r="B76"/>
      <c r="C76"/>
      <c r="D76"/>
      <c r="E76"/>
      <c r="F76"/>
      <c r="G76"/>
      <c r="H76"/>
      <c r="I76"/>
      <c r="J76"/>
      <c r="K76"/>
      <c r="L76"/>
      <c r="M76"/>
      <c r="N76"/>
      <c r="O76"/>
      <c r="P76"/>
      <c r="Q76"/>
      <c r="R76"/>
      <c r="S76" s="58"/>
      <c r="T76" s="58"/>
      <c r="U76" s="3"/>
    </row>
    <row r="77" spans="1:21" ht="12.75">
      <c r="A77"/>
      <c r="B77"/>
      <c r="C77"/>
      <c r="D77"/>
      <c r="E77"/>
      <c r="F77"/>
      <c r="G77"/>
      <c r="H77"/>
      <c r="I77"/>
      <c r="J77"/>
      <c r="K77"/>
      <c r="L77"/>
      <c r="M77"/>
      <c r="N77"/>
      <c r="O77"/>
      <c r="P77"/>
      <c r="Q77"/>
      <c r="R77"/>
      <c r="S77" s="58"/>
      <c r="T77" s="58"/>
      <c r="U77" s="3"/>
    </row>
    <row r="78" spans="1:21" ht="12.75">
      <c r="A78"/>
      <c r="B78"/>
      <c r="C78"/>
      <c r="D78"/>
      <c r="E78"/>
      <c r="F78"/>
      <c r="G78"/>
      <c r="H78"/>
      <c r="I78"/>
      <c r="J78"/>
      <c r="K78"/>
      <c r="L78"/>
      <c r="M78"/>
      <c r="N78"/>
      <c r="O78"/>
      <c r="P78"/>
      <c r="Q78"/>
      <c r="R78"/>
      <c r="S78" s="58"/>
      <c r="T78" s="58"/>
      <c r="U78" s="3"/>
    </row>
    <row r="79" spans="1:21" ht="12.75">
      <c r="A79"/>
      <c r="B79"/>
      <c r="C79"/>
      <c r="D79"/>
      <c r="E79"/>
      <c r="F79"/>
      <c r="G79"/>
      <c r="H79"/>
      <c r="I79"/>
      <c r="J79"/>
      <c r="K79"/>
      <c r="L79"/>
      <c r="M79"/>
      <c r="N79"/>
      <c r="O79"/>
      <c r="P79"/>
      <c r="Q79"/>
      <c r="R79"/>
      <c r="S79" s="58"/>
      <c r="T79" s="58"/>
      <c r="U79" s="3"/>
    </row>
    <row r="80" spans="1:21" ht="12.75">
      <c r="A80"/>
      <c r="B80"/>
      <c r="C80"/>
      <c r="D80"/>
      <c r="E80"/>
      <c r="F80"/>
      <c r="G80"/>
      <c r="H80"/>
      <c r="I80"/>
      <c r="J80"/>
      <c r="K80"/>
      <c r="L80"/>
      <c r="M80"/>
      <c r="N80"/>
      <c r="O80"/>
      <c r="P80"/>
      <c r="Q80"/>
      <c r="R80"/>
      <c r="S80" s="58"/>
      <c r="T80" s="58"/>
      <c r="U80" s="3"/>
    </row>
    <row r="81" spans="1:21" ht="12.75">
      <c r="A81"/>
      <c r="B81"/>
      <c r="C81"/>
      <c r="D81"/>
      <c r="E81"/>
      <c r="F81"/>
      <c r="G81"/>
      <c r="H81"/>
      <c r="I81"/>
      <c r="J81"/>
      <c r="K81"/>
      <c r="L81"/>
      <c r="M81"/>
      <c r="N81"/>
      <c r="O81"/>
      <c r="P81"/>
      <c r="Q81"/>
      <c r="R81"/>
      <c r="S81" s="58"/>
      <c r="T81" s="58"/>
      <c r="U81" s="3"/>
    </row>
    <row r="82" spans="1:21" ht="12.75">
      <c r="A82"/>
      <c r="B82"/>
      <c r="C82"/>
      <c r="D82"/>
      <c r="E82"/>
      <c r="F82"/>
      <c r="G82"/>
      <c r="H82"/>
      <c r="I82"/>
      <c r="J82"/>
      <c r="K82"/>
      <c r="L82"/>
      <c r="M82"/>
      <c r="N82"/>
      <c r="O82"/>
      <c r="P82"/>
      <c r="Q82"/>
      <c r="R82"/>
      <c r="S82" s="58"/>
      <c r="T82" s="58"/>
      <c r="U82" s="3"/>
    </row>
    <row r="83" spans="1:21" ht="12.75">
      <c r="A83"/>
      <c r="B83"/>
      <c r="C83"/>
      <c r="D83"/>
      <c r="E83"/>
      <c r="F83"/>
      <c r="G83"/>
      <c r="H83"/>
      <c r="I83"/>
      <c r="J83"/>
      <c r="K83"/>
      <c r="L83"/>
      <c r="M83"/>
      <c r="N83"/>
      <c r="O83"/>
      <c r="P83"/>
      <c r="Q83"/>
      <c r="R83"/>
      <c r="S83" s="58"/>
      <c r="T83" s="58"/>
      <c r="U83" s="3"/>
    </row>
    <row r="84" spans="1:21" ht="12.75">
      <c r="A84"/>
      <c r="B84"/>
      <c r="C84"/>
      <c r="D84"/>
      <c r="E84"/>
      <c r="F84"/>
      <c r="G84"/>
      <c r="H84"/>
      <c r="I84"/>
      <c r="J84"/>
      <c r="K84"/>
      <c r="L84"/>
      <c r="M84"/>
      <c r="N84"/>
      <c r="O84"/>
      <c r="P84"/>
      <c r="Q84"/>
      <c r="R84"/>
      <c r="S84" s="58"/>
      <c r="T84" s="58"/>
      <c r="U84" s="3"/>
    </row>
    <row r="85" spans="1:21" ht="12.75">
      <c r="A85"/>
      <c r="B85"/>
      <c r="C85"/>
      <c r="D85"/>
      <c r="E85"/>
      <c r="F85"/>
      <c r="G85"/>
      <c r="H85"/>
      <c r="I85"/>
      <c r="J85"/>
      <c r="K85"/>
      <c r="L85"/>
      <c r="M85"/>
      <c r="N85"/>
      <c r="O85"/>
      <c r="P85"/>
      <c r="Q85"/>
      <c r="R85"/>
      <c r="S85" s="58"/>
      <c r="T85" s="58"/>
      <c r="U85" s="3"/>
    </row>
    <row r="86" spans="1:21" ht="12.75">
      <c r="A86"/>
      <c r="B86"/>
      <c r="C86"/>
      <c r="D86"/>
      <c r="E86"/>
      <c r="F86"/>
      <c r="G86"/>
      <c r="H86"/>
      <c r="I86"/>
      <c r="J86"/>
      <c r="K86"/>
      <c r="L86"/>
      <c r="M86"/>
      <c r="N86"/>
      <c r="O86"/>
      <c r="P86"/>
      <c r="Q86"/>
      <c r="R86"/>
      <c r="S86" s="58"/>
      <c r="T86" s="58"/>
      <c r="U86" s="3"/>
    </row>
    <row r="87" spans="1:21" ht="12.75">
      <c r="A87"/>
      <c r="B87"/>
      <c r="C87"/>
      <c r="D87"/>
      <c r="E87"/>
      <c r="F87"/>
      <c r="G87"/>
      <c r="H87"/>
      <c r="I87"/>
      <c r="J87"/>
      <c r="K87"/>
      <c r="L87"/>
      <c r="M87"/>
      <c r="N87"/>
      <c r="O87"/>
      <c r="P87"/>
      <c r="Q87"/>
      <c r="R87"/>
      <c r="S87" s="58"/>
      <c r="T87" s="58"/>
      <c r="U87" s="3"/>
    </row>
    <row r="88" spans="1:21" ht="12.75">
      <c r="A88"/>
      <c r="B88"/>
      <c r="C88"/>
      <c r="D88"/>
      <c r="E88"/>
      <c r="F88"/>
      <c r="G88"/>
      <c r="H88"/>
      <c r="I88"/>
      <c r="J88"/>
      <c r="K88"/>
      <c r="L88"/>
      <c r="M88"/>
      <c r="N88"/>
      <c r="O88"/>
      <c r="P88"/>
      <c r="Q88"/>
      <c r="R88"/>
      <c r="S88" s="58"/>
      <c r="T88" s="58"/>
      <c r="U88" s="3"/>
    </row>
    <row r="89" spans="1:21" ht="12.75">
      <c r="A89"/>
      <c r="B89"/>
      <c r="C89"/>
      <c r="D89"/>
      <c r="E89"/>
      <c r="F89"/>
      <c r="G89"/>
      <c r="H89"/>
      <c r="I89"/>
      <c r="J89"/>
      <c r="K89"/>
      <c r="L89"/>
      <c r="M89"/>
      <c r="N89"/>
      <c r="O89"/>
      <c r="P89"/>
      <c r="Q89"/>
      <c r="R89"/>
      <c r="S89" s="58"/>
      <c r="T89" s="58"/>
      <c r="U89" s="3"/>
    </row>
    <row r="90" spans="1:21" ht="12.75">
      <c r="A90"/>
      <c r="B90"/>
      <c r="C90"/>
      <c r="D90"/>
      <c r="E90"/>
      <c r="F90"/>
      <c r="G90"/>
      <c r="H90"/>
      <c r="I90"/>
      <c r="J90"/>
      <c r="K90"/>
      <c r="L90"/>
      <c r="M90"/>
      <c r="N90"/>
      <c r="O90"/>
      <c r="P90"/>
      <c r="Q90"/>
      <c r="R90"/>
      <c r="S90" s="58"/>
      <c r="T90" s="58"/>
      <c r="U90" s="3"/>
    </row>
    <row r="91" spans="1:21" ht="12.75">
      <c r="A91"/>
      <c r="B91"/>
      <c r="C91"/>
      <c r="D91"/>
      <c r="E91"/>
      <c r="F91"/>
      <c r="G91"/>
      <c r="H91"/>
      <c r="I91"/>
      <c r="J91"/>
      <c r="K91"/>
      <c r="L91"/>
      <c r="M91"/>
      <c r="N91"/>
      <c r="O91"/>
      <c r="P91"/>
      <c r="Q91"/>
      <c r="R91"/>
      <c r="S91" s="58"/>
      <c r="T91" s="58"/>
      <c r="U91" s="3"/>
    </row>
    <row r="92" spans="1:21" ht="12.75">
      <c r="A92"/>
      <c r="B92"/>
      <c r="C92"/>
      <c r="D92"/>
      <c r="E92"/>
      <c r="F92"/>
      <c r="G92"/>
      <c r="H92"/>
      <c r="I92"/>
      <c r="J92"/>
      <c r="K92"/>
      <c r="L92"/>
      <c r="M92"/>
      <c r="N92"/>
      <c r="O92"/>
      <c r="P92"/>
      <c r="Q92"/>
      <c r="R92"/>
      <c r="S92" s="58"/>
      <c r="T92" s="58"/>
      <c r="U92" s="3"/>
    </row>
    <row r="93" spans="1:21" ht="12.75">
      <c r="A93"/>
      <c r="B93"/>
      <c r="C93"/>
      <c r="D93"/>
      <c r="E93"/>
      <c r="F93"/>
      <c r="G93"/>
      <c r="H93"/>
      <c r="I93"/>
      <c r="J93"/>
      <c r="K93"/>
      <c r="L93"/>
      <c r="M93"/>
      <c r="N93"/>
      <c r="O93"/>
      <c r="P93"/>
      <c r="Q93"/>
      <c r="R93"/>
      <c r="S93" s="58"/>
      <c r="T93" s="58"/>
      <c r="U93" s="3"/>
    </row>
    <row r="94" spans="1:21" ht="12.75">
      <c r="A94"/>
      <c r="B94"/>
      <c r="C94"/>
      <c r="D94"/>
      <c r="E94"/>
      <c r="F94"/>
      <c r="G94"/>
      <c r="H94"/>
      <c r="I94"/>
      <c r="J94"/>
      <c r="K94"/>
      <c r="L94"/>
      <c r="M94"/>
      <c r="N94"/>
      <c r="O94"/>
      <c r="P94"/>
      <c r="Q94"/>
      <c r="R94"/>
      <c r="S94" s="58"/>
      <c r="T94" s="58"/>
      <c r="U94" s="3"/>
    </row>
    <row r="95" spans="1:21" ht="12.75">
      <c r="A95"/>
      <c r="B95"/>
      <c r="C95"/>
      <c r="D95"/>
      <c r="E95"/>
      <c r="F95"/>
      <c r="G95"/>
      <c r="H95"/>
      <c r="I95"/>
      <c r="J95"/>
      <c r="K95"/>
      <c r="L95"/>
      <c r="M95"/>
      <c r="N95"/>
      <c r="O95"/>
      <c r="P95"/>
      <c r="Q95"/>
      <c r="R95"/>
      <c r="S95" s="58"/>
      <c r="T95" s="58"/>
      <c r="U95" s="3"/>
    </row>
    <row r="96" spans="1:21" ht="12.75">
      <c r="A96"/>
      <c r="B96"/>
      <c r="C96"/>
      <c r="D96"/>
      <c r="E96"/>
      <c r="F96"/>
      <c r="G96"/>
      <c r="H96"/>
      <c r="I96"/>
      <c r="J96"/>
      <c r="K96"/>
      <c r="L96"/>
      <c r="M96"/>
      <c r="N96"/>
      <c r="O96"/>
      <c r="P96"/>
      <c r="Q96"/>
      <c r="R96"/>
      <c r="S96" s="58"/>
      <c r="T96" s="58"/>
      <c r="U96" s="3"/>
    </row>
    <row r="97" spans="1:21" ht="12.75">
      <c r="A97"/>
      <c r="B97"/>
      <c r="C97"/>
      <c r="D97"/>
      <c r="E97"/>
      <c r="F97"/>
      <c r="G97"/>
      <c r="H97"/>
      <c r="I97"/>
      <c r="J97"/>
      <c r="K97"/>
      <c r="L97"/>
      <c r="M97"/>
      <c r="N97"/>
      <c r="O97"/>
      <c r="P97"/>
      <c r="Q97"/>
      <c r="R97"/>
      <c r="S97" s="58"/>
      <c r="T97" s="58"/>
      <c r="U97" s="3"/>
    </row>
    <row r="98" spans="1:21" ht="12.75">
      <c r="A98"/>
      <c r="B98"/>
      <c r="C98"/>
      <c r="D98"/>
      <c r="E98"/>
      <c r="F98"/>
      <c r="G98"/>
      <c r="H98"/>
      <c r="I98"/>
      <c r="J98"/>
      <c r="K98"/>
      <c r="L98"/>
      <c r="M98"/>
      <c r="N98"/>
      <c r="O98"/>
      <c r="P98"/>
      <c r="Q98"/>
      <c r="R98"/>
      <c r="S98" s="58"/>
      <c r="T98" s="58"/>
      <c r="U98" s="3"/>
    </row>
    <row r="99" spans="1:21" ht="12.75">
      <c r="A99"/>
      <c r="B99"/>
      <c r="C99"/>
      <c r="D99"/>
      <c r="E99"/>
      <c r="F99"/>
      <c r="G99"/>
      <c r="H99"/>
      <c r="I99"/>
      <c r="J99"/>
      <c r="K99"/>
      <c r="L99"/>
      <c r="M99"/>
      <c r="N99"/>
      <c r="O99"/>
      <c r="P99"/>
      <c r="Q99"/>
      <c r="R99"/>
      <c r="S99" s="58"/>
      <c r="T99" s="58"/>
      <c r="U99" s="3"/>
    </row>
    <row r="100" spans="1:21" ht="12.75">
      <c r="A100"/>
      <c r="B100"/>
      <c r="C100"/>
      <c r="D100"/>
      <c r="E100"/>
      <c r="F100"/>
      <c r="G100"/>
      <c r="H100"/>
      <c r="I100"/>
      <c r="J100"/>
      <c r="K100"/>
      <c r="L100"/>
      <c r="M100"/>
      <c r="N100"/>
      <c r="O100"/>
      <c r="P100"/>
      <c r="Q100"/>
      <c r="R100"/>
      <c r="S100" s="58"/>
      <c r="T100" s="58"/>
      <c r="U100" s="3"/>
    </row>
    <row r="101" spans="1:21" ht="12.75">
      <c r="A101"/>
      <c r="B101"/>
      <c r="C101"/>
      <c r="D101"/>
      <c r="E101"/>
      <c r="F101"/>
      <c r="G101"/>
      <c r="H101"/>
      <c r="I101"/>
      <c r="J101"/>
      <c r="K101"/>
      <c r="L101"/>
      <c r="M101"/>
      <c r="N101"/>
      <c r="O101"/>
      <c r="P101"/>
      <c r="Q101"/>
      <c r="R101"/>
      <c r="S101" s="58"/>
      <c r="T101" s="58"/>
      <c r="U101" s="3"/>
    </row>
    <row r="102" spans="1:21" ht="12.75">
      <c r="A102"/>
      <c r="B102"/>
      <c r="C102"/>
      <c r="D102"/>
      <c r="E102"/>
      <c r="F102"/>
      <c r="G102"/>
      <c r="H102"/>
      <c r="I102"/>
      <c r="J102"/>
      <c r="K102"/>
      <c r="L102"/>
      <c r="M102"/>
      <c r="N102"/>
      <c r="O102"/>
      <c r="P102"/>
      <c r="Q102"/>
      <c r="R102"/>
      <c r="S102" s="58"/>
      <c r="T102" s="58"/>
      <c r="U102" s="3"/>
    </row>
    <row r="103" spans="1:21" ht="12.75">
      <c r="A103"/>
      <c r="B103"/>
      <c r="C103"/>
      <c r="D103"/>
      <c r="E103"/>
      <c r="F103"/>
      <c r="G103"/>
      <c r="H103"/>
      <c r="I103"/>
      <c r="J103"/>
      <c r="K103"/>
      <c r="L103"/>
      <c r="M103"/>
      <c r="N103"/>
      <c r="O103"/>
      <c r="P103"/>
      <c r="Q103"/>
      <c r="R103"/>
      <c r="S103" s="58"/>
      <c r="T103" s="58"/>
      <c r="U103" s="3"/>
    </row>
    <row r="104" spans="1:21" ht="12.75">
      <c r="A104"/>
      <c r="B104"/>
      <c r="C104"/>
      <c r="D104"/>
      <c r="E104"/>
      <c r="F104"/>
      <c r="G104"/>
      <c r="H104"/>
      <c r="I104"/>
      <c r="J104"/>
      <c r="K104"/>
      <c r="L104"/>
      <c r="M104"/>
      <c r="N104"/>
      <c r="O104"/>
      <c r="P104"/>
      <c r="Q104"/>
      <c r="R104"/>
      <c r="S104" s="58"/>
      <c r="T104" s="58"/>
      <c r="U104" s="3"/>
    </row>
    <row r="105" spans="1:21" ht="12.75">
      <c r="A105"/>
      <c r="B105"/>
      <c r="C105"/>
      <c r="D105"/>
      <c r="E105"/>
      <c r="F105"/>
      <c r="G105"/>
      <c r="H105"/>
      <c r="I105"/>
      <c r="J105"/>
      <c r="K105"/>
      <c r="L105"/>
      <c r="M105"/>
      <c r="N105"/>
      <c r="O105"/>
      <c r="P105"/>
      <c r="Q105"/>
      <c r="R105"/>
      <c r="S105" s="58"/>
      <c r="T105" s="58"/>
      <c r="U105" s="3"/>
    </row>
    <row r="106" spans="1:21" ht="12.75">
      <c r="A106"/>
      <c r="B106"/>
      <c r="C106"/>
      <c r="D106"/>
      <c r="E106"/>
      <c r="F106"/>
      <c r="G106"/>
      <c r="H106"/>
      <c r="I106"/>
      <c r="J106"/>
      <c r="K106"/>
      <c r="L106"/>
      <c r="M106"/>
      <c r="N106"/>
      <c r="O106"/>
      <c r="P106"/>
      <c r="Q106"/>
      <c r="R106"/>
      <c r="S106" s="58"/>
      <c r="T106" s="58"/>
      <c r="U106" s="3"/>
    </row>
    <row r="107" spans="1:21" ht="12.75">
      <c r="A107"/>
      <c r="B107"/>
      <c r="C107"/>
      <c r="D107"/>
      <c r="E107"/>
      <c r="F107"/>
      <c r="G107"/>
      <c r="H107"/>
      <c r="I107"/>
      <c r="J107"/>
      <c r="K107"/>
      <c r="L107"/>
      <c r="M107"/>
      <c r="N107"/>
      <c r="O107"/>
      <c r="P107"/>
      <c r="Q107"/>
      <c r="R107"/>
      <c r="S107" s="58"/>
      <c r="T107" s="58"/>
      <c r="U107" s="3"/>
    </row>
    <row r="108" spans="1:21" ht="12.75">
      <c r="A108"/>
      <c r="B108"/>
      <c r="C108"/>
      <c r="D108"/>
      <c r="E108"/>
      <c r="F108"/>
      <c r="G108"/>
      <c r="H108"/>
      <c r="I108"/>
      <c r="J108"/>
      <c r="K108"/>
      <c r="L108"/>
      <c r="M108"/>
      <c r="N108"/>
      <c r="O108"/>
      <c r="P108"/>
      <c r="Q108"/>
      <c r="R108"/>
      <c r="S108" s="58"/>
      <c r="T108" s="58"/>
      <c r="U108" s="3"/>
    </row>
    <row r="109" spans="1:21" ht="12.75">
      <c r="A109"/>
      <c r="B109"/>
      <c r="C109"/>
      <c r="D109"/>
      <c r="E109"/>
      <c r="F109"/>
      <c r="G109"/>
      <c r="H109"/>
      <c r="I109"/>
      <c r="J109"/>
      <c r="K109"/>
      <c r="L109"/>
      <c r="M109"/>
      <c r="N109"/>
      <c r="O109"/>
      <c r="P109"/>
      <c r="Q109"/>
      <c r="R109"/>
      <c r="S109" s="58"/>
      <c r="T109" s="58"/>
      <c r="U109" s="3"/>
    </row>
    <row r="110" spans="1:21" ht="12.75">
      <c r="A110"/>
      <c r="B110"/>
      <c r="C110"/>
      <c r="D110"/>
      <c r="E110"/>
      <c r="F110"/>
      <c r="G110"/>
      <c r="H110"/>
      <c r="I110"/>
      <c r="J110"/>
      <c r="K110"/>
      <c r="L110"/>
      <c r="M110"/>
      <c r="N110"/>
      <c r="O110"/>
      <c r="P110"/>
      <c r="Q110"/>
      <c r="R110" s="58"/>
      <c r="S110" s="58"/>
      <c r="T110" s="58"/>
      <c r="U110" s="58"/>
    </row>
    <row r="111" spans="1:21" ht="12.75">
      <c r="A111"/>
      <c r="B111"/>
      <c r="C111"/>
      <c r="D111"/>
      <c r="E111"/>
      <c r="F111"/>
      <c r="G111"/>
      <c r="H111"/>
      <c r="I111"/>
      <c r="J111"/>
      <c r="K111"/>
      <c r="L111"/>
      <c r="M111"/>
      <c r="N111"/>
      <c r="O111"/>
      <c r="P111"/>
      <c r="Q111"/>
      <c r="R111" s="58"/>
      <c r="S111" s="58"/>
      <c r="T111" s="58"/>
      <c r="U111" s="58"/>
    </row>
    <row r="112" spans="1:21" ht="12.75">
      <c r="A112"/>
      <c r="B112"/>
      <c r="C112"/>
      <c r="D112"/>
      <c r="E112"/>
      <c r="F112"/>
      <c r="G112"/>
      <c r="H112"/>
      <c r="I112"/>
      <c r="J112"/>
      <c r="K112"/>
      <c r="L112"/>
      <c r="M112"/>
      <c r="N112"/>
      <c r="O112"/>
      <c r="P112"/>
      <c r="Q112"/>
      <c r="R112" s="58"/>
      <c r="S112" s="58"/>
      <c r="T112" s="58"/>
      <c r="U112" s="58"/>
    </row>
    <row r="113" spans="1:21" ht="12.75">
      <c r="A113"/>
      <c r="B113"/>
      <c r="C113"/>
      <c r="D113"/>
      <c r="E113"/>
      <c r="F113"/>
      <c r="G113"/>
      <c r="H113"/>
      <c r="I113"/>
      <c r="J113"/>
      <c r="K113"/>
      <c r="L113"/>
      <c r="M113"/>
      <c r="N113"/>
      <c r="O113"/>
      <c r="P113"/>
      <c r="Q113"/>
      <c r="R113" s="58"/>
      <c r="S113" s="58"/>
      <c r="T113" s="58"/>
      <c r="U113" s="58"/>
    </row>
    <row r="114" spans="1:21" ht="12.75">
      <c r="A114"/>
      <c r="B114"/>
      <c r="C114"/>
      <c r="D114"/>
      <c r="E114"/>
      <c r="F114"/>
      <c r="G114"/>
      <c r="H114"/>
      <c r="I114"/>
      <c r="J114"/>
      <c r="K114"/>
      <c r="L114"/>
      <c r="M114"/>
      <c r="N114"/>
      <c r="O114"/>
      <c r="P114"/>
      <c r="Q114"/>
      <c r="R114" s="58"/>
      <c r="S114" s="58"/>
      <c r="T114" s="58"/>
      <c r="U114" s="58"/>
    </row>
    <row r="115" spans="1:21" ht="12.75">
      <c r="A115"/>
      <c r="B115"/>
      <c r="C115"/>
      <c r="D115"/>
      <c r="E115"/>
      <c r="F115"/>
      <c r="G115"/>
      <c r="H115"/>
      <c r="I115"/>
      <c r="J115"/>
      <c r="K115"/>
      <c r="L115"/>
      <c r="M115"/>
      <c r="N115"/>
      <c r="O115"/>
      <c r="P115"/>
      <c r="Q115"/>
      <c r="R115" s="58"/>
      <c r="S115" s="58"/>
      <c r="T115" s="58"/>
      <c r="U115" s="58"/>
    </row>
    <row r="116" spans="1:21" ht="12.75">
      <c r="A116"/>
      <c r="B116"/>
      <c r="C116"/>
      <c r="D116"/>
      <c r="E116"/>
      <c r="F116"/>
      <c r="G116"/>
      <c r="H116"/>
      <c r="I116"/>
      <c r="J116"/>
      <c r="K116"/>
      <c r="L116"/>
      <c r="M116"/>
      <c r="N116"/>
      <c r="O116"/>
      <c r="P116"/>
      <c r="Q116"/>
      <c r="R116" s="58"/>
      <c r="S116" s="58"/>
      <c r="T116" s="58"/>
      <c r="U116" s="58"/>
    </row>
    <row r="117" spans="1:21" ht="12.75">
      <c r="A117"/>
      <c r="B117"/>
      <c r="C117"/>
      <c r="D117"/>
      <c r="E117"/>
      <c r="F117"/>
      <c r="G117"/>
      <c r="H117"/>
      <c r="I117"/>
      <c r="J117"/>
      <c r="K117"/>
      <c r="L117"/>
      <c r="M117"/>
      <c r="N117"/>
      <c r="O117"/>
      <c r="P117"/>
      <c r="Q117"/>
      <c r="R117" s="58"/>
      <c r="S117" s="58"/>
      <c r="T117" s="58"/>
      <c r="U117" s="58"/>
    </row>
    <row r="118" spans="1:21" ht="12.75">
      <c r="A118"/>
      <c r="B118"/>
      <c r="C118"/>
      <c r="D118"/>
      <c r="E118"/>
      <c r="F118"/>
      <c r="G118"/>
      <c r="H118"/>
      <c r="I118"/>
      <c r="J118"/>
      <c r="K118"/>
      <c r="L118"/>
      <c r="M118"/>
      <c r="N118"/>
      <c r="O118"/>
      <c r="P118"/>
      <c r="Q118"/>
      <c r="R118" s="58"/>
      <c r="S118" s="58"/>
      <c r="T118" s="58"/>
      <c r="U118" s="58"/>
    </row>
    <row r="119" spans="1:21" ht="12.75">
      <c r="A119"/>
      <c r="B119"/>
      <c r="C119"/>
      <c r="D119"/>
      <c r="E119"/>
      <c r="F119"/>
      <c r="G119"/>
      <c r="H119"/>
      <c r="I119"/>
      <c r="J119"/>
      <c r="K119"/>
      <c r="L119"/>
      <c r="M119"/>
      <c r="N119"/>
      <c r="O119"/>
      <c r="P119"/>
      <c r="Q119"/>
      <c r="R119" s="58"/>
      <c r="S119" s="58"/>
      <c r="T119" s="58"/>
      <c r="U119" s="58"/>
    </row>
    <row r="120" spans="1:21" ht="12.75">
      <c r="A120"/>
      <c r="B120"/>
      <c r="C120"/>
      <c r="D120"/>
      <c r="E120"/>
      <c r="F120"/>
      <c r="G120"/>
      <c r="H120"/>
      <c r="I120"/>
      <c r="J120"/>
      <c r="K120"/>
      <c r="L120"/>
      <c r="M120"/>
      <c r="N120"/>
      <c r="O120"/>
      <c r="P120"/>
      <c r="Q120"/>
      <c r="R120" s="58"/>
      <c r="S120" s="58"/>
      <c r="T120" s="58"/>
      <c r="U120" s="58"/>
    </row>
    <row r="121" spans="1:21" ht="12.75">
      <c r="A121"/>
      <c r="B121"/>
      <c r="C121"/>
      <c r="D121"/>
      <c r="E121"/>
      <c r="F121"/>
      <c r="G121"/>
      <c r="H121"/>
      <c r="I121"/>
      <c r="J121"/>
      <c r="K121"/>
      <c r="L121"/>
      <c r="M121"/>
      <c r="N121"/>
      <c r="O121"/>
      <c r="P121"/>
      <c r="Q121"/>
      <c r="R121" s="58"/>
      <c r="S121" s="58"/>
      <c r="T121" s="58"/>
      <c r="U121" s="58"/>
    </row>
    <row r="122" spans="1:21" ht="12.75">
      <c r="A122"/>
      <c r="B122"/>
      <c r="C122"/>
      <c r="D122"/>
      <c r="E122"/>
      <c r="F122"/>
      <c r="G122"/>
      <c r="H122"/>
      <c r="I122"/>
      <c r="J122"/>
      <c r="K122"/>
      <c r="L122"/>
      <c r="M122"/>
      <c r="N122"/>
      <c r="O122"/>
      <c r="P122"/>
      <c r="Q122"/>
      <c r="R122" s="58"/>
      <c r="S122" s="58"/>
      <c r="T122" s="58"/>
      <c r="U122" s="58"/>
    </row>
    <row r="123" spans="1:21" ht="12.75">
      <c r="A123"/>
      <c r="B123"/>
      <c r="C123"/>
      <c r="D123"/>
      <c r="E123"/>
      <c r="F123"/>
      <c r="G123"/>
      <c r="H123"/>
      <c r="I123"/>
      <c r="J123"/>
      <c r="K123"/>
      <c r="L123"/>
      <c r="M123"/>
      <c r="N123"/>
      <c r="O123"/>
      <c r="P123"/>
      <c r="Q123"/>
      <c r="R123" s="58"/>
      <c r="S123" s="58"/>
      <c r="T123" s="58"/>
      <c r="U123" s="58"/>
    </row>
    <row r="124" spans="1:21" ht="12.75">
      <c r="A124"/>
      <c r="B124"/>
      <c r="C124"/>
      <c r="D124"/>
      <c r="E124"/>
      <c r="F124"/>
      <c r="G124"/>
      <c r="H124"/>
      <c r="I124"/>
      <c r="J124"/>
      <c r="K124"/>
      <c r="L124"/>
      <c r="M124"/>
      <c r="N124"/>
      <c r="O124"/>
      <c r="P124"/>
      <c r="Q124"/>
      <c r="R124" s="58"/>
      <c r="S124" s="58"/>
      <c r="T124" s="58"/>
      <c r="U124" s="58"/>
    </row>
    <row r="125" spans="1:21" ht="12.75">
      <c r="A125"/>
      <c r="B125"/>
      <c r="C125"/>
      <c r="D125"/>
      <c r="E125"/>
      <c r="F125"/>
      <c r="G125"/>
      <c r="H125"/>
      <c r="I125"/>
      <c r="J125"/>
      <c r="K125"/>
      <c r="L125"/>
      <c r="M125"/>
      <c r="N125"/>
      <c r="O125"/>
      <c r="P125"/>
      <c r="Q125"/>
      <c r="R125" s="58"/>
      <c r="S125" s="58"/>
      <c r="T125" s="58"/>
      <c r="U125" s="58"/>
    </row>
    <row r="126" spans="1:21" ht="12.75">
      <c r="A126"/>
      <c r="B126"/>
      <c r="C126"/>
      <c r="D126"/>
      <c r="E126"/>
      <c r="F126"/>
      <c r="G126"/>
      <c r="H126"/>
      <c r="I126"/>
      <c r="J126"/>
      <c r="K126"/>
      <c r="L126"/>
      <c r="M126"/>
      <c r="N126"/>
      <c r="O126"/>
      <c r="P126"/>
      <c r="Q126"/>
      <c r="R126" s="58"/>
      <c r="S126" s="58"/>
      <c r="T126" s="58"/>
      <c r="U126" s="58"/>
    </row>
    <row r="127" spans="1:21" ht="12.75">
      <c r="A127"/>
      <c r="B127"/>
      <c r="C127"/>
      <c r="D127"/>
      <c r="E127"/>
      <c r="F127"/>
      <c r="G127"/>
      <c r="H127"/>
      <c r="I127"/>
      <c r="J127"/>
      <c r="K127"/>
      <c r="L127"/>
      <c r="M127"/>
      <c r="N127"/>
      <c r="O127"/>
      <c r="P127"/>
      <c r="Q127"/>
      <c r="R127" s="58"/>
      <c r="S127" s="58"/>
      <c r="T127" s="58"/>
      <c r="U127" s="58"/>
    </row>
    <row r="128" spans="1:21" ht="12.75">
      <c r="A128"/>
      <c r="B128"/>
      <c r="C128"/>
      <c r="D128"/>
      <c r="E128"/>
      <c r="F128"/>
      <c r="G128"/>
      <c r="H128"/>
      <c r="I128"/>
      <c r="J128"/>
      <c r="K128"/>
      <c r="L128"/>
      <c r="M128"/>
      <c r="N128"/>
      <c r="O128"/>
      <c r="P128"/>
      <c r="Q128"/>
      <c r="R128" s="58"/>
      <c r="S128" s="58"/>
      <c r="T128" s="58"/>
      <c r="U128" s="58"/>
    </row>
    <row r="129" spans="1:21" ht="12.75">
      <c r="A129"/>
      <c r="B129"/>
      <c r="C129"/>
      <c r="D129"/>
      <c r="E129"/>
      <c r="F129"/>
      <c r="G129"/>
      <c r="H129"/>
      <c r="I129"/>
      <c r="J129"/>
      <c r="K129"/>
      <c r="L129"/>
      <c r="M129"/>
      <c r="N129"/>
      <c r="O129"/>
      <c r="P129"/>
      <c r="Q129"/>
      <c r="R129" s="58"/>
      <c r="S129" s="58"/>
      <c r="T129" s="58"/>
      <c r="U129" s="58"/>
    </row>
    <row r="130" spans="1:21" ht="12.75">
      <c r="A130"/>
      <c r="B130"/>
      <c r="C130"/>
      <c r="D130"/>
      <c r="E130"/>
      <c r="F130"/>
      <c r="G130"/>
      <c r="H130"/>
      <c r="I130"/>
      <c r="J130"/>
      <c r="K130"/>
      <c r="L130"/>
      <c r="M130"/>
      <c r="N130"/>
      <c r="O130"/>
      <c r="P130"/>
      <c r="Q130"/>
      <c r="R130" s="58"/>
      <c r="S130" s="58"/>
      <c r="T130" s="58"/>
      <c r="U130" s="58"/>
    </row>
    <row r="131" spans="1:21" ht="12.75">
      <c r="A131"/>
      <c r="B131"/>
      <c r="C131"/>
      <c r="D131"/>
      <c r="E131"/>
      <c r="F131"/>
      <c r="G131"/>
      <c r="H131"/>
      <c r="I131"/>
      <c r="J131"/>
      <c r="K131"/>
      <c r="L131"/>
      <c r="M131"/>
      <c r="N131"/>
      <c r="O131"/>
      <c r="P131"/>
      <c r="Q131"/>
      <c r="R131" s="58"/>
      <c r="S131" s="58"/>
      <c r="T131" s="58"/>
      <c r="U131" s="58"/>
    </row>
    <row r="132" spans="1:21" ht="12.75">
      <c r="A132"/>
      <c r="B132"/>
      <c r="C132"/>
      <c r="D132"/>
      <c r="E132"/>
      <c r="F132"/>
      <c r="G132"/>
      <c r="H132"/>
      <c r="I132"/>
      <c r="J132"/>
      <c r="K132"/>
      <c r="L132"/>
      <c r="M132"/>
      <c r="N132"/>
      <c r="O132"/>
      <c r="P132"/>
      <c r="Q132"/>
      <c r="R132" s="58"/>
      <c r="S132" s="58"/>
      <c r="T132" s="58"/>
      <c r="U132" s="58"/>
    </row>
    <row r="133" spans="1:21" ht="12.75">
      <c r="A133"/>
      <c r="B133"/>
      <c r="C133"/>
      <c r="D133"/>
      <c r="E133"/>
      <c r="F133"/>
      <c r="G133"/>
      <c r="H133"/>
      <c r="I133"/>
      <c r="J133"/>
      <c r="K133"/>
      <c r="L133"/>
      <c r="M133"/>
      <c r="N133"/>
      <c r="O133"/>
      <c r="P133"/>
      <c r="Q133"/>
      <c r="R133" s="58"/>
      <c r="S133" s="58"/>
      <c r="T133" s="58"/>
      <c r="U133" s="58"/>
    </row>
    <row r="134" spans="1:21" ht="12.75">
      <c r="A134"/>
      <c r="B134"/>
      <c r="C134"/>
      <c r="D134"/>
      <c r="E134"/>
      <c r="F134"/>
      <c r="G134"/>
      <c r="H134"/>
      <c r="I134"/>
      <c r="J134"/>
      <c r="K134"/>
      <c r="L134"/>
      <c r="M134"/>
      <c r="N134"/>
      <c r="O134"/>
      <c r="P134"/>
      <c r="Q134"/>
      <c r="R134" s="58"/>
      <c r="S134" s="58"/>
      <c r="T134" s="58"/>
      <c r="U134" s="58"/>
    </row>
    <row r="135" spans="1:21" ht="12.75">
      <c r="A135"/>
      <c r="B135"/>
      <c r="C135"/>
      <c r="D135"/>
      <c r="E135"/>
      <c r="F135"/>
      <c r="G135"/>
      <c r="H135"/>
      <c r="I135"/>
      <c r="J135"/>
      <c r="K135"/>
      <c r="L135"/>
      <c r="M135"/>
      <c r="N135"/>
      <c r="O135"/>
      <c r="P135"/>
      <c r="Q135"/>
      <c r="R135" s="58"/>
      <c r="S135" s="58"/>
      <c r="T135" s="58"/>
      <c r="U135" s="58"/>
    </row>
    <row r="136" spans="1:21" ht="12.75">
      <c r="A136"/>
      <c r="B136"/>
      <c r="C136"/>
      <c r="D136"/>
      <c r="E136"/>
      <c r="F136"/>
      <c r="G136"/>
      <c r="H136"/>
      <c r="I136"/>
      <c r="J136"/>
      <c r="K136"/>
      <c r="L136"/>
      <c r="M136"/>
      <c r="N136"/>
      <c r="O136"/>
      <c r="P136"/>
      <c r="Q136"/>
      <c r="R136" s="58"/>
      <c r="S136" s="58"/>
      <c r="T136" s="58"/>
      <c r="U136" s="58"/>
    </row>
    <row r="137" spans="1:21" ht="12.75">
      <c r="A137"/>
      <c r="B137"/>
      <c r="C137"/>
      <c r="D137"/>
      <c r="E137"/>
      <c r="F137"/>
      <c r="G137"/>
      <c r="H137"/>
      <c r="I137"/>
      <c r="J137"/>
      <c r="K137"/>
      <c r="L137"/>
      <c r="M137"/>
      <c r="N137"/>
      <c r="O137"/>
      <c r="P137"/>
      <c r="Q137"/>
      <c r="R137" s="58"/>
      <c r="S137" s="58"/>
      <c r="T137" s="58"/>
      <c r="U137" s="58"/>
    </row>
    <row r="138" spans="1:21" ht="12.75">
      <c r="A138"/>
      <c r="B138"/>
      <c r="C138"/>
      <c r="D138"/>
      <c r="E138"/>
      <c r="F138"/>
      <c r="G138"/>
      <c r="H138"/>
      <c r="I138"/>
      <c r="J138"/>
      <c r="K138"/>
      <c r="L138"/>
      <c r="M138"/>
      <c r="N138"/>
      <c r="O138"/>
      <c r="P138"/>
      <c r="Q138"/>
      <c r="R138" s="58"/>
      <c r="S138" s="58"/>
      <c r="T138" s="58"/>
      <c r="U138" s="58"/>
    </row>
    <row r="139" spans="1:21" ht="12.75">
      <c r="A139"/>
      <c r="B139"/>
      <c r="C139"/>
      <c r="D139"/>
      <c r="E139"/>
      <c r="F139"/>
      <c r="G139"/>
      <c r="H139"/>
      <c r="I139"/>
      <c r="J139"/>
      <c r="K139"/>
      <c r="L139"/>
      <c r="M139"/>
      <c r="N139"/>
      <c r="O139"/>
      <c r="P139"/>
      <c r="Q139"/>
      <c r="R139" s="58"/>
      <c r="S139" s="58"/>
      <c r="T139" s="58"/>
      <c r="U139" s="58"/>
    </row>
    <row r="140" spans="1:21" ht="12.75">
      <c r="A140"/>
      <c r="B140"/>
      <c r="C140"/>
      <c r="D140"/>
      <c r="E140"/>
      <c r="F140"/>
      <c r="G140"/>
      <c r="H140"/>
      <c r="I140"/>
      <c r="J140"/>
      <c r="K140"/>
      <c r="L140"/>
      <c r="M140"/>
      <c r="N140"/>
      <c r="O140"/>
      <c r="P140"/>
      <c r="Q140"/>
      <c r="R140" s="58"/>
      <c r="S140" s="58"/>
      <c r="T140" s="58"/>
      <c r="U140" s="58"/>
    </row>
    <row r="141" spans="1:21" ht="12.75">
      <c r="A141"/>
      <c r="B141"/>
      <c r="C141"/>
      <c r="D141"/>
      <c r="E141"/>
      <c r="F141"/>
      <c r="G141"/>
      <c r="H141"/>
      <c r="I141"/>
      <c r="J141"/>
      <c r="K141"/>
      <c r="L141"/>
      <c r="M141"/>
      <c r="N141"/>
      <c r="O141"/>
      <c r="P141"/>
      <c r="Q141"/>
      <c r="R141" s="58"/>
      <c r="S141" s="58"/>
      <c r="T141" s="58"/>
      <c r="U141" s="58"/>
    </row>
    <row r="142" spans="1:21" ht="12.75">
      <c r="A142"/>
      <c r="B142"/>
      <c r="C142"/>
      <c r="D142"/>
      <c r="E142"/>
      <c r="F142"/>
      <c r="G142"/>
      <c r="H142"/>
      <c r="I142"/>
      <c r="J142"/>
      <c r="K142"/>
      <c r="L142"/>
      <c r="M142"/>
      <c r="N142"/>
      <c r="O142"/>
      <c r="P142"/>
      <c r="Q142"/>
      <c r="R142" s="58"/>
      <c r="S142" s="58"/>
      <c r="T142" s="58"/>
      <c r="U142" s="58"/>
    </row>
    <row r="143" spans="1:21" ht="12.75">
      <c r="A143"/>
      <c r="B143"/>
      <c r="C143"/>
      <c r="D143"/>
      <c r="E143"/>
      <c r="F143"/>
      <c r="G143"/>
      <c r="H143"/>
      <c r="I143"/>
      <c r="J143"/>
      <c r="K143"/>
      <c r="L143"/>
      <c r="M143"/>
      <c r="N143"/>
      <c r="O143"/>
      <c r="P143"/>
      <c r="Q143"/>
      <c r="R143" s="58"/>
      <c r="S143" s="58"/>
      <c r="T143" s="58"/>
      <c r="U143" s="58"/>
    </row>
    <row r="144" spans="1:21" ht="12.75">
      <c r="A144"/>
      <c r="B144"/>
      <c r="C144"/>
      <c r="D144"/>
      <c r="E144"/>
      <c r="F144"/>
      <c r="G144"/>
      <c r="H144"/>
      <c r="I144"/>
      <c r="J144"/>
      <c r="K144"/>
      <c r="L144"/>
      <c r="M144"/>
      <c r="N144"/>
      <c r="O144"/>
      <c r="P144"/>
      <c r="Q144"/>
      <c r="R144" s="58"/>
      <c r="S144" s="58"/>
      <c r="T144" s="58"/>
      <c r="U144" s="58"/>
    </row>
    <row r="145" spans="1:21" ht="12.75">
      <c r="A145"/>
      <c r="B145"/>
      <c r="C145"/>
      <c r="D145"/>
      <c r="E145"/>
      <c r="F145"/>
      <c r="G145"/>
      <c r="H145"/>
      <c r="I145"/>
      <c r="J145"/>
      <c r="K145"/>
      <c r="L145"/>
      <c r="M145"/>
      <c r="N145"/>
      <c r="O145"/>
      <c r="P145"/>
      <c r="Q145"/>
      <c r="R145" s="58"/>
      <c r="S145" s="58"/>
      <c r="T145" s="58"/>
      <c r="U145" s="58"/>
    </row>
    <row r="146" spans="1:21" ht="12.75">
      <c r="A146"/>
      <c r="B146"/>
      <c r="C146"/>
      <c r="D146"/>
      <c r="E146"/>
      <c r="F146"/>
      <c r="G146"/>
      <c r="H146"/>
      <c r="I146"/>
      <c r="J146"/>
      <c r="K146"/>
      <c r="L146"/>
      <c r="M146"/>
      <c r="N146"/>
      <c r="O146"/>
      <c r="P146"/>
      <c r="Q146"/>
      <c r="R146" s="58"/>
      <c r="S146" s="58"/>
      <c r="T146" s="58"/>
      <c r="U146" s="58"/>
    </row>
    <row r="147" spans="1:21" ht="12.75">
      <c r="A147"/>
      <c r="B147"/>
      <c r="C147"/>
      <c r="D147"/>
      <c r="E147"/>
      <c r="F147"/>
      <c r="G147"/>
      <c r="H147"/>
      <c r="I147"/>
      <c r="J147"/>
      <c r="K147"/>
      <c r="L147"/>
      <c r="M147"/>
      <c r="N147"/>
      <c r="O147"/>
      <c r="P147"/>
      <c r="Q147"/>
      <c r="R147" s="58"/>
      <c r="S147" s="58"/>
      <c r="T147" s="58"/>
      <c r="U147" s="58"/>
    </row>
    <row r="148" spans="1:21" ht="12.75">
      <c r="A148"/>
      <c r="B148"/>
      <c r="C148"/>
      <c r="D148"/>
      <c r="E148"/>
      <c r="F148"/>
      <c r="G148"/>
      <c r="H148"/>
      <c r="I148"/>
      <c r="J148"/>
      <c r="K148"/>
      <c r="L148"/>
      <c r="M148"/>
      <c r="N148"/>
      <c r="O148"/>
      <c r="P148"/>
      <c r="Q148"/>
      <c r="R148" s="58"/>
      <c r="S148" s="58"/>
      <c r="T148" s="58"/>
      <c r="U148" s="58"/>
    </row>
    <row r="149" spans="1:21" ht="12.75">
      <c r="A149"/>
      <c r="B149"/>
      <c r="C149"/>
      <c r="D149"/>
      <c r="E149"/>
      <c r="F149"/>
      <c r="G149"/>
      <c r="H149"/>
      <c r="I149"/>
      <c r="J149"/>
      <c r="K149"/>
      <c r="L149"/>
      <c r="M149"/>
      <c r="N149"/>
      <c r="O149"/>
      <c r="P149"/>
      <c r="Q149"/>
      <c r="R149" s="58"/>
      <c r="S149" s="58"/>
      <c r="T149" s="58"/>
      <c r="U149" s="58"/>
    </row>
    <row r="150" spans="1:21" ht="12.75">
      <c r="A150"/>
      <c r="B150"/>
      <c r="C150"/>
      <c r="D150"/>
      <c r="E150"/>
      <c r="F150"/>
      <c r="G150"/>
      <c r="H150"/>
      <c r="I150"/>
      <c r="J150"/>
      <c r="K150"/>
      <c r="L150"/>
      <c r="M150"/>
      <c r="N150"/>
      <c r="O150"/>
      <c r="P150"/>
      <c r="Q150"/>
      <c r="R150" s="58"/>
      <c r="S150" s="58"/>
      <c r="T150" s="58"/>
      <c r="U150" s="58"/>
    </row>
    <row r="151" spans="1:21" ht="12.75">
      <c r="A151"/>
      <c r="B151"/>
      <c r="C151"/>
      <c r="D151"/>
      <c r="E151"/>
      <c r="F151"/>
      <c r="G151"/>
      <c r="H151"/>
      <c r="I151"/>
      <c r="J151"/>
      <c r="K151"/>
      <c r="L151"/>
      <c r="M151"/>
      <c r="N151"/>
      <c r="O151"/>
      <c r="P151"/>
      <c r="Q151"/>
      <c r="R151" s="58"/>
      <c r="S151" s="58"/>
      <c r="T151" s="58"/>
      <c r="U151" s="58"/>
    </row>
    <row r="152" spans="1:21" ht="12.75">
      <c r="A152"/>
      <c r="B152"/>
      <c r="C152"/>
      <c r="D152"/>
      <c r="E152"/>
      <c r="F152"/>
      <c r="G152"/>
      <c r="H152"/>
      <c r="I152"/>
      <c r="J152"/>
      <c r="K152"/>
      <c r="L152"/>
      <c r="M152"/>
      <c r="N152"/>
      <c r="O152"/>
      <c r="P152"/>
      <c r="Q152"/>
      <c r="R152" s="58"/>
      <c r="S152" s="58"/>
      <c r="T152" s="58"/>
      <c r="U152" s="58"/>
    </row>
    <row r="153" spans="1:21" ht="12.75">
      <c r="A153"/>
      <c r="B153"/>
      <c r="C153"/>
      <c r="D153"/>
      <c r="E153"/>
      <c r="F153"/>
      <c r="G153"/>
      <c r="H153"/>
      <c r="I153"/>
      <c r="J153"/>
      <c r="K153"/>
      <c r="L153"/>
      <c r="M153"/>
      <c r="N153"/>
      <c r="O153"/>
      <c r="P153"/>
      <c r="Q153"/>
      <c r="R153" s="58"/>
      <c r="S153" s="58"/>
      <c r="T153" s="58"/>
      <c r="U153" s="58"/>
    </row>
    <row r="154" spans="1:21" ht="12.75">
      <c r="A154"/>
      <c r="B154"/>
      <c r="C154"/>
      <c r="D154"/>
      <c r="E154"/>
      <c r="F154"/>
      <c r="G154"/>
      <c r="H154"/>
      <c r="I154"/>
      <c r="J154"/>
      <c r="K154"/>
      <c r="L154"/>
      <c r="M154"/>
      <c r="N154"/>
      <c r="O154"/>
      <c r="P154"/>
      <c r="Q154"/>
      <c r="R154" s="58"/>
      <c r="S154" s="58"/>
      <c r="T154" s="58"/>
      <c r="U154" s="58"/>
    </row>
    <row r="155" spans="1:21" ht="12.75">
      <c r="A155"/>
      <c r="B155"/>
      <c r="C155"/>
      <c r="D155"/>
      <c r="E155"/>
      <c r="F155"/>
      <c r="G155"/>
      <c r="H155"/>
      <c r="I155"/>
      <c r="J155"/>
      <c r="K155"/>
      <c r="L155"/>
      <c r="M155"/>
      <c r="N155"/>
      <c r="O155"/>
      <c r="P155"/>
      <c r="Q155"/>
      <c r="R155" s="58"/>
      <c r="S155" s="58"/>
      <c r="T155" s="58"/>
      <c r="U155" s="58"/>
    </row>
    <row r="156" spans="1:21" ht="12.75">
      <c r="A156"/>
      <c r="B156"/>
      <c r="C156"/>
      <c r="D156"/>
      <c r="E156"/>
      <c r="F156"/>
      <c r="G156"/>
      <c r="H156"/>
      <c r="I156"/>
      <c r="J156"/>
      <c r="K156"/>
      <c r="L156"/>
      <c r="M156"/>
      <c r="N156"/>
      <c r="O156"/>
      <c r="P156"/>
      <c r="Q156"/>
      <c r="R156" s="58"/>
      <c r="S156" s="58"/>
      <c r="T156" s="58"/>
      <c r="U156" s="58"/>
    </row>
    <row r="157" spans="1:21" ht="12.75">
      <c r="A157"/>
      <c r="B157"/>
      <c r="C157"/>
      <c r="D157"/>
      <c r="E157"/>
      <c r="F157"/>
      <c r="G157"/>
      <c r="H157"/>
      <c r="I157"/>
      <c r="J157"/>
      <c r="K157"/>
      <c r="L157"/>
      <c r="M157"/>
      <c r="N157"/>
      <c r="O157"/>
      <c r="P157"/>
      <c r="Q157"/>
      <c r="R157" s="58"/>
      <c r="S157" s="58"/>
      <c r="T157" s="58"/>
      <c r="U157" s="58"/>
    </row>
    <row r="158" spans="1:21" ht="12.75">
      <c r="A158"/>
      <c r="B158"/>
      <c r="C158"/>
      <c r="D158"/>
      <c r="E158"/>
      <c r="F158"/>
      <c r="G158"/>
      <c r="H158"/>
      <c r="I158"/>
      <c r="J158"/>
      <c r="K158"/>
      <c r="L158"/>
      <c r="M158"/>
      <c r="N158"/>
      <c r="O158"/>
      <c r="P158"/>
      <c r="Q158"/>
      <c r="R158" s="58"/>
      <c r="S158" s="58"/>
      <c r="T158" s="58"/>
      <c r="U158" s="58"/>
    </row>
    <row r="159" spans="1:21" ht="12.75">
      <c r="A159"/>
      <c r="B159"/>
      <c r="C159"/>
      <c r="D159"/>
      <c r="E159"/>
      <c r="F159"/>
      <c r="G159"/>
      <c r="H159"/>
      <c r="I159"/>
      <c r="J159"/>
      <c r="K159"/>
      <c r="L159"/>
      <c r="M159"/>
      <c r="N159"/>
      <c r="O159"/>
      <c r="P159"/>
      <c r="Q159"/>
      <c r="R159" s="58"/>
      <c r="S159" s="58"/>
      <c r="T159" s="58"/>
      <c r="U159" s="58"/>
    </row>
    <row r="160" spans="1:21" ht="12.75">
      <c r="A160"/>
      <c r="B160"/>
      <c r="C160"/>
      <c r="D160"/>
      <c r="E160"/>
      <c r="F160"/>
      <c r="G160"/>
      <c r="H160"/>
      <c r="I160"/>
      <c r="J160"/>
      <c r="K160"/>
      <c r="L160"/>
      <c r="M160"/>
      <c r="N160"/>
      <c r="O160"/>
      <c r="P160"/>
      <c r="Q160"/>
      <c r="R160" s="58"/>
      <c r="S160" s="58"/>
      <c r="T160" s="58"/>
      <c r="U160" s="58"/>
    </row>
    <row r="161" spans="1:21" ht="12.75">
      <c r="A161"/>
      <c r="B161"/>
      <c r="C161"/>
      <c r="D161"/>
      <c r="E161"/>
      <c r="F161"/>
      <c r="G161"/>
      <c r="H161"/>
      <c r="I161"/>
      <c r="J161"/>
      <c r="K161"/>
      <c r="L161"/>
      <c r="M161"/>
      <c r="N161"/>
      <c r="O161"/>
      <c r="P161"/>
      <c r="Q161"/>
      <c r="R161" s="58"/>
      <c r="S161" s="58"/>
      <c r="T161" s="58"/>
      <c r="U161" s="58"/>
    </row>
    <row r="162" spans="1:21" ht="12.75">
      <c r="A162"/>
      <c r="B162"/>
      <c r="C162"/>
      <c r="D162"/>
      <c r="E162"/>
      <c r="F162"/>
      <c r="G162"/>
      <c r="H162"/>
      <c r="I162"/>
      <c r="J162"/>
      <c r="K162"/>
      <c r="L162"/>
      <c r="M162"/>
      <c r="N162"/>
      <c r="O162"/>
      <c r="P162"/>
      <c r="Q162"/>
      <c r="R162" s="58"/>
      <c r="S162" s="58"/>
      <c r="T162" s="58"/>
      <c r="U162" s="58"/>
    </row>
    <row r="163" spans="1:21" ht="12.75">
      <c r="A163"/>
      <c r="B163"/>
      <c r="C163"/>
      <c r="D163"/>
      <c r="E163"/>
      <c r="F163"/>
      <c r="G163"/>
      <c r="H163"/>
      <c r="I163"/>
      <c r="J163"/>
      <c r="K163"/>
      <c r="L163"/>
      <c r="M163"/>
      <c r="N163"/>
      <c r="O163"/>
      <c r="P163"/>
      <c r="Q163"/>
      <c r="R163" s="58"/>
      <c r="S163" s="58"/>
      <c r="T163" s="58"/>
      <c r="U163" s="58"/>
    </row>
    <row r="164" spans="1:21" ht="12.75">
      <c r="A164"/>
      <c r="B164"/>
      <c r="C164"/>
      <c r="D164"/>
      <c r="E164"/>
      <c r="F164"/>
      <c r="G164"/>
      <c r="H164"/>
      <c r="I164"/>
      <c r="J164"/>
      <c r="K164"/>
      <c r="L164"/>
      <c r="M164"/>
      <c r="N164"/>
      <c r="O164"/>
      <c r="P164"/>
      <c r="Q164"/>
      <c r="R164" s="58"/>
      <c r="S164" s="58"/>
      <c r="T164" s="58"/>
      <c r="U164" s="58"/>
    </row>
    <row r="165" spans="1:21" ht="12.75">
      <c r="A165"/>
      <c r="B165"/>
      <c r="C165"/>
      <c r="D165"/>
      <c r="E165"/>
      <c r="F165"/>
      <c r="G165"/>
      <c r="H165"/>
      <c r="I165"/>
      <c r="J165"/>
      <c r="K165"/>
      <c r="L165"/>
      <c r="M165"/>
      <c r="N165"/>
      <c r="O165"/>
      <c r="P165"/>
      <c r="Q165"/>
      <c r="R165" s="58"/>
      <c r="S165" s="58"/>
      <c r="T165" s="58"/>
      <c r="U165" s="58"/>
    </row>
    <row r="166" spans="1:21" ht="12.75">
      <c r="A166"/>
      <c r="B166"/>
      <c r="C166"/>
      <c r="D166"/>
      <c r="E166"/>
      <c r="F166"/>
      <c r="G166"/>
      <c r="H166"/>
      <c r="I166"/>
      <c r="J166"/>
      <c r="K166"/>
      <c r="L166"/>
      <c r="M166"/>
      <c r="N166"/>
      <c r="O166"/>
      <c r="P166"/>
      <c r="Q166"/>
      <c r="R166" s="58"/>
      <c r="S166" s="58"/>
      <c r="T166" s="58"/>
      <c r="U166" s="58"/>
    </row>
    <row r="167" spans="1:21" ht="12.75">
      <c r="A167"/>
      <c r="B167"/>
      <c r="C167"/>
      <c r="D167"/>
      <c r="E167"/>
      <c r="F167"/>
      <c r="G167"/>
      <c r="H167"/>
      <c r="I167"/>
      <c r="J167"/>
      <c r="K167"/>
      <c r="L167"/>
      <c r="M167"/>
      <c r="N167"/>
      <c r="O167"/>
      <c r="P167"/>
      <c r="Q167"/>
      <c r="R167" s="58"/>
      <c r="S167" s="58"/>
      <c r="T167" s="58"/>
      <c r="U167" s="58"/>
    </row>
    <row r="168" spans="1:21" ht="12.75">
      <c r="A168"/>
      <c r="B168"/>
      <c r="C168"/>
      <c r="D168"/>
      <c r="E168"/>
      <c r="F168"/>
      <c r="G168"/>
      <c r="H168"/>
      <c r="I168"/>
      <c r="J168"/>
      <c r="K168"/>
      <c r="L168"/>
      <c r="M168"/>
      <c r="N168"/>
      <c r="O168"/>
      <c r="P168"/>
      <c r="Q168"/>
      <c r="R168" s="58"/>
      <c r="S168" s="58"/>
      <c r="T168" s="58"/>
      <c r="U168" s="58"/>
    </row>
    <row r="169" spans="1:21" ht="12.75">
      <c r="A169"/>
      <c r="B169"/>
      <c r="C169"/>
      <c r="D169"/>
      <c r="E169"/>
      <c r="F169"/>
      <c r="G169"/>
      <c r="H169"/>
      <c r="I169"/>
      <c r="J169"/>
      <c r="K169"/>
      <c r="L169"/>
      <c r="M169"/>
      <c r="N169"/>
      <c r="O169"/>
      <c r="P169"/>
      <c r="Q169"/>
      <c r="R169" s="58"/>
      <c r="S169" s="58"/>
      <c r="T169" s="58"/>
      <c r="U169" s="58"/>
    </row>
    <row r="170" spans="1:21" ht="12.75">
      <c r="A170"/>
      <c r="B170"/>
      <c r="C170"/>
      <c r="D170"/>
      <c r="E170"/>
      <c r="F170"/>
      <c r="G170"/>
      <c r="H170"/>
      <c r="I170"/>
      <c r="J170"/>
      <c r="K170"/>
      <c r="L170"/>
      <c r="M170"/>
      <c r="N170"/>
      <c r="O170"/>
      <c r="P170"/>
      <c r="Q170"/>
      <c r="R170" s="58"/>
      <c r="S170" s="58"/>
      <c r="T170" s="58"/>
      <c r="U170" s="58"/>
    </row>
    <row r="171" spans="1:21" ht="12.75">
      <c r="A171"/>
      <c r="B171"/>
      <c r="C171"/>
      <c r="D171"/>
      <c r="E171"/>
      <c r="F171"/>
      <c r="G171"/>
      <c r="H171"/>
      <c r="I171"/>
      <c r="J171"/>
      <c r="K171"/>
      <c r="L171"/>
      <c r="M171"/>
      <c r="N171"/>
      <c r="O171"/>
      <c r="P171"/>
      <c r="Q171"/>
      <c r="R171" s="58"/>
      <c r="S171" s="58"/>
      <c r="T171" s="58"/>
      <c r="U171" s="58"/>
    </row>
    <row r="172" spans="1:21" ht="12.75">
      <c r="A172"/>
      <c r="B172"/>
      <c r="C172"/>
      <c r="D172"/>
      <c r="E172"/>
      <c r="F172"/>
      <c r="G172"/>
      <c r="H172"/>
      <c r="I172"/>
      <c r="J172"/>
      <c r="K172"/>
      <c r="L172"/>
      <c r="M172"/>
      <c r="N172"/>
      <c r="O172"/>
      <c r="P172"/>
      <c r="Q172"/>
      <c r="R172" s="58"/>
      <c r="S172" s="58"/>
      <c r="T172" s="58"/>
      <c r="U172" s="58"/>
    </row>
    <row r="173" spans="1:21" ht="12.75">
      <c r="A173"/>
      <c r="B173"/>
      <c r="C173"/>
      <c r="D173"/>
      <c r="E173"/>
      <c r="F173"/>
      <c r="G173"/>
      <c r="H173"/>
      <c r="I173"/>
      <c r="J173"/>
      <c r="K173"/>
      <c r="L173"/>
      <c r="M173"/>
      <c r="N173"/>
      <c r="O173"/>
      <c r="P173"/>
      <c r="Q173"/>
      <c r="R173" s="58"/>
      <c r="S173" s="58"/>
      <c r="T173" s="58"/>
      <c r="U173" s="58"/>
    </row>
    <row r="174" spans="1:21" ht="12.75">
      <c r="A174"/>
      <c r="B174"/>
      <c r="C174"/>
      <c r="D174"/>
      <c r="E174"/>
      <c r="F174"/>
      <c r="G174"/>
      <c r="H174"/>
      <c r="I174"/>
      <c r="J174"/>
      <c r="K174"/>
      <c r="L174"/>
      <c r="M174"/>
      <c r="N174"/>
      <c r="O174"/>
      <c r="P174"/>
      <c r="Q174"/>
      <c r="R174" s="58"/>
      <c r="S174" s="58"/>
      <c r="T174" s="58"/>
      <c r="U174" s="58"/>
    </row>
    <row r="175" spans="1:21" ht="12.75">
      <c r="A175"/>
      <c r="B175"/>
      <c r="C175"/>
      <c r="D175"/>
      <c r="E175"/>
      <c r="F175"/>
      <c r="G175"/>
      <c r="H175"/>
      <c r="I175"/>
      <c r="J175"/>
      <c r="K175"/>
      <c r="L175"/>
      <c r="M175"/>
      <c r="N175"/>
      <c r="O175"/>
      <c r="P175"/>
      <c r="Q175"/>
      <c r="R175" s="58"/>
      <c r="S175" s="58"/>
      <c r="T175" s="58"/>
      <c r="U175" s="58"/>
    </row>
    <row r="176" spans="1:21" ht="12.75">
      <c r="A176"/>
      <c r="B176"/>
      <c r="C176"/>
      <c r="D176"/>
      <c r="E176"/>
      <c r="F176"/>
      <c r="G176"/>
      <c r="H176"/>
      <c r="I176"/>
      <c r="J176"/>
      <c r="K176"/>
      <c r="L176"/>
      <c r="M176"/>
      <c r="N176"/>
      <c r="O176"/>
      <c r="P176"/>
      <c r="Q176"/>
      <c r="R176" s="58"/>
      <c r="S176" s="58"/>
      <c r="T176" s="58"/>
      <c r="U176" s="58"/>
    </row>
    <row r="177" spans="1:21" ht="12.75">
      <c r="A177"/>
      <c r="B177"/>
      <c r="C177"/>
      <c r="D177"/>
      <c r="E177"/>
      <c r="F177"/>
      <c r="G177"/>
      <c r="H177"/>
      <c r="I177"/>
      <c r="J177"/>
      <c r="K177"/>
      <c r="L177"/>
      <c r="M177"/>
      <c r="N177"/>
      <c r="O177"/>
      <c r="P177"/>
      <c r="Q177"/>
      <c r="R177" s="58"/>
      <c r="S177" s="58"/>
      <c r="T177" s="58"/>
      <c r="U177" s="58"/>
    </row>
    <row r="178" spans="1:21" ht="12.75">
      <c r="A178"/>
      <c r="B178"/>
      <c r="C178"/>
      <c r="D178"/>
      <c r="E178"/>
      <c r="F178"/>
      <c r="G178"/>
      <c r="H178"/>
      <c r="I178"/>
      <c r="J178"/>
      <c r="K178"/>
      <c r="L178"/>
      <c r="M178"/>
      <c r="N178"/>
      <c r="O178"/>
      <c r="P178"/>
      <c r="Q178"/>
      <c r="R178" s="58"/>
      <c r="S178" s="58"/>
      <c r="T178" s="58"/>
      <c r="U178" s="58"/>
    </row>
    <row r="179" spans="1:21" ht="12.75">
      <c r="A179"/>
      <c r="B179"/>
      <c r="C179"/>
      <c r="D179"/>
      <c r="E179"/>
      <c r="F179"/>
      <c r="G179"/>
      <c r="H179"/>
      <c r="I179"/>
      <c r="J179"/>
      <c r="K179"/>
      <c r="L179"/>
      <c r="M179"/>
      <c r="N179"/>
      <c r="O179"/>
      <c r="P179"/>
      <c r="Q179"/>
      <c r="R179" s="58"/>
      <c r="S179" s="58"/>
      <c r="T179" s="58"/>
      <c r="U179" s="58"/>
    </row>
    <row r="180" spans="1:21" ht="12.75">
      <c r="A180"/>
      <c r="B180"/>
      <c r="C180"/>
      <c r="D180"/>
      <c r="E180"/>
      <c r="F180"/>
      <c r="G180"/>
      <c r="H180"/>
      <c r="I180"/>
      <c r="J180"/>
      <c r="K180"/>
      <c r="L180"/>
      <c r="M180"/>
      <c r="N180"/>
      <c r="O180"/>
      <c r="P180"/>
      <c r="Q180"/>
      <c r="R180" s="58"/>
      <c r="S180" s="58"/>
      <c r="T180" s="58"/>
      <c r="U180" s="58"/>
    </row>
    <row r="181" spans="1:21" ht="12.75">
      <c r="A181"/>
      <c r="B181"/>
      <c r="C181"/>
      <c r="D181"/>
      <c r="E181"/>
      <c r="F181"/>
      <c r="G181"/>
      <c r="H181"/>
      <c r="I181"/>
      <c r="J181"/>
      <c r="K181"/>
      <c r="L181"/>
      <c r="M181"/>
      <c r="N181"/>
      <c r="O181"/>
      <c r="P181"/>
      <c r="Q181"/>
      <c r="R181" s="58"/>
      <c r="S181" s="58"/>
      <c r="T181" s="58"/>
      <c r="U181" s="58"/>
    </row>
    <row r="182" spans="1:21" ht="12.75">
      <c r="A182"/>
      <c r="B182"/>
      <c r="C182"/>
      <c r="D182"/>
      <c r="E182"/>
      <c r="F182"/>
      <c r="G182"/>
      <c r="H182"/>
      <c r="I182"/>
      <c r="J182"/>
      <c r="K182"/>
      <c r="L182"/>
      <c r="M182"/>
      <c r="N182"/>
      <c r="O182"/>
      <c r="P182"/>
      <c r="Q182"/>
      <c r="R182" s="58"/>
      <c r="S182" s="58"/>
      <c r="T182" s="58"/>
      <c r="U182" s="58"/>
    </row>
    <row r="183" spans="1:21" ht="12.75">
      <c r="A183"/>
      <c r="B183"/>
      <c r="C183"/>
      <c r="D183"/>
      <c r="E183"/>
      <c r="F183"/>
      <c r="G183"/>
      <c r="H183"/>
      <c r="I183"/>
      <c r="J183"/>
      <c r="K183"/>
      <c r="L183"/>
      <c r="M183"/>
      <c r="N183"/>
      <c r="O183"/>
      <c r="P183"/>
      <c r="Q183"/>
      <c r="R183" s="58"/>
      <c r="S183" s="58"/>
      <c r="T183" s="58"/>
      <c r="U183" s="58"/>
    </row>
    <row r="184" spans="1:21" ht="12.75">
      <c r="A184"/>
      <c r="B184"/>
      <c r="C184"/>
      <c r="D184"/>
      <c r="E184"/>
      <c r="F184"/>
      <c r="G184"/>
      <c r="H184"/>
      <c r="I184"/>
      <c r="J184"/>
      <c r="K184"/>
      <c r="L184"/>
      <c r="M184"/>
      <c r="N184"/>
      <c r="O184"/>
      <c r="P184"/>
      <c r="Q184"/>
      <c r="R184" s="58"/>
      <c r="S184" s="58"/>
      <c r="T184" s="58"/>
      <c r="U184" s="58"/>
    </row>
    <row r="185" spans="1:21" ht="12.75">
      <c r="A185"/>
      <c r="B185"/>
      <c r="C185"/>
      <c r="D185"/>
      <c r="E185"/>
      <c r="F185"/>
      <c r="G185"/>
      <c r="H185"/>
      <c r="I185"/>
      <c r="J185"/>
      <c r="K185"/>
      <c r="L185"/>
      <c r="M185"/>
      <c r="N185"/>
      <c r="O185"/>
      <c r="P185"/>
      <c r="Q185"/>
      <c r="R185" s="58"/>
      <c r="S185" s="58"/>
      <c r="T185" s="58"/>
      <c r="U185" s="58"/>
    </row>
    <row r="186" spans="1:21" ht="12.75">
      <c r="A186"/>
      <c r="B186"/>
      <c r="C186"/>
      <c r="D186"/>
      <c r="E186"/>
      <c r="F186"/>
      <c r="G186"/>
      <c r="H186"/>
      <c r="I186"/>
      <c r="J186"/>
      <c r="K186"/>
      <c r="L186"/>
      <c r="M186"/>
      <c r="N186"/>
      <c r="O186"/>
      <c r="P186"/>
      <c r="Q186"/>
      <c r="R186" s="58"/>
      <c r="S186" s="58"/>
      <c r="T186" s="58"/>
      <c r="U186" s="58"/>
    </row>
    <row r="187" spans="1:21" ht="12.75">
      <c r="A187"/>
      <c r="B187"/>
      <c r="C187"/>
      <c r="D187"/>
      <c r="E187"/>
      <c r="F187"/>
      <c r="G187"/>
      <c r="H187"/>
      <c r="I187"/>
      <c r="J187"/>
      <c r="K187"/>
      <c r="L187"/>
      <c r="M187"/>
      <c r="N187"/>
      <c r="O187"/>
      <c r="P187"/>
      <c r="Q187"/>
      <c r="R187" s="58"/>
      <c r="S187" s="58"/>
      <c r="T187" s="58"/>
      <c r="U187" s="58"/>
    </row>
    <row r="188" spans="1:21" ht="12.75">
      <c r="A188"/>
      <c r="B188"/>
      <c r="C188"/>
      <c r="D188"/>
      <c r="E188"/>
      <c r="F188"/>
      <c r="G188"/>
      <c r="H188"/>
      <c r="I188"/>
      <c r="J188"/>
      <c r="K188"/>
      <c r="L188"/>
      <c r="M188"/>
      <c r="N188"/>
      <c r="O188"/>
      <c r="P188"/>
      <c r="Q188"/>
      <c r="R188" s="58"/>
      <c r="S188" s="58"/>
      <c r="T188" s="58"/>
      <c r="U188" s="58"/>
    </row>
    <row r="189" spans="1:21" ht="12.75">
      <c r="A189"/>
      <c r="B189"/>
      <c r="C189"/>
      <c r="D189"/>
      <c r="E189"/>
      <c r="F189"/>
      <c r="G189"/>
      <c r="H189"/>
      <c r="I189"/>
      <c r="J189"/>
      <c r="K189"/>
      <c r="L189"/>
      <c r="M189"/>
      <c r="N189"/>
      <c r="O189"/>
      <c r="P189"/>
      <c r="Q189"/>
      <c r="R189" s="58"/>
      <c r="S189" s="58"/>
      <c r="T189" s="58"/>
      <c r="U189" s="58"/>
    </row>
    <row r="190" spans="1:21" ht="12.75">
      <c r="A190"/>
      <c r="B190"/>
      <c r="C190"/>
      <c r="D190"/>
      <c r="E190"/>
      <c r="F190"/>
      <c r="G190"/>
      <c r="H190"/>
      <c r="I190"/>
      <c r="J190"/>
      <c r="K190"/>
      <c r="L190"/>
      <c r="M190"/>
      <c r="N190"/>
      <c r="O190"/>
      <c r="P190"/>
      <c r="Q190"/>
      <c r="R190" s="58"/>
      <c r="S190" s="58"/>
      <c r="T190" s="58"/>
      <c r="U190" s="58"/>
    </row>
    <row r="191" spans="1:21" ht="12.75">
      <c r="A191"/>
      <c r="B191"/>
      <c r="C191"/>
      <c r="D191"/>
      <c r="E191"/>
      <c r="F191"/>
      <c r="G191"/>
      <c r="H191"/>
      <c r="I191"/>
      <c r="J191"/>
      <c r="K191"/>
      <c r="L191"/>
      <c r="M191"/>
      <c r="N191"/>
      <c r="O191"/>
      <c r="P191"/>
      <c r="Q191"/>
      <c r="R191" s="58"/>
      <c r="S191" s="58"/>
      <c r="T191" s="58"/>
      <c r="U191" s="58"/>
    </row>
    <row r="192" spans="1:21" ht="12.75">
      <c r="A192"/>
      <c r="B192"/>
      <c r="C192"/>
      <c r="D192"/>
      <c r="E192"/>
      <c r="F192"/>
      <c r="G192"/>
      <c r="H192"/>
      <c r="I192"/>
      <c r="J192"/>
      <c r="K192"/>
      <c r="L192"/>
      <c r="M192"/>
      <c r="N192"/>
      <c r="O192"/>
      <c r="P192"/>
      <c r="Q192"/>
      <c r="R192" s="58"/>
      <c r="S192" s="58"/>
      <c r="T192" s="58"/>
      <c r="U192" s="58"/>
    </row>
    <row r="193" spans="1:21" ht="12.75">
      <c r="A193"/>
      <c r="B193"/>
      <c r="C193"/>
      <c r="D193"/>
      <c r="E193"/>
      <c r="F193"/>
      <c r="G193"/>
      <c r="H193"/>
      <c r="I193"/>
      <c r="J193"/>
      <c r="K193"/>
      <c r="L193"/>
      <c r="M193"/>
      <c r="N193"/>
      <c r="O193"/>
      <c r="P193"/>
      <c r="Q193"/>
      <c r="R193" s="58"/>
      <c r="S193" s="58"/>
      <c r="T193" s="58"/>
      <c r="U193" s="58"/>
    </row>
    <row r="194" spans="1:21" ht="12.75">
      <c r="A194"/>
      <c r="B194"/>
      <c r="C194"/>
      <c r="D194"/>
      <c r="E194"/>
      <c r="F194"/>
      <c r="G194"/>
      <c r="H194"/>
      <c r="I194"/>
      <c r="J194"/>
      <c r="K194"/>
      <c r="L194"/>
      <c r="M194"/>
      <c r="N194"/>
      <c r="O194"/>
      <c r="P194"/>
      <c r="Q194"/>
      <c r="R194" s="58"/>
      <c r="S194" s="58"/>
      <c r="T194" s="58"/>
      <c r="U194" s="58"/>
    </row>
    <row r="195" spans="1:21" ht="12.75">
      <c r="A195"/>
      <c r="B195"/>
      <c r="C195"/>
      <c r="D195"/>
      <c r="E195"/>
      <c r="F195"/>
      <c r="G195"/>
      <c r="H195"/>
      <c r="I195"/>
      <c r="J195"/>
      <c r="K195"/>
      <c r="L195"/>
      <c r="M195"/>
      <c r="N195"/>
      <c r="O195"/>
      <c r="P195"/>
      <c r="Q195"/>
      <c r="R195" s="58"/>
      <c r="S195" s="58"/>
      <c r="T195" s="58"/>
      <c r="U195" s="58"/>
    </row>
    <row r="196" spans="1:21" ht="12.75">
      <c r="A196"/>
      <c r="B196"/>
      <c r="C196"/>
      <c r="D196"/>
      <c r="E196"/>
      <c r="F196"/>
      <c r="G196"/>
      <c r="H196"/>
      <c r="I196"/>
      <c r="J196"/>
      <c r="K196"/>
      <c r="L196"/>
      <c r="M196"/>
      <c r="N196"/>
      <c r="O196"/>
      <c r="P196"/>
      <c r="Q196"/>
      <c r="R196" s="58"/>
      <c r="S196" s="58"/>
      <c r="T196" s="58"/>
      <c r="U196" s="58"/>
    </row>
    <row r="197" spans="1:21" ht="12.75">
      <c r="A197"/>
      <c r="B197"/>
      <c r="C197"/>
      <c r="D197"/>
      <c r="E197"/>
      <c r="F197"/>
      <c r="G197"/>
      <c r="H197"/>
      <c r="I197"/>
      <c r="J197"/>
      <c r="K197"/>
      <c r="L197"/>
      <c r="M197"/>
      <c r="N197"/>
      <c r="O197"/>
      <c r="P197"/>
      <c r="Q197"/>
      <c r="R197" s="58"/>
      <c r="S197" s="58"/>
      <c r="T197" s="58"/>
      <c r="U197" s="58"/>
    </row>
    <row r="198" spans="1:21" ht="12.75">
      <c r="A198"/>
      <c r="B198"/>
      <c r="C198"/>
      <c r="D198"/>
      <c r="E198"/>
      <c r="F198"/>
      <c r="G198"/>
      <c r="H198"/>
      <c r="I198"/>
      <c r="J198"/>
      <c r="K198"/>
      <c r="L198"/>
      <c r="M198"/>
      <c r="N198"/>
      <c r="O198"/>
      <c r="P198"/>
      <c r="Q198"/>
      <c r="R198" s="58"/>
      <c r="S198" s="58"/>
      <c r="T198" s="58"/>
      <c r="U198" s="58"/>
    </row>
    <row r="199" spans="1:21" ht="12.75">
      <c r="A199"/>
      <c r="B199"/>
      <c r="C199"/>
      <c r="D199"/>
      <c r="E199"/>
      <c r="F199"/>
      <c r="G199"/>
      <c r="H199"/>
      <c r="I199"/>
      <c r="J199"/>
      <c r="K199"/>
      <c r="L199"/>
      <c r="M199"/>
      <c r="N199"/>
      <c r="O199"/>
      <c r="P199"/>
      <c r="Q199"/>
      <c r="R199" s="58"/>
      <c r="S199" s="58"/>
      <c r="T199" s="58"/>
      <c r="U199" s="58"/>
    </row>
    <row r="200" spans="1:21" ht="12.75">
      <c r="A200"/>
      <c r="B200"/>
      <c r="C200"/>
      <c r="D200"/>
      <c r="E200"/>
      <c r="F200"/>
      <c r="G200"/>
      <c r="H200"/>
      <c r="I200"/>
      <c r="J200"/>
      <c r="K200"/>
      <c r="L200"/>
      <c r="M200"/>
      <c r="N200"/>
      <c r="O200"/>
      <c r="P200"/>
      <c r="Q200"/>
      <c r="R200" s="58"/>
      <c r="S200" s="58"/>
      <c r="T200" s="58"/>
      <c r="U200" s="58"/>
    </row>
    <row r="201" spans="1:21" ht="12.75">
      <c r="A201"/>
      <c r="B201"/>
      <c r="C201"/>
      <c r="D201"/>
      <c r="E201"/>
      <c r="F201"/>
      <c r="G201"/>
      <c r="H201"/>
      <c r="I201"/>
      <c r="J201"/>
      <c r="K201"/>
      <c r="L201"/>
      <c r="M201"/>
      <c r="N201"/>
      <c r="O201"/>
      <c r="P201"/>
      <c r="Q201"/>
      <c r="R201" s="58"/>
      <c r="S201" s="58"/>
      <c r="T201" s="58"/>
      <c r="U201" s="58"/>
    </row>
    <row r="202" spans="1:21" ht="12.75">
      <c r="A202"/>
      <c r="B202"/>
      <c r="C202"/>
      <c r="D202"/>
      <c r="E202"/>
      <c r="F202"/>
      <c r="G202"/>
      <c r="H202"/>
      <c r="I202"/>
      <c r="J202"/>
      <c r="K202"/>
      <c r="L202"/>
      <c r="M202"/>
      <c r="N202"/>
      <c r="O202"/>
      <c r="P202"/>
      <c r="Q202"/>
      <c r="R202" s="58"/>
      <c r="S202" s="58"/>
      <c r="T202" s="58"/>
      <c r="U202" s="58"/>
    </row>
    <row r="203" spans="1:21" ht="12.75">
      <c r="A203"/>
      <c r="B203"/>
      <c r="C203"/>
      <c r="D203"/>
      <c r="E203"/>
      <c r="F203"/>
      <c r="G203"/>
      <c r="H203"/>
      <c r="I203"/>
      <c r="J203"/>
      <c r="K203"/>
      <c r="L203"/>
      <c r="M203"/>
      <c r="N203"/>
      <c r="O203"/>
      <c r="P203"/>
      <c r="Q203"/>
      <c r="R203" s="58"/>
      <c r="S203" s="58"/>
      <c r="T203" s="58"/>
      <c r="U203" s="58"/>
    </row>
    <row r="204" spans="1:21" ht="12.75">
      <c r="A204"/>
      <c r="B204"/>
      <c r="C204"/>
      <c r="D204"/>
      <c r="E204"/>
      <c r="F204"/>
      <c r="G204"/>
      <c r="H204"/>
      <c r="I204"/>
      <c r="J204"/>
      <c r="K204"/>
      <c r="L204"/>
      <c r="M204"/>
      <c r="N204"/>
      <c r="O204"/>
      <c r="P204"/>
      <c r="Q204"/>
      <c r="R204" s="58"/>
      <c r="S204" s="58"/>
      <c r="T204" s="58"/>
      <c r="U204" s="58"/>
    </row>
    <row r="205" spans="1:21" ht="12.75">
      <c r="A205"/>
      <c r="B205"/>
      <c r="C205"/>
      <c r="D205"/>
      <c r="E205"/>
      <c r="F205"/>
      <c r="G205"/>
      <c r="H205"/>
      <c r="I205"/>
      <c r="J205"/>
      <c r="K205"/>
      <c r="L205"/>
      <c r="M205"/>
      <c r="N205"/>
      <c r="O205"/>
      <c r="P205"/>
      <c r="Q205"/>
      <c r="R205" s="58"/>
      <c r="S205" s="58"/>
      <c r="T205" s="58"/>
      <c r="U205" s="58"/>
    </row>
    <row r="206" spans="1:21" ht="12.75">
      <c r="A206"/>
      <c r="B206"/>
      <c r="C206"/>
      <c r="D206"/>
      <c r="E206"/>
      <c r="F206"/>
      <c r="G206"/>
      <c r="H206"/>
      <c r="I206"/>
      <c r="J206"/>
      <c r="K206"/>
      <c r="L206"/>
      <c r="M206"/>
      <c r="N206"/>
      <c r="O206"/>
      <c r="P206"/>
      <c r="Q206"/>
      <c r="R206" s="58"/>
      <c r="S206" s="58"/>
      <c r="T206" s="58"/>
      <c r="U206" s="58"/>
    </row>
    <row r="207" spans="1:21" ht="12.75">
      <c r="A207"/>
      <c r="B207"/>
      <c r="C207"/>
      <c r="D207"/>
      <c r="E207"/>
      <c r="F207"/>
      <c r="G207"/>
      <c r="H207"/>
      <c r="I207"/>
      <c r="J207"/>
      <c r="K207"/>
      <c r="L207"/>
      <c r="M207"/>
      <c r="N207"/>
      <c r="O207"/>
      <c r="P207"/>
      <c r="Q207"/>
      <c r="R207" s="58"/>
      <c r="S207" s="58"/>
      <c r="T207" s="58"/>
      <c r="U207" s="58"/>
    </row>
    <row r="208" spans="1:21" ht="12.75">
      <c r="A208"/>
      <c r="B208"/>
      <c r="C208"/>
      <c r="D208"/>
      <c r="E208"/>
      <c r="F208"/>
      <c r="G208"/>
      <c r="H208"/>
      <c r="I208"/>
      <c r="J208"/>
      <c r="K208"/>
      <c r="L208"/>
      <c r="M208"/>
      <c r="N208"/>
      <c r="O208"/>
      <c r="P208"/>
      <c r="Q208"/>
      <c r="R208" s="58"/>
      <c r="S208" s="58"/>
      <c r="T208" s="58"/>
      <c r="U208" s="58"/>
    </row>
    <row r="209" spans="1:21" ht="12.75">
      <c r="A209"/>
      <c r="B209"/>
      <c r="C209"/>
      <c r="D209"/>
      <c r="E209"/>
      <c r="F209"/>
      <c r="G209"/>
      <c r="H209"/>
      <c r="I209"/>
      <c r="J209"/>
      <c r="K209"/>
      <c r="L209"/>
      <c r="M209"/>
      <c r="N209"/>
      <c r="O209"/>
      <c r="P209"/>
      <c r="Q209"/>
      <c r="R209" s="58"/>
      <c r="S209" s="58"/>
      <c r="T209" s="58"/>
      <c r="U209" s="58"/>
    </row>
    <row r="210" spans="1:21" ht="12.75">
      <c r="A210"/>
      <c r="B210"/>
      <c r="C210"/>
      <c r="D210"/>
      <c r="E210"/>
      <c r="F210"/>
      <c r="G210"/>
      <c r="H210"/>
      <c r="I210"/>
      <c r="J210"/>
      <c r="K210"/>
      <c r="L210"/>
      <c r="M210"/>
      <c r="N210"/>
      <c r="O210"/>
      <c r="P210"/>
      <c r="Q210"/>
      <c r="R210" s="58"/>
      <c r="S210" s="58"/>
      <c r="T210" s="58"/>
      <c r="U210" s="58"/>
    </row>
    <row r="211" spans="1:21" ht="12.75">
      <c r="A211"/>
      <c r="B211"/>
      <c r="C211"/>
      <c r="D211"/>
      <c r="E211"/>
      <c r="F211"/>
      <c r="G211"/>
      <c r="H211"/>
      <c r="I211"/>
      <c r="J211"/>
      <c r="K211"/>
      <c r="L211"/>
      <c r="M211"/>
      <c r="N211"/>
      <c r="O211"/>
      <c r="P211"/>
      <c r="Q211"/>
      <c r="R211" s="58"/>
      <c r="S211" s="58"/>
      <c r="T211" s="58"/>
      <c r="U211" s="58"/>
    </row>
    <row r="212" spans="1:21" ht="12.75">
      <c r="A212"/>
      <c r="B212"/>
      <c r="C212"/>
      <c r="D212"/>
      <c r="E212"/>
      <c r="F212"/>
      <c r="G212"/>
      <c r="H212"/>
      <c r="I212"/>
      <c r="J212"/>
      <c r="K212"/>
      <c r="L212"/>
      <c r="M212"/>
      <c r="N212"/>
      <c r="O212"/>
      <c r="P212"/>
      <c r="Q212"/>
      <c r="R212" s="58"/>
      <c r="S212" s="58"/>
      <c r="T212" s="58"/>
      <c r="U212" s="58"/>
    </row>
    <row r="213" spans="1:21" ht="12.75">
      <c r="A213"/>
      <c r="B213"/>
      <c r="C213"/>
      <c r="D213"/>
      <c r="E213"/>
      <c r="F213"/>
      <c r="G213"/>
      <c r="H213"/>
      <c r="I213"/>
      <c r="J213"/>
      <c r="K213"/>
      <c r="L213"/>
      <c r="M213"/>
      <c r="N213"/>
      <c r="O213"/>
      <c r="P213"/>
      <c r="Q213"/>
      <c r="R213" s="58"/>
      <c r="S213" s="58"/>
      <c r="T213" s="58"/>
      <c r="U213" s="58"/>
    </row>
    <row r="214" spans="1:21" ht="12.75">
      <c r="A214"/>
      <c r="B214"/>
      <c r="C214"/>
      <c r="D214"/>
      <c r="E214"/>
      <c r="F214"/>
      <c r="G214"/>
      <c r="H214"/>
      <c r="I214"/>
      <c r="J214"/>
      <c r="K214"/>
      <c r="L214"/>
      <c r="M214"/>
      <c r="N214"/>
      <c r="O214"/>
      <c r="P214"/>
      <c r="Q214"/>
      <c r="R214" s="58"/>
      <c r="S214" s="58"/>
      <c r="T214" s="58"/>
      <c r="U214" s="58"/>
    </row>
    <row r="215" spans="1:21" ht="12.75">
      <c r="A215"/>
      <c r="B215"/>
      <c r="C215"/>
      <c r="D215"/>
      <c r="E215"/>
      <c r="F215"/>
      <c r="G215"/>
      <c r="H215"/>
      <c r="I215"/>
      <c r="J215"/>
      <c r="K215"/>
      <c r="L215"/>
      <c r="M215"/>
      <c r="N215"/>
      <c r="O215"/>
      <c r="P215"/>
      <c r="Q215"/>
      <c r="R215" s="58"/>
      <c r="S215" s="58"/>
      <c r="T215" s="58"/>
      <c r="U215" s="58"/>
    </row>
    <row r="216" spans="1:21" ht="12.75">
      <c r="A216"/>
      <c r="B216"/>
      <c r="C216"/>
      <c r="D216"/>
      <c r="E216"/>
      <c r="F216"/>
      <c r="G216"/>
      <c r="H216"/>
      <c r="I216"/>
      <c r="J216"/>
      <c r="K216"/>
      <c r="L216"/>
      <c r="M216"/>
      <c r="N216"/>
      <c r="O216"/>
      <c r="P216"/>
      <c r="Q216"/>
      <c r="R216" s="58"/>
      <c r="S216" s="58"/>
      <c r="T216" s="58"/>
      <c r="U216" s="58"/>
    </row>
    <row r="217" spans="1:21" ht="12.75">
      <c r="A217"/>
      <c r="B217"/>
      <c r="C217"/>
      <c r="D217"/>
      <c r="E217"/>
      <c r="F217"/>
      <c r="G217"/>
      <c r="H217"/>
      <c r="I217"/>
      <c r="J217"/>
      <c r="K217"/>
      <c r="L217"/>
      <c r="M217"/>
      <c r="N217"/>
      <c r="O217"/>
      <c r="P217"/>
      <c r="Q217"/>
      <c r="R217" s="58"/>
      <c r="S217" s="58"/>
      <c r="T217" s="58"/>
      <c r="U217" s="58"/>
    </row>
    <row r="218" spans="1:21" ht="12.75">
      <c r="A218"/>
      <c r="B218"/>
      <c r="C218"/>
      <c r="D218"/>
      <c r="E218"/>
      <c r="F218"/>
      <c r="G218"/>
      <c r="H218"/>
      <c r="I218"/>
      <c r="J218"/>
      <c r="K218"/>
      <c r="L218"/>
      <c r="M218"/>
      <c r="N218"/>
      <c r="O218"/>
      <c r="P218"/>
      <c r="Q218"/>
      <c r="R218" s="58"/>
      <c r="S218" s="58"/>
      <c r="T218" s="58"/>
      <c r="U218" s="58"/>
    </row>
    <row r="219" spans="1:21" ht="12.75">
      <c r="A219"/>
      <c r="B219"/>
      <c r="C219"/>
      <c r="D219"/>
      <c r="E219"/>
      <c r="F219"/>
      <c r="G219"/>
      <c r="H219"/>
      <c r="I219"/>
      <c r="J219"/>
      <c r="K219"/>
      <c r="L219"/>
      <c r="M219"/>
      <c r="N219"/>
      <c r="O219"/>
      <c r="P219"/>
      <c r="Q219"/>
      <c r="R219" s="58"/>
      <c r="S219" s="58"/>
      <c r="T219" s="58"/>
      <c r="U219" s="58"/>
    </row>
    <row r="220" spans="1:21" ht="12.75">
      <c r="A220"/>
      <c r="B220"/>
      <c r="C220"/>
      <c r="D220"/>
      <c r="E220"/>
      <c r="F220"/>
      <c r="G220"/>
      <c r="H220"/>
      <c r="I220"/>
      <c r="J220"/>
      <c r="K220"/>
      <c r="L220"/>
      <c r="M220"/>
      <c r="N220"/>
      <c r="O220"/>
      <c r="P220"/>
      <c r="Q220"/>
      <c r="R220" s="58"/>
      <c r="S220" s="58"/>
      <c r="T220" s="58"/>
      <c r="U220" s="58"/>
    </row>
    <row r="221" spans="1:21" ht="12.75">
      <c r="A221"/>
      <c r="B221"/>
      <c r="C221"/>
      <c r="D221"/>
      <c r="E221"/>
      <c r="F221"/>
      <c r="G221"/>
      <c r="H221"/>
      <c r="I221"/>
      <c r="J221"/>
      <c r="K221"/>
      <c r="L221"/>
      <c r="M221"/>
      <c r="N221"/>
      <c r="O221"/>
      <c r="P221"/>
      <c r="Q221"/>
      <c r="R221" s="58"/>
      <c r="S221" s="58"/>
      <c r="T221" s="58"/>
      <c r="U221" s="58"/>
    </row>
    <row r="222" spans="1:21" ht="12.75">
      <c r="A222"/>
      <c r="B222"/>
      <c r="C222"/>
      <c r="D222"/>
      <c r="E222"/>
      <c r="F222"/>
      <c r="G222"/>
      <c r="H222"/>
      <c r="I222"/>
      <c r="J222"/>
      <c r="K222"/>
      <c r="L222"/>
      <c r="M222"/>
      <c r="N222"/>
      <c r="O222"/>
      <c r="P222"/>
      <c r="Q222"/>
      <c r="R222" s="58"/>
      <c r="S222" s="58"/>
      <c r="T222" s="58"/>
      <c r="U222" s="58"/>
    </row>
    <row r="223" spans="1:21" ht="12.75">
      <c r="A223"/>
      <c r="B223"/>
      <c r="C223"/>
      <c r="D223"/>
      <c r="E223"/>
      <c r="F223"/>
      <c r="G223"/>
      <c r="H223"/>
      <c r="I223"/>
      <c r="J223"/>
      <c r="K223"/>
      <c r="L223"/>
      <c r="M223"/>
      <c r="N223"/>
      <c r="O223"/>
      <c r="P223"/>
      <c r="Q223"/>
      <c r="R223" s="58"/>
      <c r="S223" s="58"/>
      <c r="T223" s="58"/>
      <c r="U223" s="58"/>
    </row>
    <row r="224" spans="1:21" ht="12.75">
      <c r="A224"/>
      <c r="B224"/>
      <c r="C224"/>
      <c r="D224"/>
      <c r="E224"/>
      <c r="F224"/>
      <c r="G224"/>
      <c r="H224"/>
      <c r="I224"/>
      <c r="J224"/>
      <c r="K224"/>
      <c r="L224"/>
      <c r="M224"/>
      <c r="N224"/>
      <c r="O224"/>
      <c r="P224"/>
      <c r="Q224"/>
      <c r="R224" s="58"/>
      <c r="S224" s="58"/>
      <c r="T224" s="58"/>
      <c r="U224" s="58"/>
    </row>
    <row r="225" spans="1:21" ht="12.75">
      <c r="A225"/>
      <c r="B225"/>
      <c r="C225"/>
      <c r="D225"/>
      <c r="E225"/>
      <c r="F225"/>
      <c r="G225"/>
      <c r="H225"/>
      <c r="I225"/>
      <c r="J225"/>
      <c r="K225"/>
      <c r="L225"/>
      <c r="M225"/>
      <c r="N225"/>
      <c r="O225"/>
      <c r="P225"/>
      <c r="Q225"/>
      <c r="R225" s="58"/>
      <c r="S225" s="58"/>
      <c r="T225" s="58"/>
      <c r="U225" s="58"/>
    </row>
    <row r="226" spans="1:21" ht="12.75">
      <c r="A226"/>
      <c r="B226"/>
      <c r="C226"/>
      <c r="D226"/>
      <c r="E226"/>
      <c r="F226"/>
      <c r="G226"/>
      <c r="H226"/>
      <c r="I226"/>
      <c r="J226"/>
      <c r="K226"/>
      <c r="L226"/>
      <c r="M226"/>
      <c r="N226"/>
      <c r="O226"/>
      <c r="P226"/>
      <c r="Q226"/>
      <c r="R226" s="58"/>
      <c r="S226" s="58"/>
      <c r="T226" s="58"/>
      <c r="U226" s="58"/>
    </row>
    <row r="227" spans="1:21" ht="12.75">
      <c r="A227"/>
      <c r="B227"/>
      <c r="C227"/>
      <c r="D227"/>
      <c r="E227"/>
      <c r="F227"/>
      <c r="G227"/>
      <c r="H227"/>
      <c r="I227"/>
      <c r="J227"/>
      <c r="K227"/>
      <c r="L227"/>
      <c r="M227"/>
      <c r="N227"/>
      <c r="O227"/>
      <c r="P227"/>
      <c r="Q227"/>
      <c r="R227" s="58"/>
      <c r="S227" s="58"/>
      <c r="T227" s="58"/>
      <c r="U227" s="58"/>
    </row>
    <row r="228" spans="1:21" ht="12.75">
      <c r="A228"/>
      <c r="B228"/>
      <c r="C228"/>
      <c r="D228"/>
      <c r="E228"/>
      <c r="F228"/>
      <c r="G228"/>
      <c r="H228"/>
      <c r="I228"/>
      <c r="J228"/>
      <c r="K228"/>
      <c r="L228"/>
      <c r="M228"/>
      <c r="N228"/>
      <c r="O228"/>
      <c r="P228"/>
      <c r="Q228"/>
      <c r="R228" s="58"/>
      <c r="S228" s="58"/>
      <c r="T228" s="58"/>
      <c r="U228" s="58"/>
    </row>
    <row r="229" spans="1:21" ht="12.75">
      <c r="A229"/>
      <c r="B229"/>
      <c r="C229"/>
      <c r="D229"/>
      <c r="E229"/>
      <c r="F229"/>
      <c r="G229"/>
      <c r="H229"/>
      <c r="I229"/>
      <c r="J229"/>
      <c r="K229"/>
      <c r="L229"/>
      <c r="M229"/>
      <c r="N229"/>
      <c r="O229"/>
      <c r="P229"/>
      <c r="Q229"/>
      <c r="R229" s="58"/>
      <c r="S229" s="58"/>
      <c r="T229" s="58"/>
      <c r="U229" s="58"/>
    </row>
    <row r="230" spans="1:21" ht="12.75">
      <c r="A230"/>
      <c r="B230"/>
      <c r="C230"/>
      <c r="D230"/>
      <c r="E230"/>
      <c r="F230"/>
      <c r="G230"/>
      <c r="H230"/>
      <c r="I230"/>
      <c r="J230"/>
      <c r="K230"/>
      <c r="L230"/>
      <c r="M230"/>
      <c r="N230"/>
      <c r="O230"/>
      <c r="P230"/>
      <c r="Q230"/>
      <c r="R230" s="58"/>
      <c r="S230" s="58"/>
      <c r="T230" s="58"/>
      <c r="U230" s="58"/>
    </row>
    <row r="231" spans="1:21" ht="12.75">
      <c r="A231"/>
      <c r="B231"/>
      <c r="C231"/>
      <c r="D231"/>
      <c r="E231"/>
      <c r="F231"/>
      <c r="G231"/>
      <c r="H231"/>
      <c r="I231"/>
      <c r="J231"/>
      <c r="K231"/>
      <c r="L231"/>
      <c r="M231"/>
      <c r="N231"/>
      <c r="O231"/>
      <c r="P231"/>
      <c r="Q231"/>
      <c r="R231" s="58"/>
      <c r="S231" s="58"/>
      <c r="T231" s="58"/>
      <c r="U231" s="58"/>
    </row>
    <row r="232" spans="1:21" ht="12.75">
      <c r="A232"/>
      <c r="B232"/>
      <c r="C232"/>
      <c r="D232"/>
      <c r="E232"/>
      <c r="F232"/>
      <c r="G232"/>
      <c r="H232"/>
      <c r="I232"/>
      <c r="J232"/>
      <c r="K232"/>
      <c r="L232"/>
      <c r="M232"/>
      <c r="N232"/>
      <c r="O232"/>
      <c r="P232"/>
      <c r="Q232"/>
      <c r="R232" s="58"/>
      <c r="S232" s="58"/>
      <c r="T232" s="58"/>
      <c r="U232" s="58"/>
    </row>
    <row r="233" spans="1:21" ht="12.75">
      <c r="A233"/>
      <c r="B233"/>
      <c r="C233"/>
      <c r="D233"/>
      <c r="E233"/>
      <c r="F233"/>
      <c r="G233"/>
      <c r="H233"/>
      <c r="I233"/>
      <c r="J233"/>
      <c r="K233"/>
      <c r="L233"/>
      <c r="M233"/>
      <c r="N233"/>
      <c r="O233"/>
      <c r="P233"/>
      <c r="Q233"/>
      <c r="R233" s="58"/>
      <c r="S233" s="58"/>
      <c r="T233" s="58"/>
      <c r="U233" s="58"/>
    </row>
    <row r="234" spans="1:21" ht="12.75">
      <c r="A234"/>
      <c r="B234"/>
      <c r="C234"/>
      <c r="D234"/>
      <c r="E234"/>
      <c r="F234"/>
      <c r="G234"/>
      <c r="H234"/>
      <c r="I234"/>
      <c r="J234"/>
      <c r="K234"/>
      <c r="L234"/>
      <c r="M234"/>
      <c r="N234"/>
      <c r="O234"/>
      <c r="P234"/>
      <c r="Q234"/>
      <c r="R234" s="58"/>
      <c r="S234" s="58"/>
      <c r="T234" s="58"/>
      <c r="U234" s="58"/>
    </row>
    <row r="235" spans="1:21" ht="12.75">
      <c r="A235"/>
      <c r="B235"/>
      <c r="C235"/>
      <c r="D235"/>
      <c r="E235"/>
      <c r="F235"/>
      <c r="G235"/>
      <c r="H235"/>
      <c r="I235"/>
      <c r="J235"/>
      <c r="K235"/>
      <c r="L235"/>
      <c r="M235"/>
      <c r="N235"/>
      <c r="O235"/>
      <c r="P235"/>
      <c r="Q235"/>
      <c r="R235" s="58"/>
      <c r="S235" s="58"/>
      <c r="T235" s="58"/>
      <c r="U235" s="58"/>
    </row>
    <row r="236" spans="1:21" ht="12.75">
      <c r="A236"/>
      <c r="B236"/>
      <c r="C236"/>
      <c r="D236"/>
      <c r="E236"/>
      <c r="F236"/>
      <c r="G236"/>
      <c r="H236"/>
      <c r="I236"/>
      <c r="J236"/>
      <c r="K236"/>
      <c r="L236"/>
      <c r="M236"/>
      <c r="N236"/>
      <c r="O236"/>
      <c r="P236"/>
      <c r="Q236"/>
      <c r="R236" s="58"/>
      <c r="S236" s="58"/>
      <c r="T236" s="58"/>
      <c r="U236" s="58"/>
    </row>
    <row r="237" spans="1:21" ht="12.75">
      <c r="A237"/>
      <c r="B237"/>
      <c r="C237"/>
      <c r="D237"/>
      <c r="E237"/>
      <c r="F237"/>
      <c r="G237"/>
      <c r="H237"/>
      <c r="I237"/>
      <c r="J237"/>
      <c r="K237"/>
      <c r="L237"/>
      <c r="M237"/>
      <c r="N237"/>
      <c r="O237"/>
      <c r="P237"/>
      <c r="Q237"/>
      <c r="R237" s="58"/>
      <c r="S237" s="58"/>
      <c r="T237" s="58"/>
      <c r="U237" s="58"/>
    </row>
    <row r="238" spans="1:21" ht="12.75">
      <c r="A238"/>
      <c r="B238"/>
      <c r="C238"/>
      <c r="D238"/>
      <c r="E238"/>
      <c r="F238"/>
      <c r="G238"/>
      <c r="H238"/>
      <c r="I238"/>
      <c r="J238"/>
      <c r="K238"/>
      <c r="L238"/>
      <c r="M238"/>
      <c r="N238"/>
      <c r="O238"/>
      <c r="P238"/>
      <c r="Q238"/>
      <c r="R238" s="58"/>
      <c r="S238" s="58"/>
      <c r="T238" s="58"/>
      <c r="U238" s="58"/>
    </row>
    <row r="239" spans="1:21" ht="12.75">
      <c r="A239"/>
      <c r="B239"/>
      <c r="C239"/>
      <c r="D239"/>
      <c r="E239"/>
      <c r="F239"/>
      <c r="G239"/>
      <c r="H239"/>
      <c r="I239"/>
      <c r="J239"/>
      <c r="K239"/>
      <c r="L239"/>
      <c r="M239"/>
      <c r="N239"/>
      <c r="O239"/>
      <c r="P239"/>
      <c r="Q239"/>
      <c r="R239" s="58"/>
      <c r="S239" s="58"/>
      <c r="T239" s="58"/>
      <c r="U239" s="58"/>
    </row>
    <row r="240" spans="1:21" ht="12.75">
      <c r="A240"/>
      <c r="B240"/>
      <c r="C240"/>
      <c r="D240"/>
      <c r="E240"/>
      <c r="F240"/>
      <c r="G240"/>
      <c r="H240"/>
      <c r="I240"/>
      <c r="J240"/>
      <c r="K240"/>
      <c r="L240"/>
      <c r="M240"/>
      <c r="N240"/>
      <c r="O240"/>
      <c r="P240"/>
      <c r="Q240"/>
      <c r="R240" s="58"/>
      <c r="S240" s="58"/>
      <c r="T240" s="58"/>
      <c r="U240" s="58"/>
    </row>
    <row r="241" spans="1:21" ht="12.75">
      <c r="A241"/>
      <c r="B241"/>
      <c r="C241"/>
      <c r="D241"/>
      <c r="E241"/>
      <c r="F241"/>
      <c r="G241"/>
      <c r="H241"/>
      <c r="I241"/>
      <c r="J241"/>
      <c r="K241"/>
      <c r="L241"/>
      <c r="M241"/>
      <c r="N241"/>
      <c r="O241"/>
      <c r="P241"/>
      <c r="Q241"/>
      <c r="R241" s="58"/>
      <c r="S241" s="58"/>
      <c r="T241" s="58"/>
      <c r="U241" s="58"/>
    </row>
    <row r="242" spans="1:21" ht="12.75">
      <c r="A242"/>
      <c r="B242"/>
      <c r="C242"/>
      <c r="D242"/>
      <c r="E242"/>
      <c r="F242"/>
      <c r="G242"/>
      <c r="H242"/>
      <c r="I242"/>
      <c r="J242"/>
      <c r="K242"/>
      <c r="L242"/>
      <c r="M242"/>
      <c r="N242"/>
      <c r="O242"/>
      <c r="P242"/>
      <c r="Q242"/>
      <c r="R242" s="58"/>
      <c r="S242" s="58"/>
      <c r="T242" s="58"/>
      <c r="U242" s="58"/>
    </row>
    <row r="243" spans="1:21" ht="12.75">
      <c r="A243"/>
      <c r="B243"/>
      <c r="C243"/>
      <c r="D243"/>
      <c r="E243"/>
      <c r="F243"/>
      <c r="G243"/>
      <c r="H243"/>
      <c r="I243"/>
      <c r="J243"/>
      <c r="K243"/>
      <c r="L243"/>
      <c r="M243"/>
      <c r="N243"/>
      <c r="O243"/>
      <c r="P243"/>
      <c r="Q243"/>
      <c r="R243" s="58"/>
      <c r="S243" s="58"/>
      <c r="T243" s="58"/>
      <c r="U243" s="58"/>
    </row>
    <row r="244" spans="1:21" ht="12.75">
      <c r="A244"/>
      <c r="B244"/>
      <c r="C244"/>
      <c r="D244"/>
      <c r="E244"/>
      <c r="F244"/>
      <c r="G244"/>
      <c r="H244"/>
      <c r="I244"/>
      <c r="J244"/>
      <c r="K244"/>
      <c r="L244"/>
      <c r="M244"/>
      <c r="N244"/>
      <c r="O244"/>
      <c r="P244"/>
      <c r="Q244"/>
      <c r="R244" s="58"/>
      <c r="S244" s="58"/>
      <c r="T244" s="58"/>
      <c r="U244" s="58"/>
    </row>
    <row r="245" spans="1:21" ht="12.75">
      <c r="A245"/>
      <c r="B245"/>
      <c r="C245"/>
      <c r="D245"/>
      <c r="E245"/>
      <c r="F245"/>
      <c r="G245"/>
      <c r="H245"/>
      <c r="I245"/>
      <c r="J245"/>
      <c r="K245"/>
      <c r="L245"/>
      <c r="M245"/>
      <c r="N245"/>
      <c r="O245"/>
      <c r="P245"/>
      <c r="Q245"/>
      <c r="R245" s="58"/>
      <c r="S245" s="58"/>
      <c r="T245" s="58"/>
      <c r="U245" s="58"/>
    </row>
    <row r="246" spans="1:21" ht="12.75">
      <c r="A246"/>
      <c r="B246"/>
      <c r="C246"/>
      <c r="D246"/>
      <c r="E246"/>
      <c r="F246"/>
      <c r="G246"/>
      <c r="H246"/>
      <c r="I246"/>
      <c r="J246"/>
      <c r="K246"/>
      <c r="L246"/>
      <c r="M246"/>
      <c r="N246"/>
      <c r="O246"/>
      <c r="P246"/>
      <c r="Q246"/>
      <c r="R246" s="58"/>
      <c r="S246" s="58"/>
      <c r="T246" s="58"/>
      <c r="U246" s="58"/>
    </row>
    <row r="247" spans="1:21" ht="12.75">
      <c r="A247"/>
      <c r="B247"/>
      <c r="C247"/>
      <c r="D247"/>
      <c r="E247"/>
      <c r="F247"/>
      <c r="G247"/>
      <c r="H247"/>
      <c r="I247"/>
      <c r="J247"/>
      <c r="K247"/>
      <c r="L247"/>
      <c r="M247"/>
      <c r="N247"/>
      <c r="O247"/>
      <c r="P247"/>
      <c r="Q247"/>
      <c r="R247" s="58"/>
      <c r="S247" s="58"/>
      <c r="T247" s="58"/>
      <c r="U247" s="58"/>
    </row>
    <row r="248" spans="1:21" ht="12.75">
      <c r="A248"/>
      <c r="B248"/>
      <c r="C248"/>
      <c r="D248"/>
      <c r="E248"/>
      <c r="F248"/>
      <c r="G248"/>
      <c r="H248"/>
      <c r="I248"/>
      <c r="J248"/>
      <c r="K248"/>
      <c r="L248"/>
      <c r="M248"/>
      <c r="N248"/>
      <c r="O248"/>
      <c r="P248"/>
      <c r="Q248"/>
      <c r="R248" s="58"/>
      <c r="S248" s="58"/>
      <c r="T248" s="58"/>
      <c r="U248" s="58"/>
    </row>
    <row r="249" spans="1:21" ht="12.75">
      <c r="A249"/>
      <c r="B249"/>
      <c r="C249"/>
      <c r="D249"/>
      <c r="E249"/>
      <c r="F249"/>
      <c r="G249"/>
      <c r="H249"/>
      <c r="I249"/>
      <c r="J249"/>
      <c r="K249"/>
      <c r="L249"/>
      <c r="M249"/>
      <c r="N249"/>
      <c r="O249"/>
      <c r="P249"/>
      <c r="Q249"/>
      <c r="R249" s="58"/>
      <c r="S249" s="58"/>
      <c r="T249" s="58"/>
      <c r="U249" s="58"/>
    </row>
    <row r="250" spans="1:21" ht="12.75">
      <c r="A250"/>
      <c r="B250"/>
      <c r="C250"/>
      <c r="D250"/>
      <c r="E250"/>
      <c r="F250"/>
      <c r="G250"/>
      <c r="H250"/>
      <c r="I250"/>
      <c r="J250"/>
      <c r="K250"/>
      <c r="L250"/>
      <c r="M250"/>
      <c r="N250"/>
      <c r="O250"/>
      <c r="P250"/>
      <c r="Q250"/>
      <c r="R250" s="58"/>
      <c r="S250" s="58"/>
      <c r="T250" s="58"/>
      <c r="U250" s="58"/>
    </row>
    <row r="251" spans="1:21" ht="12.75">
      <c r="A251"/>
      <c r="B251"/>
      <c r="C251"/>
      <c r="D251"/>
      <c r="E251"/>
      <c r="F251"/>
      <c r="G251"/>
      <c r="H251"/>
      <c r="I251"/>
      <c r="J251"/>
      <c r="K251"/>
      <c r="L251"/>
      <c r="M251"/>
      <c r="N251"/>
      <c r="O251"/>
      <c r="P251"/>
      <c r="Q251"/>
      <c r="R251" s="58"/>
      <c r="S251" s="58"/>
      <c r="T251" s="58"/>
      <c r="U251" s="58"/>
    </row>
    <row r="252" spans="1:21" ht="12.75">
      <c r="A252"/>
      <c r="B252"/>
      <c r="C252"/>
      <c r="D252"/>
      <c r="E252"/>
      <c r="F252"/>
      <c r="G252"/>
      <c r="H252"/>
      <c r="I252"/>
      <c r="J252"/>
      <c r="K252"/>
      <c r="L252"/>
      <c r="M252"/>
      <c r="N252"/>
      <c r="O252"/>
      <c r="P252"/>
      <c r="Q252"/>
      <c r="R252" s="58"/>
      <c r="S252" s="58"/>
      <c r="T252" s="58"/>
      <c r="U252" s="58"/>
    </row>
    <row r="253" spans="1:21" ht="12.75">
      <c r="A253"/>
      <c r="B253"/>
      <c r="C253"/>
      <c r="D253"/>
      <c r="E253"/>
      <c r="F253"/>
      <c r="G253"/>
      <c r="H253"/>
      <c r="I253"/>
      <c r="J253"/>
      <c r="K253"/>
      <c r="L253"/>
      <c r="M253"/>
      <c r="N253"/>
      <c r="O253"/>
      <c r="P253"/>
      <c r="Q253"/>
      <c r="R253" s="58"/>
      <c r="S253" s="58"/>
      <c r="T253" s="58"/>
      <c r="U253" s="58"/>
    </row>
    <row r="254" spans="1:21" ht="12.75">
      <c r="A254"/>
      <c r="B254"/>
      <c r="C254"/>
      <c r="D254"/>
      <c r="E254"/>
      <c r="F254"/>
      <c r="G254"/>
      <c r="H254"/>
      <c r="I254"/>
      <c r="J254"/>
      <c r="K254"/>
      <c r="L254"/>
      <c r="M254"/>
      <c r="N254"/>
      <c r="O254"/>
      <c r="P254"/>
      <c r="Q254"/>
      <c r="R254" s="58"/>
      <c r="S254" s="58"/>
      <c r="T254" s="58"/>
      <c r="U254" s="58"/>
    </row>
    <row r="255" spans="1:21" ht="12.75">
      <c r="A255"/>
      <c r="B255"/>
      <c r="C255"/>
      <c r="D255"/>
      <c r="E255"/>
      <c r="F255"/>
      <c r="G255"/>
      <c r="H255"/>
      <c r="I255"/>
      <c r="J255"/>
      <c r="K255"/>
      <c r="L255"/>
      <c r="M255"/>
      <c r="N255"/>
      <c r="O255"/>
      <c r="P255"/>
      <c r="Q255"/>
      <c r="R255" s="58"/>
      <c r="S255" s="58"/>
      <c r="T255" s="58"/>
      <c r="U255" s="58"/>
    </row>
    <row r="256" spans="1:21" ht="12.75">
      <c r="A256"/>
      <c r="B256"/>
      <c r="C256"/>
      <c r="D256"/>
      <c r="E256"/>
      <c r="F256"/>
      <c r="G256"/>
      <c r="H256"/>
      <c r="I256"/>
      <c r="J256"/>
      <c r="K256"/>
      <c r="L256"/>
      <c r="M256"/>
      <c r="N256"/>
      <c r="O256"/>
      <c r="P256"/>
      <c r="Q256"/>
      <c r="R256" s="58"/>
      <c r="S256" s="58"/>
      <c r="T256" s="58"/>
      <c r="U256" s="58"/>
    </row>
    <row r="257" spans="1:21" ht="12.75">
      <c r="A257"/>
      <c r="B257"/>
      <c r="C257"/>
      <c r="D257"/>
      <c r="E257"/>
      <c r="F257"/>
      <c r="G257"/>
      <c r="H257"/>
      <c r="I257"/>
      <c r="J257"/>
      <c r="K257"/>
      <c r="L257"/>
      <c r="M257"/>
      <c r="N257"/>
      <c r="O257"/>
      <c r="P257"/>
      <c r="Q257"/>
      <c r="R257" s="58"/>
      <c r="S257" s="58"/>
      <c r="T257" s="58"/>
      <c r="U257" s="58"/>
    </row>
    <row r="258" spans="1:21" ht="12.75">
      <c r="A258"/>
      <c r="B258"/>
      <c r="C258"/>
      <c r="D258"/>
      <c r="E258"/>
      <c r="F258"/>
      <c r="G258"/>
      <c r="H258"/>
      <c r="I258"/>
      <c r="J258"/>
      <c r="K258"/>
      <c r="L258"/>
      <c r="M258"/>
      <c r="N258"/>
      <c r="O258"/>
      <c r="P258"/>
      <c r="Q258"/>
      <c r="R258" s="58"/>
      <c r="S258" s="58"/>
      <c r="T258" s="58"/>
      <c r="U258" s="58"/>
    </row>
    <row r="259" spans="1:21" ht="12.75">
      <c r="A259"/>
      <c r="B259"/>
      <c r="C259"/>
      <c r="D259"/>
      <c r="E259"/>
      <c r="F259"/>
      <c r="G259"/>
      <c r="H259"/>
      <c r="I259"/>
      <c r="J259"/>
      <c r="K259"/>
      <c r="L259"/>
      <c r="M259"/>
      <c r="N259"/>
      <c r="O259"/>
      <c r="P259"/>
      <c r="Q259"/>
      <c r="R259" s="58"/>
      <c r="S259" s="58"/>
      <c r="T259" s="58"/>
      <c r="U259" s="58"/>
    </row>
    <row r="260" spans="1:21" ht="12.75">
      <c r="A260"/>
      <c r="B260"/>
      <c r="C260"/>
      <c r="D260"/>
      <c r="E260"/>
      <c r="F260"/>
      <c r="G260"/>
      <c r="H260"/>
      <c r="I260"/>
      <c r="J260"/>
      <c r="K260"/>
      <c r="L260"/>
      <c r="M260"/>
      <c r="N260"/>
      <c r="O260"/>
      <c r="P260"/>
      <c r="Q260"/>
      <c r="R260" s="58"/>
      <c r="S260" s="58"/>
      <c r="T260" s="58"/>
      <c r="U260" s="58"/>
    </row>
    <row r="261" spans="1:21" ht="12.75">
      <c r="A261"/>
      <c r="B261"/>
      <c r="C261"/>
      <c r="D261"/>
      <c r="E261"/>
      <c r="F261"/>
      <c r="G261"/>
      <c r="H261"/>
      <c r="I261"/>
      <c r="J261"/>
      <c r="K261"/>
      <c r="L261"/>
      <c r="M261"/>
      <c r="N261"/>
      <c r="O261"/>
      <c r="P261"/>
      <c r="Q261"/>
      <c r="R261" s="58"/>
      <c r="S261" s="58"/>
      <c r="T261" s="58"/>
      <c r="U261" s="58"/>
    </row>
    <row r="262" spans="1:21" ht="12.75">
      <c r="A262"/>
      <c r="B262"/>
      <c r="C262"/>
      <c r="D262"/>
      <c r="E262"/>
      <c r="F262"/>
      <c r="G262"/>
      <c r="H262"/>
      <c r="I262"/>
      <c r="J262"/>
      <c r="K262"/>
      <c r="L262"/>
      <c r="M262"/>
      <c r="N262"/>
      <c r="O262"/>
      <c r="P262"/>
      <c r="Q262"/>
      <c r="R262" s="58"/>
      <c r="S262" s="58"/>
      <c r="T262" s="58"/>
      <c r="U262" s="58"/>
    </row>
    <row r="263" spans="1:21" ht="12.75">
      <c r="A263"/>
      <c r="B263"/>
      <c r="C263"/>
      <c r="D263"/>
      <c r="E263"/>
      <c r="F263"/>
      <c r="G263"/>
      <c r="H263"/>
      <c r="I263"/>
      <c r="J263"/>
      <c r="K263"/>
      <c r="L263"/>
      <c r="M263"/>
      <c r="N263"/>
      <c r="O263"/>
      <c r="P263"/>
      <c r="Q263"/>
      <c r="R263" s="58"/>
      <c r="S263" s="58"/>
      <c r="T263" s="58"/>
      <c r="U263" s="58"/>
    </row>
    <row r="264" spans="1:21" ht="12.75">
      <c r="A264"/>
      <c r="B264"/>
      <c r="C264"/>
      <c r="D264"/>
      <c r="E264"/>
      <c r="F264"/>
      <c r="G264"/>
      <c r="H264"/>
      <c r="I264"/>
      <c r="J264"/>
      <c r="K264"/>
      <c r="L264"/>
      <c r="M264"/>
      <c r="N264"/>
      <c r="O264"/>
      <c r="P264"/>
      <c r="Q264"/>
      <c r="R264" s="58"/>
      <c r="S264" s="58"/>
      <c r="T264" s="58"/>
      <c r="U264" s="58"/>
    </row>
    <row r="265" spans="1:21" ht="12.75">
      <c r="A265"/>
      <c r="B265"/>
      <c r="C265"/>
      <c r="D265"/>
      <c r="E265"/>
      <c r="F265"/>
      <c r="G265"/>
      <c r="H265"/>
      <c r="I265"/>
      <c r="J265"/>
      <c r="K265"/>
      <c r="L265"/>
      <c r="M265"/>
      <c r="N265"/>
      <c r="O265"/>
      <c r="P265"/>
      <c r="Q265"/>
      <c r="R265" s="58"/>
      <c r="S265" s="58"/>
      <c r="T265" s="58"/>
      <c r="U265" s="58"/>
    </row>
    <row r="266" spans="1:21" ht="12.75">
      <c r="A266"/>
      <c r="B266"/>
      <c r="C266"/>
      <c r="D266"/>
      <c r="E266"/>
      <c r="F266"/>
      <c r="G266"/>
      <c r="H266"/>
      <c r="I266"/>
      <c r="J266"/>
      <c r="K266"/>
      <c r="L266"/>
      <c r="M266"/>
      <c r="N266"/>
      <c r="O266"/>
      <c r="P266"/>
      <c r="Q266"/>
      <c r="R266" s="58"/>
      <c r="S266" s="58"/>
      <c r="T266" s="58"/>
      <c r="U266" s="58"/>
    </row>
    <row r="267" spans="1:21" ht="12.75">
      <c r="A267"/>
      <c r="B267"/>
      <c r="C267"/>
      <c r="D267"/>
      <c r="E267"/>
      <c r="F267"/>
      <c r="G267"/>
      <c r="H267"/>
      <c r="I267"/>
      <c r="J267"/>
      <c r="K267"/>
      <c r="L267"/>
      <c r="M267"/>
      <c r="N267"/>
      <c r="O267"/>
      <c r="P267"/>
      <c r="Q267"/>
      <c r="R267" s="58"/>
      <c r="S267" s="58"/>
      <c r="T267" s="58"/>
      <c r="U267" s="58"/>
    </row>
    <row r="268" spans="1:21" ht="12.75">
      <c r="A268"/>
      <c r="B268"/>
      <c r="C268"/>
      <c r="D268"/>
      <c r="E268"/>
      <c r="F268"/>
      <c r="G268"/>
      <c r="H268"/>
      <c r="I268"/>
      <c r="J268"/>
      <c r="K268"/>
      <c r="L268"/>
      <c r="M268"/>
      <c r="N268"/>
      <c r="O268"/>
      <c r="P268"/>
      <c r="Q268"/>
      <c r="R268" s="58"/>
      <c r="S268" s="58"/>
      <c r="T268" s="58"/>
      <c r="U268" s="58"/>
    </row>
    <row r="269" spans="1:21" ht="12.75">
      <c r="A269"/>
      <c r="B269"/>
      <c r="C269"/>
      <c r="D269"/>
      <c r="E269"/>
      <c r="F269"/>
      <c r="G269"/>
      <c r="H269"/>
      <c r="I269"/>
      <c r="J269"/>
      <c r="K269"/>
      <c r="L269"/>
      <c r="M269"/>
      <c r="N269"/>
      <c r="O269"/>
      <c r="P269"/>
      <c r="Q269"/>
      <c r="R269" s="58"/>
      <c r="S269" s="58"/>
      <c r="T269" s="58"/>
      <c r="U269" s="58"/>
    </row>
    <row r="270" spans="1:21" ht="12.75">
      <c r="A270"/>
      <c r="B270"/>
      <c r="C270"/>
      <c r="D270"/>
      <c r="E270"/>
      <c r="F270"/>
      <c r="G270"/>
      <c r="H270"/>
      <c r="I270"/>
      <c r="J270"/>
      <c r="K270"/>
      <c r="L270"/>
      <c r="M270"/>
      <c r="N270"/>
      <c r="O270"/>
      <c r="P270"/>
      <c r="Q270"/>
      <c r="R270" s="58"/>
      <c r="S270" s="58"/>
      <c r="T270" s="58"/>
      <c r="U270" s="58"/>
    </row>
    <row r="271" spans="1:21" ht="12.75">
      <c r="A271"/>
      <c r="B271"/>
      <c r="C271"/>
      <c r="D271"/>
      <c r="E271"/>
      <c r="F271"/>
      <c r="G271"/>
      <c r="H271"/>
      <c r="I271"/>
      <c r="J271"/>
      <c r="K271"/>
      <c r="L271"/>
      <c r="M271"/>
      <c r="N271"/>
      <c r="O271"/>
      <c r="P271"/>
      <c r="Q271"/>
      <c r="R271" s="58"/>
      <c r="S271" s="58"/>
      <c r="T271" s="58"/>
      <c r="U271" s="58"/>
    </row>
    <row r="272" spans="1:21" ht="12.75">
      <c r="A272"/>
      <c r="B272"/>
      <c r="C272"/>
      <c r="D272"/>
      <c r="E272"/>
      <c r="F272"/>
      <c r="G272"/>
      <c r="H272"/>
      <c r="I272"/>
      <c r="J272"/>
      <c r="K272"/>
      <c r="L272"/>
      <c r="M272"/>
      <c r="N272"/>
      <c r="O272"/>
      <c r="P272"/>
      <c r="Q272"/>
      <c r="R272" s="58"/>
      <c r="S272" s="58"/>
      <c r="T272" s="58"/>
      <c r="U272" s="58"/>
    </row>
    <row r="273" spans="1:21" ht="12.75">
      <c r="A273"/>
      <c r="B273"/>
      <c r="C273"/>
      <c r="D273"/>
      <c r="E273"/>
      <c r="F273"/>
      <c r="G273"/>
      <c r="H273"/>
      <c r="I273"/>
      <c r="J273"/>
      <c r="K273"/>
      <c r="L273"/>
      <c r="M273"/>
      <c r="N273"/>
      <c r="O273"/>
      <c r="P273"/>
      <c r="Q273"/>
      <c r="R273" s="58"/>
      <c r="S273" s="58"/>
      <c r="T273" s="58"/>
      <c r="U273" s="58"/>
    </row>
    <row r="274" spans="1:21" ht="12.75">
      <c r="A274"/>
      <c r="B274"/>
      <c r="C274"/>
      <c r="D274"/>
      <c r="E274"/>
      <c r="F274"/>
      <c r="G274"/>
      <c r="H274"/>
      <c r="I274"/>
      <c r="J274"/>
      <c r="K274"/>
      <c r="L274"/>
      <c r="M274"/>
      <c r="N274"/>
      <c r="O274"/>
      <c r="P274"/>
      <c r="Q274"/>
      <c r="R274" s="58"/>
      <c r="S274" s="58"/>
      <c r="T274" s="58"/>
      <c r="U274" s="58"/>
    </row>
    <row r="275" spans="1:21" ht="12.75">
      <c r="A275"/>
      <c r="B275"/>
      <c r="C275"/>
      <c r="D275"/>
      <c r="E275"/>
      <c r="F275"/>
      <c r="G275"/>
      <c r="H275"/>
      <c r="I275"/>
      <c r="J275"/>
      <c r="K275"/>
      <c r="L275"/>
      <c r="M275"/>
      <c r="N275"/>
      <c r="O275"/>
      <c r="P275"/>
      <c r="Q275"/>
      <c r="R275" s="58"/>
      <c r="S275" s="58"/>
      <c r="T275" s="58"/>
      <c r="U275" s="58"/>
    </row>
    <row r="276" spans="1:21" ht="12.75">
      <c r="A276"/>
      <c r="B276"/>
      <c r="C276"/>
      <c r="D276"/>
      <c r="E276"/>
      <c r="F276"/>
      <c r="G276"/>
      <c r="H276"/>
      <c r="I276"/>
      <c r="J276"/>
      <c r="K276"/>
      <c r="L276"/>
      <c r="M276"/>
      <c r="N276"/>
      <c r="O276"/>
      <c r="P276"/>
      <c r="Q276"/>
      <c r="R276" s="58"/>
      <c r="S276" s="58"/>
      <c r="T276" s="58"/>
      <c r="U276" s="58"/>
    </row>
    <row r="277" spans="1:21" ht="12.75">
      <c r="A277"/>
      <c r="B277"/>
      <c r="C277"/>
      <c r="D277"/>
      <c r="E277"/>
      <c r="F277"/>
      <c r="G277"/>
      <c r="H277"/>
      <c r="I277"/>
      <c r="J277"/>
      <c r="K277"/>
      <c r="L277"/>
      <c r="M277"/>
      <c r="N277"/>
      <c r="O277"/>
      <c r="P277"/>
      <c r="Q277"/>
      <c r="R277" s="58"/>
      <c r="S277" s="58"/>
      <c r="T277" s="58"/>
      <c r="U277" s="58"/>
    </row>
    <row r="278" spans="1:21" ht="12.75">
      <c r="A278"/>
      <c r="B278"/>
      <c r="C278"/>
      <c r="D278"/>
      <c r="E278"/>
      <c r="F278"/>
      <c r="G278"/>
      <c r="H278"/>
      <c r="I278"/>
      <c r="J278"/>
      <c r="K278"/>
      <c r="L278"/>
      <c r="M278"/>
      <c r="N278"/>
      <c r="O278"/>
      <c r="P278"/>
      <c r="Q278"/>
      <c r="R278" s="58"/>
      <c r="S278" s="58"/>
      <c r="T278" s="58"/>
      <c r="U278" s="58"/>
    </row>
    <row r="279" spans="1:21" ht="12.75">
      <c r="A279"/>
      <c r="B279"/>
      <c r="C279"/>
      <c r="D279"/>
      <c r="E279"/>
      <c r="F279"/>
      <c r="G279"/>
      <c r="H279"/>
      <c r="I279"/>
      <c r="J279"/>
      <c r="K279"/>
      <c r="L279"/>
      <c r="M279"/>
      <c r="N279"/>
      <c r="O279"/>
      <c r="P279"/>
      <c r="Q279"/>
      <c r="R279" s="58"/>
      <c r="S279" s="58"/>
      <c r="T279" s="58"/>
      <c r="U279" s="58"/>
    </row>
    <row r="280" spans="1:21" ht="12.75">
      <c r="A280"/>
      <c r="B280"/>
      <c r="C280"/>
      <c r="D280"/>
      <c r="E280"/>
      <c r="F280"/>
      <c r="G280"/>
      <c r="H280"/>
      <c r="I280"/>
      <c r="J280"/>
      <c r="K280"/>
      <c r="L280"/>
      <c r="M280"/>
      <c r="N280"/>
      <c r="O280"/>
      <c r="P280"/>
      <c r="Q280"/>
      <c r="R280" s="58"/>
      <c r="S280" s="58"/>
      <c r="T280" s="58"/>
      <c r="U280" s="58"/>
    </row>
    <row r="281" spans="1:21" ht="12.75">
      <c r="A281"/>
      <c r="B281"/>
      <c r="C281"/>
      <c r="D281"/>
      <c r="E281"/>
      <c r="F281"/>
      <c r="G281"/>
      <c r="H281"/>
      <c r="I281"/>
      <c r="J281"/>
      <c r="K281"/>
      <c r="L281"/>
      <c r="M281"/>
      <c r="N281"/>
      <c r="O281"/>
      <c r="P281"/>
      <c r="Q281"/>
      <c r="R281" s="58"/>
      <c r="S281" s="58"/>
      <c r="T281" s="58"/>
      <c r="U281" s="58"/>
    </row>
    <row r="282" spans="1:21" ht="12.75">
      <c r="A282"/>
      <c r="B282"/>
      <c r="C282"/>
      <c r="D282"/>
      <c r="E282"/>
      <c r="F282"/>
      <c r="G282"/>
      <c r="H282"/>
      <c r="I282"/>
      <c r="J282"/>
      <c r="K282"/>
      <c r="L282"/>
      <c r="M282"/>
      <c r="N282"/>
      <c r="O282"/>
      <c r="P282"/>
      <c r="Q282"/>
      <c r="R282" s="58"/>
      <c r="S282" s="58"/>
      <c r="T282" s="58"/>
      <c r="U282" s="58"/>
    </row>
    <row r="283" spans="1:21" ht="12.75">
      <c r="A283"/>
      <c r="B283"/>
      <c r="C283"/>
      <c r="D283"/>
      <c r="E283"/>
      <c r="F283"/>
      <c r="G283"/>
      <c r="H283"/>
      <c r="I283"/>
      <c r="J283"/>
      <c r="K283"/>
      <c r="L283"/>
      <c r="M283"/>
      <c r="N283"/>
      <c r="O283"/>
      <c r="P283"/>
      <c r="Q283"/>
      <c r="R283" s="58"/>
      <c r="S283" s="58"/>
      <c r="T283" s="58"/>
      <c r="U283" s="58"/>
    </row>
    <row r="284" spans="1:21" ht="12.75">
      <c r="A284"/>
      <c r="B284"/>
      <c r="C284"/>
      <c r="D284"/>
      <c r="E284"/>
      <c r="F284"/>
      <c r="G284"/>
      <c r="H284"/>
      <c r="I284"/>
      <c r="J284"/>
      <c r="K284"/>
      <c r="L284"/>
      <c r="M284"/>
      <c r="N284"/>
      <c r="O284"/>
      <c r="P284"/>
      <c r="Q284"/>
      <c r="R284" s="58"/>
      <c r="S284" s="58"/>
      <c r="T284" s="58"/>
      <c r="U284" s="58"/>
    </row>
    <row r="285" spans="1:21" ht="12.75">
      <c r="A285"/>
      <c r="B285"/>
      <c r="C285"/>
      <c r="D285"/>
      <c r="E285"/>
      <c r="F285"/>
      <c r="G285"/>
      <c r="H285"/>
      <c r="I285"/>
      <c r="J285"/>
      <c r="K285"/>
      <c r="L285"/>
      <c r="M285"/>
      <c r="N285"/>
      <c r="O285"/>
      <c r="P285"/>
      <c r="Q285"/>
      <c r="R285" s="58"/>
      <c r="S285" s="58"/>
      <c r="T285" s="58"/>
      <c r="U285" s="58"/>
    </row>
    <row r="286" spans="1:21" ht="12.75">
      <c r="A286"/>
      <c r="B286"/>
      <c r="C286"/>
      <c r="D286"/>
      <c r="E286"/>
      <c r="F286"/>
      <c r="G286"/>
      <c r="H286"/>
      <c r="I286"/>
      <c r="J286"/>
      <c r="K286"/>
      <c r="L286"/>
      <c r="M286"/>
      <c r="N286"/>
      <c r="O286"/>
      <c r="P286"/>
      <c r="Q286"/>
      <c r="R286" s="58"/>
      <c r="S286" s="58"/>
      <c r="T286" s="58"/>
      <c r="U286" s="58"/>
    </row>
    <row r="287" spans="1:21" ht="12.75">
      <c r="A287"/>
      <c r="B287"/>
      <c r="C287"/>
      <c r="D287"/>
      <c r="E287"/>
      <c r="F287"/>
      <c r="G287"/>
      <c r="H287"/>
      <c r="I287"/>
      <c r="J287"/>
      <c r="K287"/>
      <c r="L287"/>
      <c r="M287"/>
      <c r="N287"/>
      <c r="O287"/>
      <c r="P287"/>
      <c r="Q287"/>
      <c r="R287" s="58"/>
      <c r="S287" s="58"/>
      <c r="T287" s="58"/>
      <c r="U287" s="58"/>
    </row>
    <row r="288" spans="1:21" ht="12.75">
      <c r="A288"/>
      <c r="B288"/>
      <c r="C288"/>
      <c r="D288"/>
      <c r="E288"/>
      <c r="F288"/>
      <c r="G288"/>
      <c r="H288"/>
      <c r="I288"/>
      <c r="J288"/>
      <c r="K288"/>
      <c r="L288"/>
      <c r="M288"/>
      <c r="N288"/>
      <c r="O288"/>
      <c r="P288"/>
      <c r="Q288"/>
      <c r="R288" s="58"/>
      <c r="S288" s="58"/>
      <c r="T288" s="58"/>
      <c r="U288" s="58"/>
    </row>
    <row r="289" spans="1:21" ht="12.75">
      <c r="A289"/>
      <c r="B289"/>
      <c r="C289"/>
      <c r="D289"/>
      <c r="E289"/>
      <c r="F289"/>
      <c r="G289"/>
      <c r="H289"/>
      <c r="I289"/>
      <c r="J289"/>
      <c r="K289"/>
      <c r="L289"/>
      <c r="M289"/>
      <c r="N289"/>
      <c r="O289"/>
      <c r="P289"/>
      <c r="Q289"/>
      <c r="R289" s="58"/>
      <c r="S289" s="58"/>
      <c r="T289" s="58"/>
      <c r="U289" s="58"/>
    </row>
    <row r="290" spans="1:21" ht="12.75">
      <c r="A290"/>
      <c r="B290"/>
      <c r="C290"/>
      <c r="D290"/>
      <c r="E290"/>
      <c r="F290"/>
      <c r="G290"/>
      <c r="H290"/>
      <c r="I290"/>
      <c r="J290"/>
      <c r="K290"/>
      <c r="L290"/>
      <c r="M290"/>
      <c r="N290"/>
      <c r="O290"/>
      <c r="P290"/>
      <c r="Q290"/>
      <c r="R290" s="58"/>
      <c r="S290" s="58"/>
      <c r="T290" s="58"/>
      <c r="U290" s="58"/>
    </row>
    <row r="291" spans="1:21" ht="12.75">
      <c r="A291"/>
      <c r="B291"/>
      <c r="C291"/>
      <c r="D291"/>
      <c r="E291"/>
      <c r="F291"/>
      <c r="G291"/>
      <c r="H291"/>
      <c r="I291"/>
      <c r="J291"/>
      <c r="K291"/>
      <c r="L291"/>
      <c r="M291"/>
      <c r="N291"/>
      <c r="O291"/>
      <c r="P291"/>
      <c r="Q291"/>
      <c r="R291" s="58"/>
      <c r="S291" s="58"/>
      <c r="T291" s="58"/>
      <c r="U291" s="58"/>
    </row>
    <row r="292" spans="1:21" ht="12.75">
      <c r="A292"/>
      <c r="B292"/>
      <c r="C292"/>
      <c r="D292"/>
      <c r="E292"/>
      <c r="F292"/>
      <c r="G292"/>
      <c r="H292"/>
      <c r="I292"/>
      <c r="J292"/>
      <c r="K292"/>
      <c r="L292"/>
      <c r="M292"/>
      <c r="N292"/>
      <c r="O292"/>
      <c r="P292"/>
      <c r="Q292"/>
      <c r="R292" s="58"/>
      <c r="S292" s="58"/>
      <c r="T292" s="58"/>
      <c r="U292" s="58"/>
    </row>
    <row r="293" spans="1:21" ht="12.75">
      <c r="A293"/>
      <c r="B293"/>
      <c r="C293"/>
      <c r="D293"/>
      <c r="E293"/>
      <c r="F293"/>
      <c r="G293"/>
      <c r="H293"/>
      <c r="I293"/>
      <c r="J293"/>
      <c r="K293"/>
      <c r="L293"/>
      <c r="M293"/>
      <c r="N293"/>
      <c r="O293"/>
      <c r="P293"/>
      <c r="Q293"/>
      <c r="R293" s="58"/>
      <c r="S293" s="58"/>
      <c r="T293" s="58"/>
      <c r="U293" s="58"/>
    </row>
    <row r="294" spans="1:21" ht="12.75">
      <c r="A294"/>
      <c r="B294"/>
      <c r="C294"/>
      <c r="D294"/>
      <c r="E294"/>
      <c r="F294"/>
      <c r="G294"/>
      <c r="H294"/>
      <c r="I294"/>
      <c r="J294"/>
      <c r="K294"/>
      <c r="L294"/>
      <c r="M294"/>
      <c r="N294"/>
      <c r="O294"/>
      <c r="P294"/>
      <c r="Q294"/>
      <c r="R294" s="58"/>
      <c r="S294" s="58"/>
      <c r="T294" s="58"/>
      <c r="U294" s="58"/>
    </row>
    <row r="295" spans="1:21" ht="12.75">
      <c r="A295"/>
      <c r="B295"/>
      <c r="C295"/>
      <c r="D295"/>
      <c r="E295"/>
      <c r="F295"/>
      <c r="G295"/>
      <c r="H295"/>
      <c r="I295"/>
      <c r="J295"/>
      <c r="K295"/>
      <c r="L295"/>
      <c r="M295"/>
      <c r="N295"/>
      <c r="O295"/>
      <c r="P295"/>
      <c r="Q295"/>
      <c r="R295" s="58"/>
      <c r="S295" s="58"/>
      <c r="T295" s="58"/>
      <c r="U295" s="58"/>
    </row>
    <row r="296" spans="1:21" ht="12.75">
      <c r="A296"/>
      <c r="B296"/>
      <c r="C296"/>
      <c r="D296"/>
      <c r="E296"/>
      <c r="F296"/>
      <c r="G296"/>
      <c r="H296"/>
      <c r="I296"/>
      <c r="J296"/>
      <c r="K296"/>
      <c r="L296"/>
      <c r="M296"/>
      <c r="N296"/>
      <c r="O296"/>
      <c r="P296"/>
      <c r="Q296"/>
      <c r="R296" s="58"/>
      <c r="S296" s="58"/>
      <c r="T296" s="58"/>
      <c r="U296" s="58"/>
    </row>
    <row r="297" spans="1:21" ht="12.75">
      <c r="A297"/>
      <c r="B297"/>
      <c r="C297"/>
      <c r="D297"/>
      <c r="E297"/>
      <c r="F297"/>
      <c r="G297"/>
      <c r="H297"/>
      <c r="I297"/>
      <c r="J297"/>
      <c r="K297"/>
      <c r="L297"/>
      <c r="M297"/>
      <c r="N297"/>
      <c r="O297"/>
      <c r="P297"/>
      <c r="Q297"/>
      <c r="R297" s="58"/>
      <c r="S297" s="58"/>
      <c r="T297" s="58"/>
      <c r="U297" s="58"/>
    </row>
    <row r="298" spans="1:21" ht="12.75">
      <c r="A298"/>
      <c r="B298"/>
      <c r="C298"/>
      <c r="D298"/>
      <c r="E298"/>
      <c r="F298"/>
      <c r="G298"/>
      <c r="H298"/>
      <c r="I298"/>
      <c r="J298"/>
      <c r="K298"/>
      <c r="L298"/>
      <c r="M298"/>
      <c r="N298"/>
      <c r="O298"/>
      <c r="P298"/>
      <c r="Q298"/>
      <c r="R298" s="58"/>
      <c r="S298" s="58"/>
      <c r="T298" s="58"/>
      <c r="U298" s="58"/>
    </row>
    <row r="299" spans="1:21" ht="12.75">
      <c r="A299"/>
      <c r="B299"/>
      <c r="C299"/>
      <c r="D299"/>
      <c r="E299"/>
      <c r="F299"/>
      <c r="G299"/>
      <c r="H299"/>
      <c r="I299"/>
      <c r="J299"/>
      <c r="K299"/>
      <c r="L299"/>
      <c r="M299"/>
      <c r="N299"/>
      <c r="O299"/>
      <c r="P299"/>
      <c r="Q299"/>
      <c r="R299" s="58"/>
      <c r="S299" s="58"/>
      <c r="T299" s="58"/>
      <c r="U299" s="58"/>
    </row>
    <row r="300" spans="1:21" ht="12.75">
      <c r="A300"/>
      <c r="B300"/>
      <c r="C300"/>
      <c r="D300"/>
      <c r="E300"/>
      <c r="F300"/>
      <c r="G300"/>
      <c r="H300"/>
      <c r="I300"/>
      <c r="J300"/>
      <c r="K300"/>
      <c r="L300"/>
      <c r="M300"/>
      <c r="N300"/>
      <c r="O300"/>
      <c r="P300"/>
      <c r="Q300"/>
      <c r="R300" s="58"/>
      <c r="S300" s="58"/>
      <c r="T300" s="58"/>
      <c r="U300" s="58"/>
    </row>
    <row r="301" spans="1:21" ht="12.75">
      <c r="A301"/>
      <c r="B301"/>
      <c r="C301"/>
      <c r="D301"/>
      <c r="E301"/>
      <c r="F301"/>
      <c r="G301"/>
      <c r="H301"/>
      <c r="I301"/>
      <c r="J301"/>
      <c r="K301"/>
      <c r="L301"/>
      <c r="M301"/>
      <c r="N301"/>
      <c r="O301"/>
      <c r="P301"/>
      <c r="Q301"/>
      <c r="R301" s="58"/>
      <c r="S301" s="58"/>
      <c r="T301" s="58"/>
      <c r="U301" s="58"/>
    </row>
    <row r="302" spans="1:21" ht="12.75">
      <c r="A302"/>
      <c r="B302"/>
      <c r="C302"/>
      <c r="D302"/>
      <c r="E302"/>
      <c r="F302"/>
      <c r="G302"/>
      <c r="H302"/>
      <c r="I302"/>
      <c r="J302"/>
      <c r="K302"/>
      <c r="L302"/>
      <c r="M302"/>
      <c r="N302"/>
      <c r="O302"/>
      <c r="P302"/>
      <c r="Q302"/>
      <c r="R302" s="58"/>
      <c r="S302" s="58"/>
      <c r="T302" s="58"/>
      <c r="U302" s="58"/>
    </row>
    <row r="303" spans="1:21" ht="12.75">
      <c r="A303"/>
      <c r="B303"/>
      <c r="C303"/>
      <c r="D303"/>
      <c r="E303"/>
      <c r="F303"/>
      <c r="G303"/>
      <c r="H303"/>
      <c r="I303"/>
      <c r="J303"/>
      <c r="K303"/>
      <c r="L303"/>
      <c r="M303"/>
      <c r="N303"/>
      <c r="O303"/>
      <c r="P303"/>
      <c r="Q303"/>
      <c r="R303" s="58"/>
      <c r="S303" s="58"/>
      <c r="T303" s="58"/>
      <c r="U303" s="58"/>
    </row>
    <row r="304" spans="1:21" ht="12.75">
      <c r="A304"/>
      <c r="B304"/>
      <c r="C304"/>
      <c r="D304"/>
      <c r="E304"/>
      <c r="F304"/>
      <c r="G304"/>
      <c r="H304"/>
      <c r="I304"/>
      <c r="J304"/>
      <c r="K304"/>
      <c r="L304"/>
      <c r="M304"/>
      <c r="N304"/>
      <c r="O304"/>
      <c r="P304"/>
      <c r="Q304"/>
      <c r="R304" s="58"/>
      <c r="S304" s="58"/>
      <c r="T304" s="58"/>
      <c r="U304" s="58"/>
    </row>
    <row r="305" spans="1:21" ht="12.75">
      <c r="A305"/>
      <c r="B305"/>
      <c r="C305"/>
      <c r="D305"/>
      <c r="E305"/>
      <c r="F305"/>
      <c r="G305"/>
      <c r="H305"/>
      <c r="I305"/>
      <c r="J305"/>
      <c r="K305"/>
      <c r="L305"/>
      <c r="M305"/>
      <c r="N305"/>
      <c r="O305"/>
      <c r="P305"/>
      <c r="Q305"/>
      <c r="R305" s="58"/>
      <c r="S305" s="58"/>
      <c r="T305" s="58"/>
      <c r="U305" s="58"/>
    </row>
    <row r="306" spans="1:21" ht="12.75">
      <c r="A306"/>
      <c r="B306"/>
      <c r="C306"/>
      <c r="D306"/>
      <c r="E306"/>
      <c r="F306"/>
      <c r="G306"/>
      <c r="H306"/>
      <c r="I306"/>
      <c r="J306"/>
      <c r="K306"/>
      <c r="L306"/>
      <c r="M306"/>
      <c r="N306"/>
      <c r="O306"/>
      <c r="P306"/>
      <c r="Q306"/>
      <c r="R306" s="58"/>
      <c r="S306" s="58"/>
      <c r="T306" s="58"/>
      <c r="U306" s="58"/>
    </row>
    <row r="307" spans="1:21" ht="12.75">
      <c r="A307"/>
      <c r="B307"/>
      <c r="C307"/>
      <c r="D307"/>
      <c r="E307"/>
      <c r="F307"/>
      <c r="G307"/>
      <c r="H307"/>
      <c r="I307"/>
      <c r="J307"/>
      <c r="K307"/>
      <c r="L307"/>
      <c r="M307"/>
      <c r="N307"/>
      <c r="O307"/>
      <c r="P307"/>
      <c r="Q307"/>
      <c r="R307" s="58"/>
      <c r="S307" s="58"/>
      <c r="T307" s="58"/>
      <c r="U307" s="58"/>
    </row>
    <row r="308" spans="1:21" ht="12.75">
      <c r="A308"/>
      <c r="B308"/>
      <c r="C308"/>
      <c r="D308"/>
      <c r="E308"/>
      <c r="F308"/>
      <c r="G308"/>
      <c r="H308"/>
      <c r="I308"/>
      <c r="J308"/>
      <c r="K308"/>
      <c r="L308"/>
      <c r="M308"/>
      <c r="N308"/>
      <c r="O308"/>
      <c r="P308"/>
      <c r="Q308"/>
      <c r="R308" s="58"/>
      <c r="S308" s="58"/>
      <c r="T308" s="58"/>
      <c r="U308" s="58"/>
    </row>
    <row r="309" spans="1:21" ht="12.75">
      <c r="A309"/>
      <c r="B309"/>
      <c r="C309"/>
      <c r="D309"/>
      <c r="E309"/>
      <c r="F309"/>
      <c r="G309"/>
      <c r="H309"/>
      <c r="I309"/>
      <c r="J309"/>
      <c r="K309"/>
      <c r="L309"/>
      <c r="M309"/>
      <c r="N309"/>
      <c r="O309"/>
      <c r="P309"/>
      <c r="Q309"/>
      <c r="R309" s="58"/>
      <c r="S309" s="58"/>
      <c r="T309" s="58"/>
      <c r="U309" s="58"/>
    </row>
    <row r="310" spans="1:21" ht="12.75">
      <c r="A310"/>
      <c r="B310"/>
      <c r="C310"/>
      <c r="D310"/>
      <c r="E310"/>
      <c r="F310"/>
      <c r="G310"/>
      <c r="H310"/>
      <c r="I310"/>
      <c r="J310"/>
      <c r="K310"/>
      <c r="L310"/>
      <c r="M310"/>
      <c r="N310"/>
      <c r="O310"/>
      <c r="P310"/>
      <c r="Q310"/>
      <c r="R310" s="58"/>
      <c r="S310" s="58"/>
      <c r="T310" s="58"/>
      <c r="U310" s="58"/>
    </row>
    <row r="311" spans="1:21" ht="12.75">
      <c r="A311"/>
      <c r="B311"/>
      <c r="C311"/>
      <c r="D311"/>
      <c r="E311"/>
      <c r="F311"/>
      <c r="G311"/>
      <c r="H311"/>
      <c r="I311"/>
      <c r="J311"/>
      <c r="K311"/>
      <c r="L311"/>
      <c r="M311"/>
      <c r="N311"/>
      <c r="O311"/>
      <c r="P311"/>
      <c r="Q311"/>
      <c r="R311" s="58"/>
      <c r="S311" s="58"/>
      <c r="T311" s="58"/>
      <c r="U311" s="58"/>
    </row>
    <row r="312" spans="1:21" ht="12.75">
      <c r="A312"/>
      <c r="B312"/>
      <c r="C312"/>
      <c r="D312"/>
      <c r="E312"/>
      <c r="F312"/>
      <c r="G312"/>
      <c r="H312"/>
      <c r="I312"/>
      <c r="J312"/>
      <c r="K312"/>
      <c r="L312"/>
      <c r="M312"/>
      <c r="N312"/>
      <c r="O312"/>
      <c r="P312"/>
      <c r="Q312"/>
      <c r="R312" s="58"/>
      <c r="S312" s="58"/>
      <c r="T312" s="58"/>
      <c r="U312" s="58"/>
    </row>
    <row r="313" spans="1:21" ht="12.75">
      <c r="A313"/>
      <c r="B313"/>
      <c r="C313"/>
      <c r="D313"/>
      <c r="E313"/>
      <c r="F313"/>
      <c r="G313"/>
      <c r="H313"/>
      <c r="I313"/>
      <c r="J313"/>
      <c r="K313"/>
      <c r="L313"/>
      <c r="M313"/>
      <c r="N313"/>
      <c r="O313"/>
      <c r="P313"/>
      <c r="Q313"/>
      <c r="R313" s="58"/>
      <c r="S313" s="58"/>
      <c r="T313" s="58"/>
      <c r="U313" s="58"/>
    </row>
    <row r="314" spans="1:21" ht="12.75">
      <c r="A314"/>
      <c r="B314"/>
      <c r="C314"/>
      <c r="D314"/>
      <c r="E314"/>
      <c r="F314"/>
      <c r="G314"/>
      <c r="H314"/>
      <c r="I314"/>
      <c r="J314"/>
      <c r="K314"/>
      <c r="L314"/>
      <c r="M314"/>
      <c r="N314"/>
      <c r="O314"/>
      <c r="P314"/>
      <c r="Q314"/>
      <c r="R314" s="58"/>
      <c r="S314" s="58"/>
      <c r="T314" s="58"/>
      <c r="U314" s="58"/>
    </row>
    <row r="315" spans="1:21" ht="12.75">
      <c r="A315"/>
      <c r="B315"/>
      <c r="C315"/>
      <c r="D315"/>
      <c r="E315"/>
      <c r="F315"/>
      <c r="G315"/>
      <c r="H315"/>
      <c r="I315"/>
      <c r="J315"/>
      <c r="K315"/>
      <c r="L315"/>
      <c r="M315"/>
      <c r="N315"/>
      <c r="O315"/>
      <c r="P315"/>
      <c r="Q315"/>
      <c r="R315" s="58"/>
      <c r="S315" s="58"/>
      <c r="T315" s="58"/>
      <c r="U315" s="58"/>
    </row>
    <row r="316" spans="1:21" ht="12.75">
      <c r="A316"/>
      <c r="B316"/>
      <c r="C316"/>
      <c r="D316"/>
      <c r="E316"/>
      <c r="F316"/>
      <c r="G316"/>
      <c r="H316"/>
      <c r="I316"/>
      <c r="J316"/>
      <c r="K316"/>
      <c r="L316"/>
      <c r="M316"/>
      <c r="N316"/>
      <c r="O316"/>
      <c r="P316"/>
      <c r="Q316"/>
      <c r="R316" s="58"/>
      <c r="S316" s="58"/>
      <c r="T316" s="58"/>
      <c r="U316" s="58"/>
    </row>
    <row r="317" spans="1:21" ht="12.75">
      <c r="A317"/>
      <c r="B317"/>
      <c r="C317"/>
      <c r="D317"/>
      <c r="E317"/>
      <c r="F317"/>
      <c r="G317"/>
      <c r="H317"/>
      <c r="I317"/>
      <c r="J317"/>
      <c r="K317"/>
      <c r="L317"/>
      <c r="M317"/>
      <c r="N317"/>
      <c r="O317"/>
      <c r="P317"/>
      <c r="Q317"/>
      <c r="R317" s="58"/>
      <c r="S317" s="58"/>
      <c r="T317" s="58"/>
      <c r="U317" s="58"/>
    </row>
    <row r="318" spans="1:21" ht="12.75">
      <c r="A318"/>
      <c r="B318"/>
      <c r="C318"/>
      <c r="D318"/>
      <c r="E318"/>
      <c r="F318"/>
      <c r="G318"/>
      <c r="H318"/>
      <c r="I318"/>
      <c r="J318"/>
      <c r="K318"/>
      <c r="L318"/>
      <c r="M318"/>
      <c r="N318"/>
      <c r="O318"/>
      <c r="P318"/>
      <c r="Q318"/>
      <c r="R318" s="58"/>
      <c r="S318" s="58"/>
      <c r="T318" s="58"/>
      <c r="U318" s="58"/>
    </row>
    <row r="319" spans="1:21" ht="12.75">
      <c r="A319"/>
      <c r="B319"/>
      <c r="C319"/>
      <c r="D319"/>
      <c r="E319"/>
      <c r="F319"/>
      <c r="G319"/>
      <c r="H319"/>
      <c r="I319"/>
      <c r="J319"/>
      <c r="K319"/>
      <c r="L319"/>
      <c r="M319"/>
      <c r="N319"/>
      <c r="O319"/>
      <c r="P319"/>
      <c r="Q319"/>
      <c r="R319" s="58"/>
      <c r="S319" s="58"/>
      <c r="T319" s="58"/>
      <c r="U319" s="58"/>
    </row>
    <row r="320" spans="1:21" ht="12.75">
      <c r="A320"/>
      <c r="B320"/>
      <c r="C320"/>
      <c r="D320"/>
      <c r="E320"/>
      <c r="F320"/>
      <c r="G320"/>
      <c r="H320"/>
      <c r="I320"/>
      <c r="J320"/>
      <c r="K320"/>
      <c r="L320"/>
      <c r="M320"/>
      <c r="N320"/>
      <c r="O320"/>
      <c r="P320"/>
      <c r="Q320"/>
      <c r="R320" s="58"/>
      <c r="S320" s="58"/>
      <c r="T320" s="58"/>
      <c r="U320" s="58"/>
    </row>
    <row r="321" spans="1:21" ht="12.75">
      <c r="A321"/>
      <c r="B321"/>
      <c r="C321"/>
      <c r="D321"/>
      <c r="E321"/>
      <c r="F321"/>
      <c r="G321"/>
      <c r="H321"/>
      <c r="I321"/>
      <c r="J321"/>
      <c r="K321"/>
      <c r="L321"/>
      <c r="M321"/>
      <c r="N321"/>
      <c r="O321"/>
      <c r="P321"/>
      <c r="Q321"/>
      <c r="R321" s="58"/>
      <c r="S321" s="58"/>
      <c r="T321" s="58"/>
      <c r="U321" s="58"/>
    </row>
    <row r="322" spans="1:21" ht="12.75">
      <c r="A322"/>
      <c r="B322"/>
      <c r="C322"/>
      <c r="D322"/>
      <c r="E322"/>
      <c r="F322"/>
      <c r="G322"/>
      <c r="H322"/>
      <c r="I322"/>
      <c r="J322"/>
      <c r="K322"/>
      <c r="L322"/>
      <c r="M322"/>
      <c r="N322"/>
      <c r="O322"/>
      <c r="P322"/>
      <c r="Q322"/>
      <c r="R322" s="58"/>
      <c r="S322" s="58"/>
      <c r="T322" s="58"/>
      <c r="U322" s="58"/>
    </row>
    <row r="323" spans="1:21" ht="12.75">
      <c r="A323"/>
      <c r="B323"/>
      <c r="C323"/>
      <c r="D323"/>
      <c r="E323"/>
      <c r="F323"/>
      <c r="G323"/>
      <c r="H323"/>
      <c r="I323"/>
      <c r="J323"/>
      <c r="K323"/>
      <c r="L323"/>
      <c r="M323"/>
      <c r="N323"/>
      <c r="O323"/>
      <c r="P323"/>
      <c r="Q323"/>
      <c r="R323" s="58"/>
      <c r="S323" s="58"/>
      <c r="T323" s="58"/>
      <c r="U323" s="58"/>
    </row>
    <row r="324" spans="1:21" ht="12.75">
      <c r="A324"/>
      <c r="B324"/>
      <c r="C324"/>
      <c r="D324"/>
      <c r="E324"/>
      <c r="F324"/>
      <c r="G324"/>
      <c r="H324"/>
      <c r="I324"/>
      <c r="J324"/>
      <c r="K324"/>
      <c r="L324"/>
      <c r="M324"/>
      <c r="N324"/>
      <c r="O324"/>
      <c r="P324"/>
      <c r="Q324"/>
      <c r="R324" s="58"/>
      <c r="S324" s="58"/>
      <c r="T324" s="58"/>
      <c r="U324" s="58"/>
    </row>
    <row r="325" spans="1:21" ht="12.75">
      <c r="A325"/>
      <c r="B325"/>
      <c r="C325"/>
      <c r="D325"/>
      <c r="E325"/>
      <c r="F325"/>
      <c r="G325"/>
      <c r="H325"/>
      <c r="I325"/>
      <c r="J325"/>
      <c r="K325"/>
      <c r="L325"/>
      <c r="M325"/>
      <c r="N325"/>
      <c r="O325"/>
      <c r="P325"/>
      <c r="Q325"/>
      <c r="R325" s="58"/>
      <c r="S325" s="58"/>
      <c r="T325" s="58"/>
      <c r="U325" s="58"/>
    </row>
    <row r="326" spans="1:21" ht="12.75">
      <c r="A326"/>
      <c r="B326"/>
      <c r="C326"/>
      <c r="D326"/>
      <c r="E326"/>
      <c r="F326"/>
      <c r="G326"/>
      <c r="H326"/>
      <c r="I326"/>
      <c r="J326"/>
      <c r="K326"/>
      <c r="L326"/>
      <c r="M326"/>
      <c r="N326"/>
      <c r="O326"/>
      <c r="P326"/>
      <c r="Q326"/>
      <c r="R326" s="58"/>
      <c r="S326" s="58"/>
      <c r="T326" s="58"/>
      <c r="U326" s="58"/>
    </row>
    <row r="327" spans="1:21" ht="12.75">
      <c r="A327"/>
      <c r="B327"/>
      <c r="C327"/>
      <c r="D327"/>
      <c r="E327"/>
      <c r="F327"/>
      <c r="G327"/>
      <c r="H327"/>
      <c r="I327"/>
      <c r="J327"/>
      <c r="K327"/>
      <c r="L327"/>
      <c r="M327"/>
      <c r="N327"/>
      <c r="O327"/>
      <c r="P327"/>
      <c r="Q327"/>
      <c r="R327" s="58"/>
      <c r="S327" s="58"/>
      <c r="T327" s="58"/>
      <c r="U327" s="58"/>
    </row>
    <row r="328" spans="1:21" ht="12.75">
      <c r="A328"/>
      <c r="B328"/>
      <c r="C328"/>
      <c r="D328"/>
      <c r="E328"/>
      <c r="F328"/>
      <c r="G328"/>
      <c r="H328"/>
      <c r="I328"/>
      <c r="J328"/>
      <c r="K328"/>
      <c r="L328"/>
      <c r="M328"/>
      <c r="N328"/>
      <c r="O328"/>
      <c r="P328"/>
      <c r="Q328"/>
      <c r="R328" s="58"/>
      <c r="S328" s="58"/>
      <c r="T328" s="58"/>
      <c r="U328" s="58"/>
    </row>
    <row r="329" spans="1:21" ht="12.75">
      <c r="A329"/>
      <c r="B329"/>
      <c r="C329"/>
      <c r="D329"/>
      <c r="E329"/>
      <c r="F329"/>
      <c r="G329"/>
      <c r="H329"/>
      <c r="I329"/>
      <c r="J329"/>
      <c r="K329"/>
      <c r="L329"/>
      <c r="M329"/>
      <c r="N329"/>
      <c r="O329"/>
      <c r="P329"/>
      <c r="Q329"/>
      <c r="R329" s="58"/>
      <c r="S329" s="58"/>
      <c r="T329" s="58"/>
      <c r="U329" s="58"/>
    </row>
    <row r="330" spans="1:21" ht="12.75">
      <c r="A330"/>
      <c r="B330"/>
      <c r="C330"/>
      <c r="D330"/>
      <c r="E330"/>
      <c r="F330"/>
      <c r="G330"/>
      <c r="H330"/>
      <c r="I330"/>
      <c r="J330"/>
      <c r="K330"/>
      <c r="L330"/>
      <c r="M330"/>
      <c r="N330"/>
      <c r="O330"/>
      <c r="P330"/>
      <c r="Q330"/>
      <c r="R330" s="58"/>
      <c r="S330" s="58"/>
      <c r="T330" s="58"/>
      <c r="U330" s="58"/>
    </row>
    <row r="331" spans="1:21" ht="12.75">
      <c r="A331"/>
      <c r="B331"/>
      <c r="C331"/>
      <c r="D331"/>
      <c r="E331"/>
      <c r="F331"/>
      <c r="G331"/>
      <c r="H331"/>
      <c r="I331"/>
      <c r="J331"/>
      <c r="K331"/>
      <c r="L331"/>
      <c r="M331"/>
      <c r="N331"/>
      <c r="O331"/>
      <c r="P331"/>
      <c r="Q331"/>
      <c r="R331" s="58"/>
      <c r="S331" s="58"/>
      <c r="T331" s="58"/>
      <c r="U331" s="58"/>
    </row>
    <row r="332" spans="1:21" ht="12.75">
      <c r="A332"/>
      <c r="B332"/>
      <c r="C332"/>
      <c r="D332"/>
      <c r="E332"/>
      <c r="F332"/>
      <c r="G332"/>
      <c r="H332"/>
      <c r="I332"/>
      <c r="J332"/>
      <c r="K332"/>
      <c r="L332"/>
      <c r="M332"/>
      <c r="N332"/>
      <c r="O332"/>
      <c r="P332"/>
      <c r="Q332"/>
      <c r="R332" s="58"/>
      <c r="S332" s="58"/>
      <c r="T332" s="58"/>
      <c r="U332" s="58"/>
    </row>
    <row r="333" spans="1:21" ht="12.75">
      <c r="A333"/>
      <c r="B333"/>
      <c r="C333"/>
      <c r="D333"/>
      <c r="E333"/>
      <c r="F333"/>
      <c r="G333"/>
      <c r="H333"/>
      <c r="I333"/>
      <c r="J333"/>
      <c r="K333"/>
      <c r="L333"/>
      <c r="M333"/>
      <c r="N333"/>
      <c r="O333"/>
      <c r="P333"/>
      <c r="Q333"/>
      <c r="R333" s="58"/>
      <c r="S333" s="58"/>
      <c r="T333" s="58"/>
      <c r="U333" s="58"/>
    </row>
    <row r="334" spans="1:21" ht="12.75">
      <c r="A334"/>
      <c r="B334"/>
      <c r="C334"/>
      <c r="D334"/>
      <c r="E334"/>
      <c r="F334"/>
      <c r="G334"/>
      <c r="H334"/>
      <c r="I334"/>
      <c r="J334"/>
      <c r="K334"/>
      <c r="L334"/>
      <c r="M334"/>
      <c r="N334"/>
      <c r="O334"/>
      <c r="P334"/>
      <c r="Q334"/>
      <c r="R334" s="58"/>
      <c r="S334" s="58"/>
      <c r="T334" s="58"/>
      <c r="U334" s="58"/>
    </row>
    <row r="335" spans="1:21" ht="12.75">
      <c r="A335"/>
      <c r="B335"/>
      <c r="C335"/>
      <c r="D335"/>
      <c r="E335"/>
      <c r="F335"/>
      <c r="G335"/>
      <c r="H335"/>
      <c r="I335"/>
      <c r="J335"/>
      <c r="K335"/>
      <c r="L335"/>
      <c r="M335"/>
      <c r="N335"/>
      <c r="O335"/>
      <c r="P335"/>
      <c r="Q335"/>
      <c r="R335" s="58"/>
      <c r="S335" s="58"/>
      <c r="T335" s="58"/>
      <c r="U335" s="58"/>
    </row>
    <row r="336" spans="1:21" ht="12.75">
      <c r="A336"/>
      <c r="B336"/>
      <c r="C336"/>
      <c r="D336"/>
      <c r="E336"/>
      <c r="F336"/>
      <c r="G336"/>
      <c r="H336"/>
      <c r="I336"/>
      <c r="J336"/>
      <c r="K336"/>
      <c r="L336"/>
      <c r="M336"/>
      <c r="N336"/>
      <c r="O336"/>
      <c r="P336"/>
      <c r="Q336"/>
      <c r="R336" s="58"/>
      <c r="S336" s="58"/>
      <c r="T336" s="58"/>
      <c r="U336" s="58"/>
    </row>
    <row r="337" spans="1:21" ht="12.75">
      <c r="A337"/>
      <c r="B337"/>
      <c r="C337"/>
      <c r="D337"/>
      <c r="E337"/>
      <c r="F337"/>
      <c r="G337"/>
      <c r="H337"/>
      <c r="I337"/>
      <c r="J337"/>
      <c r="K337"/>
      <c r="L337"/>
      <c r="M337"/>
      <c r="N337"/>
      <c r="O337"/>
      <c r="P337"/>
      <c r="Q337"/>
      <c r="R337" s="58"/>
      <c r="S337" s="58"/>
      <c r="T337" s="58"/>
      <c r="U337" s="58"/>
    </row>
    <row r="338" spans="1:21" ht="12.75">
      <c r="A338"/>
      <c r="B338"/>
      <c r="C338"/>
      <c r="D338"/>
      <c r="E338"/>
      <c r="F338"/>
      <c r="G338"/>
      <c r="H338"/>
      <c r="I338"/>
      <c r="J338"/>
      <c r="K338"/>
      <c r="L338"/>
      <c r="M338"/>
      <c r="N338"/>
      <c r="O338"/>
      <c r="P338"/>
      <c r="Q338"/>
      <c r="R338" s="58"/>
      <c r="S338" s="58"/>
      <c r="T338" s="58"/>
      <c r="U338" s="58"/>
    </row>
    <row r="339" spans="1:21" ht="12.75">
      <c r="A339"/>
      <c r="B339"/>
      <c r="C339"/>
      <c r="D339"/>
      <c r="E339"/>
      <c r="F339"/>
      <c r="G339"/>
      <c r="H339"/>
      <c r="I339"/>
      <c r="J339"/>
      <c r="K339"/>
      <c r="L339"/>
      <c r="M339"/>
      <c r="N339"/>
      <c r="O339"/>
      <c r="P339"/>
      <c r="Q339"/>
      <c r="R339" s="58"/>
      <c r="S339" s="58"/>
      <c r="T339" s="58"/>
      <c r="U339" s="58"/>
    </row>
    <row r="340" spans="1:21" ht="12.75">
      <c r="A340"/>
      <c r="B340"/>
      <c r="C340"/>
      <c r="D340"/>
      <c r="E340"/>
      <c r="F340"/>
      <c r="G340"/>
      <c r="H340"/>
      <c r="I340"/>
      <c r="J340"/>
      <c r="K340"/>
      <c r="L340"/>
      <c r="M340"/>
      <c r="N340"/>
      <c r="O340"/>
      <c r="P340"/>
      <c r="Q340"/>
      <c r="R340" s="58"/>
      <c r="S340" s="58"/>
      <c r="T340" s="58"/>
      <c r="U340" s="58"/>
    </row>
    <row r="341" spans="1:21" ht="12.75">
      <c r="A341"/>
      <c r="B341"/>
      <c r="C341"/>
      <c r="D341"/>
      <c r="E341"/>
      <c r="F341"/>
      <c r="G341"/>
      <c r="H341"/>
      <c r="I341"/>
      <c r="J341"/>
      <c r="K341"/>
      <c r="L341"/>
      <c r="M341"/>
      <c r="N341"/>
      <c r="O341"/>
      <c r="P341"/>
      <c r="Q341"/>
      <c r="R341" s="58"/>
      <c r="S341" s="58"/>
      <c r="T341" s="58"/>
      <c r="U341" s="58"/>
    </row>
    <row r="342" spans="1:21" ht="12.75">
      <c r="A342"/>
      <c r="B342"/>
      <c r="C342"/>
      <c r="D342"/>
      <c r="E342"/>
      <c r="F342"/>
      <c r="G342"/>
      <c r="H342"/>
      <c r="I342"/>
      <c r="J342"/>
      <c r="K342"/>
      <c r="L342"/>
      <c r="M342"/>
      <c r="N342"/>
      <c r="O342"/>
      <c r="P342"/>
      <c r="Q342"/>
      <c r="R342" s="58"/>
      <c r="S342" s="58"/>
      <c r="T342" s="58"/>
      <c r="U342" s="58"/>
    </row>
    <row r="343" spans="1:21" ht="12.75">
      <c r="A343"/>
      <c r="B343"/>
      <c r="C343"/>
      <c r="D343"/>
      <c r="E343"/>
      <c r="F343"/>
      <c r="G343"/>
      <c r="H343"/>
      <c r="I343"/>
      <c r="J343"/>
      <c r="K343"/>
      <c r="L343"/>
      <c r="M343"/>
      <c r="N343"/>
      <c r="O343"/>
      <c r="P343"/>
      <c r="Q343"/>
      <c r="R343" s="58"/>
      <c r="S343" s="58"/>
      <c r="T343" s="58"/>
      <c r="U343" s="58"/>
    </row>
    <row r="344" spans="1:21" ht="12.75">
      <c r="A344"/>
      <c r="B344"/>
      <c r="C344"/>
      <c r="D344"/>
      <c r="E344"/>
      <c r="F344"/>
      <c r="G344"/>
      <c r="H344"/>
      <c r="I344"/>
      <c r="J344"/>
      <c r="K344"/>
      <c r="L344"/>
      <c r="M344"/>
      <c r="N344"/>
      <c r="O344"/>
      <c r="P344"/>
      <c r="Q344"/>
      <c r="R344" s="58"/>
      <c r="S344" s="58"/>
      <c r="T344" s="58"/>
      <c r="U344" s="58"/>
    </row>
    <row r="345" spans="1:21" ht="12.75">
      <c r="A345"/>
      <c r="B345"/>
      <c r="C345"/>
      <c r="D345"/>
      <c r="E345"/>
      <c r="F345"/>
      <c r="G345"/>
      <c r="H345"/>
      <c r="I345"/>
      <c r="J345"/>
      <c r="K345"/>
      <c r="L345"/>
      <c r="M345"/>
      <c r="N345"/>
      <c r="O345"/>
      <c r="P345"/>
      <c r="Q345"/>
      <c r="R345" s="58"/>
      <c r="S345" s="58"/>
      <c r="T345" s="58"/>
      <c r="U345" s="58"/>
    </row>
    <row r="346" spans="1:21" ht="12.75">
      <c r="A346"/>
      <c r="B346"/>
      <c r="C346"/>
      <c r="D346"/>
      <c r="E346"/>
      <c r="F346"/>
      <c r="G346"/>
      <c r="H346"/>
      <c r="I346"/>
      <c r="J346"/>
      <c r="K346"/>
      <c r="L346"/>
      <c r="M346"/>
      <c r="N346"/>
      <c r="O346"/>
      <c r="P346"/>
      <c r="Q346"/>
      <c r="R346" s="58"/>
      <c r="S346" s="58"/>
      <c r="T346" s="58"/>
      <c r="U346" s="58"/>
    </row>
    <row r="347" spans="1:21" ht="12.75">
      <c r="A347"/>
      <c r="B347"/>
      <c r="C347"/>
      <c r="D347"/>
      <c r="E347"/>
      <c r="F347"/>
      <c r="G347"/>
      <c r="H347"/>
      <c r="I347"/>
      <c r="J347"/>
      <c r="K347"/>
      <c r="L347"/>
      <c r="M347"/>
      <c r="N347"/>
      <c r="O347"/>
      <c r="P347"/>
      <c r="Q347"/>
      <c r="R347" s="58"/>
      <c r="S347" s="58"/>
      <c r="T347" s="58"/>
      <c r="U347" s="58"/>
    </row>
    <row r="348" spans="1:21" ht="12.75">
      <c r="A348"/>
      <c r="B348"/>
      <c r="C348"/>
      <c r="D348"/>
      <c r="E348"/>
      <c r="F348"/>
      <c r="G348"/>
      <c r="H348"/>
      <c r="I348"/>
      <c r="J348"/>
      <c r="K348"/>
      <c r="L348"/>
      <c r="M348"/>
      <c r="N348"/>
      <c r="O348"/>
      <c r="P348"/>
      <c r="Q348"/>
      <c r="R348" s="58"/>
      <c r="S348" s="58"/>
      <c r="T348" s="58"/>
      <c r="U348" s="58"/>
    </row>
    <row r="349" spans="1:21" ht="12.75">
      <c r="A349"/>
      <c r="B349"/>
      <c r="C349"/>
      <c r="D349"/>
      <c r="E349"/>
      <c r="F349"/>
      <c r="G349"/>
      <c r="H349"/>
      <c r="I349"/>
      <c r="J349"/>
      <c r="K349"/>
      <c r="L349"/>
      <c r="M349"/>
      <c r="N349"/>
      <c r="O349"/>
      <c r="P349"/>
      <c r="Q349"/>
      <c r="R349" s="58"/>
      <c r="S349" s="58"/>
      <c r="T349" s="58"/>
      <c r="U349" s="58"/>
    </row>
    <row r="350" spans="1:21" ht="12.75">
      <c r="A350"/>
      <c r="B350"/>
      <c r="C350"/>
      <c r="D350"/>
      <c r="E350"/>
      <c r="F350"/>
      <c r="G350"/>
      <c r="H350"/>
      <c r="I350"/>
      <c r="J350"/>
      <c r="K350"/>
      <c r="L350"/>
      <c r="M350"/>
      <c r="N350"/>
      <c r="O350"/>
      <c r="P350"/>
      <c r="Q350"/>
      <c r="R350" s="58"/>
      <c r="S350" s="58"/>
      <c r="T350" s="58"/>
      <c r="U350" s="58"/>
    </row>
    <row r="351" spans="1:21" ht="12.75">
      <c r="A351"/>
      <c r="B351"/>
      <c r="C351"/>
      <c r="D351"/>
      <c r="E351"/>
      <c r="F351"/>
      <c r="G351"/>
      <c r="H351"/>
      <c r="I351"/>
      <c r="J351"/>
      <c r="K351"/>
      <c r="L351"/>
      <c r="M351"/>
      <c r="N351"/>
      <c r="O351"/>
      <c r="P351"/>
      <c r="Q351"/>
      <c r="R351" s="58"/>
      <c r="S351" s="58"/>
      <c r="T351" s="58"/>
      <c r="U351" s="58"/>
    </row>
    <row r="352" spans="1:21" ht="12.75">
      <c r="A352"/>
      <c r="B352"/>
      <c r="C352"/>
      <c r="D352"/>
      <c r="E352"/>
      <c r="F352"/>
      <c r="G352"/>
      <c r="H352"/>
      <c r="I352"/>
      <c r="J352"/>
      <c r="K352"/>
      <c r="L352"/>
      <c r="M352"/>
      <c r="N352"/>
      <c r="O352"/>
      <c r="P352"/>
      <c r="Q352"/>
      <c r="R352" s="58"/>
      <c r="S352" s="58"/>
      <c r="T352" s="58"/>
      <c r="U352" s="58"/>
    </row>
    <row r="353" spans="1:21" ht="12.75">
      <c r="A353"/>
      <c r="B353"/>
      <c r="C353"/>
      <c r="D353"/>
      <c r="E353"/>
      <c r="F353"/>
      <c r="G353"/>
      <c r="H353"/>
      <c r="I353"/>
      <c r="J353"/>
      <c r="K353"/>
      <c r="L353"/>
      <c r="M353"/>
      <c r="N353"/>
      <c r="O353"/>
      <c r="P353"/>
      <c r="Q353"/>
      <c r="R353" s="58"/>
      <c r="S353" s="58"/>
      <c r="T353" s="58"/>
      <c r="U353" s="58"/>
    </row>
    <row r="354" spans="1:21" ht="12.75">
      <c r="A354"/>
      <c r="B354"/>
      <c r="C354"/>
      <c r="D354"/>
      <c r="E354"/>
      <c r="F354"/>
      <c r="G354"/>
      <c r="H354"/>
      <c r="I354"/>
      <c r="J354"/>
      <c r="K354"/>
      <c r="L354"/>
      <c r="M354"/>
      <c r="N354"/>
      <c r="O354"/>
      <c r="P354"/>
      <c r="Q354"/>
      <c r="R354" s="58"/>
      <c r="S354" s="58"/>
      <c r="T354" s="58"/>
      <c r="U354" s="58"/>
    </row>
    <row r="355" spans="1:21" ht="12.75">
      <c r="A355"/>
      <c r="B355"/>
      <c r="C355"/>
      <c r="D355"/>
      <c r="E355"/>
      <c r="F355"/>
      <c r="G355"/>
      <c r="H355"/>
      <c r="I355"/>
      <c r="J355"/>
      <c r="K355"/>
      <c r="L355"/>
      <c r="M355"/>
      <c r="N355"/>
      <c r="O355"/>
      <c r="P355"/>
      <c r="Q355"/>
      <c r="R355" s="58"/>
      <c r="S355" s="58"/>
      <c r="T355" s="58"/>
      <c r="U355" s="58"/>
    </row>
    <row r="356" spans="1:21" ht="12.75">
      <c r="A356"/>
      <c r="B356"/>
      <c r="C356"/>
      <c r="D356"/>
      <c r="E356"/>
      <c r="F356"/>
      <c r="G356"/>
      <c r="H356"/>
      <c r="I356"/>
      <c r="J356"/>
      <c r="K356"/>
      <c r="L356"/>
      <c r="M356"/>
      <c r="N356"/>
      <c r="O356"/>
      <c r="P356"/>
      <c r="Q356"/>
      <c r="R356" s="58"/>
      <c r="S356" s="58"/>
      <c r="T356" s="58"/>
      <c r="U356" s="58"/>
    </row>
    <row r="357" spans="1:21" ht="12.75">
      <c r="A357"/>
      <c r="B357"/>
      <c r="C357"/>
      <c r="D357"/>
      <c r="E357"/>
      <c r="F357"/>
      <c r="G357"/>
      <c r="H357"/>
      <c r="I357"/>
      <c r="J357"/>
      <c r="K357"/>
      <c r="L357"/>
      <c r="M357"/>
      <c r="N357"/>
      <c r="O357"/>
      <c r="P357"/>
      <c r="Q357"/>
      <c r="R357" s="58"/>
      <c r="S357" s="58"/>
      <c r="T357" s="58"/>
      <c r="U357" s="58"/>
    </row>
    <row r="358" spans="1:21" ht="12.75">
      <c r="A358"/>
      <c r="B358"/>
      <c r="C358"/>
      <c r="D358"/>
      <c r="E358"/>
      <c r="F358"/>
      <c r="G358"/>
      <c r="H358"/>
      <c r="I358"/>
      <c r="J358"/>
      <c r="K358"/>
      <c r="L358"/>
      <c r="M358"/>
      <c r="N358"/>
      <c r="O358"/>
      <c r="P358"/>
      <c r="Q358"/>
      <c r="R358" s="58"/>
      <c r="S358" s="58"/>
      <c r="T358" s="58"/>
      <c r="U358" s="58"/>
    </row>
    <row r="359" spans="1:21" ht="12.75">
      <c r="A359"/>
      <c r="B359"/>
      <c r="C359"/>
      <c r="D359"/>
      <c r="E359"/>
      <c r="F359"/>
      <c r="G359"/>
      <c r="H359"/>
      <c r="I359"/>
      <c r="J359"/>
      <c r="K359"/>
      <c r="L359"/>
      <c r="M359"/>
      <c r="N359"/>
      <c r="O359"/>
      <c r="P359"/>
      <c r="Q359"/>
      <c r="R359" s="58"/>
      <c r="S359" s="58"/>
      <c r="T359" s="58"/>
      <c r="U359" s="58"/>
    </row>
    <row r="360" spans="1:21" ht="12.75">
      <c r="A360"/>
      <c r="B360"/>
      <c r="C360"/>
      <c r="D360"/>
      <c r="E360"/>
      <c r="F360"/>
      <c r="G360"/>
      <c r="H360"/>
      <c r="I360"/>
      <c r="J360"/>
      <c r="K360"/>
      <c r="L360"/>
      <c r="M360"/>
      <c r="N360"/>
      <c r="O360"/>
      <c r="P360"/>
      <c r="Q360"/>
      <c r="R360" s="58"/>
      <c r="S360" s="58"/>
      <c r="T360" s="58"/>
      <c r="U360" s="58"/>
    </row>
    <row r="361" spans="1:21" ht="12.75">
      <c r="A361"/>
      <c r="B361"/>
      <c r="C361"/>
      <c r="D361"/>
      <c r="E361"/>
      <c r="F361"/>
      <c r="G361"/>
      <c r="H361"/>
      <c r="I361"/>
      <c r="J361"/>
      <c r="K361"/>
      <c r="L361"/>
      <c r="M361"/>
      <c r="N361"/>
      <c r="O361"/>
      <c r="P361"/>
      <c r="Q361"/>
      <c r="R361" s="58"/>
      <c r="S361" s="58"/>
      <c r="T361" s="58"/>
      <c r="U361" s="58"/>
    </row>
    <row r="362" spans="1:21" ht="12.75">
      <c r="A362"/>
      <c r="B362"/>
      <c r="C362"/>
      <c r="D362"/>
      <c r="E362"/>
      <c r="F362"/>
      <c r="G362"/>
      <c r="H362"/>
      <c r="I362"/>
      <c r="J362"/>
      <c r="K362"/>
      <c r="L362"/>
      <c r="M362"/>
      <c r="N362"/>
      <c r="O362"/>
      <c r="P362"/>
      <c r="Q362"/>
      <c r="R362" s="58"/>
      <c r="S362" s="58"/>
      <c r="T362" s="58"/>
      <c r="U362" s="58"/>
    </row>
    <row r="363" spans="1:21" ht="12.75">
      <c r="A363"/>
      <c r="B363"/>
      <c r="C363"/>
      <c r="D363"/>
      <c r="E363"/>
      <c r="F363"/>
      <c r="G363"/>
      <c r="H363"/>
      <c r="I363"/>
      <c r="J363"/>
      <c r="K363"/>
      <c r="L363"/>
      <c r="M363"/>
      <c r="N363"/>
      <c r="O363"/>
      <c r="P363"/>
      <c r="Q363"/>
      <c r="R363" s="58"/>
      <c r="S363" s="58"/>
      <c r="T363" s="58"/>
      <c r="U363" s="58"/>
    </row>
    <row r="364" spans="1:21" ht="12.75">
      <c r="A364"/>
      <c r="B364"/>
      <c r="C364"/>
      <c r="D364"/>
      <c r="E364"/>
      <c r="F364"/>
      <c r="G364"/>
      <c r="H364"/>
      <c r="I364"/>
      <c r="J364"/>
      <c r="K364"/>
      <c r="L364"/>
      <c r="M364"/>
      <c r="N364"/>
      <c r="O364"/>
      <c r="P364"/>
      <c r="Q364"/>
      <c r="R364" s="58"/>
      <c r="S364" s="58"/>
      <c r="T364" s="58"/>
      <c r="U364" s="58"/>
    </row>
    <row r="365" spans="1:21" ht="12.75">
      <c r="A365"/>
      <c r="B365"/>
      <c r="C365"/>
      <c r="D365"/>
      <c r="E365"/>
      <c r="F365"/>
      <c r="G365"/>
      <c r="H365"/>
      <c r="I365"/>
      <c r="J365"/>
      <c r="K365"/>
      <c r="L365"/>
      <c r="M365"/>
      <c r="N365"/>
      <c r="O365"/>
      <c r="P365"/>
      <c r="Q365"/>
      <c r="R365" s="58"/>
      <c r="S365" s="58"/>
      <c r="T365" s="58"/>
      <c r="U365" s="58"/>
    </row>
    <row r="366" spans="1:21" ht="12.75">
      <c r="A366"/>
      <c r="B366"/>
      <c r="C366"/>
      <c r="D366"/>
      <c r="E366"/>
      <c r="F366"/>
      <c r="G366"/>
      <c r="H366"/>
      <c r="I366"/>
      <c r="J366"/>
      <c r="K366"/>
      <c r="L366"/>
      <c r="M366"/>
      <c r="N366"/>
      <c r="O366"/>
      <c r="P366"/>
      <c r="Q366"/>
      <c r="R366" s="58"/>
      <c r="S366" s="58"/>
      <c r="T366" s="58"/>
      <c r="U366" s="58"/>
    </row>
    <row r="367" spans="1:21" ht="12.75">
      <c r="A367"/>
      <c r="B367"/>
      <c r="C367"/>
      <c r="D367"/>
      <c r="E367"/>
      <c r="F367"/>
      <c r="G367"/>
      <c r="H367"/>
      <c r="I367"/>
      <c r="J367"/>
      <c r="K367"/>
      <c r="L367"/>
      <c r="M367"/>
      <c r="N367"/>
      <c r="O367"/>
      <c r="P367"/>
      <c r="Q367"/>
      <c r="R367" s="58"/>
      <c r="S367" s="58"/>
      <c r="T367" s="58"/>
      <c r="U367" s="58"/>
    </row>
    <row r="368" spans="1:21" ht="12.75">
      <c r="A368"/>
      <c r="B368"/>
      <c r="C368"/>
      <c r="D368"/>
      <c r="E368"/>
      <c r="F368"/>
      <c r="G368"/>
      <c r="H368"/>
      <c r="I368"/>
      <c r="J368"/>
      <c r="K368"/>
      <c r="L368"/>
      <c r="M368"/>
      <c r="N368"/>
      <c r="O368"/>
      <c r="P368"/>
      <c r="Q368"/>
      <c r="R368" s="58"/>
      <c r="S368" s="58"/>
      <c r="T368" s="58"/>
      <c r="U368" s="58"/>
    </row>
    <row r="369" spans="1:21" ht="12.75">
      <c r="A369"/>
      <c r="B369"/>
      <c r="C369"/>
      <c r="D369"/>
      <c r="E369"/>
      <c r="F369"/>
      <c r="G369"/>
      <c r="H369"/>
      <c r="I369"/>
      <c r="J369"/>
      <c r="K369"/>
      <c r="L369"/>
      <c r="M369"/>
      <c r="N369"/>
      <c r="O369"/>
      <c r="P369"/>
      <c r="Q369"/>
      <c r="R369" s="58"/>
      <c r="S369" s="58"/>
      <c r="T369" s="58"/>
      <c r="U369" s="58"/>
    </row>
    <row r="370" spans="1:21" ht="12.75">
      <c r="A370"/>
      <c r="B370"/>
      <c r="C370"/>
      <c r="D370"/>
      <c r="E370"/>
      <c r="F370"/>
      <c r="G370"/>
      <c r="H370"/>
      <c r="I370"/>
      <c r="J370"/>
      <c r="K370"/>
      <c r="L370"/>
      <c r="M370"/>
      <c r="N370"/>
      <c r="O370"/>
      <c r="P370"/>
      <c r="Q370"/>
      <c r="R370" s="58"/>
      <c r="S370" s="58"/>
      <c r="T370" s="58"/>
      <c r="U370" s="58"/>
    </row>
    <row r="371" spans="1:21" ht="12.75">
      <c r="A371"/>
      <c r="B371"/>
      <c r="C371"/>
      <c r="D371"/>
      <c r="E371"/>
      <c r="F371"/>
      <c r="G371"/>
      <c r="H371"/>
      <c r="I371"/>
      <c r="J371"/>
      <c r="K371"/>
      <c r="L371"/>
      <c r="M371"/>
      <c r="N371"/>
      <c r="O371"/>
      <c r="P371"/>
      <c r="Q371"/>
      <c r="R371" s="58"/>
      <c r="S371" s="58"/>
      <c r="T371" s="58"/>
      <c r="U371" s="58"/>
    </row>
    <row r="372" spans="1:21" ht="12.75">
      <c r="A372"/>
      <c r="B372"/>
      <c r="C372"/>
      <c r="D372"/>
      <c r="E372"/>
      <c r="F372"/>
      <c r="G372"/>
      <c r="H372"/>
      <c r="I372"/>
      <c r="J372"/>
      <c r="K372"/>
      <c r="L372"/>
      <c r="M372"/>
      <c r="N372"/>
      <c r="O372"/>
      <c r="P372"/>
      <c r="Q372"/>
      <c r="R372" s="58"/>
      <c r="S372" s="58"/>
      <c r="T372" s="58"/>
      <c r="U372" s="58"/>
    </row>
    <row r="373" spans="1:21" ht="12.75">
      <c r="A373"/>
      <c r="B373"/>
      <c r="C373"/>
      <c r="D373"/>
      <c r="E373"/>
      <c r="F373"/>
      <c r="G373"/>
      <c r="H373"/>
      <c r="I373"/>
      <c r="J373"/>
      <c r="K373"/>
      <c r="L373"/>
      <c r="M373"/>
      <c r="N373"/>
      <c r="O373"/>
      <c r="P373"/>
      <c r="Q373"/>
      <c r="R373" s="58"/>
      <c r="S373" s="58"/>
      <c r="T373" s="58"/>
      <c r="U373" s="58"/>
    </row>
    <row r="374" spans="1:21" ht="12.75">
      <c r="A374"/>
      <c r="B374"/>
      <c r="C374"/>
      <c r="D374"/>
      <c r="E374"/>
      <c r="F374"/>
      <c r="G374"/>
      <c r="H374"/>
      <c r="I374"/>
      <c r="J374"/>
      <c r="K374"/>
      <c r="L374"/>
      <c r="M374"/>
      <c r="N374"/>
      <c r="O374"/>
      <c r="P374"/>
      <c r="Q374"/>
      <c r="R374" s="58"/>
      <c r="S374" s="58"/>
      <c r="T374" s="58"/>
      <c r="U374" s="58"/>
    </row>
    <row r="375" spans="1:21" ht="12.75">
      <c r="A375"/>
      <c r="B375"/>
      <c r="C375"/>
      <c r="D375"/>
      <c r="E375"/>
      <c r="F375"/>
      <c r="G375"/>
      <c r="H375"/>
      <c r="I375"/>
      <c r="J375"/>
      <c r="K375"/>
      <c r="L375"/>
      <c r="M375"/>
      <c r="N375"/>
      <c r="O375"/>
      <c r="P375"/>
      <c r="Q375"/>
      <c r="R375" s="58"/>
      <c r="S375" s="58"/>
      <c r="T375" s="58"/>
      <c r="U375" s="58"/>
    </row>
    <row r="376" spans="1:21" ht="12.75">
      <c r="A376"/>
      <c r="B376"/>
      <c r="C376"/>
      <c r="D376"/>
      <c r="E376"/>
      <c r="F376"/>
      <c r="G376"/>
      <c r="H376"/>
      <c r="I376"/>
      <c r="J376"/>
      <c r="K376"/>
      <c r="L376"/>
      <c r="M376"/>
      <c r="N376"/>
      <c r="O376"/>
      <c r="P376"/>
      <c r="Q376"/>
      <c r="R376" s="58"/>
      <c r="S376" s="58"/>
      <c r="T376" s="58"/>
      <c r="U376" s="58"/>
    </row>
    <row r="377" spans="1:21" ht="12.75">
      <c r="A377"/>
      <c r="B377"/>
      <c r="C377"/>
      <c r="D377"/>
      <c r="E377"/>
      <c r="F377"/>
      <c r="G377"/>
      <c r="H377"/>
      <c r="I377"/>
      <c r="J377"/>
      <c r="K377"/>
      <c r="L377"/>
      <c r="M377"/>
      <c r="N377"/>
      <c r="O377"/>
      <c r="P377"/>
      <c r="Q377"/>
      <c r="R377" s="58"/>
      <c r="S377" s="58"/>
      <c r="T377" s="58"/>
      <c r="U377" s="58"/>
    </row>
    <row r="378" spans="1:21" ht="12.75">
      <c r="A378"/>
      <c r="B378"/>
      <c r="C378"/>
      <c r="D378"/>
      <c r="E378"/>
      <c r="F378"/>
      <c r="G378"/>
      <c r="H378"/>
      <c r="I378"/>
      <c r="J378"/>
      <c r="K378"/>
      <c r="L378"/>
      <c r="M378"/>
      <c r="N378"/>
      <c r="O378"/>
      <c r="P378"/>
      <c r="Q378"/>
      <c r="R378" s="58"/>
      <c r="S378" s="58"/>
      <c r="T378" s="58"/>
      <c r="U378" s="58"/>
    </row>
    <row r="379" spans="1:21" ht="12.75">
      <c r="A379"/>
      <c r="B379"/>
      <c r="C379"/>
      <c r="D379"/>
      <c r="E379"/>
      <c r="F379"/>
      <c r="G379"/>
      <c r="H379"/>
      <c r="I379"/>
      <c r="J379"/>
      <c r="K379"/>
      <c r="L379"/>
      <c r="M379"/>
      <c r="N379"/>
      <c r="O379"/>
      <c r="P379"/>
      <c r="Q379"/>
      <c r="R379" s="58"/>
      <c r="S379" s="58"/>
      <c r="T379" s="58"/>
      <c r="U379" s="58"/>
    </row>
    <row r="380" spans="1:21" ht="12.75">
      <c r="A380"/>
      <c r="B380"/>
      <c r="C380"/>
      <c r="D380"/>
      <c r="E380"/>
      <c r="F380"/>
      <c r="G380"/>
      <c r="H380"/>
      <c r="I380"/>
      <c r="J380"/>
      <c r="K380"/>
      <c r="L380"/>
      <c r="M380"/>
      <c r="N380"/>
      <c r="O380"/>
      <c r="P380"/>
      <c r="Q380"/>
      <c r="R380" s="58"/>
      <c r="S380" s="58"/>
      <c r="T380" s="58"/>
      <c r="U380" s="58"/>
    </row>
    <row r="381" spans="1:21" ht="12.75">
      <c r="A381"/>
      <c r="B381"/>
      <c r="C381"/>
      <c r="D381"/>
      <c r="E381"/>
      <c r="F381"/>
      <c r="G381"/>
      <c r="H381"/>
      <c r="I381"/>
      <c r="J381"/>
      <c r="K381"/>
      <c r="L381"/>
      <c r="M381"/>
      <c r="N381"/>
      <c r="O381"/>
      <c r="P381"/>
      <c r="Q381"/>
      <c r="R381" s="58"/>
      <c r="S381" s="58"/>
      <c r="T381" s="58"/>
      <c r="U381" s="58"/>
    </row>
    <row r="382" spans="1:21" ht="12.75">
      <c r="A382"/>
      <c r="B382"/>
      <c r="C382"/>
      <c r="D382"/>
      <c r="E382"/>
      <c r="F382"/>
      <c r="G382"/>
      <c r="H382"/>
      <c r="I382"/>
      <c r="J382"/>
      <c r="K382"/>
      <c r="L382"/>
      <c r="M382"/>
      <c r="N382"/>
      <c r="O382"/>
      <c r="P382"/>
      <c r="Q382"/>
      <c r="R382" s="58"/>
      <c r="S382" s="58"/>
      <c r="T382" s="58"/>
      <c r="U382" s="58"/>
    </row>
    <row r="383" spans="1:21" ht="12.75">
      <c r="A383"/>
      <c r="B383"/>
      <c r="C383"/>
      <c r="D383"/>
      <c r="E383"/>
      <c r="F383"/>
      <c r="G383"/>
      <c r="H383"/>
      <c r="I383"/>
      <c r="J383"/>
      <c r="K383"/>
      <c r="L383"/>
      <c r="M383"/>
      <c r="N383"/>
      <c r="O383"/>
      <c r="P383"/>
      <c r="Q383"/>
      <c r="R383" s="58"/>
      <c r="S383" s="58"/>
      <c r="T383" s="58"/>
      <c r="U383" s="58"/>
    </row>
    <row r="384" spans="1:21" ht="12.75">
      <c r="A384"/>
      <c r="B384"/>
      <c r="C384"/>
      <c r="D384"/>
      <c r="E384"/>
      <c r="F384"/>
      <c r="G384"/>
      <c r="H384"/>
      <c r="I384"/>
      <c r="J384"/>
      <c r="K384"/>
      <c r="L384"/>
      <c r="M384"/>
      <c r="N384"/>
      <c r="O384"/>
      <c r="P384"/>
      <c r="Q384"/>
      <c r="R384" s="58"/>
      <c r="S384" s="58"/>
      <c r="T384" s="58"/>
      <c r="U384" s="58"/>
    </row>
    <row r="385" spans="1:21" ht="12.75">
      <c r="A385"/>
      <c r="B385"/>
      <c r="C385"/>
      <c r="D385"/>
      <c r="E385"/>
      <c r="F385"/>
      <c r="G385"/>
      <c r="H385"/>
      <c r="I385"/>
      <c r="J385"/>
      <c r="K385"/>
      <c r="L385"/>
      <c r="M385"/>
      <c r="N385"/>
      <c r="O385"/>
      <c r="P385"/>
      <c r="Q385"/>
      <c r="R385" s="58"/>
      <c r="S385" s="58"/>
      <c r="T385" s="58"/>
      <c r="U385" s="58"/>
    </row>
    <row r="386" spans="1:21" ht="12.75">
      <c r="A386"/>
      <c r="B386"/>
      <c r="C386"/>
      <c r="D386"/>
      <c r="E386"/>
      <c r="F386"/>
      <c r="G386"/>
      <c r="H386"/>
      <c r="I386"/>
      <c r="J386"/>
      <c r="K386"/>
      <c r="L386"/>
      <c r="M386"/>
      <c r="N386"/>
      <c r="O386"/>
      <c r="P386"/>
      <c r="Q386"/>
      <c r="R386" s="58"/>
      <c r="S386" s="58"/>
      <c r="T386" s="58"/>
      <c r="U386" s="58"/>
    </row>
    <row r="387" spans="1:21" ht="12.75">
      <c r="A387"/>
      <c r="B387"/>
      <c r="C387"/>
      <c r="D387"/>
      <c r="E387"/>
      <c r="F387"/>
      <c r="G387"/>
      <c r="H387"/>
      <c r="I387"/>
      <c r="J387"/>
      <c r="K387"/>
      <c r="L387"/>
      <c r="M387"/>
      <c r="N387"/>
      <c r="O387"/>
      <c r="P387"/>
      <c r="Q387"/>
      <c r="R387" s="58"/>
      <c r="S387" s="58"/>
      <c r="T387" s="58"/>
      <c r="U387" s="58"/>
    </row>
    <row r="388" spans="1:21" ht="12.75">
      <c r="A388"/>
      <c r="B388"/>
      <c r="C388"/>
      <c r="D388"/>
      <c r="E388"/>
      <c r="F388"/>
      <c r="G388"/>
      <c r="H388"/>
      <c r="I388"/>
      <c r="J388"/>
      <c r="K388"/>
      <c r="L388"/>
      <c r="M388"/>
      <c r="N388"/>
      <c r="O388"/>
      <c r="P388"/>
      <c r="Q388"/>
      <c r="R388" s="58"/>
      <c r="S388" s="58"/>
      <c r="T388" s="58"/>
      <c r="U388" s="58"/>
    </row>
    <row r="389" spans="1:21" ht="12.75">
      <c r="A389"/>
      <c r="B389"/>
      <c r="C389"/>
      <c r="D389"/>
      <c r="E389"/>
      <c r="F389"/>
      <c r="G389"/>
      <c r="H389"/>
      <c r="I389"/>
      <c r="J389"/>
      <c r="K389"/>
      <c r="L389"/>
      <c r="M389"/>
      <c r="N389"/>
      <c r="O389"/>
      <c r="P389"/>
      <c r="Q389"/>
      <c r="R389" s="58"/>
      <c r="S389" s="58"/>
      <c r="T389" s="58"/>
      <c r="U389" s="58"/>
    </row>
    <row r="390" spans="1:21" ht="12.75">
      <c r="A390"/>
      <c r="B390"/>
      <c r="C390"/>
      <c r="D390"/>
      <c r="E390"/>
      <c r="F390"/>
      <c r="G390"/>
      <c r="H390"/>
      <c r="I390"/>
      <c r="J390"/>
      <c r="K390"/>
      <c r="L390"/>
      <c r="M390"/>
      <c r="N390"/>
      <c r="O390"/>
      <c r="P390"/>
      <c r="Q390"/>
      <c r="R390" s="58"/>
      <c r="S390" s="58"/>
      <c r="T390" s="58"/>
      <c r="U390" s="58"/>
    </row>
    <row r="391" spans="1:21" ht="12.75">
      <c r="A391"/>
      <c r="B391"/>
      <c r="C391"/>
      <c r="D391"/>
      <c r="E391"/>
      <c r="F391"/>
      <c r="G391"/>
      <c r="H391"/>
      <c r="I391"/>
      <c r="J391"/>
      <c r="K391"/>
      <c r="L391"/>
      <c r="M391"/>
      <c r="N391"/>
      <c r="O391"/>
      <c r="P391"/>
      <c r="Q391"/>
      <c r="R391" s="58"/>
      <c r="S391" s="58"/>
      <c r="T391" s="58"/>
      <c r="U391" s="58"/>
    </row>
    <row r="392" spans="1:21" ht="12.75">
      <c r="A392"/>
      <c r="B392"/>
      <c r="C392"/>
      <c r="D392"/>
      <c r="E392"/>
      <c r="F392"/>
      <c r="G392"/>
      <c r="H392"/>
      <c r="I392"/>
      <c r="J392"/>
      <c r="K392"/>
      <c r="L392"/>
      <c r="M392"/>
      <c r="N392"/>
      <c r="O392"/>
      <c r="P392"/>
      <c r="Q392"/>
      <c r="R392" s="58"/>
      <c r="S392" s="58"/>
      <c r="T392" s="58"/>
      <c r="U392" s="58"/>
    </row>
    <row r="393" spans="1:21" ht="12.75">
      <c r="A393"/>
      <c r="B393"/>
      <c r="C393"/>
      <c r="D393"/>
      <c r="E393"/>
      <c r="F393"/>
      <c r="G393"/>
      <c r="H393"/>
      <c r="I393"/>
      <c r="J393"/>
      <c r="K393"/>
      <c r="L393"/>
      <c r="M393"/>
      <c r="N393"/>
      <c r="O393"/>
      <c r="P393"/>
      <c r="Q393"/>
      <c r="R393" s="58"/>
      <c r="S393" s="58"/>
      <c r="T393" s="58"/>
      <c r="U393" s="58"/>
    </row>
    <row r="394" spans="1:21" ht="12.75">
      <c r="A394"/>
      <c r="B394"/>
      <c r="C394"/>
      <c r="D394"/>
      <c r="E394"/>
      <c r="F394"/>
      <c r="G394"/>
      <c r="H394"/>
      <c r="I394"/>
      <c r="J394"/>
      <c r="K394"/>
      <c r="L394"/>
      <c r="M394"/>
      <c r="N394"/>
      <c r="O394"/>
      <c r="P394"/>
      <c r="Q394"/>
      <c r="R394" s="58"/>
      <c r="S394" s="58"/>
      <c r="T394" s="58"/>
      <c r="U394" s="58"/>
    </row>
    <row r="395" spans="1:21" ht="12.75">
      <c r="A395"/>
      <c r="B395"/>
      <c r="C395"/>
      <c r="D395"/>
      <c r="E395"/>
      <c r="F395"/>
      <c r="G395"/>
      <c r="H395"/>
      <c r="I395"/>
      <c r="J395"/>
      <c r="K395"/>
      <c r="L395"/>
      <c r="M395"/>
      <c r="N395"/>
      <c r="O395"/>
      <c r="P395"/>
      <c r="Q395"/>
      <c r="R395" s="58"/>
      <c r="S395" s="58"/>
      <c r="T395" s="58"/>
      <c r="U395" s="58"/>
    </row>
    <row r="396" spans="1:21" ht="12.75">
      <c r="A396"/>
      <c r="B396"/>
      <c r="C396"/>
      <c r="D396"/>
      <c r="E396"/>
      <c r="F396"/>
      <c r="G396"/>
      <c r="H396"/>
      <c r="I396"/>
      <c r="J396"/>
      <c r="K396"/>
      <c r="L396"/>
      <c r="M396"/>
      <c r="N396"/>
      <c r="O396"/>
      <c r="P396"/>
      <c r="Q396"/>
      <c r="R396" s="58"/>
      <c r="S396" s="58"/>
      <c r="T396" s="58"/>
      <c r="U396" s="58"/>
    </row>
    <row r="397" spans="1:21" ht="12.75">
      <c r="A397"/>
      <c r="B397"/>
      <c r="C397"/>
      <c r="D397"/>
      <c r="E397"/>
      <c r="F397"/>
      <c r="G397"/>
      <c r="H397"/>
      <c r="I397"/>
      <c r="J397"/>
      <c r="K397"/>
      <c r="L397"/>
      <c r="M397"/>
      <c r="N397"/>
      <c r="O397"/>
      <c r="P397"/>
      <c r="Q397"/>
      <c r="R397" s="58"/>
      <c r="S397" s="58"/>
      <c r="T397" s="58"/>
      <c r="U397" s="58"/>
    </row>
    <row r="398" spans="1:21" ht="12.75">
      <c r="A398"/>
      <c r="B398"/>
      <c r="C398"/>
      <c r="D398"/>
      <c r="E398"/>
      <c r="F398"/>
      <c r="G398"/>
      <c r="H398"/>
      <c r="I398"/>
      <c r="J398"/>
      <c r="K398"/>
      <c r="L398"/>
      <c r="M398"/>
      <c r="N398"/>
      <c r="O398"/>
      <c r="P398"/>
      <c r="Q398"/>
      <c r="R398" s="58"/>
      <c r="S398" s="58"/>
      <c r="T398" s="58"/>
      <c r="U398" s="58"/>
    </row>
    <row r="399" spans="1:21" ht="12.75">
      <c r="A399"/>
      <c r="B399"/>
      <c r="C399"/>
      <c r="D399"/>
      <c r="E399"/>
      <c r="F399"/>
      <c r="G399"/>
      <c r="H399"/>
      <c r="I399"/>
      <c r="J399"/>
      <c r="K399"/>
      <c r="L399"/>
      <c r="M399"/>
      <c r="N399"/>
      <c r="O399"/>
      <c r="P399"/>
      <c r="Q399"/>
      <c r="R399" s="58"/>
      <c r="S399" s="58"/>
      <c r="T399" s="58"/>
      <c r="U399" s="58"/>
    </row>
    <row r="400" spans="1:21" ht="12.75">
      <c r="A400"/>
      <c r="B400"/>
      <c r="C400"/>
      <c r="D400"/>
      <c r="E400"/>
      <c r="F400"/>
      <c r="G400"/>
      <c r="H400"/>
      <c r="I400"/>
      <c r="J400"/>
      <c r="K400"/>
      <c r="L400"/>
      <c r="M400"/>
      <c r="N400"/>
      <c r="O400"/>
      <c r="P400"/>
      <c r="Q400"/>
      <c r="R400" s="58"/>
      <c r="S400" s="58"/>
      <c r="T400" s="58"/>
      <c r="U400" s="58"/>
    </row>
    <row r="401" spans="1:21" ht="12.75">
      <c r="A401"/>
      <c r="B401"/>
      <c r="C401"/>
      <c r="D401"/>
      <c r="E401"/>
      <c r="F401"/>
      <c r="G401"/>
      <c r="H401"/>
      <c r="I401"/>
      <c r="J401"/>
      <c r="K401"/>
      <c r="L401"/>
      <c r="M401"/>
      <c r="N401"/>
      <c r="O401"/>
      <c r="P401"/>
      <c r="Q401"/>
      <c r="R401" s="58"/>
      <c r="S401" s="58"/>
      <c r="T401" s="58"/>
      <c r="U401" s="58"/>
    </row>
    <row r="402" spans="1:21" ht="12.75">
      <c r="A402"/>
      <c r="B402"/>
      <c r="C402"/>
      <c r="D402"/>
      <c r="E402"/>
      <c r="F402"/>
      <c r="G402"/>
      <c r="H402"/>
      <c r="I402"/>
      <c r="J402"/>
      <c r="K402"/>
      <c r="L402"/>
      <c r="M402"/>
      <c r="N402"/>
      <c r="O402"/>
      <c r="P402"/>
      <c r="Q402"/>
      <c r="R402" s="58"/>
      <c r="S402" s="58"/>
      <c r="T402" s="58"/>
      <c r="U402" s="58"/>
    </row>
    <row r="403" spans="1:21" ht="12.75">
      <c r="A403"/>
      <c r="B403"/>
      <c r="C403"/>
      <c r="D403"/>
      <c r="E403"/>
      <c r="F403"/>
      <c r="G403"/>
      <c r="H403"/>
      <c r="I403"/>
      <c r="J403"/>
      <c r="K403"/>
      <c r="L403"/>
      <c r="M403"/>
      <c r="N403"/>
      <c r="O403"/>
      <c r="P403"/>
      <c r="Q403"/>
      <c r="R403" s="58"/>
      <c r="S403" s="58"/>
      <c r="T403" s="58"/>
      <c r="U403" s="58"/>
    </row>
    <row r="404" spans="1:21" ht="12.75">
      <c r="A404"/>
      <c r="B404"/>
      <c r="C404"/>
      <c r="D404"/>
      <c r="E404"/>
      <c r="F404"/>
      <c r="G404"/>
      <c r="H404"/>
      <c r="I404"/>
      <c r="J404"/>
      <c r="K404"/>
      <c r="L404"/>
      <c r="M404"/>
      <c r="N404"/>
      <c r="O404"/>
      <c r="P404"/>
      <c r="Q404"/>
      <c r="R404" s="58"/>
      <c r="S404" s="58"/>
      <c r="T404" s="58"/>
      <c r="U404" s="58"/>
    </row>
    <row r="405" spans="1:21" ht="12.75">
      <c r="A405"/>
      <c r="B405"/>
      <c r="C405"/>
      <c r="D405"/>
      <c r="E405"/>
      <c r="F405"/>
      <c r="G405"/>
      <c r="H405"/>
      <c r="I405"/>
      <c r="J405"/>
      <c r="K405"/>
      <c r="L405"/>
      <c r="M405"/>
      <c r="N405"/>
      <c r="O405"/>
      <c r="P405"/>
      <c r="Q405"/>
      <c r="R405" s="58"/>
      <c r="S405" s="58"/>
      <c r="T405" s="58"/>
      <c r="U405" s="58"/>
    </row>
    <row r="406" spans="1:21" ht="12.75">
      <c r="A406"/>
      <c r="B406"/>
      <c r="C406"/>
      <c r="D406"/>
      <c r="E406"/>
      <c r="F406"/>
      <c r="G406"/>
      <c r="H406"/>
      <c r="I406"/>
      <c r="J406"/>
      <c r="K406"/>
      <c r="L406"/>
      <c r="M406"/>
      <c r="N406"/>
      <c r="O406"/>
      <c r="P406"/>
      <c r="Q406"/>
      <c r="R406" s="58"/>
      <c r="S406" s="58"/>
      <c r="T406" s="58"/>
      <c r="U406" s="58"/>
    </row>
    <row r="407" spans="1:21" ht="12.75">
      <c r="A407"/>
      <c r="B407"/>
      <c r="C407"/>
      <c r="D407"/>
      <c r="E407"/>
      <c r="F407"/>
      <c r="G407"/>
      <c r="H407"/>
      <c r="I407"/>
      <c r="J407"/>
      <c r="K407"/>
      <c r="L407"/>
      <c r="M407"/>
      <c r="N407"/>
      <c r="O407"/>
      <c r="P407"/>
      <c r="Q407"/>
      <c r="R407" s="58"/>
      <c r="S407" s="58"/>
      <c r="T407" s="58"/>
      <c r="U407" s="58"/>
    </row>
    <row r="408" spans="1:21" ht="12.75">
      <c r="A408"/>
      <c r="B408"/>
      <c r="C408"/>
      <c r="D408"/>
      <c r="E408"/>
      <c r="F408"/>
      <c r="G408"/>
      <c r="H408"/>
      <c r="I408"/>
      <c r="J408"/>
      <c r="K408"/>
      <c r="L408"/>
      <c r="M408"/>
      <c r="N408"/>
      <c r="O408"/>
      <c r="P408"/>
      <c r="Q408"/>
      <c r="R408" s="58"/>
      <c r="S408" s="58"/>
      <c r="T408" s="58"/>
      <c r="U408" s="58"/>
    </row>
    <row r="409" spans="1:21" ht="12.75">
      <c r="A409"/>
      <c r="B409"/>
      <c r="C409"/>
      <c r="D409"/>
      <c r="E409"/>
      <c r="F409"/>
      <c r="G409"/>
      <c r="H409"/>
      <c r="I409"/>
      <c r="J409"/>
      <c r="K409"/>
      <c r="L409"/>
      <c r="M409"/>
      <c r="N409"/>
      <c r="O409"/>
      <c r="P409"/>
      <c r="Q409"/>
      <c r="R409" s="58"/>
      <c r="S409" s="58"/>
      <c r="T409" s="58"/>
      <c r="U409" s="58"/>
    </row>
    <row r="410" spans="1:21" ht="12.75">
      <c r="A410"/>
      <c r="B410"/>
      <c r="C410"/>
      <c r="D410"/>
      <c r="E410"/>
      <c r="F410"/>
      <c r="G410"/>
      <c r="H410"/>
      <c r="I410"/>
      <c r="J410"/>
      <c r="K410"/>
      <c r="L410"/>
      <c r="M410"/>
      <c r="N410"/>
      <c r="O410"/>
      <c r="P410"/>
      <c r="Q410"/>
      <c r="R410" s="58"/>
      <c r="S410" s="58"/>
      <c r="T410" s="58"/>
      <c r="U410" s="58"/>
    </row>
    <row r="411" spans="1:21" ht="12.75">
      <c r="A411"/>
      <c r="B411"/>
      <c r="C411"/>
      <c r="D411"/>
      <c r="E411"/>
      <c r="F411"/>
      <c r="G411"/>
      <c r="H411"/>
      <c r="I411"/>
      <c r="J411"/>
      <c r="K411"/>
      <c r="L411"/>
      <c r="M411"/>
      <c r="N411"/>
      <c r="O411"/>
      <c r="P411"/>
      <c r="Q411"/>
      <c r="R411" s="58"/>
      <c r="S411" s="58"/>
      <c r="T411" s="58"/>
      <c r="U411" s="58"/>
    </row>
    <row r="412" spans="1:21" ht="12.75">
      <c r="A412"/>
      <c r="B412"/>
      <c r="C412"/>
      <c r="D412"/>
      <c r="E412"/>
      <c r="F412"/>
      <c r="G412"/>
      <c r="H412"/>
      <c r="I412"/>
      <c r="J412"/>
      <c r="K412"/>
      <c r="L412"/>
      <c r="M412"/>
      <c r="N412"/>
      <c r="O412"/>
      <c r="P412"/>
      <c r="Q412"/>
      <c r="R412" s="58"/>
      <c r="S412" s="58"/>
      <c r="T412" s="58"/>
      <c r="U412" s="58"/>
    </row>
    <row r="413" spans="1:21" ht="12.75">
      <c r="A413"/>
      <c r="B413"/>
      <c r="C413"/>
      <c r="D413"/>
      <c r="E413"/>
      <c r="F413"/>
      <c r="G413"/>
      <c r="H413"/>
      <c r="I413"/>
      <c r="J413"/>
      <c r="K413"/>
      <c r="L413"/>
      <c r="M413"/>
      <c r="N413"/>
      <c r="O413"/>
      <c r="P413"/>
      <c r="Q413"/>
      <c r="R413" s="58"/>
      <c r="S413" s="58"/>
      <c r="T413" s="58"/>
      <c r="U413" s="58"/>
    </row>
    <row r="414" spans="1:21" ht="12.75">
      <c r="A414"/>
      <c r="B414"/>
      <c r="C414"/>
      <c r="D414"/>
      <c r="E414"/>
      <c r="F414"/>
      <c r="G414"/>
      <c r="H414"/>
      <c r="I414"/>
      <c r="J414"/>
      <c r="K414"/>
      <c r="L414"/>
      <c r="M414"/>
      <c r="N414"/>
      <c r="O414"/>
      <c r="P414"/>
      <c r="Q414"/>
      <c r="R414" s="58"/>
      <c r="S414" s="58"/>
      <c r="T414" s="58"/>
      <c r="U414" s="58"/>
    </row>
    <row r="415" spans="1:21" ht="12.75">
      <c r="A415"/>
      <c r="B415"/>
      <c r="C415"/>
      <c r="D415"/>
      <c r="E415"/>
      <c r="F415"/>
      <c r="G415"/>
      <c r="H415"/>
      <c r="I415"/>
      <c r="J415"/>
      <c r="K415"/>
      <c r="L415"/>
      <c r="M415"/>
      <c r="N415"/>
      <c r="O415"/>
      <c r="P415"/>
      <c r="Q415"/>
      <c r="R415" s="58"/>
      <c r="S415" s="58"/>
      <c r="T415" s="58"/>
      <c r="U415" s="58"/>
    </row>
    <row r="416" spans="1:21" ht="12.75">
      <c r="A416"/>
      <c r="B416"/>
      <c r="C416"/>
      <c r="D416"/>
      <c r="E416"/>
      <c r="F416"/>
      <c r="G416"/>
      <c r="H416"/>
      <c r="I416"/>
      <c r="J416"/>
      <c r="K416"/>
      <c r="L416"/>
      <c r="M416"/>
      <c r="N416"/>
      <c r="O416"/>
      <c r="P416"/>
      <c r="Q416"/>
      <c r="R416" s="58"/>
      <c r="S416" s="58"/>
      <c r="T416" s="58"/>
      <c r="U416" s="58"/>
    </row>
    <row r="417" spans="1:21" ht="12.75">
      <c r="A417"/>
      <c r="B417"/>
      <c r="C417"/>
      <c r="D417"/>
      <c r="E417"/>
      <c r="F417"/>
      <c r="G417"/>
      <c r="H417"/>
      <c r="I417"/>
      <c r="J417"/>
      <c r="K417"/>
      <c r="L417"/>
      <c r="M417"/>
      <c r="N417"/>
      <c r="O417"/>
      <c r="P417"/>
      <c r="Q417"/>
      <c r="R417" s="58"/>
      <c r="S417" s="58"/>
      <c r="T417" s="58"/>
      <c r="U417" s="58"/>
    </row>
    <row r="418" spans="1:21" ht="12.75">
      <c r="A418"/>
      <c r="B418"/>
      <c r="C418"/>
      <c r="D418"/>
      <c r="E418"/>
      <c r="F418"/>
      <c r="G418"/>
      <c r="H418"/>
      <c r="I418"/>
      <c r="J418"/>
      <c r="K418"/>
      <c r="L418"/>
      <c r="M418"/>
      <c r="N418"/>
      <c r="O418"/>
      <c r="P418"/>
      <c r="Q418"/>
      <c r="R418" s="58"/>
      <c r="S418" s="58"/>
      <c r="T418" s="58"/>
      <c r="U418" s="58"/>
    </row>
    <row r="419" spans="1:21" ht="12.75">
      <c r="A419"/>
      <c r="B419"/>
      <c r="C419"/>
      <c r="D419"/>
      <c r="E419"/>
      <c r="F419"/>
      <c r="G419"/>
      <c r="H419"/>
      <c r="I419"/>
      <c r="J419"/>
      <c r="K419"/>
      <c r="L419"/>
      <c r="M419"/>
      <c r="N419"/>
      <c r="O419"/>
      <c r="P419"/>
      <c r="Q419"/>
      <c r="R419" s="58"/>
      <c r="S419" s="58"/>
      <c r="T419" s="58"/>
      <c r="U419" s="58"/>
    </row>
    <row r="420" spans="1:21" ht="12.75">
      <c r="A420"/>
      <c r="B420"/>
      <c r="C420"/>
      <c r="D420"/>
      <c r="E420"/>
      <c r="F420"/>
      <c r="G420"/>
      <c r="H420"/>
      <c r="I420"/>
      <c r="J420"/>
      <c r="K420"/>
      <c r="L420"/>
      <c r="M420"/>
      <c r="N420"/>
      <c r="O420"/>
      <c r="P420"/>
      <c r="Q420"/>
      <c r="R420" s="58"/>
      <c r="S420" s="58"/>
      <c r="T420" s="58"/>
      <c r="U420" s="58"/>
    </row>
    <row r="421" spans="1:21" ht="12.75">
      <c r="A421"/>
      <c r="B421"/>
      <c r="C421"/>
      <c r="D421"/>
      <c r="E421"/>
      <c r="F421"/>
      <c r="G421"/>
      <c r="H421"/>
      <c r="I421"/>
      <c r="J421"/>
      <c r="K421"/>
      <c r="L421"/>
      <c r="M421"/>
      <c r="N421"/>
      <c r="O421"/>
      <c r="P421"/>
      <c r="Q421"/>
      <c r="R421" s="58"/>
      <c r="S421" s="58"/>
      <c r="T421" s="58"/>
      <c r="U421" s="58"/>
    </row>
    <row r="422" spans="1:21" ht="12.75">
      <c r="A422"/>
      <c r="B422"/>
      <c r="C422"/>
      <c r="D422"/>
      <c r="E422"/>
      <c r="F422"/>
      <c r="G422"/>
      <c r="H422"/>
      <c r="I422"/>
      <c r="J422"/>
      <c r="K422"/>
      <c r="L422"/>
      <c r="M422"/>
      <c r="N422"/>
      <c r="O422"/>
      <c r="P422"/>
      <c r="Q422"/>
      <c r="R422" s="58"/>
      <c r="S422" s="58"/>
      <c r="T422" s="58"/>
      <c r="U422" s="58"/>
    </row>
    <row r="423" spans="1:21" ht="12.75">
      <c r="A423"/>
      <c r="B423"/>
      <c r="C423"/>
      <c r="D423"/>
      <c r="E423"/>
      <c r="F423"/>
      <c r="G423"/>
      <c r="H423"/>
      <c r="I423"/>
      <c r="J423"/>
      <c r="K423"/>
      <c r="L423"/>
      <c r="M423"/>
      <c r="N423"/>
      <c r="O423"/>
      <c r="P423"/>
      <c r="Q423"/>
      <c r="R423" s="58"/>
      <c r="S423" s="58"/>
      <c r="T423" s="58"/>
      <c r="U423" s="58"/>
    </row>
    <row r="424" spans="1:21" ht="12.75">
      <c r="A424"/>
      <c r="B424"/>
      <c r="C424"/>
      <c r="D424"/>
      <c r="E424"/>
      <c r="F424"/>
      <c r="G424"/>
      <c r="H424"/>
      <c r="I424"/>
      <c r="J424"/>
      <c r="K424"/>
      <c r="L424"/>
      <c r="M424"/>
      <c r="N424"/>
      <c r="O424"/>
      <c r="P424"/>
      <c r="Q424"/>
      <c r="R424" s="58"/>
      <c r="S424" s="58"/>
      <c r="T424" s="58"/>
      <c r="U424" s="58"/>
    </row>
    <row r="425" spans="1:21" ht="12.75">
      <c r="A425"/>
      <c r="B425"/>
      <c r="C425"/>
      <c r="D425"/>
      <c r="E425"/>
      <c r="F425"/>
      <c r="G425"/>
      <c r="H425"/>
      <c r="I425"/>
      <c r="J425"/>
      <c r="K425"/>
      <c r="L425"/>
      <c r="M425"/>
      <c r="N425"/>
      <c r="O425"/>
      <c r="P425"/>
      <c r="Q425"/>
      <c r="R425" s="58"/>
      <c r="S425" s="58"/>
      <c r="T425" s="58"/>
      <c r="U425" s="58"/>
    </row>
    <row r="426" spans="1:21" ht="12.75">
      <c r="A426"/>
      <c r="B426"/>
      <c r="C426"/>
      <c r="D426"/>
      <c r="E426"/>
      <c r="F426"/>
      <c r="G426"/>
      <c r="H426"/>
      <c r="I426"/>
      <c r="J426"/>
      <c r="K426"/>
      <c r="L426"/>
      <c r="M426"/>
      <c r="N426"/>
      <c r="O426"/>
      <c r="P426"/>
      <c r="Q426"/>
      <c r="R426" s="58"/>
      <c r="S426" s="58"/>
      <c r="T426" s="58"/>
      <c r="U426" s="58"/>
    </row>
    <row r="427" spans="1:21" ht="12.75">
      <c r="A427"/>
      <c r="B427"/>
      <c r="C427"/>
      <c r="D427"/>
      <c r="E427"/>
      <c r="F427"/>
      <c r="G427"/>
      <c r="H427"/>
      <c r="I427"/>
      <c r="J427"/>
      <c r="K427"/>
      <c r="L427"/>
      <c r="M427"/>
      <c r="N427"/>
      <c r="O427"/>
      <c r="P427"/>
      <c r="Q427"/>
      <c r="R427" s="58"/>
      <c r="S427" s="58"/>
      <c r="T427" s="58"/>
      <c r="U427" s="58"/>
    </row>
    <row r="428" spans="1:21" ht="12.75">
      <c r="A428"/>
      <c r="B428"/>
      <c r="C428"/>
      <c r="D428"/>
      <c r="E428"/>
      <c r="F428"/>
      <c r="G428"/>
      <c r="H428"/>
      <c r="I428"/>
      <c r="J428"/>
      <c r="K428"/>
      <c r="L428"/>
      <c r="M428"/>
      <c r="N428"/>
      <c r="O428"/>
      <c r="P428"/>
      <c r="Q428"/>
      <c r="R428" s="58"/>
      <c r="S428" s="58"/>
      <c r="T428" s="58"/>
      <c r="U428" s="58"/>
    </row>
    <row r="429" spans="1:21" ht="12.75">
      <c r="A429"/>
      <c r="B429"/>
      <c r="C429"/>
      <c r="D429"/>
      <c r="E429"/>
      <c r="F429"/>
      <c r="G429"/>
      <c r="H429"/>
      <c r="I429"/>
      <c r="J429"/>
      <c r="K429"/>
      <c r="L429"/>
      <c r="M429"/>
      <c r="N429"/>
      <c r="O429"/>
      <c r="P429"/>
      <c r="Q429"/>
      <c r="R429" s="58"/>
      <c r="S429" s="58"/>
      <c r="T429" s="58"/>
      <c r="U429" s="58"/>
    </row>
    <row r="430" spans="1:21" ht="12.75">
      <c r="A430"/>
      <c r="B430"/>
      <c r="C430"/>
      <c r="D430"/>
      <c r="E430"/>
      <c r="F430"/>
      <c r="G430"/>
      <c r="H430"/>
      <c r="I430"/>
      <c r="J430"/>
      <c r="K430"/>
      <c r="L430"/>
      <c r="M430"/>
      <c r="N430"/>
      <c r="O430"/>
      <c r="P430"/>
      <c r="Q430"/>
      <c r="R430" s="58"/>
      <c r="S430" s="58"/>
      <c r="T430" s="58"/>
      <c r="U430" s="58"/>
    </row>
    <row r="431" spans="1:21" ht="12.75">
      <c r="A431"/>
      <c r="B431"/>
      <c r="C431"/>
      <c r="D431"/>
      <c r="E431"/>
      <c r="F431"/>
      <c r="G431"/>
      <c r="H431"/>
      <c r="I431"/>
      <c r="J431"/>
      <c r="K431"/>
      <c r="L431"/>
      <c r="M431"/>
      <c r="N431"/>
      <c r="O431"/>
      <c r="P431"/>
      <c r="Q431"/>
      <c r="R431" s="58"/>
      <c r="S431" s="58"/>
      <c r="T431" s="58"/>
      <c r="U431" s="58"/>
    </row>
    <row r="432" spans="1:21" ht="12.75">
      <c r="A432"/>
      <c r="B432"/>
      <c r="C432"/>
      <c r="D432"/>
      <c r="E432"/>
      <c r="F432"/>
      <c r="G432"/>
      <c r="H432"/>
      <c r="I432"/>
      <c r="J432"/>
      <c r="K432"/>
      <c r="L432"/>
      <c r="M432"/>
      <c r="N432"/>
      <c r="O432"/>
      <c r="P432"/>
      <c r="Q432"/>
      <c r="R432" s="58"/>
      <c r="S432" s="58"/>
      <c r="T432" s="58"/>
      <c r="U432" s="58"/>
    </row>
    <row r="433" spans="1:21" ht="12.75">
      <c r="A433"/>
      <c r="B433"/>
      <c r="C433"/>
      <c r="D433"/>
      <c r="E433"/>
      <c r="F433"/>
      <c r="G433"/>
      <c r="H433"/>
      <c r="I433"/>
      <c r="J433"/>
      <c r="K433"/>
      <c r="L433"/>
      <c r="M433"/>
      <c r="N433"/>
      <c r="O433"/>
      <c r="P433"/>
      <c r="Q433"/>
      <c r="R433" s="58"/>
      <c r="S433" s="58"/>
      <c r="T433" s="58"/>
      <c r="U433" s="58"/>
    </row>
    <row r="434" spans="1:21" ht="12.75">
      <c r="A434"/>
      <c r="B434"/>
      <c r="C434"/>
      <c r="D434"/>
      <c r="E434"/>
      <c r="F434"/>
      <c r="G434"/>
      <c r="H434"/>
      <c r="I434"/>
      <c r="J434"/>
      <c r="K434"/>
      <c r="L434"/>
      <c r="M434"/>
      <c r="N434"/>
      <c r="O434"/>
      <c r="P434"/>
      <c r="Q434"/>
      <c r="R434" s="58"/>
      <c r="S434" s="58"/>
      <c r="T434" s="58"/>
      <c r="U434" s="58"/>
    </row>
    <row r="435" spans="1:21" ht="12.75">
      <c r="A435"/>
      <c r="B435"/>
      <c r="C435"/>
      <c r="D435"/>
      <c r="E435"/>
      <c r="F435"/>
      <c r="G435"/>
      <c r="H435"/>
      <c r="I435"/>
      <c r="J435"/>
      <c r="K435"/>
      <c r="L435"/>
      <c r="M435"/>
      <c r="N435"/>
      <c r="O435"/>
      <c r="P435"/>
      <c r="Q435"/>
      <c r="R435" s="58"/>
      <c r="S435" s="58"/>
      <c r="T435" s="58"/>
      <c r="U435" s="58"/>
    </row>
    <row r="436" spans="1:21" ht="12.75">
      <c r="A436"/>
      <c r="B436"/>
      <c r="C436"/>
      <c r="D436"/>
      <c r="E436"/>
      <c r="F436"/>
      <c r="G436"/>
      <c r="H436"/>
      <c r="I436"/>
      <c r="J436"/>
      <c r="K436"/>
      <c r="L436"/>
      <c r="M436"/>
      <c r="N436"/>
      <c r="O436"/>
      <c r="P436"/>
      <c r="Q436"/>
      <c r="R436" s="58"/>
      <c r="S436" s="58"/>
      <c r="T436" s="58"/>
      <c r="U436" s="58"/>
    </row>
    <row r="437" spans="1:21" ht="12.75">
      <c r="A437"/>
      <c r="B437"/>
      <c r="C437"/>
      <c r="D437"/>
      <c r="E437"/>
      <c r="F437"/>
      <c r="G437"/>
      <c r="H437"/>
      <c r="I437"/>
      <c r="J437"/>
      <c r="K437"/>
      <c r="L437"/>
      <c r="M437"/>
      <c r="N437"/>
      <c r="O437"/>
      <c r="P437"/>
      <c r="Q437"/>
      <c r="R437" s="58"/>
      <c r="S437" s="58"/>
      <c r="T437" s="58"/>
      <c r="U437" s="58"/>
    </row>
    <row r="438" spans="1:21" ht="12.75">
      <c r="A438"/>
      <c r="B438"/>
      <c r="C438"/>
      <c r="D438"/>
      <c r="E438"/>
      <c r="F438"/>
      <c r="G438"/>
      <c r="H438"/>
      <c r="I438"/>
      <c r="J438"/>
      <c r="K438"/>
      <c r="L438"/>
      <c r="M438"/>
      <c r="N438"/>
      <c r="O438"/>
      <c r="P438"/>
      <c r="Q438"/>
      <c r="R438" s="58"/>
      <c r="S438" s="58"/>
      <c r="T438" s="58"/>
      <c r="U438" s="58"/>
    </row>
    <row r="439" spans="1:21" ht="12.75">
      <c r="A439"/>
      <c r="B439"/>
      <c r="C439"/>
      <c r="D439"/>
      <c r="E439"/>
      <c r="F439"/>
      <c r="G439"/>
      <c r="H439"/>
      <c r="I439"/>
      <c r="J439"/>
      <c r="K439"/>
      <c r="L439"/>
      <c r="M439"/>
      <c r="N439"/>
      <c r="O439"/>
      <c r="P439"/>
      <c r="Q439"/>
      <c r="R439" s="58"/>
      <c r="S439" s="58"/>
      <c r="T439" s="58"/>
      <c r="U439" s="58"/>
    </row>
    <row r="440" spans="1:21" ht="12.75">
      <c r="A440"/>
      <c r="B440"/>
      <c r="C440"/>
      <c r="D440"/>
      <c r="E440"/>
      <c r="F440"/>
      <c r="G440"/>
      <c r="H440"/>
      <c r="I440"/>
      <c r="J440"/>
      <c r="K440"/>
      <c r="L440"/>
      <c r="M440"/>
      <c r="N440"/>
      <c r="O440"/>
      <c r="P440"/>
      <c r="Q440"/>
      <c r="R440" s="58"/>
      <c r="S440" s="58"/>
      <c r="T440" s="58"/>
      <c r="U440" s="58"/>
    </row>
    <row r="441" spans="1:21" ht="12.75">
      <c r="A441"/>
      <c r="B441"/>
      <c r="C441"/>
      <c r="D441"/>
      <c r="E441"/>
      <c r="F441"/>
      <c r="G441"/>
      <c r="H441"/>
      <c r="I441"/>
      <c r="J441"/>
      <c r="K441"/>
      <c r="L441"/>
      <c r="M441"/>
      <c r="N441"/>
      <c r="O441"/>
      <c r="P441"/>
      <c r="Q441"/>
      <c r="R441" s="58"/>
      <c r="S441" s="58"/>
      <c r="T441" s="58"/>
      <c r="U441" s="58"/>
    </row>
    <row r="442" spans="1:21" ht="12.75">
      <c r="A442"/>
      <c r="B442"/>
      <c r="C442"/>
      <c r="D442"/>
      <c r="E442"/>
      <c r="F442"/>
      <c r="G442"/>
      <c r="H442"/>
      <c r="I442"/>
      <c r="J442"/>
      <c r="K442"/>
      <c r="L442"/>
      <c r="M442"/>
      <c r="N442"/>
      <c r="O442"/>
      <c r="P442"/>
      <c r="Q442"/>
      <c r="R442" s="58"/>
      <c r="S442" s="58"/>
      <c r="T442" s="58"/>
      <c r="U442" s="58"/>
    </row>
    <row r="443" spans="1:21" ht="12.75">
      <c r="A443"/>
      <c r="B443"/>
      <c r="C443"/>
      <c r="D443"/>
      <c r="E443"/>
      <c r="F443"/>
      <c r="G443"/>
      <c r="H443"/>
      <c r="I443"/>
      <c r="J443"/>
      <c r="K443"/>
      <c r="L443"/>
      <c r="M443"/>
      <c r="N443"/>
      <c r="O443"/>
      <c r="P443"/>
      <c r="Q443"/>
      <c r="R443" s="58"/>
      <c r="S443" s="58"/>
      <c r="T443" s="58"/>
      <c r="U443" s="58"/>
    </row>
    <row r="444" spans="1:21" ht="12.75">
      <c r="A444"/>
      <c r="B444"/>
      <c r="C444"/>
      <c r="D444"/>
      <c r="E444"/>
      <c r="F444"/>
      <c r="G444"/>
      <c r="H444"/>
      <c r="I444"/>
      <c r="J444"/>
      <c r="K444"/>
      <c r="L444"/>
      <c r="M444"/>
      <c r="N444"/>
      <c r="O444"/>
      <c r="P444"/>
      <c r="Q444"/>
      <c r="R444" s="58"/>
      <c r="S444" s="58"/>
      <c r="T444" s="58"/>
      <c r="U444" s="58"/>
    </row>
    <row r="445" spans="1:21" ht="12.75">
      <c r="A445"/>
      <c r="B445"/>
      <c r="C445"/>
      <c r="D445"/>
      <c r="E445"/>
      <c r="F445"/>
      <c r="G445"/>
      <c r="H445"/>
      <c r="I445"/>
      <c r="J445"/>
      <c r="K445"/>
      <c r="L445"/>
      <c r="M445"/>
      <c r="N445"/>
      <c r="O445"/>
      <c r="P445"/>
      <c r="Q445"/>
      <c r="R445" s="58"/>
      <c r="S445" s="58"/>
      <c r="T445" s="58"/>
      <c r="U445" s="58"/>
    </row>
    <row r="446" spans="1:21" ht="12.75">
      <c r="A446"/>
      <c r="B446"/>
      <c r="C446"/>
      <c r="D446"/>
      <c r="E446"/>
      <c r="F446"/>
      <c r="G446"/>
      <c r="H446"/>
      <c r="I446"/>
      <c r="J446"/>
      <c r="K446"/>
      <c r="L446"/>
      <c r="M446"/>
      <c r="N446"/>
      <c r="O446"/>
      <c r="P446"/>
      <c r="Q446"/>
      <c r="R446" s="58"/>
      <c r="S446" s="58"/>
      <c r="T446" s="58"/>
      <c r="U446" s="58"/>
    </row>
    <row r="447" spans="1:21" ht="12.75">
      <c r="A447"/>
      <c r="B447"/>
      <c r="C447"/>
      <c r="D447"/>
      <c r="E447"/>
      <c r="F447"/>
      <c r="G447"/>
      <c r="H447"/>
      <c r="I447"/>
      <c r="J447"/>
      <c r="K447"/>
      <c r="L447"/>
      <c r="M447"/>
      <c r="N447"/>
      <c r="O447"/>
      <c r="P447"/>
      <c r="Q447"/>
      <c r="R447" s="58"/>
      <c r="S447" s="58"/>
      <c r="T447" s="58"/>
      <c r="U447" s="58"/>
    </row>
    <row r="448" spans="1:21" ht="12.75">
      <c r="A448"/>
      <c r="B448"/>
      <c r="C448"/>
      <c r="D448"/>
      <c r="E448"/>
      <c r="F448"/>
      <c r="G448"/>
      <c r="H448"/>
      <c r="I448"/>
      <c r="J448"/>
      <c r="K448"/>
      <c r="L448"/>
      <c r="M448"/>
      <c r="N448"/>
      <c r="O448"/>
      <c r="P448"/>
      <c r="Q448"/>
      <c r="R448" s="58"/>
      <c r="S448" s="58"/>
      <c r="T448" s="58"/>
      <c r="U448" s="58"/>
    </row>
    <row r="449" spans="1:21" ht="12.75">
      <c r="A449"/>
      <c r="B449"/>
      <c r="C449"/>
      <c r="D449"/>
      <c r="E449"/>
      <c r="F449"/>
      <c r="G449"/>
      <c r="H449"/>
      <c r="I449"/>
      <c r="J449"/>
      <c r="K449"/>
      <c r="L449"/>
      <c r="M449"/>
      <c r="N449"/>
      <c r="O449"/>
      <c r="P449"/>
      <c r="Q449"/>
      <c r="R449" s="58"/>
      <c r="S449" s="58"/>
      <c r="T449" s="58"/>
      <c r="U449" s="58"/>
    </row>
    <row r="450" spans="1:21" ht="12.75">
      <c r="A450"/>
      <c r="B450"/>
      <c r="C450"/>
      <c r="D450"/>
      <c r="E450"/>
      <c r="F450"/>
      <c r="G450"/>
      <c r="H450"/>
      <c r="I450"/>
      <c r="J450"/>
      <c r="K450"/>
      <c r="L450"/>
      <c r="M450"/>
      <c r="N450"/>
      <c r="O450"/>
      <c r="P450"/>
      <c r="Q450"/>
      <c r="R450" s="58"/>
      <c r="S450" s="58"/>
      <c r="T450" s="58"/>
      <c r="U450" s="58"/>
    </row>
    <row r="451" spans="1:21" ht="12.75">
      <c r="A451"/>
      <c r="B451"/>
      <c r="C451"/>
      <c r="D451"/>
      <c r="E451"/>
      <c r="F451"/>
      <c r="G451"/>
      <c r="H451"/>
      <c r="I451"/>
      <c r="J451"/>
      <c r="K451"/>
      <c r="L451"/>
      <c r="M451"/>
      <c r="N451"/>
      <c r="O451"/>
      <c r="P451"/>
      <c r="Q451"/>
      <c r="R451" s="58"/>
      <c r="S451" s="58"/>
      <c r="T451" s="58"/>
      <c r="U451" s="58"/>
    </row>
    <row r="452" spans="1:21" ht="12.75">
      <c r="A452"/>
      <c r="B452"/>
      <c r="C452"/>
      <c r="D452"/>
      <c r="E452"/>
      <c r="F452"/>
      <c r="G452"/>
      <c r="H452"/>
      <c r="I452"/>
      <c r="J452"/>
      <c r="K452"/>
      <c r="L452"/>
      <c r="M452"/>
      <c r="N452"/>
      <c r="O452"/>
      <c r="P452"/>
      <c r="Q452"/>
      <c r="R452" s="58"/>
      <c r="S452" s="58"/>
      <c r="T452" s="58"/>
      <c r="U452" s="58"/>
    </row>
    <row r="453" spans="1:21" ht="12.75">
      <c r="A453"/>
      <c r="B453"/>
      <c r="C453"/>
      <c r="D453"/>
      <c r="E453"/>
      <c r="F453"/>
      <c r="G453"/>
      <c r="H453"/>
      <c r="I453"/>
      <c r="J453"/>
      <c r="K453"/>
      <c r="L453"/>
      <c r="M453"/>
      <c r="N453"/>
      <c r="O453"/>
      <c r="P453"/>
      <c r="Q453"/>
      <c r="R453" s="58"/>
      <c r="S453" s="58"/>
      <c r="T453" s="58"/>
      <c r="U453" s="58"/>
    </row>
    <row r="454" spans="1:21" ht="12.75">
      <c r="A454"/>
      <c r="B454"/>
      <c r="C454"/>
      <c r="D454"/>
      <c r="E454"/>
      <c r="F454"/>
      <c r="G454"/>
      <c r="H454"/>
      <c r="I454"/>
      <c r="J454"/>
      <c r="K454"/>
      <c r="L454"/>
      <c r="M454"/>
      <c r="N454"/>
      <c r="O454"/>
      <c r="P454"/>
      <c r="Q454"/>
      <c r="R454" s="58"/>
      <c r="S454" s="58"/>
      <c r="T454" s="58"/>
      <c r="U454" s="58"/>
    </row>
    <row r="455" spans="1:21" ht="12.75">
      <c r="A455"/>
      <c r="B455"/>
      <c r="C455"/>
      <c r="D455"/>
      <c r="E455"/>
      <c r="F455"/>
      <c r="G455"/>
      <c r="H455"/>
      <c r="I455"/>
      <c r="J455"/>
      <c r="K455"/>
      <c r="L455"/>
      <c r="M455"/>
      <c r="N455"/>
      <c r="O455"/>
      <c r="P455"/>
      <c r="Q455"/>
      <c r="R455" s="58"/>
      <c r="S455" s="58"/>
      <c r="T455" s="58"/>
      <c r="U455" s="58"/>
    </row>
    <row r="456" spans="1:21" ht="12.75">
      <c r="A456"/>
      <c r="B456"/>
      <c r="C456"/>
      <c r="D456"/>
      <c r="E456"/>
      <c r="F456"/>
      <c r="G456"/>
      <c r="H456"/>
      <c r="I456"/>
      <c r="J456"/>
      <c r="K456"/>
      <c r="L456"/>
      <c r="M456"/>
      <c r="N456"/>
      <c r="O456"/>
      <c r="P456"/>
      <c r="Q456"/>
      <c r="R456" s="58"/>
      <c r="S456" s="58"/>
      <c r="T456" s="58"/>
      <c r="U456" s="58"/>
    </row>
    <row r="457" spans="1:21" ht="12.75">
      <c r="A457"/>
      <c r="B457"/>
      <c r="C457"/>
      <c r="D457"/>
      <c r="E457"/>
      <c r="F457"/>
      <c r="G457"/>
      <c r="H457"/>
      <c r="I457"/>
      <c r="J457"/>
      <c r="K457"/>
      <c r="L457"/>
      <c r="M457"/>
      <c r="N457"/>
      <c r="O457"/>
      <c r="P457"/>
      <c r="Q457"/>
      <c r="R457" s="58"/>
      <c r="S457" s="58"/>
      <c r="T457" s="58"/>
      <c r="U457" s="58"/>
    </row>
    <row r="458" spans="1:21" ht="12.75">
      <c r="A458"/>
      <c r="B458"/>
      <c r="C458"/>
      <c r="D458"/>
      <c r="E458"/>
      <c r="F458"/>
      <c r="G458"/>
      <c r="H458"/>
      <c r="I458"/>
      <c r="J458"/>
      <c r="K458"/>
      <c r="L458"/>
      <c r="M458"/>
      <c r="N458"/>
      <c r="O458"/>
      <c r="P458"/>
      <c r="Q458"/>
      <c r="R458" s="58"/>
      <c r="S458" s="58"/>
      <c r="T458" s="58"/>
      <c r="U458" s="58"/>
    </row>
    <row r="459" spans="1:21" ht="12.75">
      <c r="A459"/>
      <c r="B459"/>
      <c r="C459"/>
      <c r="D459"/>
      <c r="E459"/>
      <c r="F459"/>
      <c r="G459"/>
      <c r="H459"/>
      <c r="I459"/>
      <c r="J459"/>
      <c r="K459"/>
      <c r="L459"/>
      <c r="M459"/>
      <c r="N459"/>
      <c r="O459"/>
      <c r="P459"/>
      <c r="Q459"/>
      <c r="R459" s="58"/>
      <c r="S459" s="58"/>
      <c r="T459" s="58"/>
      <c r="U459" s="58"/>
    </row>
    <row r="460" spans="1:21" ht="12.75">
      <c r="A460"/>
      <c r="B460"/>
      <c r="C460"/>
      <c r="D460"/>
      <c r="E460"/>
      <c r="F460"/>
      <c r="G460"/>
      <c r="H460"/>
      <c r="I460"/>
      <c r="J460"/>
      <c r="K460"/>
      <c r="L460"/>
      <c r="M460"/>
      <c r="N460"/>
      <c r="O460"/>
      <c r="P460"/>
      <c r="Q460"/>
      <c r="R460" s="58"/>
      <c r="S460" s="58"/>
      <c r="T460" s="58"/>
      <c r="U460" s="58"/>
    </row>
    <row r="461" spans="1:21" ht="12.75">
      <c r="A461"/>
      <c r="B461"/>
      <c r="C461"/>
      <c r="D461"/>
      <c r="E461"/>
      <c r="F461"/>
      <c r="G461"/>
      <c r="H461"/>
      <c r="I461"/>
      <c r="J461"/>
      <c r="K461"/>
      <c r="L461"/>
      <c r="M461"/>
      <c r="N461"/>
      <c r="O461"/>
      <c r="P461"/>
      <c r="Q461"/>
      <c r="R461" s="58"/>
      <c r="S461" s="58"/>
      <c r="T461" s="58"/>
      <c r="U461" s="58"/>
    </row>
    <row r="462" spans="1:21" ht="12.75">
      <c r="A462"/>
      <c r="B462"/>
      <c r="C462"/>
      <c r="D462"/>
      <c r="E462"/>
      <c r="F462"/>
      <c r="G462"/>
      <c r="H462"/>
      <c r="I462"/>
      <c r="J462"/>
      <c r="K462"/>
      <c r="L462"/>
      <c r="M462"/>
      <c r="N462"/>
      <c r="O462"/>
      <c r="P462"/>
      <c r="Q462"/>
      <c r="R462" s="58"/>
      <c r="S462" s="58"/>
      <c r="T462" s="58"/>
      <c r="U462" s="58"/>
    </row>
    <row r="463" spans="1:21" ht="12.75">
      <c r="A463"/>
      <c r="B463"/>
      <c r="C463"/>
      <c r="D463"/>
      <c r="E463"/>
      <c r="F463"/>
      <c r="G463"/>
      <c r="H463"/>
      <c r="I463"/>
      <c r="J463"/>
      <c r="K463"/>
      <c r="L463"/>
      <c r="M463"/>
      <c r="N463"/>
      <c r="O463"/>
      <c r="P463"/>
      <c r="Q463"/>
      <c r="R463" s="58"/>
      <c r="S463" s="58"/>
      <c r="T463" s="58"/>
      <c r="U463" s="58"/>
    </row>
    <row r="464" spans="1:21" ht="12.75">
      <c r="A464"/>
      <c r="B464"/>
      <c r="C464"/>
      <c r="D464"/>
      <c r="E464"/>
      <c r="F464"/>
      <c r="G464"/>
      <c r="H464"/>
      <c r="I464"/>
      <c r="J464"/>
      <c r="K464"/>
      <c r="L464"/>
      <c r="M464"/>
      <c r="N464"/>
      <c r="O464"/>
      <c r="P464"/>
      <c r="Q464"/>
      <c r="R464" s="58"/>
      <c r="S464" s="58"/>
      <c r="T464" s="58"/>
      <c r="U464" s="58"/>
    </row>
    <row r="465" spans="1:21" ht="12.75">
      <c r="A465"/>
      <c r="B465"/>
      <c r="C465"/>
      <c r="D465"/>
      <c r="E465"/>
      <c r="F465"/>
      <c r="G465"/>
      <c r="H465"/>
      <c r="I465"/>
      <c r="J465"/>
      <c r="K465"/>
      <c r="L465"/>
      <c r="M465"/>
      <c r="N465"/>
      <c r="O465"/>
      <c r="P465"/>
      <c r="Q465"/>
      <c r="R465" s="58"/>
      <c r="S465" s="58"/>
      <c r="T465" s="58"/>
      <c r="U465" s="58"/>
    </row>
    <row r="466" spans="1:21" ht="12.75">
      <c r="A466"/>
      <c r="B466"/>
      <c r="C466"/>
      <c r="D466"/>
      <c r="E466"/>
      <c r="F466"/>
      <c r="G466"/>
      <c r="H466"/>
      <c r="I466"/>
      <c r="J466"/>
      <c r="K466"/>
      <c r="L466"/>
      <c r="M466"/>
      <c r="N466"/>
      <c r="O466"/>
      <c r="P466"/>
      <c r="Q466"/>
      <c r="R466" s="58"/>
      <c r="S466" s="58"/>
      <c r="T466" s="58"/>
      <c r="U466" s="58"/>
    </row>
    <row r="467" spans="1:21" ht="12.75">
      <c r="A467"/>
      <c r="B467"/>
      <c r="C467"/>
      <c r="D467"/>
      <c r="E467"/>
      <c r="F467"/>
      <c r="G467"/>
      <c r="H467"/>
      <c r="I467"/>
      <c r="J467"/>
      <c r="K467"/>
      <c r="L467"/>
      <c r="M467"/>
      <c r="N467"/>
      <c r="O467"/>
      <c r="P467"/>
      <c r="Q467"/>
      <c r="R467" s="58"/>
      <c r="S467" s="58"/>
      <c r="T467" s="58"/>
      <c r="U467" s="58"/>
    </row>
    <row r="468" spans="1:21" ht="12.75">
      <c r="A468"/>
      <c r="B468"/>
      <c r="C468"/>
      <c r="D468"/>
      <c r="E468"/>
      <c r="F468"/>
      <c r="G468"/>
      <c r="H468"/>
      <c r="I468"/>
      <c r="J468"/>
      <c r="K468"/>
      <c r="L468"/>
      <c r="M468"/>
      <c r="N468"/>
      <c r="O468"/>
      <c r="P468"/>
      <c r="Q468"/>
      <c r="R468"/>
      <c r="S468" s="58"/>
      <c r="T468" s="58"/>
      <c r="U468" s="58"/>
    </row>
    <row r="469" spans="1:21" ht="12.75">
      <c r="A469"/>
      <c r="B469"/>
      <c r="C469"/>
      <c r="D469"/>
      <c r="E469"/>
      <c r="F469"/>
      <c r="G469"/>
      <c r="H469"/>
      <c r="I469"/>
      <c r="J469"/>
      <c r="K469"/>
      <c r="L469"/>
      <c r="M469"/>
      <c r="N469"/>
      <c r="O469"/>
      <c r="P469"/>
      <c r="Q469"/>
      <c r="R469"/>
      <c r="S469" s="58"/>
      <c r="T469" s="58"/>
      <c r="U469" s="58"/>
    </row>
    <row r="470" spans="1:21" ht="12.75">
      <c r="A470"/>
      <c r="B470"/>
      <c r="C470"/>
      <c r="D470"/>
      <c r="E470"/>
      <c r="F470"/>
      <c r="G470"/>
      <c r="H470"/>
      <c r="I470"/>
      <c r="J470"/>
      <c r="K470"/>
      <c r="L470"/>
      <c r="M470"/>
      <c r="N470"/>
      <c r="O470"/>
      <c r="P470"/>
      <c r="Q470"/>
      <c r="R470"/>
      <c r="S470" s="58"/>
      <c r="T470" s="58"/>
      <c r="U470" s="58"/>
    </row>
    <row r="471" spans="1:21" ht="12.75">
      <c r="A471"/>
      <c r="B471"/>
      <c r="C471"/>
      <c r="D471"/>
      <c r="E471"/>
      <c r="F471"/>
      <c r="G471"/>
      <c r="H471"/>
      <c r="I471"/>
      <c r="J471"/>
      <c r="K471"/>
      <c r="L471"/>
      <c r="M471"/>
      <c r="N471"/>
      <c r="O471"/>
      <c r="P471"/>
      <c r="Q471"/>
      <c r="R471"/>
      <c r="S471" s="58"/>
      <c r="T471" s="58"/>
      <c r="U471" s="58"/>
    </row>
    <row r="472" spans="1:21" ht="12.75">
      <c r="A472"/>
      <c r="B472"/>
      <c r="C472"/>
      <c r="D472"/>
      <c r="E472"/>
      <c r="F472"/>
      <c r="G472"/>
      <c r="H472"/>
      <c r="I472"/>
      <c r="J472"/>
      <c r="K472"/>
      <c r="L472"/>
      <c r="M472"/>
      <c r="N472"/>
      <c r="O472"/>
      <c r="P472"/>
      <c r="Q472"/>
      <c r="R472"/>
      <c r="S472" s="58"/>
      <c r="T472" s="58"/>
      <c r="U472" s="58"/>
    </row>
    <row r="473" spans="1:21" ht="12.75">
      <c r="A473"/>
      <c r="B473"/>
      <c r="C473"/>
      <c r="D473"/>
      <c r="E473"/>
      <c r="F473"/>
      <c r="G473"/>
      <c r="H473"/>
      <c r="I473"/>
      <c r="J473"/>
      <c r="K473"/>
      <c r="L473"/>
      <c r="M473"/>
      <c r="N473"/>
      <c r="O473"/>
      <c r="P473"/>
      <c r="Q473"/>
      <c r="R473"/>
      <c r="S473" s="58"/>
      <c r="T473" s="58"/>
      <c r="U473" s="58"/>
    </row>
    <row r="474" spans="1:21" ht="12.75">
      <c r="A474"/>
      <c r="B474"/>
      <c r="C474"/>
      <c r="D474"/>
      <c r="E474"/>
      <c r="F474"/>
      <c r="G474"/>
      <c r="H474"/>
      <c r="I474"/>
      <c r="J474"/>
      <c r="K474"/>
      <c r="L474"/>
      <c r="M474"/>
      <c r="N474"/>
      <c r="O474"/>
      <c r="P474"/>
      <c r="Q474"/>
      <c r="R474"/>
      <c r="S474" s="58"/>
      <c r="T474" s="58"/>
      <c r="U474" s="58"/>
    </row>
    <row r="475" spans="1:21" ht="12.75">
      <c r="A475"/>
      <c r="B475"/>
      <c r="C475"/>
      <c r="D475"/>
      <c r="E475"/>
      <c r="F475"/>
      <c r="G475"/>
      <c r="H475"/>
      <c r="I475"/>
      <c r="J475"/>
      <c r="K475"/>
      <c r="L475"/>
      <c r="M475"/>
      <c r="N475"/>
      <c r="O475"/>
      <c r="P475"/>
      <c r="Q475"/>
      <c r="R475"/>
      <c r="S475" s="58"/>
      <c r="T475" s="58"/>
      <c r="U475" s="58"/>
    </row>
    <row r="476" spans="1:21" ht="12.75">
      <c r="A476"/>
      <c r="B476"/>
      <c r="C476"/>
      <c r="D476"/>
      <c r="E476"/>
      <c r="F476"/>
      <c r="G476"/>
      <c r="H476"/>
      <c r="I476"/>
      <c r="J476"/>
      <c r="K476"/>
      <c r="L476"/>
      <c r="M476"/>
      <c r="N476"/>
      <c r="O476"/>
      <c r="P476"/>
      <c r="Q476"/>
      <c r="R476"/>
      <c r="S476" s="58"/>
      <c r="T476" s="58"/>
      <c r="U476" s="58"/>
    </row>
    <row r="477" spans="1:21" ht="12.75">
      <c r="A477"/>
      <c r="B477"/>
      <c r="C477"/>
      <c r="D477"/>
      <c r="E477"/>
      <c r="F477"/>
      <c r="G477"/>
      <c r="H477"/>
      <c r="I477"/>
      <c r="J477"/>
      <c r="K477"/>
      <c r="L477"/>
      <c r="M477"/>
      <c r="N477"/>
      <c r="O477"/>
      <c r="P477"/>
      <c r="Q477"/>
      <c r="R477"/>
      <c r="S477" s="58"/>
      <c r="T477" s="58"/>
      <c r="U477" s="58"/>
    </row>
    <row r="478" spans="1:21" ht="12.75">
      <c r="A478"/>
      <c r="B478"/>
      <c r="C478"/>
      <c r="D478"/>
      <c r="E478"/>
      <c r="F478"/>
      <c r="G478"/>
      <c r="H478"/>
      <c r="I478"/>
      <c r="J478"/>
      <c r="K478"/>
      <c r="L478"/>
      <c r="M478"/>
      <c r="N478"/>
      <c r="O478"/>
      <c r="P478"/>
      <c r="Q478"/>
      <c r="R478"/>
      <c r="S478" s="58"/>
      <c r="T478" s="58"/>
      <c r="U478" s="58"/>
    </row>
    <row r="479" spans="1:21" ht="12.75">
      <c r="A479"/>
      <c r="B479"/>
      <c r="C479"/>
      <c r="D479"/>
      <c r="E479"/>
      <c r="F479"/>
      <c r="G479"/>
      <c r="H479"/>
      <c r="I479"/>
      <c r="J479"/>
      <c r="K479"/>
      <c r="L479"/>
      <c r="M479"/>
      <c r="N479"/>
      <c r="O479"/>
      <c r="P479"/>
      <c r="Q479"/>
      <c r="R479"/>
      <c r="S479" s="58"/>
      <c r="T479" s="58"/>
      <c r="U479" s="58"/>
    </row>
    <row r="480" spans="1:21" ht="12.75">
      <c r="A480"/>
      <c r="B480"/>
      <c r="C480"/>
      <c r="D480"/>
      <c r="E480"/>
      <c r="F480"/>
      <c r="G480"/>
      <c r="H480"/>
      <c r="I480"/>
      <c r="J480"/>
      <c r="K480"/>
      <c r="L480"/>
      <c r="M480"/>
      <c r="N480"/>
      <c r="O480"/>
      <c r="P480"/>
      <c r="Q480"/>
      <c r="R480"/>
      <c r="S480" s="58"/>
      <c r="T480" s="58"/>
      <c r="U480" s="58"/>
    </row>
    <row r="481" spans="1:21" ht="12.75">
      <c r="A481"/>
      <c r="B481"/>
      <c r="C481"/>
      <c r="D481"/>
      <c r="E481"/>
      <c r="F481"/>
      <c r="G481"/>
      <c r="H481"/>
      <c r="I481"/>
      <c r="J481"/>
      <c r="K481"/>
      <c r="L481"/>
      <c r="M481"/>
      <c r="N481"/>
      <c r="O481"/>
      <c r="P481"/>
      <c r="Q481"/>
      <c r="R481"/>
      <c r="S481" s="58"/>
      <c r="T481" s="58"/>
      <c r="U481" s="58"/>
    </row>
    <row r="482" spans="1:21" ht="12.75">
      <c r="A482"/>
      <c r="B482"/>
      <c r="C482"/>
      <c r="D482"/>
      <c r="E482"/>
      <c r="F482"/>
      <c r="G482"/>
      <c r="H482"/>
      <c r="I482"/>
      <c r="J482"/>
      <c r="K482"/>
      <c r="L482"/>
      <c r="M482"/>
      <c r="N482"/>
      <c r="O482"/>
      <c r="P482"/>
      <c r="Q482"/>
      <c r="R482"/>
      <c r="S482" s="58"/>
      <c r="T482" s="58"/>
      <c r="U482" s="58"/>
    </row>
    <row r="483" spans="1:21" ht="12.75">
      <c r="A483"/>
      <c r="B483"/>
      <c r="C483"/>
      <c r="D483"/>
      <c r="E483"/>
      <c r="F483"/>
      <c r="G483"/>
      <c r="H483"/>
      <c r="I483"/>
      <c r="J483"/>
      <c r="K483"/>
      <c r="L483"/>
      <c r="M483"/>
      <c r="N483"/>
      <c r="O483"/>
      <c r="P483"/>
      <c r="Q483"/>
      <c r="R483"/>
      <c r="S483" s="58"/>
      <c r="T483" s="58"/>
      <c r="U483" s="58"/>
    </row>
    <row r="484" spans="1:21" ht="12.75">
      <c r="A484"/>
      <c r="B484"/>
      <c r="C484"/>
      <c r="D484"/>
      <c r="E484"/>
      <c r="F484"/>
      <c r="G484"/>
      <c r="H484"/>
      <c r="I484"/>
      <c r="J484"/>
      <c r="K484"/>
      <c r="L484"/>
      <c r="M484"/>
      <c r="N484"/>
      <c r="O484"/>
      <c r="P484"/>
      <c r="Q484"/>
      <c r="R484"/>
      <c r="S484" s="58"/>
      <c r="T484" s="58"/>
      <c r="U484" s="58"/>
    </row>
    <row r="485" spans="1:21" ht="12.75">
      <c r="A485"/>
      <c r="B485"/>
      <c r="C485"/>
      <c r="D485"/>
      <c r="E485"/>
      <c r="F485"/>
      <c r="G485"/>
      <c r="H485"/>
      <c r="I485"/>
      <c r="J485"/>
      <c r="K485"/>
      <c r="L485"/>
      <c r="M485"/>
      <c r="N485"/>
      <c r="O485"/>
      <c r="P485"/>
      <c r="Q485"/>
      <c r="R485"/>
      <c r="S485" s="58"/>
      <c r="T485" s="58"/>
      <c r="U485" s="58"/>
    </row>
    <row r="486" spans="1:21" ht="12.75">
      <c r="A486"/>
      <c r="B486"/>
      <c r="C486"/>
      <c r="D486"/>
      <c r="E486"/>
      <c r="F486"/>
      <c r="G486"/>
      <c r="H486"/>
      <c r="I486"/>
      <c r="J486"/>
      <c r="K486"/>
      <c r="L486"/>
      <c r="M486"/>
      <c r="N486"/>
      <c r="O486"/>
      <c r="P486"/>
      <c r="Q486"/>
      <c r="R486"/>
      <c r="S486" s="58"/>
      <c r="T486" s="58"/>
      <c r="U486" s="58"/>
    </row>
    <row r="487" spans="1:21" ht="12.75">
      <c r="A487"/>
      <c r="B487"/>
      <c r="C487"/>
      <c r="D487"/>
      <c r="E487"/>
      <c r="F487"/>
      <c r="G487"/>
      <c r="H487"/>
      <c r="I487"/>
      <c r="J487"/>
      <c r="K487"/>
      <c r="L487"/>
      <c r="M487"/>
      <c r="N487"/>
      <c r="O487"/>
      <c r="P487"/>
      <c r="Q487"/>
      <c r="R487"/>
      <c r="S487" s="58"/>
      <c r="T487" s="58"/>
      <c r="U487" s="58"/>
    </row>
    <row r="488" spans="1:21" ht="12.75">
      <c r="A488"/>
      <c r="B488"/>
      <c r="C488"/>
      <c r="D488"/>
      <c r="E488"/>
      <c r="F488"/>
      <c r="G488"/>
      <c r="H488"/>
      <c r="I488"/>
      <c r="J488"/>
      <c r="K488"/>
      <c r="L488"/>
      <c r="M488"/>
      <c r="N488"/>
      <c r="O488"/>
      <c r="P488"/>
      <c r="Q488"/>
      <c r="R488"/>
      <c r="S488" s="58"/>
      <c r="T488" s="58"/>
      <c r="U488" s="58"/>
    </row>
    <row r="489" spans="1:21" ht="12.75">
      <c r="A489"/>
      <c r="B489"/>
      <c r="C489"/>
      <c r="D489"/>
      <c r="E489"/>
      <c r="F489"/>
      <c r="G489"/>
      <c r="H489"/>
      <c r="I489"/>
      <c r="J489"/>
      <c r="K489"/>
      <c r="L489"/>
      <c r="M489"/>
      <c r="N489"/>
      <c r="O489"/>
      <c r="P489"/>
      <c r="Q489"/>
      <c r="R489"/>
      <c r="S489" s="58"/>
      <c r="T489" s="58"/>
      <c r="U489" s="58"/>
    </row>
    <row r="490" spans="1:21" ht="12.75">
      <c r="A490"/>
      <c r="B490"/>
      <c r="C490"/>
      <c r="D490"/>
      <c r="E490"/>
      <c r="F490"/>
      <c r="G490"/>
      <c r="H490"/>
      <c r="I490"/>
      <c r="J490"/>
      <c r="K490"/>
      <c r="L490"/>
      <c r="M490"/>
      <c r="N490"/>
      <c r="O490"/>
      <c r="P490"/>
      <c r="Q490"/>
      <c r="R490"/>
      <c r="S490" s="58"/>
      <c r="T490" s="58"/>
      <c r="U490" s="58"/>
    </row>
    <row r="491" spans="1:21" ht="12.75">
      <c r="A491"/>
      <c r="B491"/>
      <c r="C491"/>
      <c r="D491"/>
      <c r="E491"/>
      <c r="F491"/>
      <c r="G491"/>
      <c r="H491"/>
      <c r="I491"/>
      <c r="J491"/>
      <c r="K491"/>
      <c r="L491"/>
      <c r="M491"/>
      <c r="N491"/>
      <c r="O491"/>
      <c r="P491"/>
      <c r="Q491"/>
      <c r="R491"/>
      <c r="S491" s="58"/>
      <c r="T491" s="58"/>
      <c r="U491" s="58"/>
    </row>
    <row r="492" spans="1:21" ht="12.75">
      <c r="A492"/>
      <c r="B492"/>
      <c r="C492"/>
      <c r="D492"/>
      <c r="E492"/>
      <c r="F492"/>
      <c r="G492"/>
      <c r="H492"/>
      <c r="I492"/>
      <c r="J492"/>
      <c r="K492"/>
      <c r="L492"/>
      <c r="M492"/>
      <c r="N492"/>
      <c r="O492"/>
      <c r="P492"/>
      <c r="Q492"/>
      <c r="R492"/>
      <c r="S492" s="58"/>
      <c r="T492" s="58"/>
      <c r="U492" s="58"/>
    </row>
    <row r="493" spans="1:21" ht="12.75">
      <c r="A493"/>
      <c r="B493"/>
      <c r="C493"/>
      <c r="D493"/>
      <c r="E493"/>
      <c r="F493"/>
      <c r="G493"/>
      <c r="H493"/>
      <c r="I493"/>
      <c r="J493"/>
      <c r="K493"/>
      <c r="L493"/>
      <c r="M493"/>
      <c r="N493"/>
      <c r="O493"/>
      <c r="P493"/>
      <c r="Q493"/>
      <c r="R493"/>
      <c r="S493" s="58"/>
      <c r="T493" s="58"/>
      <c r="U493" s="58"/>
    </row>
    <row r="494" spans="1:21" ht="12.75">
      <c r="A494"/>
      <c r="B494"/>
      <c r="C494"/>
      <c r="D494"/>
      <c r="E494"/>
      <c r="F494"/>
      <c r="G494"/>
      <c r="H494"/>
      <c r="I494"/>
      <c r="J494"/>
      <c r="K494"/>
      <c r="L494"/>
      <c r="M494"/>
      <c r="N494"/>
      <c r="O494"/>
      <c r="P494"/>
      <c r="Q494"/>
      <c r="R494"/>
      <c r="S494" s="58"/>
      <c r="T494" s="58"/>
      <c r="U494" s="58"/>
    </row>
    <row r="495" spans="1:21" ht="12.75">
      <c r="A495"/>
      <c r="B495"/>
      <c r="C495"/>
      <c r="D495"/>
      <c r="E495"/>
      <c r="F495"/>
      <c r="G495"/>
      <c r="H495"/>
      <c r="I495"/>
      <c r="J495"/>
      <c r="K495"/>
      <c r="L495"/>
      <c r="M495"/>
      <c r="N495"/>
      <c r="O495"/>
      <c r="P495"/>
      <c r="Q495"/>
      <c r="R495"/>
      <c r="S495" s="58"/>
      <c r="T495" s="58"/>
      <c r="U495" s="58"/>
    </row>
    <row r="496" spans="1:21" ht="12.75">
      <c r="A496"/>
      <c r="B496"/>
      <c r="C496"/>
      <c r="D496"/>
      <c r="E496"/>
      <c r="F496"/>
      <c r="G496"/>
      <c r="H496"/>
      <c r="I496"/>
      <c r="J496"/>
      <c r="K496"/>
      <c r="L496"/>
      <c r="M496"/>
      <c r="N496"/>
      <c r="O496"/>
      <c r="P496"/>
      <c r="Q496"/>
      <c r="R496"/>
      <c r="S496" s="58"/>
      <c r="T496" s="58"/>
      <c r="U496" s="58"/>
    </row>
    <row r="497" spans="1:21" ht="12.75">
      <c r="A497"/>
      <c r="B497"/>
      <c r="C497"/>
      <c r="D497"/>
      <c r="E497"/>
      <c r="F497"/>
      <c r="G497"/>
      <c r="H497"/>
      <c r="I497"/>
      <c r="J497"/>
      <c r="K497"/>
      <c r="L497"/>
      <c r="M497"/>
      <c r="N497"/>
      <c r="O497"/>
      <c r="P497"/>
      <c r="Q497"/>
      <c r="R497"/>
      <c r="S497" s="58"/>
      <c r="T497" s="58"/>
      <c r="U497" s="58"/>
    </row>
    <row r="498" spans="1:21" ht="12.75">
      <c r="A498"/>
      <c r="B498"/>
      <c r="C498"/>
      <c r="D498"/>
      <c r="E498"/>
      <c r="F498"/>
      <c r="G498"/>
      <c r="H498"/>
      <c r="I498"/>
      <c r="J498"/>
      <c r="K498"/>
      <c r="L498"/>
      <c r="M498"/>
      <c r="N498"/>
      <c r="O498"/>
      <c r="P498"/>
      <c r="Q498"/>
      <c r="R498"/>
      <c r="S498" s="58"/>
      <c r="T498" s="58"/>
      <c r="U498" s="58"/>
    </row>
    <row r="499" spans="1:21" ht="12.75">
      <c r="A499"/>
      <c r="B499"/>
      <c r="C499"/>
      <c r="D499"/>
      <c r="E499"/>
      <c r="F499"/>
      <c r="G499"/>
      <c r="H499"/>
      <c r="I499"/>
      <c r="J499"/>
      <c r="K499"/>
      <c r="L499"/>
      <c r="M499"/>
      <c r="N499"/>
      <c r="O499"/>
      <c r="P499"/>
      <c r="Q499"/>
      <c r="R499"/>
      <c r="S499" s="58"/>
      <c r="T499" s="58"/>
      <c r="U499" s="58"/>
    </row>
    <row r="500" spans="1:21" ht="12.75">
      <c r="A500"/>
      <c r="B500"/>
      <c r="C500"/>
      <c r="D500"/>
      <c r="E500"/>
      <c r="F500"/>
      <c r="G500"/>
      <c r="H500"/>
      <c r="I500"/>
      <c r="J500"/>
      <c r="K500"/>
      <c r="L500"/>
      <c r="M500"/>
      <c r="N500"/>
      <c r="O500"/>
      <c r="P500"/>
      <c r="Q500"/>
      <c r="R500"/>
      <c r="S500" s="58"/>
      <c r="T500" s="58"/>
      <c r="U500" s="58"/>
    </row>
    <row r="501" spans="1:21" ht="12.75">
      <c r="A501"/>
      <c r="B501"/>
      <c r="C501"/>
      <c r="D501"/>
      <c r="E501"/>
      <c r="F501"/>
      <c r="G501"/>
      <c r="H501"/>
      <c r="I501"/>
      <c r="J501"/>
      <c r="K501"/>
      <c r="L501"/>
      <c r="M501"/>
      <c r="N501"/>
      <c r="O501"/>
      <c r="P501"/>
      <c r="Q501"/>
      <c r="R501"/>
      <c r="S501" s="58"/>
      <c r="T501" s="58"/>
      <c r="U501" s="58"/>
    </row>
    <row r="502" spans="1:21" ht="12.75">
      <c r="A502"/>
      <c r="B502"/>
      <c r="C502"/>
      <c r="D502"/>
      <c r="E502"/>
      <c r="F502"/>
      <c r="G502"/>
      <c r="H502"/>
      <c r="I502"/>
      <c r="J502"/>
      <c r="K502"/>
      <c r="L502"/>
      <c r="M502"/>
      <c r="N502"/>
      <c r="O502"/>
      <c r="P502"/>
      <c r="Q502"/>
      <c r="R502"/>
      <c r="S502" s="58"/>
      <c r="T502" s="58"/>
      <c r="U502" s="58"/>
    </row>
    <row r="503" spans="1:21" ht="12.75">
      <c r="A503"/>
      <c r="B503"/>
      <c r="C503"/>
      <c r="D503"/>
      <c r="E503"/>
      <c r="F503"/>
      <c r="G503"/>
      <c r="H503"/>
      <c r="I503"/>
      <c r="J503"/>
      <c r="K503"/>
      <c r="L503"/>
      <c r="M503"/>
      <c r="N503"/>
      <c r="O503"/>
      <c r="P503"/>
      <c r="Q503"/>
      <c r="R503"/>
      <c r="S503" s="58"/>
      <c r="T503" s="58"/>
      <c r="U503" s="58"/>
    </row>
    <row r="504" spans="1:21" ht="12.75">
      <c r="A504"/>
      <c r="B504"/>
      <c r="C504"/>
      <c r="D504"/>
      <c r="E504"/>
      <c r="F504"/>
      <c r="G504"/>
      <c r="H504"/>
      <c r="I504"/>
      <c r="J504"/>
      <c r="K504"/>
      <c r="L504"/>
      <c r="M504"/>
      <c r="N504"/>
      <c r="O504"/>
      <c r="P504"/>
      <c r="Q504"/>
      <c r="R504"/>
      <c r="S504" s="58"/>
      <c r="T504" s="58"/>
      <c r="U504" s="58"/>
    </row>
    <row r="505" spans="1:21" ht="12.75">
      <c r="A505"/>
      <c r="B505"/>
      <c r="C505"/>
      <c r="D505"/>
      <c r="E505"/>
      <c r="F505"/>
      <c r="G505"/>
      <c r="H505"/>
      <c r="I505"/>
      <c r="J505"/>
      <c r="K505"/>
      <c r="L505"/>
      <c r="M505"/>
      <c r="N505"/>
      <c r="O505"/>
      <c r="P505"/>
      <c r="Q505"/>
      <c r="R505"/>
      <c r="S505" s="58"/>
      <c r="T505" s="58"/>
      <c r="U505" s="58"/>
    </row>
    <row r="506" spans="1:21" ht="12.75">
      <c r="A506"/>
      <c r="B506"/>
      <c r="C506"/>
      <c r="D506"/>
      <c r="E506"/>
      <c r="F506"/>
      <c r="G506"/>
      <c r="H506"/>
      <c r="I506"/>
      <c r="J506"/>
      <c r="K506"/>
      <c r="L506"/>
      <c r="M506"/>
      <c r="N506"/>
      <c r="O506"/>
      <c r="P506"/>
      <c r="Q506"/>
      <c r="R506"/>
      <c r="S506" s="58"/>
      <c r="T506" s="58"/>
      <c r="U506" s="58"/>
    </row>
    <row r="507" spans="1:21" ht="12.75">
      <c r="A507"/>
      <c r="B507"/>
      <c r="C507"/>
      <c r="D507"/>
      <c r="E507"/>
      <c r="F507"/>
      <c r="G507"/>
      <c r="H507"/>
      <c r="I507"/>
      <c r="J507"/>
      <c r="K507"/>
      <c r="L507"/>
      <c r="M507"/>
      <c r="N507"/>
      <c r="O507"/>
      <c r="P507"/>
      <c r="Q507"/>
      <c r="R507"/>
      <c r="S507" s="58"/>
      <c r="T507" s="58"/>
      <c r="U507" s="58"/>
    </row>
    <row r="508" spans="1:21" ht="12.75">
      <c r="A508"/>
      <c r="B508"/>
      <c r="C508"/>
      <c r="D508"/>
      <c r="E508"/>
      <c r="F508"/>
      <c r="G508"/>
      <c r="H508"/>
      <c r="I508"/>
      <c r="J508"/>
      <c r="K508"/>
      <c r="L508"/>
      <c r="M508"/>
      <c r="N508"/>
      <c r="O508"/>
      <c r="P508"/>
      <c r="Q508"/>
      <c r="R508"/>
      <c r="S508" s="58"/>
      <c r="T508" s="58"/>
      <c r="U508" s="58"/>
    </row>
    <row r="509" spans="1:21" ht="12.75">
      <c r="A509"/>
      <c r="B509"/>
      <c r="C509"/>
      <c r="D509"/>
      <c r="E509"/>
      <c r="F509"/>
      <c r="G509"/>
      <c r="H509"/>
      <c r="I509"/>
      <c r="J509"/>
      <c r="K509"/>
      <c r="L509"/>
      <c r="M509"/>
      <c r="N509"/>
      <c r="O509"/>
      <c r="P509"/>
      <c r="Q509"/>
      <c r="R509"/>
      <c r="S509" s="58"/>
      <c r="T509" s="58"/>
      <c r="U509" s="58"/>
    </row>
    <row r="510" spans="1:21" ht="12.75">
      <c r="A510"/>
      <c r="B510"/>
      <c r="C510"/>
      <c r="D510"/>
      <c r="E510"/>
      <c r="F510"/>
      <c r="G510"/>
      <c r="H510"/>
      <c r="I510"/>
      <c r="J510"/>
      <c r="K510"/>
      <c r="L510"/>
      <c r="M510"/>
      <c r="N510"/>
      <c r="O510"/>
      <c r="P510"/>
      <c r="Q510"/>
      <c r="R510"/>
      <c r="S510" s="58"/>
      <c r="T510" s="58"/>
      <c r="U510" s="58"/>
    </row>
  </sheetData>
  <mergeCells count="1">
    <mergeCell ref="A5:B5"/>
  </mergeCells>
  <phoneticPr fontId="15"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topLeftCell="A4" zoomScaleNormal="100" workbookViewId="0">
      <selection activeCell="F49" sqref="F49"/>
    </sheetView>
  </sheetViews>
  <sheetFormatPr defaultRowHeight="12.75"/>
  <cols>
    <col min="1" max="1" width="3.66406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1" t="s">
        <v>936</v>
      </c>
      <c r="B1" s="4"/>
      <c r="C1" s="4"/>
      <c r="D1" s="4"/>
      <c r="E1" s="4"/>
      <c r="F1" s="4"/>
      <c r="G1" s="4"/>
      <c r="H1" s="4"/>
      <c r="I1" s="4"/>
      <c r="J1" s="4"/>
      <c r="K1" s="4"/>
      <c r="L1" s="4"/>
      <c r="M1" s="4"/>
      <c r="N1" s="55"/>
      <c r="O1" s="58"/>
      <c r="R1" s="4"/>
    </row>
    <row r="2" spans="1:21" ht="11.85" customHeight="1">
      <c r="A2" s="41" t="s">
        <v>1688</v>
      </c>
      <c r="B2" s="4"/>
      <c r="C2" s="4"/>
      <c r="D2" s="4"/>
      <c r="E2" s="4"/>
      <c r="F2" s="4"/>
      <c r="G2" s="4"/>
      <c r="H2" s="4"/>
      <c r="I2" s="4"/>
      <c r="J2" s="4"/>
      <c r="K2" s="4"/>
      <c r="L2" s="4"/>
      <c r="M2" s="4"/>
      <c r="N2" s="55"/>
      <c r="O2" s="58"/>
      <c r="R2" s="4"/>
    </row>
    <row r="3" spans="1:21" ht="11.85" customHeight="1">
      <c r="A3" s="9" t="s">
        <v>839</v>
      </c>
      <c r="B3" s="4"/>
      <c r="C3" s="4"/>
      <c r="D3" s="4"/>
      <c r="E3" s="4"/>
      <c r="F3" s="4"/>
      <c r="G3" s="4"/>
      <c r="H3" s="4"/>
      <c r="I3" s="4"/>
      <c r="J3" s="4"/>
      <c r="K3" s="4"/>
      <c r="L3" s="4"/>
      <c r="M3" s="4"/>
      <c r="N3" s="55"/>
      <c r="O3" s="58"/>
      <c r="R3" s="4"/>
    </row>
    <row r="4" spans="1:21" ht="11.85" customHeight="1" thickBot="1">
      <c r="A4" s="39"/>
      <c r="B4" s="43"/>
      <c r="C4" s="4"/>
      <c r="D4" s="4"/>
      <c r="E4" s="4"/>
      <c r="F4" s="4"/>
      <c r="G4" s="4"/>
      <c r="H4" s="4"/>
      <c r="I4" s="4"/>
      <c r="J4" s="4"/>
      <c r="K4" s="4"/>
      <c r="L4" s="4"/>
      <c r="M4" s="4"/>
      <c r="N4" s="55"/>
      <c r="O4" s="58"/>
      <c r="R4" s="4"/>
    </row>
    <row r="5" spans="1:21"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c r="O5" s="58"/>
      <c r="R5" s="51"/>
    </row>
    <row r="6" spans="1:21" ht="11.85" customHeight="1">
      <c r="A6" s="437"/>
      <c r="B6" s="438"/>
      <c r="C6" s="438"/>
      <c r="D6" s="438"/>
      <c r="E6" s="438"/>
      <c r="F6" s="438"/>
      <c r="G6" s="438"/>
      <c r="H6" s="438"/>
      <c r="I6" s="438"/>
      <c r="J6" s="438"/>
      <c r="K6" s="438"/>
      <c r="L6" s="438"/>
      <c r="M6" s="438"/>
      <c r="N6" s="67"/>
      <c r="O6" s="58"/>
      <c r="R6" s="51"/>
    </row>
    <row r="7" spans="1:21" ht="11.85" customHeight="1">
      <c r="A7" s="17">
        <v>1</v>
      </c>
      <c r="B7" s="4" t="s">
        <v>401</v>
      </c>
      <c r="C7" s="69">
        <v>6594.6352111024999</v>
      </c>
      <c r="D7" s="45" t="s">
        <v>1229</v>
      </c>
      <c r="E7" s="69">
        <v>53.677928500500009</v>
      </c>
      <c r="F7" s="69">
        <v>32.802730689899995</v>
      </c>
      <c r="G7" s="45" t="s">
        <v>1229</v>
      </c>
      <c r="H7" s="45" t="s">
        <v>1229</v>
      </c>
      <c r="I7" s="45" t="s">
        <v>1229</v>
      </c>
      <c r="J7" s="69">
        <v>652.08986837119971</v>
      </c>
      <c r="K7" s="45" t="s">
        <v>1229</v>
      </c>
      <c r="L7" s="66" t="s">
        <v>1229</v>
      </c>
      <c r="M7" s="6">
        <f t="shared" ref="M7:M33" si="0">SUM(C7:L7)</f>
        <v>7333.2057386641</v>
      </c>
      <c r="N7" s="67"/>
      <c r="O7" s="58"/>
      <c r="R7" s="51"/>
    </row>
    <row r="8" spans="1:21" ht="11.85" customHeight="1">
      <c r="A8" s="17">
        <v>2</v>
      </c>
      <c r="B8" s="4" t="s">
        <v>402</v>
      </c>
      <c r="C8" s="69">
        <v>1200.4594118615998</v>
      </c>
      <c r="D8" s="45" t="s">
        <v>1229</v>
      </c>
      <c r="E8" s="66" t="s">
        <v>1229</v>
      </c>
      <c r="F8" s="69">
        <v>165.54820438910002</v>
      </c>
      <c r="G8" s="45" t="s">
        <v>1229</v>
      </c>
      <c r="H8" s="45" t="s">
        <v>1229</v>
      </c>
      <c r="I8" s="45" t="s">
        <v>1229</v>
      </c>
      <c r="J8" s="66" t="s">
        <v>1229</v>
      </c>
      <c r="K8" s="45" t="s">
        <v>1229</v>
      </c>
      <c r="L8" s="69">
        <v>7471.9148590000004</v>
      </c>
      <c r="M8" s="6">
        <f t="shared" si="0"/>
        <v>8837.9224752506998</v>
      </c>
      <c r="N8" s="55"/>
      <c r="O8" s="58"/>
      <c r="P8" s="58"/>
      <c r="Q8" s="58"/>
      <c r="R8" s="4"/>
      <c r="S8" s="58"/>
      <c r="T8" s="58"/>
      <c r="U8" s="58"/>
    </row>
    <row r="9" spans="1:21" ht="11.85" customHeight="1">
      <c r="A9" s="17">
        <v>3</v>
      </c>
      <c r="B9" s="4" t="s">
        <v>207</v>
      </c>
      <c r="C9" s="69">
        <v>6662.445141994901</v>
      </c>
      <c r="D9" s="45" t="s">
        <v>1229</v>
      </c>
      <c r="E9" s="69">
        <v>1386.6042149881998</v>
      </c>
      <c r="F9" s="66" t="s">
        <v>1229</v>
      </c>
      <c r="G9" s="45" t="s">
        <v>1229</v>
      </c>
      <c r="H9" s="45" t="s">
        <v>1229</v>
      </c>
      <c r="I9" s="45" t="s">
        <v>1229</v>
      </c>
      <c r="J9" s="66" t="s">
        <v>1229</v>
      </c>
      <c r="K9" s="45" t="s">
        <v>1229</v>
      </c>
      <c r="L9" s="66" t="s">
        <v>1229</v>
      </c>
      <c r="M9" s="6">
        <f t="shared" si="0"/>
        <v>8049.0493569831006</v>
      </c>
      <c r="N9" s="58"/>
      <c r="O9" s="59"/>
      <c r="P9" s="58"/>
      <c r="Q9" s="3"/>
      <c r="S9" s="58"/>
      <c r="T9" s="58"/>
      <c r="U9" s="3"/>
    </row>
    <row r="10" spans="1:21" ht="11.85" customHeight="1">
      <c r="A10" s="17">
        <v>4</v>
      </c>
      <c r="B10" s="4" t="s">
        <v>1267</v>
      </c>
      <c r="C10" s="69">
        <v>7.5647572299999997</v>
      </c>
      <c r="D10" s="45" t="s">
        <v>1229</v>
      </c>
      <c r="E10" s="69">
        <v>24044.29386838651</v>
      </c>
      <c r="F10" s="66" t="s">
        <v>1229</v>
      </c>
      <c r="G10" s="45" t="s">
        <v>1229</v>
      </c>
      <c r="H10" s="45" t="s">
        <v>1229</v>
      </c>
      <c r="I10" s="45" t="s">
        <v>1229</v>
      </c>
      <c r="J10" s="66" t="s">
        <v>1229</v>
      </c>
      <c r="K10" s="45" t="s">
        <v>1229</v>
      </c>
      <c r="L10" s="66" t="s">
        <v>1229</v>
      </c>
      <c r="M10" s="6">
        <f t="shared" si="0"/>
        <v>24051.858625616511</v>
      </c>
      <c r="N10" s="58"/>
      <c r="O10" s="59"/>
      <c r="P10" s="58"/>
      <c r="Q10" s="3"/>
      <c r="S10" s="58"/>
      <c r="T10" s="58"/>
      <c r="U10" s="3"/>
    </row>
    <row r="11" spans="1:21" ht="11.85" customHeight="1">
      <c r="A11" s="17">
        <v>5</v>
      </c>
      <c r="B11" s="4" t="s">
        <v>1183</v>
      </c>
      <c r="C11" s="69">
        <v>929.3894017153998</v>
      </c>
      <c r="D11" s="69">
        <v>198.016021029</v>
      </c>
      <c r="E11" s="66" t="s">
        <v>1229</v>
      </c>
      <c r="F11" s="66" t="s">
        <v>1229</v>
      </c>
      <c r="G11" s="45" t="s">
        <v>1229</v>
      </c>
      <c r="H11" s="45" t="s">
        <v>1229</v>
      </c>
      <c r="I11" s="45"/>
      <c r="J11" s="69">
        <v>7.1280000000000001</v>
      </c>
      <c r="K11" s="45" t="s">
        <v>1229</v>
      </c>
      <c r="L11" s="69">
        <v>2.3920765800999995</v>
      </c>
      <c r="M11" s="6">
        <f t="shared" si="0"/>
        <v>1136.9254993244997</v>
      </c>
      <c r="N11" s="58"/>
      <c r="O11" s="59"/>
      <c r="P11" s="58"/>
      <c r="Q11" s="3"/>
      <c r="S11" s="58"/>
      <c r="T11" s="58"/>
      <c r="U11" s="3"/>
    </row>
    <row r="12" spans="1:21" ht="11.85" customHeight="1">
      <c r="A12" s="17">
        <v>6</v>
      </c>
      <c r="B12" s="4" t="s">
        <v>1268</v>
      </c>
      <c r="C12" s="66" t="s">
        <v>1229</v>
      </c>
      <c r="D12" s="69">
        <v>44557.500996850074</v>
      </c>
      <c r="E12" s="69">
        <v>30.734053889599998</v>
      </c>
      <c r="F12" s="66" t="s">
        <v>1229</v>
      </c>
      <c r="G12" s="45" t="s">
        <v>1229</v>
      </c>
      <c r="H12" s="45" t="s">
        <v>1229</v>
      </c>
      <c r="I12" s="45" t="s">
        <v>1229</v>
      </c>
      <c r="J12" s="66" t="s">
        <v>1229</v>
      </c>
      <c r="K12" s="45" t="s">
        <v>1229</v>
      </c>
      <c r="L12" s="66" t="s">
        <v>1229</v>
      </c>
      <c r="M12" s="6">
        <f t="shared" si="0"/>
        <v>44588.235050739677</v>
      </c>
      <c r="N12" s="58"/>
      <c r="O12" s="59"/>
      <c r="P12" s="58"/>
      <c r="Q12" s="3"/>
      <c r="R12" s="3"/>
      <c r="S12" s="58"/>
      <c r="T12" s="58"/>
      <c r="U12" s="3"/>
    </row>
    <row r="13" spans="1:21" ht="11.85" customHeight="1">
      <c r="A13" s="17">
        <v>7</v>
      </c>
      <c r="B13" s="4" t="s">
        <v>1269</v>
      </c>
      <c r="C13" s="69">
        <v>15555.015905024693</v>
      </c>
      <c r="D13" s="66" t="s">
        <v>1229</v>
      </c>
      <c r="E13" s="66" t="s">
        <v>1229</v>
      </c>
      <c r="F13" s="69">
        <v>128.5</v>
      </c>
      <c r="G13" s="45" t="s">
        <v>1229</v>
      </c>
      <c r="H13" s="45" t="s">
        <v>1229</v>
      </c>
      <c r="I13" s="45" t="s">
        <v>1229</v>
      </c>
      <c r="J13" s="66" t="s">
        <v>1229</v>
      </c>
      <c r="K13" s="45" t="s">
        <v>1229</v>
      </c>
      <c r="L13" s="66" t="s">
        <v>1229</v>
      </c>
      <c r="M13" s="6">
        <f t="shared" si="0"/>
        <v>15683.515905024693</v>
      </c>
      <c r="N13" s="58"/>
      <c r="O13" s="59"/>
      <c r="P13" s="58"/>
      <c r="Q13" s="3"/>
      <c r="R13" s="3"/>
      <c r="S13" s="58"/>
      <c r="T13" s="58"/>
      <c r="U13" s="3"/>
    </row>
    <row r="14" spans="1:21" ht="11.85" customHeight="1">
      <c r="A14" s="17">
        <v>8</v>
      </c>
      <c r="B14" s="4" t="s">
        <v>1270</v>
      </c>
      <c r="C14" s="69">
        <v>96.609832450799999</v>
      </c>
      <c r="D14" s="66" t="s">
        <v>1229</v>
      </c>
      <c r="E14" s="69">
        <v>214.33779709080002</v>
      </c>
      <c r="F14" s="69">
        <v>16.011192199300002</v>
      </c>
      <c r="G14" s="45" t="s">
        <v>1229</v>
      </c>
      <c r="H14" s="45" t="s">
        <v>1229</v>
      </c>
      <c r="I14" s="45" t="s">
        <v>1229</v>
      </c>
      <c r="J14" s="66" t="s">
        <v>1229</v>
      </c>
      <c r="K14" s="45" t="s">
        <v>1229</v>
      </c>
      <c r="L14" s="69">
        <v>6368.5318430828966</v>
      </c>
      <c r="M14" s="6">
        <f t="shared" si="0"/>
        <v>6695.4906648237966</v>
      </c>
      <c r="N14" s="58"/>
      <c r="O14" s="59"/>
      <c r="P14" s="58"/>
      <c r="Q14" s="3"/>
      <c r="S14" s="58"/>
      <c r="T14" s="58"/>
      <c r="U14" s="3"/>
    </row>
    <row r="15" spans="1:21" ht="11.85" customHeight="1">
      <c r="A15" s="17">
        <v>9</v>
      </c>
      <c r="B15" s="4" t="s">
        <v>1271</v>
      </c>
      <c r="C15" s="69">
        <v>63.034691910000006</v>
      </c>
      <c r="D15" s="66" t="s">
        <v>1229</v>
      </c>
      <c r="E15" s="66" t="s">
        <v>1229</v>
      </c>
      <c r="F15" s="69">
        <v>4.6613760099999998E-2</v>
      </c>
      <c r="G15" s="45" t="s">
        <v>1229</v>
      </c>
      <c r="H15" s="45" t="s">
        <v>1229</v>
      </c>
      <c r="I15" s="69">
        <v>19293.148821828108</v>
      </c>
      <c r="J15" s="66" t="s">
        <v>1229</v>
      </c>
      <c r="K15" s="45" t="s">
        <v>1229</v>
      </c>
      <c r="L15" s="69">
        <v>11683.502548255497</v>
      </c>
      <c r="M15" s="6">
        <f t="shared" si="0"/>
        <v>31039.732675753708</v>
      </c>
      <c r="N15" s="58"/>
      <c r="O15" s="59"/>
      <c r="P15" s="58"/>
      <c r="Q15" s="3"/>
      <c r="S15" s="58"/>
      <c r="T15" s="58"/>
      <c r="U15" s="3"/>
    </row>
    <row r="16" spans="1:21" ht="11.85" customHeight="1">
      <c r="A16" s="17">
        <v>10</v>
      </c>
      <c r="B16" s="4" t="s">
        <v>1272</v>
      </c>
      <c r="C16" s="45" t="s">
        <v>1229</v>
      </c>
      <c r="D16" s="69">
        <v>55.645692389600001</v>
      </c>
      <c r="E16" s="66" t="s">
        <v>1229</v>
      </c>
      <c r="F16" s="69">
        <v>9.5707682999999992</v>
      </c>
      <c r="G16" s="45" t="s">
        <v>1229</v>
      </c>
      <c r="H16" s="45" t="s">
        <v>1229</v>
      </c>
      <c r="I16" s="45" t="s">
        <v>1229</v>
      </c>
      <c r="J16" s="66" t="s">
        <v>1229</v>
      </c>
      <c r="K16" s="45" t="s">
        <v>1229</v>
      </c>
      <c r="L16" s="69">
        <v>112823.8474771052</v>
      </c>
      <c r="M16" s="6">
        <f t="shared" si="0"/>
        <v>112889.0639377948</v>
      </c>
      <c r="N16" s="58"/>
      <c r="O16" s="59"/>
      <c r="P16" s="58"/>
      <c r="Q16" s="3"/>
      <c r="R16" s="3"/>
      <c r="S16" s="58"/>
      <c r="T16" s="58"/>
      <c r="U16" s="3"/>
    </row>
    <row r="17" spans="1:21" ht="11.85" customHeight="1">
      <c r="A17" s="17">
        <v>11</v>
      </c>
      <c r="B17" s="4" t="s">
        <v>1273</v>
      </c>
      <c r="C17" s="45" t="s">
        <v>1229</v>
      </c>
      <c r="D17" s="45" t="s">
        <v>1229</v>
      </c>
      <c r="E17" s="66" t="s">
        <v>1229</v>
      </c>
      <c r="F17" s="66" t="s">
        <v>1229</v>
      </c>
      <c r="G17" s="45" t="s">
        <v>1229</v>
      </c>
      <c r="H17" s="45" t="s">
        <v>1229</v>
      </c>
      <c r="I17" s="45" t="s">
        <v>1229</v>
      </c>
      <c r="J17" s="66" t="s">
        <v>1229</v>
      </c>
      <c r="K17" s="45" t="s">
        <v>1229</v>
      </c>
      <c r="L17" s="69">
        <v>33794.146438199998</v>
      </c>
      <c r="M17" s="6">
        <f t="shared" si="0"/>
        <v>33794.146438199998</v>
      </c>
      <c r="N17" s="58"/>
      <c r="O17" s="59"/>
      <c r="P17" s="58"/>
      <c r="Q17" s="3"/>
      <c r="S17" s="58"/>
      <c r="T17" s="58"/>
      <c r="U17" s="3"/>
    </row>
    <row r="18" spans="1:21" ht="11.85" customHeight="1">
      <c r="A18" s="17">
        <v>12</v>
      </c>
      <c r="B18" s="4" t="s">
        <v>593</v>
      </c>
      <c r="C18" s="45" t="s">
        <v>1229</v>
      </c>
      <c r="D18" s="45" t="s">
        <v>1229</v>
      </c>
      <c r="E18" s="66" t="s">
        <v>1229</v>
      </c>
      <c r="F18" s="66" t="s">
        <v>1229</v>
      </c>
      <c r="G18" s="45" t="s">
        <v>1229</v>
      </c>
      <c r="H18" s="45" t="s">
        <v>1229</v>
      </c>
      <c r="I18" s="45" t="s">
        <v>1229</v>
      </c>
      <c r="J18" s="66" t="s">
        <v>1229</v>
      </c>
      <c r="K18" s="66" t="s">
        <v>1229</v>
      </c>
      <c r="L18" s="69">
        <v>50196.973195059989</v>
      </c>
      <c r="M18" s="6">
        <f t="shared" si="0"/>
        <v>50196.973195059989</v>
      </c>
      <c r="N18" s="58"/>
      <c r="O18" s="59"/>
      <c r="P18" s="58"/>
      <c r="Q18" s="3"/>
      <c r="S18" s="58"/>
      <c r="T18" s="58"/>
      <c r="U18" s="3"/>
    </row>
    <row r="19" spans="1:21" ht="11.85" customHeight="1">
      <c r="A19" s="17">
        <v>13</v>
      </c>
      <c r="B19" s="4" t="s">
        <v>594</v>
      </c>
      <c r="C19" s="45" t="s">
        <v>1229</v>
      </c>
      <c r="D19" s="45" t="s">
        <v>1229</v>
      </c>
      <c r="E19" s="66" t="s">
        <v>1229</v>
      </c>
      <c r="F19" s="69">
        <v>18029.577206577495</v>
      </c>
      <c r="G19" s="45" t="s">
        <v>1229</v>
      </c>
      <c r="H19" s="45" t="s">
        <v>1229</v>
      </c>
      <c r="I19" s="45" t="s">
        <v>1229</v>
      </c>
      <c r="J19" s="66" t="s">
        <v>1229</v>
      </c>
      <c r="K19" s="66" t="s">
        <v>1229</v>
      </c>
      <c r="L19" s="69">
        <v>42938.488122197108</v>
      </c>
      <c r="M19" s="6">
        <f t="shared" si="0"/>
        <v>60968.065328774603</v>
      </c>
      <c r="N19" s="58"/>
      <c r="O19" s="59"/>
      <c r="P19" s="58"/>
      <c r="Q19" s="3"/>
      <c r="S19" s="58"/>
      <c r="T19" s="58"/>
      <c r="U19" s="3"/>
    </row>
    <row r="20" spans="1:21" ht="11.85" customHeight="1">
      <c r="A20" s="17">
        <v>14</v>
      </c>
      <c r="B20" s="4" t="s">
        <v>595</v>
      </c>
      <c r="C20" s="69">
        <v>21.525666600400001</v>
      </c>
      <c r="D20" s="45" t="s">
        <v>1229</v>
      </c>
      <c r="E20" s="66" t="s">
        <v>1229</v>
      </c>
      <c r="F20" s="69">
        <v>1044.7278788376996</v>
      </c>
      <c r="G20" s="45" t="s">
        <v>1229</v>
      </c>
      <c r="H20" s="45" t="s">
        <v>1229</v>
      </c>
      <c r="I20" s="45" t="s">
        <v>1229</v>
      </c>
      <c r="J20" s="66" t="s">
        <v>1229</v>
      </c>
      <c r="K20" s="66" t="s">
        <v>1229</v>
      </c>
      <c r="L20" s="66" t="s">
        <v>1229</v>
      </c>
      <c r="M20" s="6">
        <f t="shared" si="0"/>
        <v>1066.2535454380995</v>
      </c>
      <c r="N20" s="58"/>
      <c r="O20" s="59"/>
      <c r="P20" s="58"/>
      <c r="Q20" s="3"/>
      <c r="S20" s="58"/>
      <c r="T20" s="58"/>
      <c r="U20" s="3"/>
    </row>
    <row r="21" spans="1:21" ht="11.85" customHeight="1">
      <c r="A21" s="17">
        <v>15</v>
      </c>
      <c r="B21" s="4" t="s">
        <v>596</v>
      </c>
      <c r="C21" s="66" t="s">
        <v>1229</v>
      </c>
      <c r="D21" s="45" t="s">
        <v>1229</v>
      </c>
      <c r="E21" s="66" t="s">
        <v>1229</v>
      </c>
      <c r="F21" s="66" t="s">
        <v>1229</v>
      </c>
      <c r="G21" s="66" t="s">
        <v>1229</v>
      </c>
      <c r="H21" s="45" t="s">
        <v>1229</v>
      </c>
      <c r="I21" s="45" t="s">
        <v>1229</v>
      </c>
      <c r="J21" s="66" t="s">
        <v>1229</v>
      </c>
      <c r="K21" s="69">
        <v>20667.974231289205</v>
      </c>
      <c r="L21" s="66" t="s">
        <v>1229</v>
      </c>
      <c r="M21" s="6">
        <f t="shared" si="0"/>
        <v>20667.974231289205</v>
      </c>
      <c r="N21" s="58"/>
      <c r="O21" s="59"/>
      <c r="P21" s="58"/>
      <c r="Q21" s="3"/>
      <c r="R21" s="3"/>
      <c r="S21" s="58"/>
      <c r="T21" s="58"/>
      <c r="U21" s="3"/>
    </row>
    <row r="22" spans="1:21" ht="11.85" customHeight="1">
      <c r="A22" s="17">
        <v>16</v>
      </c>
      <c r="B22" s="4" t="s">
        <v>73</v>
      </c>
      <c r="C22" s="69">
        <v>8943.8090387516004</v>
      </c>
      <c r="D22" s="45" t="s">
        <v>1229</v>
      </c>
      <c r="E22" s="66" t="s">
        <v>1229</v>
      </c>
      <c r="F22" s="66" t="s">
        <v>1229</v>
      </c>
      <c r="G22" s="69">
        <v>24.768940139799994</v>
      </c>
      <c r="H22" s="45" t="s">
        <v>1229</v>
      </c>
      <c r="I22" s="45" t="s">
        <v>1229</v>
      </c>
      <c r="J22" s="66" t="s">
        <v>1229</v>
      </c>
      <c r="K22" s="69">
        <v>27699.015600617873</v>
      </c>
      <c r="L22" s="69">
        <v>4202.9377801759001</v>
      </c>
      <c r="M22" s="6">
        <f t="shared" si="0"/>
        <v>40870.531359685177</v>
      </c>
      <c r="N22" s="58"/>
      <c r="O22" s="59"/>
      <c r="P22" s="58"/>
      <c r="Q22" s="3"/>
      <c r="S22" s="58"/>
      <c r="T22" s="58"/>
      <c r="U22" s="3"/>
    </row>
    <row r="23" spans="1:21" ht="11.85" customHeight="1">
      <c r="A23" s="17">
        <v>17</v>
      </c>
      <c r="B23" s="4" t="s">
        <v>74</v>
      </c>
      <c r="C23" s="69">
        <v>300.00583677860004</v>
      </c>
      <c r="D23" s="45" t="s">
        <v>1229</v>
      </c>
      <c r="E23" s="66" t="s">
        <v>1229</v>
      </c>
      <c r="F23" s="69">
        <v>36.698770329599995</v>
      </c>
      <c r="G23" s="66" t="s">
        <v>1229</v>
      </c>
      <c r="H23" s="45" t="s">
        <v>1229</v>
      </c>
      <c r="I23" s="45" t="s">
        <v>1229</v>
      </c>
      <c r="J23" s="69">
        <v>5156.6169611019959</v>
      </c>
      <c r="K23" s="69">
        <v>2531.9719990000003</v>
      </c>
      <c r="L23" s="69">
        <v>69.676824999999994</v>
      </c>
      <c r="M23" s="6">
        <f t="shared" si="0"/>
        <v>8094.9703922101962</v>
      </c>
      <c r="N23" s="58"/>
      <c r="O23" s="59"/>
      <c r="P23" s="58"/>
      <c r="Q23" s="3"/>
      <c r="R23" s="3"/>
      <c r="S23" s="58"/>
      <c r="T23" s="58"/>
      <c r="U23" s="3"/>
    </row>
    <row r="24" spans="1:21" ht="22.5">
      <c r="A24" s="195">
        <v>18</v>
      </c>
      <c r="B24" s="82" t="s">
        <v>75</v>
      </c>
      <c r="C24" s="69">
        <v>1986.0045068794011</v>
      </c>
      <c r="D24" s="45" t="s">
        <v>1229</v>
      </c>
      <c r="E24" s="66" t="s">
        <v>1229</v>
      </c>
      <c r="F24" s="66" t="s">
        <v>1229</v>
      </c>
      <c r="G24" s="69">
        <v>660.46558092159989</v>
      </c>
      <c r="H24" s="69">
        <v>2371.9624160352005</v>
      </c>
      <c r="I24" s="45" t="s">
        <v>1229</v>
      </c>
      <c r="J24" s="66" t="s">
        <v>1229</v>
      </c>
      <c r="K24" s="66" t="s">
        <v>1229</v>
      </c>
      <c r="L24" s="69">
        <v>3717.4771434999998</v>
      </c>
      <c r="M24" s="6">
        <f t="shared" si="0"/>
        <v>8735.9096473362006</v>
      </c>
      <c r="N24" s="58"/>
      <c r="O24" s="59"/>
      <c r="P24" s="58"/>
      <c r="Q24" s="3"/>
      <c r="S24" s="58"/>
      <c r="T24" s="58"/>
      <c r="U24" s="3"/>
    </row>
    <row r="25" spans="1:21" ht="11.85" customHeight="1">
      <c r="A25" s="17">
        <v>19</v>
      </c>
      <c r="B25" s="4" t="s">
        <v>76</v>
      </c>
      <c r="C25" s="66" t="s">
        <v>1229</v>
      </c>
      <c r="D25" s="45" t="s">
        <v>1229</v>
      </c>
      <c r="E25" s="66" t="s">
        <v>1229</v>
      </c>
      <c r="F25" s="69">
        <v>541.57433665999997</v>
      </c>
      <c r="G25" s="66" t="s">
        <v>1229</v>
      </c>
      <c r="H25" s="69">
        <v>2846.2762388644005</v>
      </c>
      <c r="I25" s="45" t="s">
        <v>1229</v>
      </c>
      <c r="J25" s="66" t="s">
        <v>1229</v>
      </c>
      <c r="K25" s="66" t="s">
        <v>1229</v>
      </c>
      <c r="L25" s="66" t="s">
        <v>1229</v>
      </c>
      <c r="M25" s="6">
        <f t="shared" si="0"/>
        <v>3387.8505755244005</v>
      </c>
      <c r="N25" s="58"/>
      <c r="O25" s="59"/>
      <c r="P25" s="58"/>
      <c r="Q25" s="3"/>
      <c r="R25" s="3"/>
      <c r="S25" s="58"/>
      <c r="T25" s="58"/>
      <c r="U25" s="3"/>
    </row>
    <row r="26" spans="1:21" ht="11.85" customHeight="1">
      <c r="A26" s="17">
        <v>20</v>
      </c>
      <c r="B26" s="4" t="s">
        <v>1225</v>
      </c>
      <c r="C26" s="69">
        <v>71.634966629899992</v>
      </c>
      <c r="D26" s="45" t="s">
        <v>1229</v>
      </c>
      <c r="E26" s="66" t="s">
        <v>1229</v>
      </c>
      <c r="F26" s="69">
        <v>497.66931445960012</v>
      </c>
      <c r="G26" s="69">
        <v>2364.6141100987998</v>
      </c>
      <c r="H26" s="45" t="s">
        <v>1229</v>
      </c>
      <c r="I26" s="45" t="s">
        <v>1229</v>
      </c>
      <c r="J26" s="66" t="s">
        <v>1229</v>
      </c>
      <c r="K26" s="66" t="s">
        <v>1229</v>
      </c>
      <c r="L26" s="66" t="s">
        <v>1229</v>
      </c>
      <c r="M26" s="6">
        <f t="shared" si="0"/>
        <v>2933.9183911883001</v>
      </c>
      <c r="N26" s="58"/>
      <c r="O26" s="59"/>
      <c r="P26" s="58"/>
      <c r="Q26" s="3"/>
      <c r="S26" s="58"/>
      <c r="T26" s="58"/>
      <c r="U26" s="3"/>
    </row>
    <row r="27" spans="1:21" ht="11.85" customHeight="1">
      <c r="A27" s="17">
        <v>21</v>
      </c>
      <c r="B27" s="4" t="s">
        <v>77</v>
      </c>
      <c r="C27" s="66" t="s">
        <v>1229</v>
      </c>
      <c r="D27" s="45" t="s">
        <v>1229</v>
      </c>
      <c r="E27" s="66" t="s">
        <v>1229</v>
      </c>
      <c r="F27" s="69">
        <v>2228.0832924677002</v>
      </c>
      <c r="G27" s="69">
        <v>25.381510419900003</v>
      </c>
      <c r="H27" s="45" t="s">
        <v>1229</v>
      </c>
      <c r="I27" s="45" t="s">
        <v>1229</v>
      </c>
      <c r="J27" s="66" t="s">
        <v>1229</v>
      </c>
      <c r="K27" s="66" t="s">
        <v>1229</v>
      </c>
      <c r="L27" s="66" t="s">
        <v>1229</v>
      </c>
      <c r="M27" s="6">
        <f t="shared" si="0"/>
        <v>2253.4648028876004</v>
      </c>
      <c r="N27" s="58"/>
      <c r="O27" s="59"/>
      <c r="P27" s="58"/>
      <c r="Q27" s="3"/>
      <c r="S27" s="58"/>
      <c r="T27" s="58"/>
      <c r="U27" s="3"/>
    </row>
    <row r="28" spans="1:21" ht="11.85" customHeight="1">
      <c r="A28" s="17">
        <v>22</v>
      </c>
      <c r="B28" s="4" t="s">
        <v>78</v>
      </c>
      <c r="C28" s="69">
        <v>724.02638372290016</v>
      </c>
      <c r="D28" s="45" t="s">
        <v>1229</v>
      </c>
      <c r="E28" s="69">
        <v>150</v>
      </c>
      <c r="F28" s="69">
        <v>23487.129536679404</v>
      </c>
      <c r="G28" s="66" t="s">
        <v>1229</v>
      </c>
      <c r="H28" s="45" t="s">
        <v>1229</v>
      </c>
      <c r="I28" s="45" t="s">
        <v>1229</v>
      </c>
      <c r="J28" s="66" t="s">
        <v>1229</v>
      </c>
      <c r="K28" s="66" t="s">
        <v>1229</v>
      </c>
      <c r="L28" s="66" t="s">
        <v>1229</v>
      </c>
      <c r="M28" s="6">
        <f t="shared" si="0"/>
        <v>24361.155920402303</v>
      </c>
      <c r="N28" s="58"/>
      <c r="O28" s="58"/>
      <c r="P28" s="58"/>
      <c r="Q28" s="3"/>
      <c r="S28" s="58"/>
      <c r="T28" s="58"/>
      <c r="U28" s="3"/>
    </row>
    <row r="29" spans="1:21" ht="22.5">
      <c r="A29" s="195">
        <v>23</v>
      </c>
      <c r="B29" s="82" t="s">
        <v>1086</v>
      </c>
      <c r="C29" s="69">
        <v>42.494905730200003</v>
      </c>
      <c r="D29" s="45" t="s">
        <v>1229</v>
      </c>
      <c r="E29" s="45" t="s">
        <v>1229</v>
      </c>
      <c r="F29" s="69">
        <v>12638.711015140401</v>
      </c>
      <c r="G29" s="69">
        <v>28.335523939799998</v>
      </c>
      <c r="H29" s="45" t="s">
        <v>1229</v>
      </c>
      <c r="I29" s="45" t="s">
        <v>1229</v>
      </c>
      <c r="J29" s="69">
        <v>3.1004999999999998</v>
      </c>
      <c r="K29" s="69">
        <v>1209.0380000014</v>
      </c>
      <c r="L29" s="66" t="s">
        <v>1229</v>
      </c>
      <c r="M29" s="6">
        <f t="shared" si="0"/>
        <v>13921.679944811802</v>
      </c>
      <c r="N29" s="58"/>
      <c r="O29" s="58"/>
      <c r="P29" s="58"/>
      <c r="Q29" s="3"/>
      <c r="S29" s="58"/>
      <c r="T29" s="58"/>
      <c r="U29" s="3"/>
    </row>
    <row r="30" spans="1:21" ht="11.85" customHeight="1">
      <c r="A30" s="17">
        <v>24</v>
      </c>
      <c r="B30" s="4" t="s">
        <v>1087</v>
      </c>
      <c r="C30" s="69">
        <v>91.889270860600007</v>
      </c>
      <c r="D30" s="45" t="s">
        <v>1229</v>
      </c>
      <c r="E30" s="45" t="s">
        <v>1229</v>
      </c>
      <c r="F30" s="69">
        <v>3306.9411616904977</v>
      </c>
      <c r="G30" s="69">
        <v>54.4473122502</v>
      </c>
      <c r="H30" s="45" t="s">
        <v>1229</v>
      </c>
      <c r="I30" s="45" t="s">
        <v>1229</v>
      </c>
      <c r="J30" s="66" t="s">
        <v>1229</v>
      </c>
      <c r="K30" s="45" t="s">
        <v>1229</v>
      </c>
      <c r="L30" s="45" t="s">
        <v>1229</v>
      </c>
      <c r="M30" s="6">
        <f t="shared" si="0"/>
        <v>3453.2777448012976</v>
      </c>
      <c r="N30" s="58"/>
      <c r="O30" s="58"/>
      <c r="P30" s="58"/>
      <c r="Q30" s="3"/>
      <c r="S30" s="58"/>
      <c r="T30" s="58"/>
      <c r="U30" s="3"/>
    </row>
    <row r="31" spans="1:21" ht="11.85" customHeight="1">
      <c r="A31" s="17">
        <v>25</v>
      </c>
      <c r="B31" s="4" t="s">
        <v>1088</v>
      </c>
      <c r="C31" s="69">
        <v>102332.7025709936</v>
      </c>
      <c r="D31" s="45" t="s">
        <v>1229</v>
      </c>
      <c r="E31" s="45" t="s">
        <v>1229</v>
      </c>
      <c r="F31" s="45" t="s">
        <v>1229</v>
      </c>
      <c r="G31" s="45" t="s">
        <v>1229</v>
      </c>
      <c r="H31" s="45" t="s">
        <v>1229</v>
      </c>
      <c r="I31" s="45" t="s">
        <v>1229</v>
      </c>
      <c r="J31" s="45" t="s">
        <v>1229</v>
      </c>
      <c r="K31" s="45" t="s">
        <v>1229</v>
      </c>
      <c r="L31" s="45" t="s">
        <v>1229</v>
      </c>
      <c r="M31" s="6">
        <f t="shared" si="0"/>
        <v>102332.7025709936</v>
      </c>
      <c r="N31" s="58"/>
      <c r="O31" s="58"/>
      <c r="P31" s="58"/>
      <c r="Q31" s="3"/>
      <c r="S31" s="58"/>
      <c r="T31" s="58"/>
      <c r="U31" s="3"/>
    </row>
    <row r="32" spans="1:21" ht="11.85" customHeight="1">
      <c r="A32" s="17">
        <v>26</v>
      </c>
      <c r="B32" s="4" t="s">
        <v>422</v>
      </c>
      <c r="C32" s="69">
        <v>67339.655012460003</v>
      </c>
      <c r="D32" s="45" t="s">
        <v>1229</v>
      </c>
      <c r="E32" s="45" t="s">
        <v>1229</v>
      </c>
      <c r="F32" s="45" t="s">
        <v>1229</v>
      </c>
      <c r="G32" s="45" t="s">
        <v>1229</v>
      </c>
      <c r="H32" s="45" t="s">
        <v>1229</v>
      </c>
      <c r="I32" s="45" t="s">
        <v>1229</v>
      </c>
      <c r="J32" s="45" t="s">
        <v>1229</v>
      </c>
      <c r="K32" s="45" t="s">
        <v>1229</v>
      </c>
      <c r="L32" s="45" t="s">
        <v>1229</v>
      </c>
      <c r="M32" s="6">
        <f t="shared" si="0"/>
        <v>67339.655012460003</v>
      </c>
      <c r="N32" s="58"/>
      <c r="O32" s="58"/>
      <c r="P32" s="58"/>
      <c r="Q32" s="3"/>
      <c r="S32" s="58"/>
      <c r="T32" s="58"/>
      <c r="U32" s="3"/>
    </row>
    <row r="33" spans="1:21" ht="11.85" customHeight="1">
      <c r="A33" s="17">
        <v>27</v>
      </c>
      <c r="B33" s="4" t="s">
        <v>1089</v>
      </c>
      <c r="C33" s="69">
        <v>20648.27440609</v>
      </c>
      <c r="D33" s="45" t="s">
        <v>1229</v>
      </c>
      <c r="E33" s="45" t="s">
        <v>1229</v>
      </c>
      <c r="F33" s="45" t="s">
        <v>1229</v>
      </c>
      <c r="G33" s="45" t="s">
        <v>1229</v>
      </c>
      <c r="H33" s="45" t="s">
        <v>1229</v>
      </c>
      <c r="I33" s="45" t="s">
        <v>1229</v>
      </c>
      <c r="J33" s="45" t="s">
        <v>1229</v>
      </c>
      <c r="K33" s="45" t="s">
        <v>1229</v>
      </c>
      <c r="L33" s="45" t="s">
        <v>1229</v>
      </c>
      <c r="M33" s="6">
        <f t="shared" si="0"/>
        <v>20648.27440609</v>
      </c>
      <c r="N33" s="58"/>
      <c r="O33" s="58"/>
      <c r="P33" s="58"/>
      <c r="Q33" s="3"/>
      <c r="S33" s="58"/>
      <c r="T33" s="58"/>
      <c r="U33" s="3"/>
    </row>
    <row r="34" spans="1:21" ht="11.85" customHeight="1">
      <c r="A34" s="17"/>
      <c r="B34" s="4"/>
      <c r="C34" s="3"/>
      <c r="D34" s="3"/>
      <c r="E34" s="3"/>
      <c r="F34" s="3"/>
      <c r="G34" s="3"/>
      <c r="H34" s="3"/>
      <c r="I34" s="3"/>
      <c r="J34" s="3"/>
      <c r="K34" s="3"/>
      <c r="L34" s="3"/>
      <c r="M34" s="3"/>
      <c r="N34" s="58"/>
      <c r="O34" s="58"/>
      <c r="P34" s="58"/>
      <c r="Q34" s="3"/>
      <c r="S34" s="58"/>
      <c r="T34" s="58"/>
      <c r="U34" s="3"/>
    </row>
    <row r="35" spans="1:21" ht="11.85" customHeight="1" thickBot="1">
      <c r="A35" s="39"/>
      <c r="B35" s="33" t="s">
        <v>1230</v>
      </c>
      <c r="C35" s="40">
        <f>SUM(C7:C34)</f>
        <v>233611.1769187871</v>
      </c>
      <c r="D35" s="40">
        <f>SUM(D7:D34)</f>
        <v>44811.162710268669</v>
      </c>
      <c r="E35" s="40">
        <f>SUM(E7:E34)</f>
        <v>25879.647862855611</v>
      </c>
      <c r="F35" s="40">
        <f t="shared" ref="F35:L35" si="1">SUM(F7:F34)</f>
        <v>62163.592022180805</v>
      </c>
      <c r="G35" s="40">
        <f t="shared" si="1"/>
        <v>3158.0129777701</v>
      </c>
      <c r="H35" s="40">
        <f t="shared" si="1"/>
        <v>5218.238654899601</v>
      </c>
      <c r="I35" s="40">
        <f t="shared" si="1"/>
        <v>19293.148821828108</v>
      </c>
      <c r="J35" s="40">
        <f>SUM(J7:J34)</f>
        <v>5818.9353294731955</v>
      </c>
      <c r="K35" s="40">
        <f t="shared" si="1"/>
        <v>52107.999830908477</v>
      </c>
      <c r="L35" s="40">
        <f t="shared" si="1"/>
        <v>273269.88830815663</v>
      </c>
      <c r="M35" s="40">
        <f>SUM(C35:L35)</f>
        <v>725331.80343712831</v>
      </c>
      <c r="N35" s="58"/>
      <c r="O35" s="58"/>
      <c r="P35" s="58"/>
      <c r="Q35" s="3"/>
      <c r="S35" s="58"/>
      <c r="T35" s="58"/>
      <c r="U35" s="3"/>
    </row>
    <row r="36" spans="1:21" ht="11.85" customHeight="1">
      <c r="A36" s="42" t="s">
        <v>179</v>
      </c>
      <c r="B36" s="4"/>
      <c r="C36" s="4"/>
      <c r="D36" s="4"/>
      <c r="E36" s="4"/>
      <c r="F36" s="4"/>
      <c r="G36" s="4"/>
      <c r="H36" s="4"/>
      <c r="I36" s="4"/>
      <c r="J36" s="4"/>
      <c r="K36" s="4"/>
      <c r="L36" s="4"/>
      <c r="M36" s="4"/>
      <c r="N36" s="68"/>
      <c r="O36" s="58"/>
      <c r="P36" s="58"/>
      <c r="Q36" s="3"/>
      <c r="R36" s="3"/>
      <c r="S36" s="58"/>
      <c r="T36" s="58"/>
      <c r="U36" s="3"/>
    </row>
    <row r="37" spans="1:21" ht="11.85" customHeight="1">
      <c r="A37" s="42" t="s">
        <v>539</v>
      </c>
      <c r="B37" s="4"/>
      <c r="C37" s="4"/>
      <c r="D37" s="4"/>
      <c r="E37" s="4"/>
      <c r="F37" s="4"/>
      <c r="G37" s="4"/>
      <c r="H37" s="4"/>
      <c r="I37" s="4"/>
      <c r="J37" s="4"/>
      <c r="K37" s="4"/>
      <c r="L37" s="4"/>
      <c r="M37" s="4"/>
      <c r="N37" s="58"/>
      <c r="O37" s="58"/>
      <c r="P37" s="58"/>
      <c r="Q37" s="3"/>
      <c r="S37" s="58"/>
      <c r="T37" s="58"/>
      <c r="U37" s="3"/>
    </row>
    <row r="38" spans="1:21" ht="11.85" customHeight="1">
      <c r="N38" s="68"/>
      <c r="O38" s="58"/>
      <c r="P38" s="58"/>
      <c r="Q38" s="3"/>
      <c r="R38" s="3"/>
      <c r="S38" s="58"/>
      <c r="T38" s="58"/>
      <c r="U38" s="3"/>
    </row>
    <row r="39" spans="1:21" ht="11.85" customHeight="1">
      <c r="N39" s="58"/>
      <c r="O39" s="58"/>
      <c r="P39" s="58"/>
      <c r="Q39" s="3"/>
      <c r="S39" s="58"/>
      <c r="T39" s="58"/>
      <c r="U39" s="3"/>
    </row>
    <row r="40" spans="1:21" ht="11.85" customHeight="1">
      <c r="N40" s="68"/>
      <c r="O40" s="58"/>
      <c r="P40" s="58"/>
      <c r="Q40" s="3"/>
      <c r="R40" s="3"/>
      <c r="S40" s="58"/>
      <c r="T40" s="58"/>
      <c r="U40" s="3"/>
    </row>
    <row r="41" spans="1:21" ht="11.85" customHeight="1">
      <c r="N41" s="68"/>
      <c r="O41" s="58"/>
      <c r="P41" s="58"/>
      <c r="Q41" s="3"/>
      <c r="R41" s="3"/>
      <c r="S41" s="58"/>
      <c r="T41" s="58"/>
      <c r="U41" s="3"/>
    </row>
    <row r="42" spans="1:21" ht="11.85" customHeight="1">
      <c r="N42" s="68"/>
      <c r="O42" s="58"/>
      <c r="P42" s="58"/>
      <c r="Q42" s="3"/>
      <c r="R42" s="3"/>
      <c r="S42" s="58"/>
      <c r="T42" s="58"/>
      <c r="U42" s="3"/>
    </row>
    <row r="43" spans="1:21" ht="11.85" customHeight="1">
      <c r="N43" s="58"/>
      <c r="O43" s="58"/>
      <c r="P43" s="58"/>
      <c r="Q43" s="3"/>
      <c r="S43" s="58"/>
      <c r="T43" s="58"/>
      <c r="U43" s="3"/>
    </row>
    <row r="44" spans="1:21" ht="11.85" customHeight="1">
      <c r="N44" s="68"/>
      <c r="O44" s="58"/>
      <c r="P44" s="58"/>
      <c r="Q44" s="3"/>
      <c r="R44" s="3"/>
      <c r="S44" s="58"/>
      <c r="T44" s="58"/>
      <c r="U44" s="3"/>
    </row>
    <row r="45" spans="1:21" ht="21" customHeight="1">
      <c r="N45" s="68"/>
      <c r="O45" s="58"/>
      <c r="P45" s="58"/>
      <c r="Q45" s="3"/>
      <c r="R45" s="3"/>
      <c r="S45" s="58"/>
      <c r="T45" s="58"/>
      <c r="U45" s="3"/>
    </row>
    <row r="46" spans="1:21" ht="11.85" customHeight="1">
      <c r="N46" s="58"/>
      <c r="O46" s="58"/>
      <c r="P46" s="58"/>
      <c r="Q46" s="3"/>
      <c r="S46" s="58"/>
      <c r="T46" s="58"/>
      <c r="U46" s="3"/>
    </row>
    <row r="47" spans="1:21" ht="11.85" customHeight="1">
      <c r="N47" s="58"/>
      <c r="O47" s="58"/>
      <c r="P47" s="58"/>
      <c r="Q47" s="3"/>
      <c r="S47" s="58"/>
      <c r="T47" s="58"/>
      <c r="U47" s="3"/>
    </row>
    <row r="48" spans="1:21">
      <c r="N48" s="58"/>
      <c r="O48" s="58"/>
      <c r="P48" s="58"/>
      <c r="Q48" s="3"/>
      <c r="S48" s="58"/>
      <c r="T48" s="58"/>
      <c r="U48" s="3"/>
    </row>
    <row r="49" spans="14:21">
      <c r="N49" s="58"/>
      <c r="O49" s="58"/>
      <c r="P49" s="58"/>
      <c r="Q49" s="3"/>
      <c r="S49" s="58"/>
      <c r="T49" s="58"/>
      <c r="U49" s="3"/>
    </row>
    <row r="50" spans="14:21">
      <c r="N50" s="58"/>
      <c r="O50" s="58"/>
      <c r="P50" s="58"/>
      <c r="Q50" s="3"/>
      <c r="S50" s="58"/>
      <c r="T50" s="58"/>
      <c r="U50" s="3"/>
    </row>
    <row r="51" spans="14:21">
      <c r="N51" s="58"/>
      <c r="O51" s="58"/>
      <c r="P51" s="58"/>
      <c r="Q51" s="3"/>
      <c r="S51" s="58"/>
      <c r="T51" s="58"/>
      <c r="U51" s="3"/>
    </row>
    <row r="52" spans="14:21">
      <c r="N52" s="58"/>
      <c r="O52" s="58"/>
      <c r="P52" s="58"/>
      <c r="Q52" s="3"/>
      <c r="S52" s="58"/>
      <c r="T52" s="58"/>
      <c r="U52" s="3"/>
    </row>
    <row r="53" spans="14:21">
      <c r="N53" s="58"/>
      <c r="O53" s="58"/>
      <c r="P53" s="58"/>
      <c r="Q53" s="3"/>
      <c r="S53" s="58"/>
      <c r="T53" s="58"/>
      <c r="U53" s="3"/>
    </row>
    <row r="54" spans="14:21">
      <c r="N54" s="58"/>
      <c r="O54" s="58"/>
      <c r="P54" s="58"/>
      <c r="Q54" s="3"/>
      <c r="S54" s="58"/>
      <c r="T54" s="58"/>
      <c r="U54" s="3"/>
    </row>
    <row r="55" spans="14:21">
      <c r="N55" s="58"/>
      <c r="O55" s="58"/>
      <c r="P55" s="58"/>
      <c r="Q55" s="3"/>
      <c r="S55" s="58"/>
      <c r="T55" s="58"/>
      <c r="U55" s="3"/>
    </row>
    <row r="56" spans="14:21">
      <c r="N56" s="58"/>
      <c r="O56" s="58"/>
      <c r="P56" s="58"/>
      <c r="Q56" s="3"/>
      <c r="S56" s="58"/>
      <c r="T56" s="58"/>
      <c r="U56" s="3"/>
    </row>
    <row r="57" spans="14:21">
      <c r="N57" s="58"/>
      <c r="O57" s="58"/>
      <c r="P57" s="58"/>
      <c r="Q57" s="3"/>
      <c r="S57" s="58"/>
      <c r="T57" s="58"/>
      <c r="U57" s="3"/>
    </row>
    <row r="58" spans="14:21">
      <c r="N58" s="58"/>
      <c r="O58" s="58"/>
      <c r="P58" s="58"/>
      <c r="Q58" s="3"/>
      <c r="S58" s="58"/>
      <c r="T58" s="58"/>
      <c r="U58" s="3"/>
    </row>
    <row r="59" spans="14:21">
      <c r="N59" s="58"/>
      <c r="O59" s="58"/>
      <c r="P59" s="58"/>
      <c r="Q59" s="3"/>
      <c r="S59" s="58"/>
      <c r="T59" s="58"/>
      <c r="U59" s="3"/>
    </row>
    <row r="60" spans="14:21">
      <c r="N60" s="58"/>
      <c r="O60" s="58"/>
      <c r="P60" s="58"/>
      <c r="Q60" s="3"/>
      <c r="S60" s="58"/>
      <c r="T60" s="58"/>
      <c r="U60" s="3"/>
    </row>
    <row r="61" spans="14:21">
      <c r="N61" s="58"/>
      <c r="O61" s="58"/>
      <c r="P61" s="58"/>
      <c r="Q61" s="3"/>
      <c r="S61" s="58"/>
      <c r="T61" s="58"/>
      <c r="U61" s="3"/>
    </row>
    <row r="62" spans="14:21">
      <c r="N62" s="58"/>
      <c r="O62" s="58"/>
      <c r="P62" s="58"/>
      <c r="Q62" s="3"/>
      <c r="S62" s="58"/>
      <c r="T62" s="58"/>
      <c r="U62" s="3"/>
    </row>
    <row r="63" spans="14:21">
      <c r="N63" s="58"/>
      <c r="O63" s="58"/>
      <c r="P63" s="58"/>
      <c r="Q63" s="3"/>
      <c r="S63" s="58"/>
      <c r="T63" s="58"/>
      <c r="U63" s="3"/>
    </row>
    <row r="64" spans="14:21">
      <c r="N64" s="58"/>
      <c r="O64" s="58"/>
      <c r="P64" s="58"/>
      <c r="Q64" s="3"/>
      <c r="S64" s="58"/>
      <c r="T64" s="58"/>
      <c r="U64" s="3"/>
    </row>
    <row r="65" spans="14:21">
      <c r="N65" s="58"/>
      <c r="O65" s="58"/>
      <c r="P65" s="58"/>
      <c r="Q65" s="3"/>
      <c r="S65" s="58"/>
      <c r="T65" s="58"/>
      <c r="U65" s="3"/>
    </row>
    <row r="66" spans="14:21">
      <c r="N66" s="58"/>
      <c r="O66" s="58"/>
      <c r="P66" s="58"/>
      <c r="Q66" s="3"/>
      <c r="S66" s="58"/>
      <c r="T66" s="58"/>
      <c r="U66" s="3"/>
    </row>
    <row r="67" spans="14:21">
      <c r="N67" s="58"/>
      <c r="O67" s="58"/>
      <c r="P67" s="58"/>
      <c r="Q67" s="3"/>
      <c r="S67" s="58"/>
      <c r="T67" s="58"/>
      <c r="U67" s="3"/>
    </row>
    <row r="68" spans="14:21">
      <c r="N68" s="58"/>
      <c r="O68" s="58"/>
      <c r="P68" s="58"/>
      <c r="Q68" s="3"/>
      <c r="S68" s="58"/>
      <c r="T68" s="58"/>
      <c r="U68" s="3"/>
    </row>
    <row r="69" spans="14:21">
      <c r="N69" s="58"/>
      <c r="O69" s="58"/>
      <c r="P69" s="58"/>
      <c r="Q69" s="3"/>
      <c r="S69" s="58"/>
      <c r="T69" s="58"/>
      <c r="U69" s="3"/>
    </row>
    <row r="70" spans="14:21">
      <c r="N70" s="58"/>
      <c r="O70" s="58"/>
      <c r="P70" s="58"/>
      <c r="Q70" s="3"/>
      <c r="S70" s="58"/>
      <c r="T70" s="58"/>
      <c r="U70" s="3"/>
    </row>
    <row r="71" spans="14:21">
      <c r="N71" s="58"/>
      <c r="O71" s="58"/>
      <c r="P71" s="58"/>
      <c r="Q71" s="3"/>
      <c r="S71" s="58"/>
      <c r="T71" s="58"/>
      <c r="U71" s="3"/>
    </row>
    <row r="72" spans="14:21">
      <c r="N72" s="58"/>
      <c r="O72" s="58"/>
      <c r="P72" s="58"/>
      <c r="Q72" s="3"/>
      <c r="S72" s="58"/>
      <c r="T72" s="58"/>
      <c r="U72" s="3"/>
    </row>
    <row r="73" spans="14:21">
      <c r="N73" s="58"/>
      <c r="O73" s="58"/>
      <c r="P73" s="58"/>
      <c r="Q73" s="3"/>
      <c r="S73" s="58"/>
      <c r="T73" s="58"/>
      <c r="U73" s="3"/>
    </row>
    <row r="74" spans="14:21">
      <c r="N74" s="58"/>
      <c r="O74" s="58"/>
      <c r="P74" s="58"/>
      <c r="Q74" s="3"/>
      <c r="S74" s="58"/>
      <c r="T74" s="58"/>
      <c r="U74" s="3"/>
    </row>
    <row r="75" spans="14:21">
      <c r="N75" s="58"/>
      <c r="O75" s="58"/>
      <c r="P75" s="58"/>
      <c r="Q75" s="3"/>
      <c r="S75" s="58"/>
      <c r="T75" s="58"/>
      <c r="U75" s="3"/>
    </row>
    <row r="76" spans="14:21">
      <c r="N76" s="58"/>
      <c r="O76" s="58"/>
      <c r="P76" s="58"/>
      <c r="Q76" s="3"/>
      <c r="S76" s="58"/>
      <c r="T76" s="58"/>
      <c r="U76" s="3"/>
    </row>
    <row r="77" spans="14:21">
      <c r="N77" s="58"/>
      <c r="O77" s="58"/>
      <c r="P77" s="58"/>
      <c r="Q77" s="3"/>
      <c r="S77" s="58"/>
      <c r="T77" s="58"/>
      <c r="U77" s="3"/>
    </row>
    <row r="78" spans="14:21">
      <c r="N78" s="58"/>
      <c r="O78" s="58"/>
      <c r="P78" s="58"/>
      <c r="Q78" s="3"/>
      <c r="S78" s="58"/>
      <c r="T78" s="58"/>
      <c r="U78" s="3"/>
    </row>
    <row r="79" spans="14:21">
      <c r="N79" s="58"/>
      <c r="O79" s="58"/>
      <c r="P79" s="58"/>
      <c r="Q79" s="3"/>
      <c r="S79" s="58"/>
      <c r="T79" s="58"/>
      <c r="U79" s="3"/>
    </row>
    <row r="80" spans="14:21">
      <c r="N80" s="58"/>
      <c r="O80" s="58"/>
      <c r="P80" s="58"/>
      <c r="Q80" s="3"/>
      <c r="S80" s="58"/>
      <c r="T80" s="58"/>
      <c r="U80" s="3"/>
    </row>
    <row r="81" spans="14:21">
      <c r="N81" s="58"/>
      <c r="O81" s="58"/>
      <c r="P81" s="58"/>
      <c r="Q81" s="3"/>
      <c r="S81" s="58"/>
      <c r="T81" s="58"/>
      <c r="U81" s="3"/>
    </row>
    <row r="82" spans="14:21">
      <c r="N82" s="58"/>
      <c r="O82" s="58"/>
      <c r="P82" s="58"/>
      <c r="Q82" s="3"/>
      <c r="S82" s="58"/>
      <c r="T82" s="58"/>
      <c r="U82" s="3"/>
    </row>
    <row r="83" spans="14:21">
      <c r="N83" s="58"/>
      <c r="O83" s="58"/>
      <c r="P83" s="58"/>
      <c r="Q83" s="3"/>
      <c r="S83" s="58"/>
      <c r="T83" s="58"/>
      <c r="U83" s="3"/>
    </row>
    <row r="84" spans="14:21">
      <c r="N84" s="58"/>
      <c r="O84" s="58"/>
      <c r="P84" s="58"/>
      <c r="Q84" s="3"/>
      <c r="S84" s="58"/>
      <c r="T84" s="58"/>
      <c r="U84" s="3"/>
    </row>
    <row r="85" spans="14:21">
      <c r="N85" s="58"/>
      <c r="O85" s="58"/>
      <c r="P85" s="58"/>
      <c r="Q85" s="3"/>
      <c r="S85" s="58"/>
      <c r="T85" s="58"/>
      <c r="U85" s="3"/>
    </row>
    <row r="86" spans="14:21">
      <c r="N86" s="58"/>
      <c r="O86" s="58"/>
      <c r="P86" s="58"/>
      <c r="Q86" s="3"/>
      <c r="S86" s="58"/>
      <c r="T86" s="58"/>
      <c r="U86" s="3"/>
    </row>
    <row r="87" spans="14:21">
      <c r="N87" s="58"/>
      <c r="O87" s="58"/>
      <c r="P87" s="58"/>
      <c r="Q87" s="3"/>
      <c r="S87" s="58"/>
      <c r="T87" s="58"/>
      <c r="U87" s="3"/>
    </row>
    <row r="88" spans="14:21">
      <c r="N88" s="58"/>
      <c r="O88" s="58"/>
      <c r="P88" s="58"/>
      <c r="Q88" s="3"/>
      <c r="S88" s="58"/>
      <c r="T88" s="58"/>
      <c r="U88" s="3"/>
    </row>
    <row r="89" spans="14:21">
      <c r="N89" s="58"/>
      <c r="O89" s="58"/>
      <c r="P89" s="58"/>
      <c r="Q89" s="3"/>
      <c r="S89" s="58"/>
      <c r="T89" s="58"/>
      <c r="U89" s="3"/>
    </row>
    <row r="90" spans="14:21">
      <c r="N90" s="58"/>
      <c r="O90" s="58"/>
      <c r="P90" s="58"/>
      <c r="Q90" s="3"/>
      <c r="S90" s="58"/>
      <c r="T90" s="58"/>
      <c r="U90" s="3"/>
    </row>
    <row r="91" spans="14:21">
      <c r="N91" s="58"/>
      <c r="O91" s="58"/>
      <c r="P91" s="58"/>
      <c r="Q91" s="3"/>
      <c r="S91" s="58"/>
      <c r="T91" s="58"/>
      <c r="U91" s="3"/>
    </row>
    <row r="92" spans="14:21">
      <c r="N92" s="58"/>
      <c r="O92" s="58"/>
      <c r="P92" s="58"/>
      <c r="Q92" s="3"/>
      <c r="S92" s="58"/>
      <c r="T92" s="58"/>
      <c r="U92" s="3"/>
    </row>
    <row r="93" spans="14:21">
      <c r="N93" s="58"/>
      <c r="O93" s="58"/>
      <c r="P93" s="58"/>
      <c r="Q93" s="3"/>
      <c r="S93" s="58"/>
      <c r="T93" s="58"/>
      <c r="U93" s="3"/>
    </row>
    <row r="94" spans="14:21">
      <c r="N94" s="58"/>
      <c r="O94" s="58"/>
      <c r="P94" s="58"/>
      <c r="Q94" s="3"/>
      <c r="S94" s="58"/>
      <c r="T94" s="58"/>
      <c r="U94" s="3"/>
    </row>
    <row r="95" spans="14:21">
      <c r="N95" s="58"/>
      <c r="O95" s="58"/>
      <c r="P95" s="58"/>
      <c r="Q95" s="3"/>
      <c r="S95" s="58"/>
      <c r="T95" s="58"/>
      <c r="U95" s="3"/>
    </row>
    <row r="96" spans="14:21">
      <c r="N96" s="58"/>
      <c r="O96" s="58"/>
      <c r="P96" s="58"/>
      <c r="Q96" s="3"/>
      <c r="S96" s="58"/>
      <c r="T96" s="58"/>
      <c r="U96" s="3"/>
    </row>
    <row r="97" spans="14:21">
      <c r="N97" s="58"/>
      <c r="O97" s="58"/>
      <c r="P97" s="58"/>
      <c r="Q97" s="3"/>
      <c r="S97" s="58"/>
      <c r="T97" s="58"/>
      <c r="U97" s="3"/>
    </row>
    <row r="98" spans="14:21">
      <c r="N98" s="58"/>
      <c r="O98" s="58"/>
      <c r="P98" s="58"/>
      <c r="Q98" s="3"/>
      <c r="S98" s="58"/>
      <c r="T98" s="58"/>
      <c r="U98" s="3"/>
    </row>
    <row r="99" spans="14:21">
      <c r="N99" s="58"/>
      <c r="O99" s="58"/>
      <c r="P99" s="58"/>
      <c r="Q99" s="3"/>
      <c r="S99" s="58"/>
      <c r="T99" s="58"/>
      <c r="U99" s="3"/>
    </row>
    <row r="100" spans="14:21">
      <c r="N100" s="58"/>
      <c r="O100" s="58"/>
      <c r="P100" s="58"/>
      <c r="Q100" s="3"/>
      <c r="S100" s="58"/>
      <c r="T100" s="58"/>
      <c r="U100" s="3"/>
    </row>
    <row r="101" spans="14:21">
      <c r="N101" s="58"/>
      <c r="O101" s="58"/>
      <c r="P101" s="58"/>
      <c r="Q101" s="3"/>
      <c r="S101" s="58"/>
      <c r="T101" s="58"/>
      <c r="U101" s="3"/>
    </row>
    <row r="102" spans="14:21">
      <c r="N102" s="58"/>
      <c r="O102" s="58"/>
      <c r="P102" s="58"/>
      <c r="Q102" s="3"/>
      <c r="S102" s="58"/>
      <c r="T102" s="58"/>
      <c r="U102" s="3"/>
    </row>
    <row r="103" spans="14:21">
      <c r="N103" s="58"/>
      <c r="O103" s="58"/>
      <c r="P103" s="58"/>
      <c r="Q103" s="3"/>
      <c r="S103" s="58"/>
      <c r="T103" s="58"/>
      <c r="U103" s="3"/>
    </row>
    <row r="104" spans="14:21">
      <c r="N104" s="58"/>
      <c r="O104" s="58"/>
      <c r="P104" s="58"/>
      <c r="Q104" s="3"/>
      <c r="S104" s="58"/>
      <c r="T104" s="58"/>
      <c r="U104" s="3"/>
    </row>
    <row r="105" spans="14:21">
      <c r="N105" s="58"/>
      <c r="O105" s="58"/>
      <c r="P105" s="58"/>
      <c r="Q105" s="3"/>
      <c r="S105" s="58"/>
      <c r="T105" s="58"/>
      <c r="U105" s="3"/>
    </row>
    <row r="106" spans="14:21">
      <c r="N106" s="58"/>
      <c r="O106" s="58"/>
      <c r="P106" s="58"/>
      <c r="Q106" s="3"/>
      <c r="S106" s="58"/>
      <c r="T106" s="58"/>
      <c r="U106" s="3"/>
    </row>
    <row r="107" spans="14:21">
      <c r="N107" s="58"/>
      <c r="O107" s="58"/>
      <c r="P107" s="58"/>
      <c r="Q107" s="3"/>
      <c r="S107" s="58"/>
      <c r="T107" s="58"/>
      <c r="U107" s="3"/>
    </row>
    <row r="108" spans="14:21">
      <c r="N108" s="58"/>
      <c r="O108" s="58"/>
      <c r="P108" s="58"/>
      <c r="Q108" s="3"/>
      <c r="S108" s="58"/>
      <c r="T108" s="58"/>
      <c r="U108" s="3"/>
    </row>
    <row r="109" spans="14:21">
      <c r="N109" s="58"/>
      <c r="O109" s="58"/>
      <c r="P109" s="58"/>
      <c r="Q109" s="3"/>
      <c r="S109" s="58"/>
      <c r="T109" s="58"/>
      <c r="U109" s="3"/>
    </row>
    <row r="110" spans="14:21">
      <c r="N110" s="58"/>
      <c r="O110" s="58"/>
      <c r="P110" s="58"/>
      <c r="Q110" s="3"/>
      <c r="S110" s="58"/>
      <c r="T110" s="58"/>
      <c r="U110" s="3"/>
    </row>
    <row r="111" spans="14:21">
      <c r="N111" s="58"/>
      <c r="O111" s="58"/>
      <c r="P111" s="58"/>
      <c r="Q111" s="3"/>
      <c r="S111" s="58"/>
      <c r="T111" s="58"/>
      <c r="U111" s="3"/>
    </row>
    <row r="112" spans="14:21">
      <c r="N112" s="58"/>
      <c r="O112" s="58"/>
      <c r="P112" s="58"/>
      <c r="Q112" s="58"/>
      <c r="R112" s="58"/>
      <c r="S112" s="58"/>
      <c r="T112" s="58"/>
      <c r="U112" s="58"/>
    </row>
    <row r="113" spans="14:21">
      <c r="N113" s="58"/>
      <c r="O113" s="58"/>
      <c r="P113" s="58"/>
      <c r="Q113" s="58"/>
      <c r="R113" s="58"/>
      <c r="S113" s="58"/>
      <c r="T113" s="58"/>
      <c r="U113" s="58"/>
    </row>
    <row r="114" spans="14:21">
      <c r="N114" s="58"/>
      <c r="O114" s="58"/>
      <c r="P114" s="58"/>
      <c r="Q114" s="58"/>
      <c r="R114" s="58"/>
      <c r="S114" s="58"/>
      <c r="T114" s="58"/>
      <c r="U114" s="58"/>
    </row>
    <row r="115" spans="14:21">
      <c r="N115" s="58"/>
      <c r="O115" s="58"/>
      <c r="P115" s="58"/>
      <c r="Q115" s="58"/>
      <c r="R115" s="58"/>
      <c r="S115" s="58"/>
      <c r="T115" s="58"/>
      <c r="U115" s="58"/>
    </row>
    <row r="116" spans="14:21">
      <c r="N116" s="58"/>
      <c r="O116" s="58"/>
      <c r="P116" s="58"/>
      <c r="Q116" s="58"/>
      <c r="R116" s="58"/>
      <c r="S116" s="58"/>
      <c r="T116" s="58"/>
      <c r="U116" s="58"/>
    </row>
    <row r="117" spans="14:21">
      <c r="N117" s="58"/>
      <c r="O117" s="58"/>
      <c r="P117" s="58"/>
      <c r="Q117" s="58"/>
      <c r="R117" s="58"/>
      <c r="S117" s="58"/>
      <c r="T117" s="58"/>
      <c r="U117" s="58"/>
    </row>
    <row r="118" spans="14:21">
      <c r="N118" s="58"/>
      <c r="O118" s="58"/>
      <c r="P118" s="58"/>
      <c r="Q118" s="58"/>
      <c r="R118" s="58"/>
      <c r="S118" s="58"/>
      <c r="T118" s="58"/>
      <c r="U118" s="58"/>
    </row>
    <row r="119" spans="14:21">
      <c r="N119" s="58"/>
      <c r="O119" s="58"/>
      <c r="P119" s="58"/>
      <c r="Q119" s="58"/>
      <c r="R119" s="58"/>
      <c r="S119" s="58"/>
      <c r="T119" s="58"/>
      <c r="U119" s="58"/>
    </row>
    <row r="120" spans="14:21">
      <c r="N120" s="58"/>
      <c r="O120" s="58"/>
      <c r="P120" s="58"/>
      <c r="Q120" s="58"/>
      <c r="R120" s="58"/>
      <c r="S120" s="58"/>
      <c r="T120" s="58"/>
      <c r="U120" s="58"/>
    </row>
    <row r="121" spans="14:21">
      <c r="N121" s="58"/>
      <c r="O121" s="58"/>
      <c r="P121" s="58"/>
      <c r="Q121" s="58"/>
      <c r="R121" s="58"/>
      <c r="S121" s="58"/>
      <c r="T121" s="58"/>
      <c r="U121" s="58"/>
    </row>
    <row r="122" spans="14:21">
      <c r="N122" s="58"/>
      <c r="O122" s="58"/>
      <c r="P122" s="58"/>
      <c r="Q122" s="58"/>
      <c r="R122" s="58"/>
      <c r="S122" s="58"/>
      <c r="T122" s="58"/>
      <c r="U122" s="58"/>
    </row>
    <row r="123" spans="14:21">
      <c r="N123" s="58"/>
      <c r="O123" s="58"/>
      <c r="P123" s="58"/>
      <c r="Q123" s="58"/>
      <c r="R123" s="58"/>
      <c r="S123" s="58"/>
      <c r="T123" s="58"/>
      <c r="U123" s="58"/>
    </row>
    <row r="124" spans="14:21">
      <c r="N124" s="58"/>
      <c r="O124" s="58"/>
      <c r="P124" s="58"/>
      <c r="Q124" s="58"/>
      <c r="R124" s="58"/>
      <c r="S124" s="58"/>
      <c r="T124" s="58"/>
      <c r="U124" s="58"/>
    </row>
    <row r="125" spans="14:21">
      <c r="N125" s="58"/>
      <c r="O125" s="58"/>
      <c r="P125" s="58"/>
      <c r="Q125" s="58"/>
      <c r="R125" s="58"/>
      <c r="S125" s="58"/>
      <c r="T125" s="58"/>
      <c r="U125" s="58"/>
    </row>
    <row r="126" spans="14:21">
      <c r="N126" s="58"/>
      <c r="O126" s="58"/>
      <c r="P126" s="58"/>
      <c r="Q126" s="58"/>
      <c r="R126" s="58"/>
      <c r="S126" s="58"/>
      <c r="T126" s="58"/>
      <c r="U126" s="58"/>
    </row>
    <row r="127" spans="14:21">
      <c r="N127" s="58"/>
      <c r="O127" s="58"/>
      <c r="P127" s="58"/>
      <c r="Q127" s="58"/>
      <c r="R127" s="58"/>
      <c r="S127" s="58"/>
      <c r="T127" s="58"/>
      <c r="U127" s="58"/>
    </row>
    <row r="128" spans="14:21">
      <c r="N128" s="58"/>
      <c r="O128" s="58"/>
      <c r="P128" s="58"/>
      <c r="Q128" s="58"/>
      <c r="R128" s="58"/>
      <c r="S128" s="58"/>
      <c r="T128" s="58"/>
      <c r="U128" s="58"/>
    </row>
    <row r="129" spans="14:21">
      <c r="N129" s="58"/>
      <c r="O129" s="58"/>
      <c r="P129" s="58"/>
      <c r="Q129" s="58"/>
      <c r="R129" s="58"/>
      <c r="S129" s="58"/>
      <c r="T129" s="58"/>
      <c r="U129" s="58"/>
    </row>
    <row r="130" spans="14:21">
      <c r="N130" s="58"/>
      <c r="O130" s="58"/>
      <c r="P130" s="58"/>
      <c r="Q130" s="58"/>
      <c r="R130" s="58"/>
      <c r="S130" s="58"/>
      <c r="T130" s="58"/>
      <c r="U130" s="58"/>
    </row>
    <row r="131" spans="14:21">
      <c r="N131" s="58"/>
      <c r="O131" s="58"/>
      <c r="P131" s="58"/>
      <c r="Q131" s="58"/>
      <c r="R131" s="58"/>
      <c r="S131" s="58"/>
      <c r="T131" s="58"/>
      <c r="U131" s="58"/>
    </row>
    <row r="132" spans="14:21">
      <c r="N132" s="58"/>
      <c r="O132" s="58"/>
      <c r="P132" s="58"/>
      <c r="Q132" s="58"/>
      <c r="R132" s="58"/>
      <c r="S132" s="58"/>
      <c r="T132" s="58"/>
      <c r="U132" s="58"/>
    </row>
    <row r="133" spans="14:21">
      <c r="N133" s="58"/>
      <c r="O133" s="58"/>
      <c r="P133" s="58"/>
      <c r="Q133" s="58"/>
      <c r="R133" s="58"/>
      <c r="S133" s="58"/>
      <c r="T133" s="58"/>
      <c r="U133" s="58"/>
    </row>
    <row r="134" spans="14:21">
      <c r="N134" s="58"/>
      <c r="O134" s="58"/>
      <c r="P134" s="58"/>
      <c r="Q134" s="58"/>
      <c r="R134" s="58"/>
      <c r="S134" s="58"/>
      <c r="T134" s="58"/>
      <c r="U134" s="58"/>
    </row>
    <row r="135" spans="14:21">
      <c r="N135" s="58"/>
      <c r="O135" s="58"/>
      <c r="P135" s="58"/>
      <c r="Q135" s="58"/>
      <c r="R135" s="58"/>
      <c r="S135" s="58"/>
      <c r="T135" s="58"/>
      <c r="U135" s="58"/>
    </row>
    <row r="136" spans="14:21">
      <c r="N136" s="58"/>
      <c r="O136" s="58"/>
      <c r="P136" s="58"/>
      <c r="Q136" s="58"/>
      <c r="R136" s="58"/>
      <c r="S136" s="58"/>
      <c r="T136" s="58"/>
      <c r="U136" s="58"/>
    </row>
    <row r="137" spans="14:21">
      <c r="N137" s="58"/>
      <c r="O137" s="58"/>
      <c r="P137" s="58"/>
      <c r="Q137" s="58"/>
      <c r="R137" s="58"/>
      <c r="S137" s="58"/>
      <c r="T137" s="58"/>
      <c r="U137" s="58"/>
    </row>
    <row r="138" spans="14:21">
      <c r="N138" s="58"/>
      <c r="O138" s="58"/>
      <c r="P138" s="58"/>
      <c r="Q138" s="58"/>
      <c r="R138" s="58"/>
      <c r="S138" s="58"/>
      <c r="T138" s="58"/>
      <c r="U138" s="58"/>
    </row>
    <row r="139" spans="14:21">
      <c r="N139" s="58"/>
      <c r="O139" s="58"/>
      <c r="P139" s="58"/>
      <c r="Q139" s="58"/>
      <c r="R139" s="58"/>
      <c r="S139" s="58"/>
      <c r="T139" s="58"/>
      <c r="U139" s="58"/>
    </row>
    <row r="140" spans="14:21">
      <c r="N140" s="58"/>
      <c r="O140" s="58"/>
      <c r="P140" s="58"/>
      <c r="Q140" s="58"/>
      <c r="R140" s="58"/>
      <c r="S140" s="58"/>
      <c r="T140" s="58"/>
      <c r="U140" s="58"/>
    </row>
    <row r="141" spans="14:21">
      <c r="N141" s="58"/>
      <c r="O141" s="58"/>
      <c r="P141" s="58"/>
      <c r="Q141" s="58"/>
      <c r="R141" s="58"/>
      <c r="S141" s="58"/>
      <c r="T141" s="58"/>
      <c r="U141" s="58"/>
    </row>
    <row r="142" spans="14:21">
      <c r="N142" s="58"/>
      <c r="O142" s="58"/>
      <c r="P142" s="58"/>
      <c r="Q142" s="58"/>
      <c r="R142" s="58"/>
      <c r="S142" s="58"/>
      <c r="T142" s="58"/>
      <c r="U142" s="58"/>
    </row>
    <row r="143" spans="14:21">
      <c r="N143" s="58"/>
      <c r="O143" s="58"/>
      <c r="P143" s="58"/>
      <c r="Q143" s="58"/>
      <c r="R143" s="58"/>
      <c r="S143" s="58"/>
      <c r="T143" s="58"/>
      <c r="U143" s="58"/>
    </row>
    <row r="144" spans="14:21">
      <c r="N144" s="58"/>
      <c r="O144" s="58"/>
      <c r="P144" s="58"/>
      <c r="Q144" s="58"/>
      <c r="R144" s="58"/>
      <c r="S144" s="58"/>
      <c r="T144" s="58"/>
      <c r="U144" s="58"/>
    </row>
    <row r="145" spans="14:21">
      <c r="N145" s="58"/>
      <c r="O145" s="58"/>
      <c r="P145" s="58"/>
      <c r="Q145" s="58"/>
      <c r="R145" s="58"/>
      <c r="S145" s="58"/>
      <c r="T145" s="58"/>
      <c r="U145" s="58"/>
    </row>
    <row r="146" spans="14:21">
      <c r="N146" s="58"/>
      <c r="O146" s="58"/>
      <c r="P146" s="58"/>
      <c r="Q146" s="58"/>
      <c r="R146" s="58"/>
      <c r="S146" s="58"/>
      <c r="T146" s="58"/>
      <c r="U146" s="58"/>
    </row>
    <row r="147" spans="14:21">
      <c r="N147" s="58"/>
      <c r="O147" s="58"/>
      <c r="P147" s="58"/>
      <c r="Q147" s="58"/>
      <c r="R147" s="58"/>
      <c r="S147" s="58"/>
      <c r="T147" s="58"/>
      <c r="U147" s="58"/>
    </row>
    <row r="148" spans="14:21">
      <c r="N148" s="58"/>
      <c r="O148" s="58"/>
      <c r="P148" s="58"/>
      <c r="Q148" s="58"/>
      <c r="R148" s="58"/>
      <c r="S148" s="58"/>
      <c r="T148" s="58"/>
      <c r="U148" s="58"/>
    </row>
    <row r="149" spans="14:21">
      <c r="N149" s="58"/>
      <c r="O149" s="58"/>
      <c r="P149" s="58"/>
      <c r="Q149" s="58"/>
      <c r="R149" s="58"/>
      <c r="S149" s="58"/>
      <c r="T149" s="58"/>
      <c r="U149" s="58"/>
    </row>
    <row r="150" spans="14:21">
      <c r="N150" s="58"/>
      <c r="O150" s="58"/>
      <c r="P150" s="58"/>
      <c r="Q150" s="58"/>
      <c r="R150" s="58"/>
      <c r="S150" s="58"/>
      <c r="T150" s="58"/>
      <c r="U150" s="58"/>
    </row>
    <row r="151" spans="14:21">
      <c r="N151" s="58"/>
      <c r="O151" s="58"/>
      <c r="P151" s="58"/>
      <c r="Q151" s="58"/>
      <c r="R151" s="58"/>
      <c r="S151" s="58"/>
      <c r="T151" s="58"/>
      <c r="U151" s="58"/>
    </row>
    <row r="152" spans="14:21">
      <c r="N152" s="58"/>
      <c r="O152" s="58"/>
      <c r="P152" s="58"/>
      <c r="Q152" s="58"/>
      <c r="R152" s="58"/>
      <c r="S152" s="58"/>
      <c r="T152" s="58"/>
      <c r="U152" s="58"/>
    </row>
    <row r="153" spans="14:21">
      <c r="N153" s="58"/>
      <c r="O153" s="58"/>
      <c r="P153" s="58"/>
      <c r="Q153" s="58"/>
      <c r="R153" s="58"/>
      <c r="S153" s="58"/>
      <c r="T153" s="58"/>
      <c r="U153" s="58"/>
    </row>
    <row r="154" spans="14:21">
      <c r="N154" s="58"/>
      <c r="O154" s="58"/>
      <c r="P154" s="58"/>
      <c r="Q154" s="58"/>
      <c r="R154" s="58"/>
      <c r="S154" s="58"/>
      <c r="T154" s="58"/>
      <c r="U154" s="58"/>
    </row>
    <row r="155" spans="14:21">
      <c r="N155" s="58"/>
      <c r="O155" s="58"/>
      <c r="P155" s="58"/>
      <c r="Q155" s="58"/>
      <c r="R155" s="58"/>
      <c r="S155" s="58"/>
      <c r="T155" s="58"/>
      <c r="U155" s="58"/>
    </row>
    <row r="156" spans="14:21">
      <c r="N156" s="58"/>
      <c r="O156" s="58"/>
      <c r="P156" s="58"/>
      <c r="Q156" s="58"/>
      <c r="R156" s="58"/>
      <c r="S156" s="58"/>
      <c r="T156" s="58"/>
      <c r="U156" s="58"/>
    </row>
    <row r="157" spans="14:21">
      <c r="N157" s="58"/>
      <c r="O157" s="58"/>
      <c r="P157" s="58"/>
      <c r="Q157" s="58"/>
      <c r="R157" s="58"/>
      <c r="S157" s="58"/>
      <c r="T157" s="58"/>
      <c r="U157" s="58"/>
    </row>
    <row r="158" spans="14:21">
      <c r="N158" s="58"/>
      <c r="O158" s="58"/>
      <c r="P158" s="58"/>
      <c r="Q158" s="58"/>
      <c r="R158" s="58"/>
      <c r="S158" s="58"/>
      <c r="T158" s="58"/>
      <c r="U158" s="58"/>
    </row>
    <row r="159" spans="14:21">
      <c r="N159" s="58"/>
      <c r="O159" s="58"/>
      <c r="P159" s="58"/>
      <c r="Q159" s="58"/>
      <c r="R159" s="58"/>
      <c r="S159" s="58"/>
      <c r="T159" s="58"/>
      <c r="U159" s="58"/>
    </row>
    <row r="160" spans="14:21">
      <c r="N160" s="58"/>
      <c r="O160" s="58"/>
      <c r="P160" s="58"/>
      <c r="Q160" s="58"/>
      <c r="R160" s="58"/>
      <c r="S160" s="58"/>
      <c r="T160" s="58"/>
      <c r="U160" s="58"/>
    </row>
    <row r="161" spans="14:21">
      <c r="N161" s="58"/>
      <c r="O161" s="58"/>
      <c r="P161" s="58"/>
      <c r="Q161" s="58"/>
      <c r="R161" s="58"/>
      <c r="S161" s="58"/>
      <c r="T161" s="58"/>
      <c r="U161" s="58"/>
    </row>
    <row r="162" spans="14:21">
      <c r="N162" s="58"/>
      <c r="O162" s="58"/>
      <c r="P162" s="58"/>
      <c r="Q162" s="58"/>
      <c r="R162" s="58"/>
      <c r="S162" s="58"/>
      <c r="T162" s="58"/>
      <c r="U162" s="58"/>
    </row>
    <row r="163" spans="14:21">
      <c r="N163" s="58"/>
      <c r="O163" s="58"/>
      <c r="P163" s="58"/>
      <c r="Q163" s="58"/>
      <c r="R163" s="58"/>
      <c r="S163" s="58"/>
      <c r="T163" s="58"/>
      <c r="U163" s="58"/>
    </row>
    <row r="164" spans="14:21">
      <c r="N164" s="58"/>
      <c r="O164" s="58"/>
      <c r="P164" s="58"/>
      <c r="Q164" s="58"/>
      <c r="R164" s="58"/>
      <c r="S164" s="58"/>
      <c r="T164" s="58"/>
      <c r="U164" s="58"/>
    </row>
    <row r="165" spans="14:21">
      <c r="N165" s="58"/>
      <c r="O165" s="58"/>
      <c r="P165" s="58"/>
      <c r="Q165" s="58"/>
      <c r="R165" s="58"/>
      <c r="S165" s="58"/>
      <c r="T165" s="58"/>
      <c r="U165" s="58"/>
    </row>
    <row r="166" spans="14:21">
      <c r="N166" s="58"/>
      <c r="O166" s="58"/>
      <c r="P166" s="58"/>
      <c r="Q166" s="58"/>
      <c r="R166" s="58"/>
      <c r="S166" s="58"/>
      <c r="T166" s="58"/>
      <c r="U166" s="58"/>
    </row>
    <row r="167" spans="14:21">
      <c r="N167" s="58"/>
      <c r="O167" s="58"/>
      <c r="P167" s="58"/>
      <c r="Q167" s="58"/>
      <c r="R167" s="58"/>
      <c r="S167" s="58"/>
      <c r="T167" s="58"/>
      <c r="U167" s="58"/>
    </row>
    <row r="168" spans="14:21">
      <c r="N168" s="58"/>
      <c r="O168" s="58"/>
      <c r="P168" s="58"/>
      <c r="Q168" s="58"/>
      <c r="R168" s="58"/>
      <c r="S168" s="58"/>
      <c r="T168" s="58"/>
      <c r="U168" s="58"/>
    </row>
    <row r="169" spans="14:21">
      <c r="N169" s="58"/>
      <c r="O169" s="58"/>
      <c r="P169" s="58"/>
      <c r="Q169" s="58"/>
      <c r="R169" s="58"/>
      <c r="S169" s="58"/>
      <c r="T169" s="58"/>
      <c r="U169" s="58"/>
    </row>
    <row r="170" spans="14:21">
      <c r="N170" s="58"/>
      <c r="O170" s="58"/>
      <c r="P170" s="58"/>
      <c r="Q170" s="58"/>
      <c r="R170" s="58"/>
      <c r="S170" s="58"/>
      <c r="T170" s="58"/>
      <c r="U170" s="58"/>
    </row>
    <row r="171" spans="14:21">
      <c r="N171" s="58"/>
      <c r="O171" s="58"/>
      <c r="P171" s="58"/>
      <c r="Q171" s="58"/>
      <c r="R171" s="58"/>
      <c r="S171" s="58"/>
      <c r="T171" s="58"/>
      <c r="U171" s="58"/>
    </row>
    <row r="172" spans="14:21">
      <c r="N172" s="58"/>
      <c r="O172" s="58"/>
      <c r="P172" s="58"/>
      <c r="Q172" s="58"/>
      <c r="R172" s="58"/>
      <c r="S172" s="58"/>
      <c r="T172" s="58"/>
      <c r="U172" s="58"/>
    </row>
    <row r="173" spans="14:21">
      <c r="N173" s="58"/>
      <c r="O173" s="58"/>
      <c r="P173" s="58"/>
      <c r="Q173" s="58"/>
      <c r="R173" s="58"/>
      <c r="S173" s="58"/>
      <c r="T173" s="58"/>
      <c r="U173" s="58"/>
    </row>
    <row r="174" spans="14:21">
      <c r="N174" s="58"/>
      <c r="O174" s="58"/>
      <c r="P174" s="58"/>
      <c r="Q174" s="58"/>
      <c r="R174" s="58"/>
      <c r="S174" s="58"/>
      <c r="T174" s="58"/>
      <c r="U174" s="58"/>
    </row>
    <row r="175" spans="14:21">
      <c r="N175" s="58"/>
      <c r="O175" s="58"/>
      <c r="P175" s="58"/>
      <c r="Q175" s="58"/>
      <c r="R175" s="58"/>
      <c r="S175" s="58"/>
      <c r="T175" s="58"/>
      <c r="U175" s="58"/>
    </row>
    <row r="176" spans="14:21">
      <c r="N176" s="58"/>
      <c r="O176" s="58"/>
      <c r="P176" s="58"/>
      <c r="Q176" s="58"/>
      <c r="R176" s="58"/>
      <c r="S176" s="58"/>
      <c r="T176" s="58"/>
      <c r="U176" s="58"/>
    </row>
    <row r="177" spans="14:21">
      <c r="N177" s="58"/>
      <c r="O177" s="58"/>
      <c r="P177" s="58"/>
      <c r="Q177" s="58"/>
      <c r="R177" s="58"/>
      <c r="S177" s="58"/>
      <c r="T177" s="58"/>
      <c r="U177" s="58"/>
    </row>
    <row r="178" spans="14:21">
      <c r="N178" s="58"/>
      <c r="O178" s="58"/>
      <c r="P178" s="58"/>
      <c r="Q178" s="58"/>
      <c r="R178" s="58"/>
      <c r="S178" s="58"/>
      <c r="T178" s="58"/>
      <c r="U178" s="58"/>
    </row>
    <row r="179" spans="14:21">
      <c r="N179" s="58"/>
      <c r="O179" s="58"/>
      <c r="P179" s="58"/>
      <c r="Q179" s="58"/>
      <c r="R179" s="58"/>
      <c r="S179" s="58"/>
      <c r="T179" s="58"/>
      <c r="U179" s="58"/>
    </row>
    <row r="180" spans="14:21">
      <c r="N180" s="58"/>
      <c r="O180" s="58"/>
      <c r="P180" s="58"/>
      <c r="Q180" s="58"/>
      <c r="R180" s="58"/>
      <c r="S180" s="58"/>
      <c r="T180" s="58"/>
      <c r="U180" s="58"/>
    </row>
    <row r="181" spans="14:21">
      <c r="N181" s="58"/>
      <c r="O181" s="58"/>
      <c r="P181" s="58"/>
      <c r="Q181" s="58"/>
      <c r="R181" s="58"/>
      <c r="S181" s="58"/>
      <c r="T181" s="58"/>
      <c r="U181" s="58"/>
    </row>
    <row r="182" spans="14:21">
      <c r="N182" s="58"/>
      <c r="O182" s="58"/>
      <c r="P182" s="58"/>
      <c r="Q182" s="58"/>
      <c r="R182" s="58"/>
      <c r="S182" s="58"/>
      <c r="T182" s="58"/>
      <c r="U182" s="58"/>
    </row>
    <row r="183" spans="14:21">
      <c r="N183" s="58"/>
      <c r="O183" s="58"/>
      <c r="P183" s="58"/>
      <c r="Q183" s="58"/>
      <c r="R183" s="58"/>
      <c r="S183" s="58"/>
      <c r="T183" s="58"/>
      <c r="U183" s="58"/>
    </row>
    <row r="184" spans="14:21">
      <c r="N184" s="58"/>
      <c r="O184" s="58"/>
      <c r="P184" s="58"/>
      <c r="Q184" s="58"/>
      <c r="R184" s="58"/>
      <c r="S184" s="58"/>
      <c r="T184" s="58"/>
      <c r="U184" s="58"/>
    </row>
    <row r="185" spans="14:21">
      <c r="N185" s="58"/>
      <c r="O185" s="58"/>
      <c r="P185" s="58"/>
      <c r="Q185" s="58"/>
      <c r="R185" s="58"/>
      <c r="S185" s="58"/>
      <c r="T185" s="58"/>
      <c r="U185" s="58"/>
    </row>
    <row r="186" spans="14:21">
      <c r="N186" s="58"/>
      <c r="O186" s="58"/>
      <c r="P186" s="58"/>
      <c r="Q186" s="58"/>
      <c r="R186" s="58"/>
      <c r="S186" s="58"/>
      <c r="T186" s="58"/>
      <c r="U186" s="58"/>
    </row>
    <row r="187" spans="14:21">
      <c r="N187" s="58"/>
      <c r="O187" s="58"/>
      <c r="P187" s="58"/>
      <c r="Q187" s="58"/>
      <c r="R187" s="58"/>
      <c r="S187" s="58"/>
      <c r="T187" s="58"/>
      <c r="U187" s="58"/>
    </row>
    <row r="188" spans="14:21">
      <c r="N188" s="58"/>
      <c r="O188" s="58"/>
      <c r="P188" s="58"/>
      <c r="Q188" s="58"/>
      <c r="R188" s="58"/>
      <c r="S188" s="58"/>
      <c r="T188" s="58"/>
      <c r="U188" s="58"/>
    </row>
    <row r="189" spans="14:21">
      <c r="N189" s="58"/>
      <c r="O189" s="58"/>
      <c r="P189" s="58"/>
      <c r="Q189" s="58"/>
      <c r="R189" s="58"/>
      <c r="S189" s="58"/>
      <c r="T189" s="58"/>
      <c r="U189" s="58"/>
    </row>
    <row r="190" spans="14:21">
      <c r="N190" s="58"/>
      <c r="O190" s="58"/>
      <c r="P190" s="58"/>
      <c r="Q190" s="58"/>
      <c r="R190" s="58"/>
      <c r="S190" s="58"/>
      <c r="T190" s="58"/>
      <c r="U190" s="58"/>
    </row>
    <row r="191" spans="14:21">
      <c r="N191" s="58"/>
      <c r="O191" s="58"/>
      <c r="P191" s="58"/>
      <c r="Q191" s="58"/>
      <c r="R191" s="58"/>
      <c r="S191" s="58"/>
      <c r="T191" s="58"/>
      <c r="U191" s="58"/>
    </row>
    <row r="192" spans="14:21">
      <c r="N192" s="58"/>
      <c r="O192" s="58"/>
      <c r="P192" s="58"/>
      <c r="Q192" s="58"/>
      <c r="R192" s="58"/>
      <c r="S192" s="58"/>
      <c r="T192" s="58"/>
      <c r="U192" s="58"/>
    </row>
    <row r="193" spans="14:21">
      <c r="N193" s="58"/>
      <c r="O193" s="58"/>
      <c r="P193" s="58"/>
      <c r="Q193" s="58"/>
      <c r="R193" s="58"/>
      <c r="S193" s="58"/>
      <c r="T193" s="58"/>
      <c r="U193" s="58"/>
    </row>
    <row r="194" spans="14:21">
      <c r="N194" s="58"/>
      <c r="O194" s="58"/>
      <c r="P194" s="58"/>
      <c r="Q194" s="58"/>
      <c r="R194" s="58"/>
      <c r="S194" s="58"/>
      <c r="T194" s="58"/>
      <c r="U194" s="58"/>
    </row>
    <row r="195" spans="14:21">
      <c r="N195" s="58"/>
      <c r="O195" s="58"/>
      <c r="P195" s="58"/>
      <c r="Q195" s="58"/>
      <c r="R195" s="58"/>
      <c r="S195" s="58"/>
      <c r="T195" s="58"/>
      <c r="U195" s="58"/>
    </row>
    <row r="196" spans="14:21">
      <c r="N196" s="58"/>
      <c r="O196" s="58"/>
      <c r="P196" s="58"/>
      <c r="Q196" s="58"/>
      <c r="R196" s="58"/>
      <c r="S196" s="58"/>
      <c r="T196" s="58"/>
      <c r="U196" s="58"/>
    </row>
    <row r="197" spans="14:21">
      <c r="N197" s="58"/>
      <c r="O197" s="58"/>
      <c r="P197" s="58"/>
      <c r="Q197" s="58"/>
      <c r="R197" s="58"/>
      <c r="S197" s="58"/>
      <c r="T197" s="58"/>
      <c r="U197" s="58"/>
    </row>
    <row r="198" spans="14:21">
      <c r="N198" s="58"/>
      <c r="O198" s="58"/>
      <c r="P198" s="58"/>
      <c r="Q198" s="58"/>
      <c r="R198" s="58"/>
      <c r="S198" s="58"/>
      <c r="T198" s="58"/>
      <c r="U198" s="58"/>
    </row>
    <row r="199" spans="14:21">
      <c r="N199" s="58"/>
      <c r="O199" s="58"/>
      <c r="P199" s="58"/>
      <c r="Q199" s="58"/>
      <c r="R199" s="58"/>
      <c r="S199" s="58"/>
      <c r="T199" s="58"/>
      <c r="U199" s="58"/>
    </row>
    <row r="200" spans="14:21">
      <c r="N200" s="58"/>
      <c r="O200" s="58"/>
      <c r="P200" s="58"/>
      <c r="Q200" s="58"/>
      <c r="R200" s="58"/>
      <c r="S200" s="58"/>
      <c r="T200" s="58"/>
      <c r="U200" s="58"/>
    </row>
    <row r="201" spans="14:21">
      <c r="N201" s="58"/>
      <c r="O201" s="58"/>
      <c r="P201" s="58"/>
      <c r="Q201" s="58"/>
      <c r="R201" s="58"/>
      <c r="S201" s="58"/>
      <c r="T201" s="58"/>
      <c r="U201" s="58"/>
    </row>
    <row r="202" spans="14:21">
      <c r="N202" s="58"/>
      <c r="O202" s="58"/>
      <c r="P202" s="58"/>
      <c r="Q202" s="58"/>
      <c r="R202" s="58"/>
      <c r="S202" s="58"/>
      <c r="T202" s="58"/>
      <c r="U202" s="58"/>
    </row>
    <row r="203" spans="14:21">
      <c r="N203" s="58"/>
      <c r="O203" s="58"/>
      <c r="P203" s="58"/>
      <c r="Q203" s="58"/>
      <c r="R203" s="58"/>
      <c r="S203" s="58"/>
      <c r="T203" s="58"/>
      <c r="U203" s="58"/>
    </row>
    <row r="204" spans="14:21">
      <c r="N204" s="58"/>
      <c r="O204" s="58"/>
      <c r="P204" s="58"/>
      <c r="Q204" s="58"/>
      <c r="R204" s="58"/>
      <c r="S204" s="58"/>
      <c r="T204" s="58"/>
      <c r="U204" s="58"/>
    </row>
    <row r="205" spans="14:21">
      <c r="N205" s="58"/>
      <c r="O205" s="58"/>
      <c r="P205" s="58"/>
      <c r="Q205" s="58"/>
      <c r="R205" s="58"/>
      <c r="S205" s="58"/>
      <c r="T205" s="58"/>
      <c r="U205" s="58"/>
    </row>
    <row r="206" spans="14:21">
      <c r="N206" s="58"/>
      <c r="O206" s="58"/>
      <c r="P206" s="58"/>
      <c r="Q206" s="58"/>
      <c r="R206" s="58"/>
      <c r="S206" s="58"/>
      <c r="T206" s="58"/>
      <c r="U206" s="58"/>
    </row>
    <row r="207" spans="14:21">
      <c r="N207" s="58"/>
      <c r="O207" s="58"/>
      <c r="P207" s="58"/>
      <c r="Q207" s="58"/>
      <c r="R207" s="58"/>
      <c r="S207" s="58"/>
      <c r="T207" s="58"/>
      <c r="U207" s="58"/>
    </row>
    <row r="208" spans="14:21">
      <c r="N208" s="58"/>
      <c r="O208" s="58"/>
      <c r="P208" s="58"/>
      <c r="Q208" s="58"/>
      <c r="R208" s="58"/>
      <c r="S208" s="58"/>
      <c r="T208" s="58"/>
      <c r="U208" s="58"/>
    </row>
    <row r="209" spans="14:21">
      <c r="N209" s="58"/>
      <c r="O209" s="58"/>
      <c r="P209" s="58"/>
      <c r="Q209" s="58"/>
      <c r="R209" s="58"/>
      <c r="S209" s="58"/>
      <c r="T209" s="58"/>
      <c r="U209" s="58"/>
    </row>
    <row r="210" spans="14:21">
      <c r="N210" s="58"/>
      <c r="O210" s="58"/>
      <c r="P210" s="58"/>
      <c r="Q210" s="58"/>
      <c r="R210" s="58"/>
      <c r="S210" s="58"/>
      <c r="T210" s="58"/>
      <c r="U210" s="58"/>
    </row>
    <row r="211" spans="14:21">
      <c r="N211" s="58"/>
      <c r="O211" s="58"/>
      <c r="P211" s="58"/>
      <c r="Q211" s="58"/>
      <c r="R211" s="58"/>
      <c r="S211" s="58"/>
      <c r="T211" s="58"/>
      <c r="U211" s="58"/>
    </row>
    <row r="212" spans="14:21">
      <c r="N212" s="58"/>
      <c r="O212" s="58"/>
      <c r="P212" s="58"/>
      <c r="Q212" s="58"/>
      <c r="R212" s="58"/>
      <c r="S212" s="58"/>
      <c r="T212" s="58"/>
      <c r="U212" s="58"/>
    </row>
    <row r="213" spans="14:21">
      <c r="N213" s="58"/>
      <c r="O213" s="58"/>
      <c r="P213" s="58"/>
      <c r="Q213" s="58"/>
      <c r="R213" s="58"/>
      <c r="S213" s="58"/>
      <c r="T213" s="58"/>
      <c r="U213" s="58"/>
    </row>
    <row r="214" spans="14:21">
      <c r="N214" s="58"/>
      <c r="O214" s="58"/>
      <c r="P214" s="58"/>
      <c r="Q214" s="58"/>
      <c r="R214" s="58"/>
      <c r="S214" s="58"/>
      <c r="T214" s="58"/>
      <c r="U214" s="58"/>
    </row>
    <row r="215" spans="14:21">
      <c r="N215" s="58"/>
      <c r="O215" s="58"/>
      <c r="P215" s="58"/>
      <c r="Q215" s="58"/>
      <c r="R215" s="58"/>
      <c r="S215" s="58"/>
      <c r="T215" s="58"/>
      <c r="U215" s="58"/>
    </row>
    <row r="216" spans="14:21">
      <c r="N216" s="58"/>
      <c r="O216" s="58"/>
      <c r="P216" s="58"/>
      <c r="Q216" s="58"/>
      <c r="R216" s="58"/>
      <c r="S216" s="58"/>
      <c r="T216" s="58"/>
      <c r="U216" s="58"/>
    </row>
    <row r="217" spans="14:21">
      <c r="N217" s="58"/>
      <c r="O217" s="58"/>
      <c r="P217" s="58"/>
      <c r="Q217" s="58"/>
      <c r="R217" s="58"/>
      <c r="S217" s="58"/>
      <c r="T217" s="58"/>
      <c r="U217" s="58"/>
    </row>
    <row r="218" spans="14:21">
      <c r="N218" s="58"/>
      <c r="O218" s="58"/>
      <c r="P218" s="58"/>
      <c r="Q218" s="58"/>
      <c r="R218" s="58"/>
      <c r="S218" s="58"/>
      <c r="T218" s="58"/>
      <c r="U218" s="58"/>
    </row>
    <row r="219" spans="14:21">
      <c r="N219" s="58"/>
      <c r="O219" s="58"/>
      <c r="P219" s="58"/>
      <c r="Q219" s="58"/>
      <c r="R219" s="58"/>
      <c r="S219" s="58"/>
      <c r="T219" s="58"/>
      <c r="U219" s="58"/>
    </row>
    <row r="220" spans="14:21">
      <c r="N220" s="58"/>
      <c r="O220" s="58"/>
      <c r="P220" s="58"/>
      <c r="Q220" s="58"/>
      <c r="R220" s="58"/>
      <c r="S220" s="58"/>
      <c r="T220" s="58"/>
      <c r="U220" s="58"/>
    </row>
    <row r="221" spans="14:21">
      <c r="N221" s="58"/>
      <c r="O221" s="58"/>
      <c r="P221" s="58"/>
      <c r="Q221" s="58"/>
      <c r="R221" s="58"/>
      <c r="S221" s="58"/>
      <c r="T221" s="58"/>
      <c r="U221" s="58"/>
    </row>
    <row r="222" spans="14:21">
      <c r="N222" s="58"/>
      <c r="O222" s="58"/>
      <c r="P222" s="58"/>
      <c r="Q222" s="58"/>
      <c r="R222" s="58"/>
      <c r="S222" s="58"/>
      <c r="T222" s="58"/>
      <c r="U222" s="58"/>
    </row>
    <row r="223" spans="14:21">
      <c r="N223" s="58"/>
      <c r="O223" s="58"/>
      <c r="P223" s="58"/>
      <c r="Q223" s="58"/>
      <c r="R223" s="58"/>
      <c r="S223" s="58"/>
      <c r="T223" s="58"/>
      <c r="U223" s="58"/>
    </row>
    <row r="224" spans="14:21">
      <c r="N224" s="58"/>
      <c r="O224" s="58"/>
      <c r="P224" s="58"/>
      <c r="Q224" s="58"/>
      <c r="R224" s="58"/>
      <c r="S224" s="58"/>
      <c r="T224" s="58"/>
      <c r="U224" s="58"/>
    </row>
    <row r="225" spans="14:21">
      <c r="N225" s="58"/>
      <c r="O225" s="58"/>
      <c r="P225" s="58"/>
      <c r="Q225" s="58"/>
      <c r="R225" s="58"/>
      <c r="S225" s="58"/>
      <c r="T225" s="58"/>
      <c r="U225" s="58"/>
    </row>
    <row r="226" spans="14:21">
      <c r="N226" s="58"/>
      <c r="O226" s="58"/>
      <c r="P226" s="58"/>
      <c r="Q226" s="58"/>
      <c r="R226" s="58"/>
      <c r="S226" s="58"/>
      <c r="T226" s="58"/>
      <c r="U226" s="58"/>
    </row>
    <row r="227" spans="14:21">
      <c r="N227" s="58"/>
      <c r="O227" s="58"/>
      <c r="P227" s="58"/>
      <c r="Q227" s="58"/>
      <c r="R227" s="58"/>
      <c r="S227" s="58"/>
      <c r="T227" s="58"/>
      <c r="U227" s="58"/>
    </row>
    <row r="228" spans="14:21">
      <c r="N228" s="58"/>
      <c r="O228" s="58"/>
      <c r="P228" s="58"/>
      <c r="Q228" s="58"/>
      <c r="R228" s="58"/>
      <c r="S228" s="58"/>
      <c r="T228" s="58"/>
      <c r="U228" s="58"/>
    </row>
    <row r="229" spans="14:21">
      <c r="N229" s="58"/>
      <c r="O229" s="58"/>
      <c r="P229" s="58"/>
      <c r="Q229" s="58"/>
      <c r="R229" s="58"/>
      <c r="S229" s="58"/>
      <c r="T229" s="58"/>
      <c r="U229" s="58"/>
    </row>
    <row r="230" spans="14:21">
      <c r="N230" s="58"/>
      <c r="O230" s="58"/>
      <c r="P230" s="58"/>
      <c r="Q230" s="58"/>
      <c r="R230" s="58"/>
      <c r="S230" s="58"/>
      <c r="T230" s="58"/>
      <c r="U230" s="58"/>
    </row>
    <row r="231" spans="14:21">
      <c r="N231" s="58"/>
      <c r="O231" s="58"/>
      <c r="P231" s="58"/>
      <c r="Q231" s="58"/>
      <c r="R231" s="58"/>
      <c r="S231" s="58"/>
      <c r="T231" s="58"/>
      <c r="U231" s="58"/>
    </row>
    <row r="232" spans="14:21">
      <c r="N232" s="58"/>
      <c r="O232" s="58"/>
      <c r="P232" s="58"/>
      <c r="Q232" s="58"/>
      <c r="R232" s="58"/>
      <c r="S232" s="58"/>
      <c r="T232" s="58"/>
      <c r="U232" s="58"/>
    </row>
    <row r="233" spans="14:21">
      <c r="N233" s="58"/>
      <c r="O233" s="58"/>
      <c r="P233" s="58"/>
      <c r="Q233" s="58"/>
      <c r="R233" s="58"/>
      <c r="S233" s="58"/>
      <c r="T233" s="58"/>
      <c r="U233" s="58"/>
    </row>
    <row r="234" spans="14:21">
      <c r="N234" s="58"/>
      <c r="O234" s="58"/>
      <c r="P234" s="58"/>
      <c r="Q234" s="58"/>
      <c r="R234" s="58"/>
      <c r="S234" s="58"/>
      <c r="T234" s="58"/>
      <c r="U234" s="58"/>
    </row>
    <row r="235" spans="14:21">
      <c r="N235" s="58"/>
      <c r="O235" s="58"/>
      <c r="P235" s="58"/>
      <c r="Q235" s="58"/>
      <c r="R235" s="58"/>
      <c r="S235" s="58"/>
      <c r="T235" s="58"/>
      <c r="U235" s="58"/>
    </row>
    <row r="236" spans="14:21">
      <c r="N236" s="58"/>
      <c r="O236" s="58"/>
      <c r="P236" s="58"/>
      <c r="Q236" s="58"/>
      <c r="R236" s="58"/>
      <c r="S236" s="58"/>
      <c r="T236" s="58"/>
      <c r="U236" s="58"/>
    </row>
    <row r="237" spans="14:21">
      <c r="N237" s="58"/>
      <c r="O237" s="58"/>
      <c r="P237" s="58"/>
      <c r="Q237" s="58"/>
      <c r="R237" s="58"/>
      <c r="S237" s="58"/>
      <c r="T237" s="58"/>
      <c r="U237" s="58"/>
    </row>
    <row r="238" spans="14:21">
      <c r="N238" s="58"/>
      <c r="O238" s="58"/>
      <c r="P238" s="58"/>
      <c r="Q238" s="58"/>
      <c r="R238" s="58"/>
      <c r="S238" s="58"/>
      <c r="T238" s="58"/>
      <c r="U238" s="58"/>
    </row>
    <row r="239" spans="14:21">
      <c r="N239" s="58"/>
      <c r="O239" s="58"/>
      <c r="P239" s="58"/>
      <c r="Q239" s="58"/>
      <c r="R239" s="58"/>
      <c r="S239" s="58"/>
      <c r="T239" s="58"/>
      <c r="U239" s="58"/>
    </row>
    <row r="240" spans="14:21">
      <c r="N240" s="58"/>
      <c r="O240" s="58"/>
      <c r="P240" s="58"/>
      <c r="Q240" s="58"/>
      <c r="R240" s="58"/>
      <c r="S240" s="58"/>
      <c r="T240" s="58"/>
      <c r="U240" s="58"/>
    </row>
    <row r="241" spans="14:21">
      <c r="N241" s="58"/>
      <c r="O241" s="58"/>
      <c r="P241" s="58"/>
      <c r="Q241" s="58"/>
      <c r="R241" s="58"/>
      <c r="S241" s="58"/>
      <c r="T241" s="58"/>
      <c r="U241" s="58"/>
    </row>
    <row r="242" spans="14:21">
      <c r="N242" s="58"/>
      <c r="O242" s="58"/>
      <c r="P242" s="58"/>
      <c r="Q242" s="58"/>
      <c r="R242" s="58"/>
      <c r="S242" s="58"/>
      <c r="T242" s="58"/>
      <c r="U242" s="58"/>
    </row>
    <row r="243" spans="14:21">
      <c r="N243" s="58"/>
      <c r="O243" s="58"/>
      <c r="P243" s="58"/>
      <c r="Q243" s="58"/>
      <c r="R243" s="58"/>
      <c r="S243" s="58"/>
      <c r="T243" s="58"/>
      <c r="U243" s="58"/>
    </row>
    <row r="244" spans="14:21">
      <c r="N244" s="58"/>
      <c r="O244" s="58"/>
      <c r="P244" s="58"/>
      <c r="Q244" s="58"/>
      <c r="R244" s="58"/>
      <c r="S244" s="58"/>
      <c r="T244" s="58"/>
      <c r="U244" s="58"/>
    </row>
    <row r="245" spans="14:21">
      <c r="N245" s="58"/>
      <c r="O245" s="58"/>
      <c r="P245" s="58"/>
      <c r="Q245" s="58"/>
      <c r="R245" s="58"/>
      <c r="S245" s="58"/>
      <c r="T245" s="58"/>
      <c r="U245" s="58"/>
    </row>
    <row r="246" spans="14:21">
      <c r="N246" s="58"/>
      <c r="O246" s="58"/>
      <c r="P246" s="58"/>
      <c r="Q246" s="58"/>
      <c r="R246" s="58"/>
      <c r="S246" s="58"/>
      <c r="T246" s="58"/>
      <c r="U246" s="58"/>
    </row>
    <row r="247" spans="14:21">
      <c r="N247" s="58"/>
      <c r="O247" s="58"/>
      <c r="P247" s="58"/>
      <c r="Q247" s="58"/>
      <c r="R247" s="58"/>
      <c r="S247" s="58"/>
      <c r="T247" s="58"/>
      <c r="U247" s="58"/>
    </row>
    <row r="248" spans="14:21">
      <c r="N248" s="58"/>
      <c r="O248" s="58"/>
      <c r="P248" s="58"/>
      <c r="Q248" s="58"/>
      <c r="R248" s="58"/>
      <c r="S248" s="58"/>
      <c r="T248" s="58"/>
      <c r="U248" s="58"/>
    </row>
    <row r="249" spans="14:21">
      <c r="N249" s="58"/>
      <c r="O249" s="58"/>
      <c r="P249" s="58"/>
      <c r="Q249" s="58"/>
      <c r="R249" s="58"/>
      <c r="S249" s="58"/>
      <c r="T249" s="58"/>
      <c r="U249" s="58"/>
    </row>
    <row r="250" spans="14:21">
      <c r="N250" s="58"/>
      <c r="O250" s="58"/>
      <c r="P250" s="58"/>
      <c r="Q250" s="58"/>
      <c r="R250" s="58"/>
      <c r="S250" s="58"/>
      <c r="T250" s="58"/>
      <c r="U250" s="58"/>
    </row>
    <row r="251" spans="14:21">
      <c r="N251" s="58"/>
      <c r="O251" s="58"/>
      <c r="P251" s="58"/>
      <c r="Q251" s="58"/>
      <c r="R251" s="58"/>
      <c r="S251" s="58"/>
      <c r="T251" s="58"/>
      <c r="U251" s="58"/>
    </row>
    <row r="252" spans="14:21">
      <c r="N252" s="58"/>
      <c r="O252" s="58"/>
      <c r="P252" s="58"/>
      <c r="Q252" s="58"/>
      <c r="R252" s="58"/>
      <c r="S252" s="58"/>
      <c r="T252" s="58"/>
      <c r="U252" s="58"/>
    </row>
    <row r="253" spans="14:21">
      <c r="N253" s="58"/>
      <c r="O253" s="58"/>
      <c r="P253" s="58"/>
      <c r="Q253" s="58"/>
      <c r="R253" s="58"/>
      <c r="S253" s="58"/>
      <c r="T253" s="58"/>
      <c r="U253" s="58"/>
    </row>
    <row r="254" spans="14:21">
      <c r="N254" s="58"/>
      <c r="O254" s="58"/>
      <c r="P254" s="58"/>
      <c r="Q254" s="58"/>
      <c r="R254" s="58"/>
      <c r="S254" s="58"/>
      <c r="T254" s="58"/>
      <c r="U254" s="58"/>
    </row>
    <row r="255" spans="14:21">
      <c r="N255" s="58"/>
      <c r="O255" s="58"/>
      <c r="P255" s="58"/>
      <c r="Q255" s="58"/>
      <c r="R255" s="58"/>
      <c r="S255" s="58"/>
      <c r="T255" s="58"/>
      <c r="U255" s="58"/>
    </row>
    <row r="256" spans="14:21">
      <c r="N256" s="58"/>
      <c r="O256" s="58"/>
      <c r="P256" s="58"/>
      <c r="Q256" s="58"/>
      <c r="R256" s="58"/>
      <c r="S256" s="58"/>
      <c r="T256" s="58"/>
      <c r="U256" s="58"/>
    </row>
    <row r="257" spans="14:21">
      <c r="N257" s="58"/>
      <c r="O257" s="58"/>
      <c r="P257" s="58"/>
      <c r="Q257" s="58"/>
      <c r="R257" s="58"/>
      <c r="S257" s="58"/>
      <c r="T257" s="58"/>
      <c r="U257" s="58"/>
    </row>
    <row r="258" spans="14:21">
      <c r="N258" s="58"/>
      <c r="O258" s="58"/>
      <c r="P258" s="58"/>
      <c r="Q258" s="58"/>
      <c r="R258" s="58"/>
      <c r="S258" s="58"/>
      <c r="T258" s="58"/>
      <c r="U258" s="58"/>
    </row>
    <row r="259" spans="14:21">
      <c r="N259" s="58"/>
      <c r="O259" s="58"/>
      <c r="P259" s="58"/>
      <c r="Q259" s="58"/>
      <c r="R259" s="58"/>
      <c r="S259" s="58"/>
      <c r="T259" s="58"/>
      <c r="U259" s="58"/>
    </row>
    <row r="260" spans="14:21">
      <c r="N260" s="58"/>
      <c r="O260" s="58"/>
      <c r="P260" s="58"/>
      <c r="Q260" s="58"/>
      <c r="R260" s="58"/>
      <c r="S260" s="58"/>
      <c r="T260" s="58"/>
      <c r="U260" s="58"/>
    </row>
    <row r="261" spans="14:21">
      <c r="N261" s="58"/>
      <c r="O261" s="58"/>
      <c r="P261" s="58"/>
      <c r="Q261" s="58"/>
      <c r="R261" s="58"/>
      <c r="S261" s="58"/>
      <c r="T261" s="58"/>
      <c r="U261" s="58"/>
    </row>
    <row r="262" spans="14:21">
      <c r="N262" s="58"/>
      <c r="O262" s="58"/>
      <c r="P262" s="58"/>
      <c r="Q262" s="58"/>
      <c r="R262" s="58"/>
      <c r="S262" s="58"/>
      <c r="T262" s="58"/>
      <c r="U262" s="58"/>
    </row>
    <row r="263" spans="14:21">
      <c r="N263" s="58"/>
      <c r="O263" s="58"/>
      <c r="P263" s="58"/>
      <c r="Q263" s="58"/>
      <c r="R263" s="58"/>
      <c r="S263" s="58"/>
      <c r="T263" s="58"/>
      <c r="U263" s="58"/>
    </row>
    <row r="264" spans="14:21">
      <c r="N264" s="58"/>
      <c r="O264" s="58"/>
      <c r="P264" s="58"/>
      <c r="Q264" s="58"/>
      <c r="R264" s="58"/>
      <c r="S264" s="58"/>
      <c r="T264" s="58"/>
      <c r="U264" s="58"/>
    </row>
    <row r="265" spans="14:21">
      <c r="N265" s="58"/>
      <c r="O265" s="58"/>
      <c r="P265" s="58"/>
      <c r="Q265" s="58"/>
      <c r="R265" s="58"/>
      <c r="S265" s="58"/>
      <c r="T265" s="58"/>
      <c r="U265" s="58"/>
    </row>
    <row r="266" spans="14:21">
      <c r="N266" s="58"/>
      <c r="O266" s="58"/>
      <c r="P266" s="58"/>
      <c r="Q266" s="58"/>
      <c r="R266" s="58"/>
      <c r="S266" s="58"/>
      <c r="T266" s="58"/>
      <c r="U266" s="58"/>
    </row>
    <row r="267" spans="14:21">
      <c r="N267" s="58"/>
      <c r="O267" s="58"/>
      <c r="P267" s="58"/>
      <c r="Q267" s="58"/>
      <c r="R267" s="58"/>
      <c r="S267" s="58"/>
      <c r="T267" s="58"/>
      <c r="U267" s="58"/>
    </row>
    <row r="268" spans="14:21">
      <c r="N268" s="58"/>
      <c r="O268" s="58"/>
      <c r="P268" s="58"/>
      <c r="Q268" s="58"/>
      <c r="R268" s="58"/>
      <c r="S268" s="58"/>
      <c r="T268" s="58"/>
      <c r="U268" s="58"/>
    </row>
    <row r="269" spans="14:21">
      <c r="N269" s="58"/>
      <c r="O269" s="58"/>
      <c r="P269" s="58"/>
      <c r="Q269" s="58"/>
      <c r="R269" s="58"/>
      <c r="S269" s="58"/>
      <c r="T269" s="58"/>
      <c r="U269" s="58"/>
    </row>
    <row r="270" spans="14:21">
      <c r="N270" s="58"/>
      <c r="O270" s="58"/>
      <c r="P270" s="58"/>
      <c r="Q270" s="58"/>
      <c r="R270" s="58"/>
      <c r="S270" s="58"/>
      <c r="T270" s="58"/>
      <c r="U270" s="58"/>
    </row>
    <row r="271" spans="14:21">
      <c r="N271" s="58"/>
      <c r="O271" s="58"/>
      <c r="P271" s="58"/>
      <c r="Q271" s="58"/>
      <c r="R271" s="58"/>
      <c r="S271" s="58"/>
      <c r="T271" s="58"/>
      <c r="U271" s="58"/>
    </row>
    <row r="272" spans="14:21">
      <c r="N272" s="58"/>
      <c r="O272" s="58"/>
      <c r="P272" s="58"/>
      <c r="Q272" s="58"/>
      <c r="R272" s="58"/>
      <c r="S272" s="58"/>
      <c r="T272" s="58"/>
      <c r="U272" s="58"/>
    </row>
    <row r="273" spans="14:21">
      <c r="N273" s="58"/>
      <c r="O273" s="58"/>
      <c r="P273" s="58"/>
      <c r="Q273" s="58"/>
      <c r="R273" s="58"/>
      <c r="S273" s="58"/>
      <c r="T273" s="58"/>
      <c r="U273" s="58"/>
    </row>
    <row r="274" spans="14:21">
      <c r="N274" s="58"/>
      <c r="O274" s="58"/>
      <c r="P274" s="58"/>
      <c r="Q274" s="58"/>
      <c r="R274" s="58"/>
      <c r="S274" s="58"/>
      <c r="T274" s="58"/>
      <c r="U274" s="58"/>
    </row>
    <row r="275" spans="14:21">
      <c r="N275" s="58"/>
      <c r="O275" s="58"/>
      <c r="P275" s="58"/>
      <c r="Q275" s="58"/>
      <c r="R275" s="58"/>
      <c r="S275" s="58"/>
      <c r="T275" s="58"/>
      <c r="U275" s="58"/>
    </row>
    <row r="276" spans="14:21">
      <c r="N276" s="58"/>
      <c r="O276" s="58"/>
      <c r="P276" s="58"/>
      <c r="Q276" s="58"/>
      <c r="R276" s="58"/>
      <c r="S276" s="58"/>
      <c r="T276" s="58"/>
      <c r="U276" s="58"/>
    </row>
    <row r="277" spans="14:21">
      <c r="N277" s="58"/>
      <c r="O277" s="58"/>
      <c r="P277" s="58"/>
      <c r="Q277" s="58"/>
      <c r="R277" s="58"/>
      <c r="S277" s="58"/>
      <c r="T277" s="58"/>
      <c r="U277" s="58"/>
    </row>
    <row r="278" spans="14:21">
      <c r="N278" s="58"/>
      <c r="O278" s="58"/>
      <c r="P278" s="58"/>
      <c r="Q278" s="58"/>
      <c r="R278" s="58"/>
      <c r="S278" s="58"/>
      <c r="T278" s="58"/>
      <c r="U278" s="58"/>
    </row>
    <row r="279" spans="14:21">
      <c r="N279" s="58"/>
      <c r="O279" s="58"/>
      <c r="P279" s="58"/>
      <c r="Q279" s="58"/>
      <c r="R279" s="58"/>
      <c r="S279" s="58"/>
      <c r="T279" s="58"/>
      <c r="U279" s="58"/>
    </row>
    <row r="280" spans="14:21">
      <c r="N280" s="58"/>
      <c r="O280" s="58"/>
      <c r="P280" s="58"/>
      <c r="Q280" s="58"/>
      <c r="R280" s="58"/>
      <c r="S280" s="58"/>
      <c r="T280" s="58"/>
      <c r="U280" s="58"/>
    </row>
    <row r="281" spans="14:21">
      <c r="N281" s="58"/>
      <c r="O281" s="58"/>
      <c r="P281" s="58"/>
      <c r="Q281" s="58"/>
      <c r="R281" s="58"/>
      <c r="S281" s="58"/>
      <c r="T281" s="58"/>
      <c r="U281" s="58"/>
    </row>
    <row r="282" spans="14:21">
      <c r="N282" s="58"/>
      <c r="O282" s="58"/>
      <c r="P282" s="58"/>
      <c r="Q282" s="58"/>
      <c r="R282" s="58"/>
      <c r="S282" s="58"/>
      <c r="T282" s="58"/>
      <c r="U282" s="58"/>
    </row>
    <row r="283" spans="14:21">
      <c r="N283" s="58"/>
      <c r="O283" s="58"/>
      <c r="P283" s="58"/>
      <c r="Q283" s="58"/>
      <c r="R283" s="58"/>
      <c r="S283" s="58"/>
      <c r="T283" s="58"/>
      <c r="U283" s="58"/>
    </row>
    <row r="284" spans="14:21">
      <c r="N284" s="58"/>
      <c r="O284" s="58"/>
      <c r="P284" s="58"/>
      <c r="Q284" s="58"/>
      <c r="R284" s="58"/>
      <c r="S284" s="58"/>
      <c r="T284" s="58"/>
      <c r="U284" s="58"/>
    </row>
    <row r="285" spans="14:21">
      <c r="N285" s="58"/>
      <c r="O285" s="58"/>
      <c r="P285" s="58"/>
      <c r="Q285" s="58"/>
      <c r="R285" s="58"/>
      <c r="S285" s="58"/>
      <c r="T285" s="58"/>
      <c r="U285" s="58"/>
    </row>
    <row r="286" spans="14:21">
      <c r="N286" s="58"/>
      <c r="O286" s="58"/>
      <c r="P286" s="58"/>
      <c r="Q286" s="58"/>
      <c r="R286" s="58"/>
      <c r="S286" s="58"/>
      <c r="T286" s="58"/>
      <c r="U286" s="58"/>
    </row>
    <row r="287" spans="14:21">
      <c r="N287" s="58"/>
      <c r="O287" s="58"/>
      <c r="P287" s="58"/>
      <c r="Q287" s="58"/>
      <c r="R287" s="58"/>
      <c r="S287" s="58"/>
      <c r="T287" s="58"/>
      <c r="U287" s="58"/>
    </row>
    <row r="288" spans="14:21">
      <c r="N288" s="58"/>
      <c r="O288" s="58"/>
      <c r="P288" s="58"/>
      <c r="Q288" s="58"/>
      <c r="R288" s="58"/>
      <c r="S288" s="58"/>
      <c r="T288" s="58"/>
      <c r="U288" s="58"/>
    </row>
    <row r="289" spans="14:21">
      <c r="N289" s="58"/>
      <c r="O289" s="58"/>
      <c r="P289" s="58"/>
      <c r="Q289" s="58"/>
      <c r="R289" s="58"/>
      <c r="S289" s="58"/>
      <c r="T289" s="58"/>
      <c r="U289" s="58"/>
    </row>
    <row r="290" spans="14:21">
      <c r="N290" s="58"/>
      <c r="O290" s="58"/>
      <c r="P290" s="58"/>
      <c r="Q290" s="58"/>
      <c r="R290" s="58"/>
      <c r="S290" s="58"/>
      <c r="T290" s="58"/>
      <c r="U290" s="58"/>
    </row>
    <row r="291" spans="14:21">
      <c r="N291" s="58"/>
      <c r="O291" s="58"/>
      <c r="P291" s="58"/>
      <c r="Q291" s="58"/>
      <c r="R291" s="58"/>
      <c r="S291" s="58"/>
      <c r="T291" s="58"/>
      <c r="U291" s="58"/>
    </row>
    <row r="292" spans="14:21">
      <c r="N292" s="58"/>
      <c r="O292" s="58"/>
      <c r="P292" s="58"/>
      <c r="Q292" s="58"/>
      <c r="R292" s="58"/>
      <c r="S292" s="58"/>
      <c r="T292" s="58"/>
      <c r="U292" s="58"/>
    </row>
    <row r="293" spans="14:21">
      <c r="N293" s="58"/>
      <c r="O293" s="58"/>
      <c r="P293" s="58"/>
      <c r="Q293" s="58"/>
      <c r="R293" s="58"/>
      <c r="S293" s="58"/>
      <c r="T293" s="58"/>
      <c r="U293" s="58"/>
    </row>
    <row r="294" spans="14:21">
      <c r="N294" s="58"/>
      <c r="O294" s="58"/>
      <c r="P294" s="58"/>
      <c r="Q294" s="58"/>
      <c r="R294" s="58"/>
      <c r="S294" s="58"/>
      <c r="T294" s="58"/>
      <c r="U294" s="58"/>
    </row>
    <row r="295" spans="14:21">
      <c r="N295" s="58"/>
      <c r="O295" s="58"/>
      <c r="P295" s="58"/>
      <c r="Q295" s="58"/>
      <c r="R295" s="58"/>
      <c r="S295" s="58"/>
      <c r="T295" s="58"/>
      <c r="U295" s="58"/>
    </row>
    <row r="296" spans="14:21">
      <c r="N296" s="58"/>
      <c r="O296" s="58"/>
      <c r="P296" s="58"/>
      <c r="Q296" s="58"/>
      <c r="R296" s="58"/>
      <c r="S296" s="58"/>
      <c r="T296" s="58"/>
      <c r="U296" s="58"/>
    </row>
    <row r="297" spans="14:21">
      <c r="N297" s="58"/>
      <c r="O297" s="58"/>
      <c r="P297" s="58"/>
      <c r="Q297" s="58"/>
      <c r="R297" s="58"/>
      <c r="S297" s="58"/>
      <c r="T297" s="58"/>
      <c r="U297" s="58"/>
    </row>
    <row r="298" spans="14:21">
      <c r="N298" s="58"/>
      <c r="O298" s="58"/>
      <c r="P298" s="58"/>
      <c r="Q298" s="58"/>
      <c r="R298" s="58"/>
      <c r="S298" s="58"/>
      <c r="T298" s="58"/>
      <c r="U298" s="58"/>
    </row>
    <row r="299" spans="14:21">
      <c r="N299" s="58"/>
      <c r="O299" s="58"/>
      <c r="P299" s="58"/>
      <c r="Q299" s="58"/>
      <c r="R299" s="58"/>
      <c r="S299" s="58"/>
      <c r="T299" s="58"/>
      <c r="U299" s="58"/>
    </row>
    <row r="300" spans="14:21">
      <c r="N300" s="58"/>
      <c r="O300" s="58"/>
      <c r="P300" s="58"/>
      <c r="Q300" s="58"/>
      <c r="R300" s="58"/>
      <c r="S300" s="58"/>
      <c r="T300" s="58"/>
      <c r="U300" s="58"/>
    </row>
    <row r="301" spans="14:21">
      <c r="N301" s="58"/>
      <c r="O301" s="58"/>
      <c r="P301" s="58"/>
      <c r="Q301" s="58"/>
      <c r="R301" s="58"/>
      <c r="S301" s="58"/>
      <c r="T301" s="58"/>
      <c r="U301" s="58"/>
    </row>
    <row r="302" spans="14:21">
      <c r="N302" s="58"/>
      <c r="O302" s="58"/>
      <c r="P302" s="58"/>
      <c r="Q302" s="58"/>
      <c r="R302" s="58"/>
      <c r="S302" s="58"/>
      <c r="T302" s="58"/>
      <c r="U302" s="58"/>
    </row>
    <row r="303" spans="14:21">
      <c r="N303" s="58"/>
      <c r="O303" s="58"/>
      <c r="P303" s="58"/>
      <c r="Q303" s="58"/>
      <c r="R303" s="58"/>
      <c r="S303" s="58"/>
      <c r="T303" s="58"/>
      <c r="U303" s="58"/>
    </row>
    <row r="304" spans="14:21">
      <c r="N304" s="58"/>
      <c r="O304" s="58"/>
      <c r="P304" s="58"/>
      <c r="Q304" s="58"/>
      <c r="R304" s="58"/>
      <c r="S304" s="58"/>
      <c r="T304" s="58"/>
      <c r="U304" s="58"/>
    </row>
    <row r="305" spans="14:21">
      <c r="N305" s="58"/>
      <c r="O305" s="58"/>
      <c r="P305" s="58"/>
      <c r="Q305" s="58"/>
      <c r="R305" s="58"/>
      <c r="S305" s="58"/>
      <c r="T305" s="58"/>
      <c r="U305" s="58"/>
    </row>
    <row r="306" spans="14:21">
      <c r="N306" s="58"/>
      <c r="O306" s="58"/>
      <c r="P306" s="58"/>
      <c r="Q306" s="58"/>
      <c r="R306" s="58"/>
      <c r="S306" s="58"/>
      <c r="T306" s="58"/>
      <c r="U306" s="58"/>
    </row>
    <row r="307" spans="14:21">
      <c r="N307" s="58"/>
      <c r="O307" s="58"/>
      <c r="P307" s="58"/>
      <c r="Q307" s="58"/>
      <c r="R307" s="58"/>
      <c r="S307" s="58"/>
      <c r="T307" s="58"/>
      <c r="U307" s="58"/>
    </row>
    <row r="308" spans="14:21">
      <c r="N308" s="58"/>
      <c r="O308" s="58"/>
      <c r="P308" s="58"/>
      <c r="Q308" s="58"/>
      <c r="R308" s="58"/>
      <c r="S308" s="58"/>
      <c r="T308" s="58"/>
      <c r="U308" s="58"/>
    </row>
    <row r="309" spans="14:21">
      <c r="N309" s="58"/>
      <c r="O309" s="58"/>
      <c r="P309" s="58"/>
      <c r="Q309" s="58"/>
      <c r="R309" s="58"/>
      <c r="S309" s="58"/>
      <c r="T309" s="58"/>
      <c r="U309" s="58"/>
    </row>
    <row r="310" spans="14:21">
      <c r="N310" s="58"/>
      <c r="O310" s="58"/>
      <c r="P310" s="58"/>
      <c r="Q310" s="58"/>
      <c r="R310" s="58"/>
      <c r="S310" s="58"/>
      <c r="T310" s="58"/>
      <c r="U310" s="58"/>
    </row>
    <row r="311" spans="14:21">
      <c r="N311" s="58"/>
      <c r="O311" s="58"/>
      <c r="P311" s="58"/>
      <c r="Q311" s="58"/>
      <c r="R311" s="58"/>
      <c r="S311" s="58"/>
      <c r="T311" s="58"/>
      <c r="U311" s="58"/>
    </row>
    <row r="312" spans="14:21">
      <c r="N312" s="58"/>
      <c r="O312" s="58"/>
      <c r="P312" s="58"/>
      <c r="Q312" s="58"/>
      <c r="R312" s="58"/>
      <c r="S312" s="58"/>
      <c r="T312" s="58"/>
      <c r="U312" s="58"/>
    </row>
    <row r="313" spans="14:21">
      <c r="N313" s="58"/>
      <c r="O313" s="58"/>
      <c r="P313" s="58"/>
      <c r="Q313" s="58"/>
      <c r="R313" s="58"/>
      <c r="S313" s="58"/>
      <c r="T313" s="58"/>
      <c r="U313" s="58"/>
    </row>
    <row r="314" spans="14:21">
      <c r="N314" s="58"/>
      <c r="O314" s="58"/>
      <c r="P314" s="58"/>
      <c r="Q314" s="58"/>
      <c r="R314" s="58"/>
      <c r="S314" s="58"/>
      <c r="T314" s="58"/>
      <c r="U314" s="58"/>
    </row>
    <row r="315" spans="14:21">
      <c r="N315" s="58"/>
      <c r="O315" s="58"/>
      <c r="P315" s="58"/>
      <c r="Q315" s="58"/>
      <c r="R315" s="58"/>
      <c r="S315" s="58"/>
      <c r="T315" s="58"/>
      <c r="U315" s="58"/>
    </row>
    <row r="316" spans="14:21">
      <c r="N316" s="58"/>
      <c r="O316" s="58"/>
      <c r="P316" s="58"/>
      <c r="Q316" s="58"/>
      <c r="R316" s="58"/>
      <c r="S316" s="58"/>
      <c r="T316" s="58"/>
      <c r="U316" s="58"/>
    </row>
    <row r="317" spans="14:21">
      <c r="N317" s="58"/>
      <c r="O317" s="58"/>
      <c r="P317" s="58"/>
      <c r="Q317" s="58"/>
      <c r="R317" s="58"/>
      <c r="S317" s="58"/>
      <c r="T317" s="58"/>
      <c r="U317" s="58"/>
    </row>
    <row r="318" spans="14:21">
      <c r="N318" s="58"/>
      <c r="O318" s="58"/>
      <c r="P318" s="58"/>
      <c r="Q318" s="58"/>
      <c r="R318" s="58"/>
      <c r="S318" s="58"/>
      <c r="T318" s="58"/>
      <c r="U318" s="58"/>
    </row>
    <row r="319" spans="14:21">
      <c r="N319" s="58"/>
      <c r="O319" s="58"/>
      <c r="P319" s="58"/>
      <c r="Q319" s="58"/>
      <c r="R319" s="58"/>
      <c r="S319" s="58"/>
      <c r="T319" s="58"/>
      <c r="U319" s="58"/>
    </row>
    <row r="320" spans="14:21">
      <c r="N320" s="58"/>
      <c r="O320" s="58"/>
      <c r="P320" s="58"/>
      <c r="Q320" s="58"/>
      <c r="R320" s="58"/>
      <c r="S320" s="58"/>
      <c r="T320" s="58"/>
      <c r="U320" s="58"/>
    </row>
    <row r="321" spans="14:21">
      <c r="N321" s="58"/>
      <c r="O321" s="58"/>
      <c r="P321" s="58"/>
      <c r="Q321" s="58"/>
      <c r="R321" s="58"/>
      <c r="S321" s="58"/>
      <c r="T321" s="58"/>
      <c r="U321" s="58"/>
    </row>
    <row r="322" spans="14:21">
      <c r="N322" s="58"/>
      <c r="O322" s="58"/>
      <c r="P322" s="58"/>
      <c r="Q322" s="58"/>
      <c r="R322" s="58"/>
      <c r="S322" s="58"/>
      <c r="T322" s="58"/>
      <c r="U322" s="58"/>
    </row>
    <row r="323" spans="14:21">
      <c r="N323" s="58"/>
      <c r="O323" s="58"/>
      <c r="P323" s="58"/>
      <c r="Q323" s="58"/>
      <c r="R323" s="58"/>
      <c r="S323" s="58"/>
      <c r="T323" s="58"/>
      <c r="U323" s="58"/>
    </row>
    <row r="324" spans="14:21">
      <c r="N324" s="58"/>
      <c r="O324" s="58"/>
      <c r="P324" s="58"/>
      <c r="Q324" s="58"/>
      <c r="R324" s="58"/>
      <c r="S324" s="58"/>
      <c r="T324" s="58"/>
      <c r="U324" s="58"/>
    </row>
    <row r="325" spans="14:21">
      <c r="N325" s="58"/>
      <c r="O325" s="58"/>
      <c r="P325" s="58"/>
      <c r="Q325" s="58"/>
      <c r="R325" s="58"/>
      <c r="S325" s="58"/>
      <c r="T325" s="58"/>
      <c r="U325" s="58"/>
    </row>
    <row r="326" spans="14:21">
      <c r="N326" s="58"/>
      <c r="O326" s="58"/>
      <c r="P326" s="58"/>
      <c r="Q326" s="58"/>
      <c r="R326" s="58"/>
      <c r="S326" s="58"/>
      <c r="T326" s="58"/>
      <c r="U326" s="58"/>
    </row>
    <row r="327" spans="14:21">
      <c r="N327" s="58"/>
      <c r="O327" s="58"/>
      <c r="P327" s="58"/>
      <c r="Q327" s="58"/>
      <c r="R327" s="58"/>
      <c r="S327" s="58"/>
      <c r="T327" s="58"/>
      <c r="U327" s="58"/>
    </row>
    <row r="328" spans="14:21">
      <c r="N328" s="58"/>
      <c r="O328" s="58"/>
      <c r="P328" s="58"/>
      <c r="Q328" s="58"/>
      <c r="R328" s="58"/>
      <c r="S328" s="58"/>
      <c r="T328" s="58"/>
      <c r="U328" s="58"/>
    </row>
    <row r="329" spans="14:21">
      <c r="N329" s="58"/>
      <c r="O329" s="58"/>
      <c r="P329" s="58"/>
      <c r="Q329" s="58"/>
      <c r="R329" s="58"/>
      <c r="S329" s="58"/>
      <c r="T329" s="58"/>
      <c r="U329" s="58"/>
    </row>
    <row r="330" spans="14:21">
      <c r="N330" s="58"/>
      <c r="O330" s="58"/>
      <c r="P330" s="58"/>
      <c r="Q330" s="58"/>
      <c r="R330" s="58"/>
      <c r="S330" s="58"/>
      <c r="T330" s="58"/>
      <c r="U330" s="58"/>
    </row>
    <row r="331" spans="14:21">
      <c r="N331" s="58"/>
      <c r="O331" s="58"/>
      <c r="P331" s="58"/>
      <c r="Q331" s="58"/>
      <c r="R331" s="58"/>
      <c r="S331" s="58"/>
      <c r="T331" s="58"/>
      <c r="U331" s="58"/>
    </row>
    <row r="332" spans="14:21">
      <c r="N332" s="58"/>
      <c r="O332" s="58"/>
      <c r="P332" s="58"/>
      <c r="Q332" s="58"/>
      <c r="R332" s="58"/>
      <c r="S332" s="58"/>
      <c r="T332" s="58"/>
      <c r="U332" s="58"/>
    </row>
    <row r="333" spans="14:21">
      <c r="N333" s="58"/>
      <c r="O333" s="58"/>
      <c r="P333" s="58"/>
      <c r="Q333" s="58"/>
      <c r="R333" s="58"/>
      <c r="S333" s="58"/>
      <c r="T333" s="58"/>
      <c r="U333" s="58"/>
    </row>
    <row r="334" spans="14:21">
      <c r="N334" s="58"/>
      <c r="O334" s="58"/>
      <c r="P334" s="58"/>
      <c r="Q334" s="58"/>
      <c r="R334" s="58"/>
      <c r="S334" s="58"/>
      <c r="T334" s="58"/>
      <c r="U334" s="58"/>
    </row>
    <row r="335" spans="14:21">
      <c r="N335" s="58"/>
      <c r="O335" s="58"/>
      <c r="P335" s="58"/>
      <c r="Q335" s="58"/>
      <c r="R335" s="58"/>
      <c r="S335" s="58"/>
      <c r="T335" s="58"/>
      <c r="U335" s="58"/>
    </row>
    <row r="336" spans="14:21">
      <c r="N336" s="58"/>
      <c r="O336" s="58"/>
      <c r="P336" s="58"/>
      <c r="Q336" s="58"/>
      <c r="R336" s="58"/>
      <c r="S336" s="58"/>
      <c r="T336" s="58"/>
      <c r="U336" s="58"/>
    </row>
    <row r="337" spans="14:21">
      <c r="N337" s="58"/>
      <c r="O337" s="58"/>
      <c r="P337" s="58"/>
      <c r="Q337" s="58"/>
      <c r="R337" s="58"/>
      <c r="S337" s="58"/>
      <c r="T337" s="58"/>
      <c r="U337" s="58"/>
    </row>
    <row r="338" spans="14:21">
      <c r="N338" s="58"/>
      <c r="O338" s="58"/>
      <c r="P338" s="58"/>
      <c r="Q338" s="58"/>
      <c r="R338" s="58"/>
      <c r="S338" s="58"/>
      <c r="T338" s="58"/>
      <c r="U338" s="58"/>
    </row>
    <row r="339" spans="14:21">
      <c r="N339" s="58"/>
      <c r="O339" s="58"/>
      <c r="P339" s="58"/>
      <c r="Q339" s="58"/>
      <c r="R339" s="58"/>
      <c r="S339" s="58"/>
      <c r="T339" s="58"/>
      <c r="U339" s="58"/>
    </row>
    <row r="340" spans="14:21">
      <c r="N340" s="58"/>
      <c r="O340" s="58"/>
      <c r="P340" s="58"/>
      <c r="Q340" s="58"/>
      <c r="R340" s="58"/>
      <c r="S340" s="58"/>
      <c r="T340" s="58"/>
      <c r="U340" s="58"/>
    </row>
    <row r="341" spans="14:21">
      <c r="N341" s="58"/>
      <c r="O341" s="58"/>
      <c r="P341" s="58"/>
      <c r="Q341" s="58"/>
      <c r="R341" s="58"/>
      <c r="S341" s="58"/>
      <c r="T341" s="58"/>
      <c r="U341" s="58"/>
    </row>
    <row r="342" spans="14:21">
      <c r="N342" s="58"/>
      <c r="O342" s="58"/>
      <c r="P342" s="58"/>
      <c r="Q342" s="58"/>
      <c r="R342" s="58"/>
      <c r="S342" s="58"/>
      <c r="T342" s="58"/>
      <c r="U342" s="58"/>
    </row>
    <row r="343" spans="14:21">
      <c r="N343" s="58"/>
      <c r="O343" s="58"/>
      <c r="P343" s="58"/>
      <c r="Q343" s="58"/>
      <c r="R343" s="58"/>
      <c r="S343" s="58"/>
      <c r="T343" s="58"/>
      <c r="U343" s="58"/>
    </row>
    <row r="344" spans="14:21">
      <c r="N344" s="58"/>
      <c r="O344" s="58"/>
      <c r="P344" s="58"/>
      <c r="Q344" s="58"/>
      <c r="R344" s="58"/>
      <c r="S344" s="58"/>
      <c r="T344" s="58"/>
      <c r="U344" s="58"/>
    </row>
    <row r="345" spans="14:21">
      <c r="N345" s="58"/>
      <c r="O345" s="58"/>
      <c r="P345" s="58"/>
      <c r="Q345" s="58"/>
      <c r="R345" s="58"/>
      <c r="S345" s="58"/>
      <c r="T345" s="58"/>
      <c r="U345" s="58"/>
    </row>
    <row r="346" spans="14:21">
      <c r="N346" s="58"/>
      <c r="O346" s="58"/>
      <c r="P346" s="58"/>
      <c r="Q346" s="58"/>
      <c r="R346" s="58"/>
      <c r="S346" s="58"/>
      <c r="T346" s="58"/>
      <c r="U346" s="58"/>
    </row>
    <row r="347" spans="14:21">
      <c r="N347" s="58"/>
      <c r="O347" s="58"/>
      <c r="P347" s="58"/>
      <c r="Q347" s="58"/>
      <c r="R347" s="58"/>
      <c r="S347" s="58"/>
      <c r="T347" s="58"/>
      <c r="U347" s="58"/>
    </row>
    <row r="348" spans="14:21">
      <c r="N348" s="58"/>
      <c r="O348" s="58"/>
      <c r="P348" s="58"/>
      <c r="Q348" s="58"/>
      <c r="R348" s="58"/>
      <c r="S348" s="58"/>
      <c r="T348" s="58"/>
      <c r="U348" s="58"/>
    </row>
    <row r="349" spans="14:21">
      <c r="N349" s="58"/>
      <c r="O349" s="58"/>
      <c r="P349" s="58"/>
      <c r="Q349" s="58"/>
      <c r="R349" s="58"/>
      <c r="S349" s="58"/>
      <c r="T349" s="58"/>
      <c r="U349" s="58"/>
    </row>
    <row r="350" spans="14:21">
      <c r="N350" s="58"/>
      <c r="O350" s="58"/>
      <c r="P350" s="58"/>
      <c r="Q350" s="58"/>
      <c r="R350" s="58"/>
      <c r="S350" s="58"/>
      <c r="T350" s="58"/>
      <c r="U350" s="58"/>
    </row>
    <row r="351" spans="14:21">
      <c r="N351" s="58"/>
      <c r="O351" s="58"/>
      <c r="P351" s="58"/>
      <c r="Q351" s="58"/>
      <c r="R351" s="58"/>
      <c r="S351" s="58"/>
      <c r="T351" s="58"/>
      <c r="U351" s="58"/>
    </row>
    <row r="352" spans="14:21">
      <c r="N352" s="58"/>
      <c r="O352" s="58"/>
      <c r="P352" s="58"/>
      <c r="Q352" s="58"/>
      <c r="R352" s="58"/>
      <c r="S352" s="58"/>
      <c r="T352" s="58"/>
      <c r="U352" s="58"/>
    </row>
    <row r="353" spans="14:21">
      <c r="N353" s="58"/>
      <c r="O353" s="58"/>
      <c r="P353" s="58"/>
      <c r="Q353" s="58"/>
      <c r="R353" s="58"/>
      <c r="S353" s="58"/>
      <c r="T353" s="58"/>
      <c r="U353" s="58"/>
    </row>
    <row r="354" spans="14:21">
      <c r="N354" s="58"/>
      <c r="O354" s="58"/>
      <c r="P354" s="58"/>
      <c r="Q354" s="58"/>
      <c r="R354" s="58"/>
      <c r="S354" s="58"/>
      <c r="T354" s="58"/>
      <c r="U354" s="58"/>
    </row>
    <row r="355" spans="14:21">
      <c r="N355" s="58"/>
      <c r="O355" s="58"/>
      <c r="P355" s="58"/>
      <c r="Q355" s="58"/>
      <c r="R355" s="58"/>
      <c r="S355" s="58"/>
      <c r="T355" s="58"/>
      <c r="U355" s="58"/>
    </row>
    <row r="356" spans="14:21">
      <c r="N356" s="58"/>
      <c r="O356" s="58"/>
      <c r="P356" s="58"/>
      <c r="Q356" s="58"/>
      <c r="R356" s="58"/>
      <c r="S356" s="58"/>
      <c r="T356" s="58"/>
      <c r="U356" s="58"/>
    </row>
    <row r="357" spans="14:21">
      <c r="N357" s="58"/>
      <c r="O357" s="58"/>
      <c r="P357" s="58"/>
      <c r="Q357" s="58"/>
      <c r="R357" s="58"/>
      <c r="S357" s="58"/>
      <c r="T357" s="58"/>
      <c r="U357" s="58"/>
    </row>
    <row r="358" spans="14:21">
      <c r="N358" s="58"/>
      <c r="O358" s="58"/>
      <c r="P358" s="58"/>
      <c r="Q358" s="58"/>
      <c r="R358" s="58"/>
      <c r="S358" s="58"/>
      <c r="T358" s="58"/>
      <c r="U358" s="58"/>
    </row>
    <row r="359" spans="14:21">
      <c r="N359" s="58"/>
      <c r="O359" s="58"/>
      <c r="P359" s="58"/>
      <c r="Q359" s="58"/>
      <c r="R359" s="58"/>
      <c r="S359" s="58"/>
      <c r="T359" s="58"/>
      <c r="U359" s="58"/>
    </row>
    <row r="360" spans="14:21">
      <c r="N360" s="58"/>
      <c r="O360" s="58"/>
      <c r="P360" s="58"/>
      <c r="Q360" s="58"/>
      <c r="R360" s="58"/>
      <c r="S360" s="58"/>
      <c r="T360" s="58"/>
      <c r="U360" s="58"/>
    </row>
    <row r="361" spans="14:21">
      <c r="N361" s="58"/>
      <c r="O361" s="58"/>
      <c r="P361" s="58"/>
      <c r="Q361" s="58"/>
      <c r="R361" s="58"/>
      <c r="S361" s="58"/>
      <c r="T361" s="58"/>
      <c r="U361" s="58"/>
    </row>
    <row r="362" spans="14:21">
      <c r="N362" s="58"/>
      <c r="O362" s="58"/>
      <c r="P362" s="58"/>
      <c r="Q362" s="58"/>
      <c r="R362" s="58"/>
      <c r="S362" s="58"/>
      <c r="T362" s="58"/>
      <c r="U362" s="58"/>
    </row>
    <row r="363" spans="14:21">
      <c r="N363" s="58"/>
      <c r="O363" s="58"/>
      <c r="P363" s="58"/>
      <c r="Q363" s="58"/>
      <c r="R363" s="58"/>
      <c r="S363" s="58"/>
      <c r="T363" s="58"/>
      <c r="U363" s="58"/>
    </row>
    <row r="364" spans="14:21">
      <c r="N364" s="58"/>
      <c r="O364" s="58"/>
      <c r="P364" s="58"/>
      <c r="Q364" s="58"/>
      <c r="R364" s="58"/>
      <c r="S364" s="58"/>
      <c r="T364" s="58"/>
      <c r="U364" s="58"/>
    </row>
    <row r="365" spans="14:21">
      <c r="N365" s="58"/>
      <c r="O365" s="58"/>
      <c r="P365" s="58"/>
      <c r="Q365" s="58"/>
      <c r="R365" s="58"/>
      <c r="S365" s="58"/>
      <c r="T365" s="58"/>
      <c r="U365" s="58"/>
    </row>
    <row r="366" spans="14:21">
      <c r="N366" s="58"/>
      <c r="O366" s="58"/>
      <c r="P366" s="58"/>
      <c r="Q366" s="58"/>
      <c r="R366" s="58"/>
      <c r="S366" s="58"/>
      <c r="T366" s="58"/>
      <c r="U366" s="58"/>
    </row>
    <row r="367" spans="14:21">
      <c r="N367" s="58"/>
      <c r="O367" s="58"/>
      <c r="P367" s="58"/>
      <c r="Q367" s="58"/>
      <c r="R367" s="58"/>
      <c r="S367" s="58"/>
      <c r="T367" s="58"/>
      <c r="U367" s="58"/>
    </row>
    <row r="368" spans="14:21">
      <c r="N368" s="58"/>
      <c r="O368" s="58"/>
      <c r="P368" s="58"/>
      <c r="Q368" s="58"/>
      <c r="R368" s="58"/>
      <c r="S368" s="58"/>
      <c r="T368" s="58"/>
      <c r="U368" s="58"/>
    </row>
    <row r="369" spans="14:21">
      <c r="N369" s="58"/>
      <c r="O369" s="58"/>
      <c r="P369" s="58"/>
      <c r="Q369" s="58"/>
      <c r="R369" s="58"/>
      <c r="S369" s="58"/>
      <c r="T369" s="58"/>
      <c r="U369" s="58"/>
    </row>
    <row r="370" spans="14:21">
      <c r="N370" s="58"/>
      <c r="O370" s="58"/>
      <c r="P370" s="58"/>
      <c r="Q370" s="58"/>
      <c r="R370" s="58"/>
      <c r="S370" s="58"/>
      <c r="T370" s="58"/>
      <c r="U370" s="58"/>
    </row>
    <row r="371" spans="14:21">
      <c r="N371" s="58"/>
      <c r="O371" s="58"/>
      <c r="P371" s="58"/>
      <c r="Q371" s="58"/>
      <c r="R371" s="58"/>
      <c r="S371" s="58"/>
      <c r="T371" s="58"/>
      <c r="U371" s="58"/>
    </row>
    <row r="372" spans="14:21">
      <c r="N372" s="58"/>
      <c r="O372" s="58"/>
      <c r="P372" s="58"/>
      <c r="Q372" s="58"/>
      <c r="R372" s="58"/>
      <c r="S372" s="58"/>
      <c r="T372" s="58"/>
      <c r="U372" s="58"/>
    </row>
    <row r="373" spans="14:21">
      <c r="N373" s="58"/>
      <c r="O373" s="58"/>
      <c r="P373" s="58"/>
      <c r="Q373" s="58"/>
      <c r="R373" s="58"/>
      <c r="S373" s="58"/>
      <c r="T373" s="58"/>
      <c r="U373" s="58"/>
    </row>
    <row r="374" spans="14:21">
      <c r="N374" s="58"/>
      <c r="O374" s="58"/>
      <c r="P374" s="58"/>
      <c r="Q374" s="58"/>
      <c r="R374" s="58"/>
      <c r="S374" s="58"/>
      <c r="T374" s="58"/>
      <c r="U374" s="58"/>
    </row>
    <row r="375" spans="14:21">
      <c r="N375" s="58"/>
      <c r="O375" s="58"/>
      <c r="P375" s="58"/>
      <c r="Q375" s="58"/>
      <c r="R375" s="58"/>
      <c r="S375" s="58"/>
      <c r="T375" s="58"/>
      <c r="U375" s="58"/>
    </row>
    <row r="376" spans="14:21">
      <c r="N376" s="58"/>
      <c r="O376" s="58"/>
      <c r="P376" s="58"/>
      <c r="Q376" s="58"/>
      <c r="R376" s="58"/>
      <c r="S376" s="58"/>
      <c r="T376" s="58"/>
      <c r="U376" s="58"/>
    </row>
    <row r="377" spans="14:21">
      <c r="N377" s="58"/>
      <c r="O377" s="58"/>
      <c r="P377" s="58"/>
      <c r="Q377" s="58"/>
      <c r="R377" s="58"/>
      <c r="S377" s="58"/>
      <c r="T377" s="58"/>
      <c r="U377" s="58"/>
    </row>
    <row r="378" spans="14:21">
      <c r="N378" s="58"/>
      <c r="O378" s="58"/>
      <c r="P378" s="58"/>
      <c r="Q378" s="58"/>
      <c r="R378" s="58"/>
      <c r="S378" s="58"/>
      <c r="T378" s="58"/>
      <c r="U378" s="58"/>
    </row>
    <row r="379" spans="14:21">
      <c r="N379" s="58"/>
      <c r="O379" s="58"/>
      <c r="P379" s="58"/>
      <c r="Q379" s="58"/>
      <c r="R379" s="58"/>
      <c r="S379" s="58"/>
      <c r="T379" s="58"/>
      <c r="U379" s="58"/>
    </row>
    <row r="380" spans="14:21">
      <c r="N380" s="58"/>
      <c r="O380" s="58"/>
      <c r="P380" s="58"/>
      <c r="Q380" s="58"/>
      <c r="R380" s="58"/>
      <c r="S380" s="58"/>
      <c r="T380" s="58"/>
      <c r="U380" s="58"/>
    </row>
    <row r="381" spans="14:21">
      <c r="N381" s="58"/>
      <c r="O381" s="58"/>
      <c r="P381" s="58"/>
      <c r="Q381" s="58"/>
      <c r="R381" s="58"/>
      <c r="S381" s="58"/>
      <c r="T381" s="58"/>
      <c r="U381" s="58"/>
    </row>
    <row r="382" spans="14:21">
      <c r="N382" s="58"/>
      <c r="O382" s="58"/>
      <c r="P382" s="58"/>
      <c r="Q382" s="58"/>
      <c r="R382" s="58"/>
      <c r="S382" s="58"/>
      <c r="T382" s="58"/>
      <c r="U382" s="58"/>
    </row>
    <row r="383" spans="14:21">
      <c r="N383" s="58"/>
      <c r="O383" s="58"/>
      <c r="P383" s="58"/>
      <c r="Q383" s="58"/>
      <c r="R383" s="58"/>
      <c r="S383" s="58"/>
      <c r="T383" s="58"/>
      <c r="U383" s="58"/>
    </row>
    <row r="384" spans="14:21">
      <c r="N384" s="58"/>
      <c r="O384" s="58"/>
      <c r="P384" s="58"/>
      <c r="Q384" s="58"/>
      <c r="R384" s="58"/>
      <c r="S384" s="58"/>
      <c r="T384" s="58"/>
      <c r="U384" s="58"/>
    </row>
    <row r="385" spans="14:21">
      <c r="N385" s="58"/>
      <c r="O385" s="58"/>
      <c r="P385" s="58"/>
      <c r="Q385" s="58"/>
      <c r="R385" s="58"/>
      <c r="S385" s="58"/>
      <c r="T385" s="58"/>
      <c r="U385" s="58"/>
    </row>
    <row r="386" spans="14:21">
      <c r="N386" s="58"/>
      <c r="O386" s="58"/>
      <c r="P386" s="58"/>
      <c r="Q386" s="58"/>
      <c r="R386" s="58"/>
      <c r="S386" s="58"/>
      <c r="T386" s="58"/>
      <c r="U386" s="58"/>
    </row>
    <row r="387" spans="14:21">
      <c r="N387" s="58"/>
      <c r="O387" s="58"/>
      <c r="P387" s="58"/>
      <c r="Q387" s="58"/>
      <c r="R387" s="58"/>
      <c r="S387" s="58"/>
      <c r="T387" s="58"/>
      <c r="U387" s="58"/>
    </row>
    <row r="388" spans="14:21">
      <c r="N388" s="58"/>
      <c r="O388" s="58"/>
      <c r="P388" s="58"/>
      <c r="Q388" s="58"/>
      <c r="R388" s="58"/>
      <c r="S388" s="58"/>
      <c r="T388" s="58"/>
      <c r="U388" s="58"/>
    </row>
    <row r="389" spans="14:21">
      <c r="N389" s="58"/>
      <c r="O389" s="58"/>
      <c r="P389" s="58"/>
      <c r="Q389" s="58"/>
      <c r="R389" s="58"/>
      <c r="S389" s="58"/>
      <c r="T389" s="58"/>
      <c r="U389" s="58"/>
    </row>
    <row r="390" spans="14:21">
      <c r="N390" s="58"/>
      <c r="O390" s="58"/>
      <c r="P390" s="58"/>
      <c r="Q390" s="58"/>
      <c r="R390" s="58"/>
      <c r="S390" s="58"/>
      <c r="T390" s="58"/>
      <c r="U390" s="58"/>
    </row>
    <row r="391" spans="14:21">
      <c r="N391" s="58"/>
      <c r="O391" s="58"/>
      <c r="P391" s="58"/>
      <c r="Q391" s="58"/>
      <c r="R391" s="58"/>
      <c r="S391" s="58"/>
      <c r="T391" s="58"/>
      <c r="U391" s="58"/>
    </row>
    <row r="392" spans="14:21">
      <c r="N392" s="58"/>
      <c r="O392" s="58"/>
      <c r="P392" s="58"/>
      <c r="Q392" s="58"/>
      <c r="R392" s="58"/>
      <c r="S392" s="58"/>
      <c r="T392" s="58"/>
      <c r="U392" s="58"/>
    </row>
    <row r="393" spans="14:21">
      <c r="N393" s="58"/>
      <c r="O393" s="58"/>
      <c r="P393" s="58"/>
      <c r="Q393" s="58"/>
      <c r="R393" s="58"/>
      <c r="S393" s="58"/>
      <c r="T393" s="58"/>
      <c r="U393" s="58"/>
    </row>
    <row r="394" spans="14:21">
      <c r="N394" s="58"/>
      <c r="O394" s="58"/>
      <c r="P394" s="58"/>
      <c r="Q394" s="58"/>
      <c r="R394" s="58"/>
      <c r="S394" s="58"/>
      <c r="T394" s="58"/>
      <c r="U394" s="58"/>
    </row>
    <row r="395" spans="14:21">
      <c r="N395" s="58"/>
      <c r="O395" s="58"/>
      <c r="P395" s="58"/>
      <c r="Q395" s="58"/>
      <c r="R395" s="58"/>
      <c r="S395" s="58"/>
      <c r="T395" s="58"/>
      <c r="U395" s="58"/>
    </row>
    <row r="396" spans="14:21">
      <c r="N396" s="58"/>
      <c r="O396" s="58"/>
      <c r="P396" s="58"/>
      <c r="Q396" s="58"/>
      <c r="R396" s="58"/>
      <c r="S396" s="58"/>
      <c r="T396" s="58"/>
      <c r="U396" s="58"/>
    </row>
    <row r="397" spans="14:21">
      <c r="N397" s="58"/>
      <c r="O397" s="58"/>
      <c r="P397" s="58"/>
      <c r="Q397" s="58"/>
      <c r="R397" s="58"/>
      <c r="S397" s="58"/>
      <c r="T397" s="58"/>
      <c r="U397" s="58"/>
    </row>
    <row r="398" spans="14:21">
      <c r="N398" s="58"/>
      <c r="O398" s="58"/>
      <c r="P398" s="58"/>
      <c r="Q398" s="58"/>
      <c r="R398" s="58"/>
      <c r="S398" s="58"/>
      <c r="T398" s="58"/>
      <c r="U398" s="58"/>
    </row>
    <row r="399" spans="14:21">
      <c r="N399" s="58"/>
      <c r="O399" s="58"/>
      <c r="P399" s="58"/>
      <c r="Q399" s="58"/>
      <c r="R399" s="58"/>
      <c r="S399" s="58"/>
      <c r="T399" s="58"/>
      <c r="U399" s="58"/>
    </row>
    <row r="400" spans="14:21">
      <c r="N400" s="58"/>
      <c r="O400" s="58"/>
      <c r="P400" s="58"/>
      <c r="Q400" s="58"/>
      <c r="R400" s="58"/>
      <c r="S400" s="58"/>
      <c r="T400" s="58"/>
      <c r="U400" s="58"/>
    </row>
    <row r="401" spans="14:21">
      <c r="N401" s="58"/>
      <c r="O401" s="58"/>
      <c r="P401" s="58"/>
      <c r="Q401" s="58"/>
      <c r="R401" s="58"/>
      <c r="S401" s="58"/>
      <c r="T401" s="58"/>
      <c r="U401" s="58"/>
    </row>
    <row r="402" spans="14:21">
      <c r="N402" s="58"/>
      <c r="O402" s="58"/>
      <c r="P402" s="58"/>
      <c r="Q402" s="58"/>
      <c r="R402" s="58"/>
      <c r="S402" s="58"/>
      <c r="T402" s="58"/>
      <c r="U402" s="58"/>
    </row>
    <row r="403" spans="14:21">
      <c r="N403" s="58"/>
      <c r="O403" s="58"/>
      <c r="P403" s="58"/>
      <c r="Q403" s="58"/>
      <c r="R403" s="58"/>
      <c r="S403" s="58"/>
      <c r="T403" s="58"/>
      <c r="U403" s="58"/>
    </row>
    <row r="404" spans="14:21">
      <c r="N404" s="58"/>
      <c r="O404" s="58"/>
      <c r="P404" s="58"/>
      <c r="Q404" s="58"/>
      <c r="R404" s="58"/>
      <c r="S404" s="58"/>
      <c r="T404" s="58"/>
      <c r="U404" s="58"/>
    </row>
    <row r="405" spans="14:21">
      <c r="N405" s="58"/>
      <c r="O405" s="58"/>
      <c r="P405" s="58"/>
      <c r="Q405" s="58"/>
      <c r="R405" s="58"/>
      <c r="S405" s="58"/>
      <c r="T405" s="58"/>
      <c r="U405" s="58"/>
    </row>
    <row r="406" spans="14:21">
      <c r="N406" s="58"/>
      <c r="O406" s="58"/>
      <c r="P406" s="58"/>
      <c r="Q406" s="58"/>
      <c r="R406" s="58"/>
      <c r="S406" s="58"/>
      <c r="T406" s="58"/>
      <c r="U406" s="58"/>
    </row>
    <row r="407" spans="14:21">
      <c r="N407" s="58"/>
      <c r="O407" s="58"/>
      <c r="P407" s="58"/>
      <c r="Q407" s="58"/>
      <c r="R407" s="58"/>
      <c r="S407" s="58"/>
      <c r="T407" s="58"/>
      <c r="U407" s="58"/>
    </row>
    <row r="408" spans="14:21">
      <c r="N408" s="58"/>
      <c r="O408" s="58"/>
      <c r="P408" s="58"/>
      <c r="Q408" s="58"/>
      <c r="R408" s="58"/>
      <c r="S408" s="58"/>
      <c r="T408" s="58"/>
      <c r="U408" s="58"/>
    </row>
    <row r="409" spans="14:21">
      <c r="N409" s="58"/>
      <c r="O409" s="58"/>
      <c r="P409" s="58"/>
      <c r="Q409" s="58"/>
      <c r="R409" s="58"/>
      <c r="S409" s="58"/>
      <c r="T409" s="58"/>
      <c r="U409" s="58"/>
    </row>
    <row r="410" spans="14:21">
      <c r="N410" s="58"/>
      <c r="O410" s="58"/>
      <c r="P410" s="58"/>
      <c r="Q410" s="58"/>
      <c r="R410" s="58"/>
      <c r="S410" s="58"/>
      <c r="T410" s="58"/>
      <c r="U410" s="58"/>
    </row>
    <row r="411" spans="14:21">
      <c r="N411" s="58"/>
      <c r="O411" s="58"/>
      <c r="P411" s="58"/>
      <c r="Q411" s="58"/>
      <c r="R411" s="58"/>
      <c r="S411" s="58"/>
      <c r="T411" s="58"/>
      <c r="U411" s="58"/>
    </row>
    <row r="412" spans="14:21">
      <c r="N412" s="58"/>
      <c r="O412" s="58"/>
      <c r="P412" s="58"/>
      <c r="Q412" s="58"/>
      <c r="R412" s="58"/>
      <c r="S412" s="58"/>
      <c r="T412" s="58"/>
      <c r="U412" s="58"/>
    </row>
    <row r="413" spans="14:21">
      <c r="N413" s="58"/>
      <c r="O413" s="58"/>
      <c r="P413" s="58"/>
      <c r="Q413" s="58"/>
      <c r="R413" s="58"/>
      <c r="S413" s="58"/>
      <c r="T413" s="58"/>
      <c r="U413" s="58"/>
    </row>
    <row r="414" spans="14:21">
      <c r="N414" s="58"/>
      <c r="O414" s="58"/>
      <c r="P414" s="58"/>
      <c r="Q414" s="58"/>
      <c r="R414" s="58"/>
      <c r="S414" s="58"/>
      <c r="T414" s="58"/>
      <c r="U414" s="58"/>
    </row>
    <row r="415" spans="14:21">
      <c r="N415" s="58"/>
      <c r="O415" s="58"/>
      <c r="P415" s="58"/>
      <c r="Q415" s="58"/>
      <c r="R415" s="58"/>
      <c r="S415" s="58"/>
      <c r="T415" s="58"/>
      <c r="U415" s="58"/>
    </row>
    <row r="416" spans="14:21">
      <c r="N416" s="58"/>
      <c r="O416" s="58"/>
      <c r="P416" s="58"/>
      <c r="Q416" s="58"/>
      <c r="R416" s="58"/>
      <c r="S416" s="58"/>
      <c r="T416" s="58"/>
      <c r="U416" s="58"/>
    </row>
    <row r="417" spans="14:21">
      <c r="N417" s="58"/>
      <c r="O417" s="58"/>
      <c r="P417" s="58"/>
      <c r="Q417" s="58"/>
      <c r="R417" s="58"/>
      <c r="S417" s="58"/>
      <c r="T417" s="58"/>
      <c r="U417" s="58"/>
    </row>
    <row r="418" spans="14:21">
      <c r="N418" s="58"/>
      <c r="O418" s="58"/>
      <c r="P418" s="58"/>
      <c r="Q418" s="58"/>
      <c r="R418" s="58"/>
      <c r="S418" s="58"/>
      <c r="T418" s="58"/>
      <c r="U418" s="58"/>
    </row>
    <row r="419" spans="14:21">
      <c r="N419" s="58"/>
      <c r="O419" s="58"/>
      <c r="P419" s="58"/>
      <c r="Q419" s="58"/>
      <c r="R419" s="58"/>
      <c r="S419" s="58"/>
      <c r="T419" s="58"/>
      <c r="U419" s="58"/>
    </row>
    <row r="420" spans="14:21">
      <c r="N420" s="58"/>
      <c r="O420" s="58"/>
      <c r="P420" s="58"/>
      <c r="Q420" s="58"/>
      <c r="R420" s="58"/>
      <c r="S420" s="58"/>
      <c r="T420" s="58"/>
      <c r="U420" s="58"/>
    </row>
    <row r="421" spans="14:21">
      <c r="N421" s="58"/>
      <c r="O421" s="58"/>
      <c r="P421" s="58"/>
      <c r="Q421" s="58"/>
      <c r="R421" s="58"/>
      <c r="S421" s="58"/>
      <c r="T421" s="58"/>
      <c r="U421" s="58"/>
    </row>
    <row r="422" spans="14:21">
      <c r="N422" s="58"/>
      <c r="O422" s="58"/>
      <c r="P422" s="58"/>
      <c r="Q422" s="58"/>
      <c r="R422" s="58"/>
      <c r="S422" s="58"/>
      <c r="T422" s="58"/>
      <c r="U422" s="58"/>
    </row>
    <row r="423" spans="14:21">
      <c r="N423" s="58"/>
      <c r="O423" s="58"/>
      <c r="P423" s="58"/>
      <c r="Q423" s="58"/>
      <c r="R423" s="58"/>
      <c r="S423" s="58"/>
      <c r="T423" s="58"/>
      <c r="U423" s="58"/>
    </row>
    <row r="424" spans="14:21">
      <c r="N424" s="58"/>
      <c r="O424" s="58"/>
      <c r="P424" s="58"/>
      <c r="Q424" s="58"/>
      <c r="R424" s="58"/>
      <c r="S424" s="58"/>
      <c r="T424" s="58"/>
      <c r="U424" s="58"/>
    </row>
    <row r="425" spans="14:21">
      <c r="N425" s="58"/>
      <c r="O425" s="58"/>
      <c r="P425" s="58"/>
      <c r="Q425" s="58"/>
      <c r="R425" s="58"/>
      <c r="S425" s="58"/>
      <c r="T425" s="58"/>
      <c r="U425" s="58"/>
    </row>
    <row r="426" spans="14:21">
      <c r="N426" s="58"/>
      <c r="O426" s="58"/>
      <c r="P426" s="58"/>
      <c r="Q426" s="58"/>
      <c r="R426" s="58"/>
      <c r="S426" s="58"/>
      <c r="T426" s="58"/>
      <c r="U426" s="58"/>
    </row>
    <row r="427" spans="14:21">
      <c r="N427" s="58"/>
      <c r="O427" s="58"/>
      <c r="P427" s="58"/>
      <c r="Q427" s="58"/>
      <c r="R427" s="58"/>
      <c r="S427" s="58"/>
      <c r="T427" s="58"/>
      <c r="U427" s="58"/>
    </row>
    <row r="428" spans="14:21">
      <c r="N428" s="58"/>
      <c r="O428" s="58"/>
      <c r="P428" s="58"/>
      <c r="Q428" s="58"/>
      <c r="R428" s="58"/>
      <c r="S428" s="58"/>
      <c r="T428" s="58"/>
      <c r="U428" s="58"/>
    </row>
    <row r="429" spans="14:21">
      <c r="N429" s="58"/>
      <c r="O429" s="58"/>
      <c r="P429" s="58"/>
      <c r="Q429" s="58"/>
      <c r="R429" s="58"/>
      <c r="S429" s="58"/>
      <c r="T429" s="58"/>
      <c r="U429" s="58"/>
    </row>
    <row r="430" spans="14:21">
      <c r="N430" s="58"/>
      <c r="O430" s="58"/>
      <c r="P430" s="58"/>
      <c r="Q430" s="58"/>
      <c r="R430" s="58"/>
      <c r="S430" s="58"/>
      <c r="T430" s="58"/>
      <c r="U430" s="58"/>
    </row>
    <row r="431" spans="14:21">
      <c r="N431" s="58"/>
      <c r="O431" s="58"/>
      <c r="P431" s="58"/>
      <c r="Q431" s="58"/>
      <c r="R431" s="58"/>
      <c r="S431" s="58"/>
      <c r="T431" s="58"/>
      <c r="U431" s="58"/>
    </row>
    <row r="432" spans="14:21">
      <c r="N432" s="58"/>
      <c r="O432" s="58"/>
      <c r="P432" s="58"/>
      <c r="Q432" s="58"/>
      <c r="R432" s="58"/>
      <c r="S432" s="58"/>
      <c r="T432" s="58"/>
      <c r="U432" s="58"/>
    </row>
    <row r="433" spans="14:21">
      <c r="N433" s="58"/>
      <c r="O433" s="58"/>
      <c r="P433" s="58"/>
      <c r="Q433" s="58"/>
      <c r="R433" s="58"/>
      <c r="S433" s="58"/>
      <c r="T433" s="58"/>
      <c r="U433" s="58"/>
    </row>
    <row r="434" spans="14:21">
      <c r="N434" s="58"/>
      <c r="O434" s="58"/>
      <c r="P434" s="58"/>
      <c r="Q434" s="58"/>
      <c r="R434" s="58"/>
      <c r="S434" s="58"/>
      <c r="T434" s="58"/>
      <c r="U434" s="58"/>
    </row>
    <row r="435" spans="14:21">
      <c r="N435" s="58"/>
      <c r="O435" s="58"/>
      <c r="P435" s="58"/>
      <c r="Q435" s="58"/>
      <c r="R435" s="58"/>
      <c r="S435" s="58"/>
      <c r="T435" s="58"/>
      <c r="U435" s="58"/>
    </row>
    <row r="436" spans="14:21">
      <c r="N436" s="58"/>
      <c r="O436" s="58"/>
      <c r="P436" s="58"/>
      <c r="Q436" s="58"/>
      <c r="R436" s="58"/>
      <c r="S436" s="58"/>
      <c r="T436" s="58"/>
      <c r="U436" s="58"/>
    </row>
    <row r="437" spans="14:21">
      <c r="N437" s="58"/>
      <c r="O437" s="58"/>
      <c r="P437" s="58"/>
      <c r="Q437" s="58"/>
      <c r="R437" s="58"/>
      <c r="S437" s="58"/>
      <c r="T437" s="58"/>
      <c r="U437" s="58"/>
    </row>
    <row r="438" spans="14:21">
      <c r="N438" s="58"/>
      <c r="O438" s="58"/>
      <c r="P438" s="58"/>
      <c r="Q438" s="58"/>
      <c r="R438" s="58"/>
      <c r="S438" s="58"/>
      <c r="T438" s="58"/>
      <c r="U438" s="58"/>
    </row>
    <row r="439" spans="14:21">
      <c r="N439" s="58"/>
      <c r="O439" s="58"/>
      <c r="P439" s="58"/>
      <c r="Q439" s="58"/>
      <c r="R439" s="58"/>
      <c r="S439" s="58"/>
      <c r="T439" s="58"/>
      <c r="U439" s="58"/>
    </row>
    <row r="440" spans="14:21">
      <c r="N440" s="58"/>
      <c r="O440" s="58"/>
      <c r="P440" s="58"/>
      <c r="Q440" s="58"/>
      <c r="R440" s="58"/>
      <c r="S440" s="58"/>
      <c r="T440" s="58"/>
      <c r="U440" s="58"/>
    </row>
    <row r="441" spans="14:21">
      <c r="N441" s="58"/>
      <c r="O441" s="58"/>
      <c r="P441" s="58"/>
      <c r="Q441" s="58"/>
      <c r="R441" s="58"/>
      <c r="S441" s="58"/>
      <c r="T441" s="58"/>
      <c r="U441" s="58"/>
    </row>
    <row r="442" spans="14:21">
      <c r="N442" s="58"/>
      <c r="O442" s="58"/>
      <c r="P442" s="58"/>
      <c r="Q442" s="58"/>
      <c r="R442" s="58"/>
      <c r="S442" s="58"/>
      <c r="T442" s="58"/>
      <c r="U442" s="58"/>
    </row>
    <row r="443" spans="14:21">
      <c r="N443" s="58"/>
      <c r="O443" s="58"/>
      <c r="P443" s="58"/>
      <c r="Q443" s="58"/>
      <c r="R443" s="58"/>
      <c r="S443" s="58"/>
      <c r="T443" s="58"/>
      <c r="U443" s="58"/>
    </row>
    <row r="444" spans="14:21">
      <c r="N444" s="58"/>
      <c r="O444" s="58"/>
      <c r="P444" s="58"/>
      <c r="Q444" s="58"/>
      <c r="R444" s="58"/>
      <c r="S444" s="58"/>
      <c r="T444" s="58"/>
      <c r="U444" s="58"/>
    </row>
    <row r="445" spans="14:21">
      <c r="N445" s="58"/>
      <c r="O445" s="58"/>
      <c r="P445" s="58"/>
      <c r="Q445" s="58"/>
      <c r="R445" s="58"/>
      <c r="S445" s="58"/>
      <c r="T445" s="58"/>
      <c r="U445" s="58"/>
    </row>
    <row r="446" spans="14:21">
      <c r="N446" s="58"/>
      <c r="O446" s="58"/>
      <c r="P446" s="58"/>
      <c r="Q446" s="58"/>
      <c r="R446" s="58"/>
      <c r="S446" s="58"/>
      <c r="T446" s="58"/>
      <c r="U446" s="58"/>
    </row>
    <row r="447" spans="14:21">
      <c r="N447" s="58"/>
      <c r="O447" s="58"/>
      <c r="P447" s="58"/>
      <c r="Q447" s="58"/>
      <c r="R447" s="58"/>
      <c r="S447" s="58"/>
      <c r="T447" s="58"/>
      <c r="U447" s="58"/>
    </row>
    <row r="448" spans="14:21">
      <c r="N448" s="58"/>
      <c r="O448" s="58"/>
      <c r="P448" s="58"/>
      <c r="Q448" s="58"/>
      <c r="R448" s="58"/>
      <c r="S448" s="58"/>
      <c r="T448" s="58"/>
      <c r="U448" s="58"/>
    </row>
    <row r="449" spans="14:21">
      <c r="N449" s="58"/>
      <c r="O449" s="58"/>
      <c r="P449" s="58"/>
      <c r="Q449" s="58"/>
      <c r="R449" s="58"/>
      <c r="S449" s="58"/>
      <c r="T449" s="58"/>
      <c r="U449" s="58"/>
    </row>
    <row r="450" spans="14:21">
      <c r="N450" s="58"/>
      <c r="O450" s="58"/>
      <c r="P450" s="58"/>
      <c r="Q450" s="58"/>
      <c r="R450" s="58"/>
      <c r="S450" s="58"/>
      <c r="T450" s="58"/>
      <c r="U450" s="58"/>
    </row>
    <row r="451" spans="14:21">
      <c r="N451" s="58"/>
      <c r="O451" s="58"/>
      <c r="P451" s="58"/>
      <c r="Q451" s="58"/>
      <c r="R451" s="58"/>
      <c r="S451" s="58"/>
      <c r="T451" s="58"/>
      <c r="U451" s="58"/>
    </row>
    <row r="452" spans="14:21">
      <c r="N452" s="58"/>
      <c r="O452" s="58"/>
      <c r="P452" s="58"/>
      <c r="Q452" s="58"/>
      <c r="R452" s="58"/>
      <c r="S452" s="58"/>
      <c r="T452" s="58"/>
      <c r="U452" s="58"/>
    </row>
    <row r="453" spans="14:21">
      <c r="N453" s="58"/>
      <c r="O453" s="58"/>
      <c r="P453" s="58"/>
      <c r="Q453" s="58"/>
      <c r="R453" s="58"/>
      <c r="S453" s="58"/>
      <c r="T453" s="58"/>
      <c r="U453" s="58"/>
    </row>
    <row r="454" spans="14:21">
      <c r="N454" s="58"/>
      <c r="O454" s="58"/>
      <c r="P454" s="58"/>
      <c r="Q454" s="58"/>
      <c r="R454" s="58"/>
      <c r="S454" s="58"/>
      <c r="T454" s="58"/>
      <c r="U454" s="58"/>
    </row>
    <row r="455" spans="14:21">
      <c r="N455" s="58"/>
      <c r="O455" s="58"/>
      <c r="P455" s="58"/>
      <c r="Q455" s="58"/>
      <c r="R455" s="58"/>
      <c r="S455" s="58"/>
      <c r="T455" s="58"/>
      <c r="U455" s="58"/>
    </row>
    <row r="456" spans="14:21">
      <c r="N456" s="58"/>
      <c r="O456" s="58"/>
      <c r="P456" s="58"/>
      <c r="Q456" s="58"/>
      <c r="R456" s="58"/>
      <c r="S456" s="58"/>
      <c r="T456" s="58"/>
      <c r="U456" s="58"/>
    </row>
    <row r="457" spans="14:21">
      <c r="N457" s="58"/>
      <c r="O457" s="58"/>
      <c r="P457" s="58"/>
      <c r="Q457" s="58"/>
      <c r="R457" s="58"/>
      <c r="S457" s="58"/>
      <c r="T457" s="58"/>
      <c r="U457" s="58"/>
    </row>
    <row r="458" spans="14:21">
      <c r="N458" s="58"/>
      <c r="O458" s="58"/>
      <c r="P458" s="58"/>
      <c r="Q458" s="58"/>
      <c r="R458" s="58"/>
      <c r="S458" s="58"/>
      <c r="T458" s="58"/>
      <c r="U458" s="58"/>
    </row>
    <row r="459" spans="14:21">
      <c r="N459" s="58"/>
      <c r="O459" s="58"/>
      <c r="P459" s="58"/>
      <c r="Q459" s="58"/>
      <c r="R459" s="58"/>
      <c r="S459" s="58"/>
      <c r="T459" s="58"/>
      <c r="U459" s="58"/>
    </row>
    <row r="460" spans="14:21">
      <c r="N460" s="58"/>
      <c r="O460" s="58"/>
      <c r="P460" s="58"/>
      <c r="Q460" s="58"/>
      <c r="R460" s="58"/>
      <c r="S460" s="58"/>
      <c r="T460" s="58"/>
      <c r="U460" s="58"/>
    </row>
    <row r="461" spans="14:21">
      <c r="N461" s="58"/>
      <c r="O461" s="58"/>
      <c r="P461" s="58"/>
      <c r="Q461" s="58"/>
      <c r="R461" s="58"/>
      <c r="S461" s="58"/>
      <c r="T461" s="58"/>
      <c r="U461" s="58"/>
    </row>
    <row r="462" spans="14:21">
      <c r="N462" s="58"/>
      <c r="O462" s="58"/>
      <c r="P462" s="58"/>
      <c r="Q462" s="58"/>
      <c r="R462" s="58"/>
      <c r="S462" s="58"/>
      <c r="T462" s="58"/>
      <c r="U462" s="58"/>
    </row>
    <row r="463" spans="14:21">
      <c r="N463" s="58"/>
      <c r="O463" s="58"/>
      <c r="P463" s="58"/>
      <c r="Q463" s="58"/>
      <c r="R463" s="58"/>
      <c r="S463" s="58"/>
      <c r="T463" s="58"/>
      <c r="U463" s="58"/>
    </row>
    <row r="464" spans="14:21">
      <c r="N464" s="58"/>
      <c r="O464" s="58"/>
      <c r="P464" s="58"/>
      <c r="Q464" s="58"/>
      <c r="R464" s="58"/>
      <c r="S464" s="58"/>
      <c r="T464" s="58"/>
      <c r="U464" s="58"/>
    </row>
    <row r="465" spans="14:21">
      <c r="N465" s="58"/>
      <c r="O465" s="58"/>
      <c r="P465" s="58"/>
      <c r="Q465" s="58"/>
      <c r="R465" s="58"/>
      <c r="S465" s="58"/>
      <c r="T465" s="58"/>
      <c r="U465" s="58"/>
    </row>
    <row r="466" spans="14:21">
      <c r="N466" s="58"/>
      <c r="O466" s="58"/>
      <c r="P466" s="58"/>
      <c r="Q466" s="58"/>
      <c r="R466" s="58"/>
      <c r="S466" s="58"/>
      <c r="T466" s="58"/>
      <c r="U466" s="58"/>
    </row>
    <row r="467" spans="14:21">
      <c r="N467" s="58"/>
      <c r="O467" s="58"/>
      <c r="P467" s="58"/>
      <c r="Q467" s="58"/>
      <c r="R467" s="58"/>
      <c r="S467" s="58"/>
      <c r="T467" s="58"/>
      <c r="U467" s="58"/>
    </row>
    <row r="468" spans="14:21">
      <c r="N468" s="58"/>
      <c r="O468" s="58"/>
      <c r="P468" s="58"/>
      <c r="Q468" s="58"/>
      <c r="R468" s="58"/>
      <c r="S468" s="58"/>
      <c r="T468" s="58"/>
      <c r="U468" s="58"/>
    </row>
    <row r="469" spans="14:21">
      <c r="N469" s="58"/>
      <c r="O469" s="58"/>
      <c r="P469" s="58"/>
      <c r="Q469" s="58"/>
      <c r="R469" s="58"/>
      <c r="S469" s="58"/>
      <c r="T469" s="58"/>
      <c r="U469" s="58"/>
    </row>
    <row r="470" spans="14:21">
      <c r="N470" s="58"/>
      <c r="O470" s="58"/>
      <c r="P470" s="58"/>
      <c r="Q470" s="58"/>
      <c r="S470" s="58"/>
      <c r="T470" s="58"/>
      <c r="U470" s="58"/>
    </row>
    <row r="471" spans="14:21">
      <c r="N471" s="58"/>
      <c r="O471" s="58"/>
      <c r="P471" s="58"/>
      <c r="Q471" s="58"/>
      <c r="S471" s="58"/>
      <c r="T471" s="58"/>
      <c r="U471" s="58"/>
    </row>
    <row r="472" spans="14:21">
      <c r="N472" s="58"/>
      <c r="O472" s="58"/>
      <c r="P472" s="58"/>
      <c r="Q472" s="58"/>
      <c r="S472" s="58"/>
      <c r="T472" s="58"/>
      <c r="U472" s="58"/>
    </row>
    <row r="473" spans="14:21">
      <c r="N473" s="58"/>
      <c r="O473" s="58"/>
      <c r="P473" s="58"/>
      <c r="Q473" s="58"/>
      <c r="S473" s="58"/>
      <c r="T473" s="58"/>
      <c r="U473" s="58"/>
    </row>
    <row r="474" spans="14:21">
      <c r="N474" s="58"/>
      <c r="O474" s="58"/>
      <c r="P474" s="58"/>
      <c r="Q474" s="58"/>
      <c r="S474" s="58"/>
      <c r="T474" s="58"/>
      <c r="U474" s="58"/>
    </row>
    <row r="475" spans="14:21">
      <c r="N475" s="58"/>
      <c r="O475" s="58"/>
      <c r="P475" s="58"/>
      <c r="Q475" s="58"/>
      <c r="S475" s="58"/>
      <c r="T475" s="58"/>
      <c r="U475" s="58"/>
    </row>
    <row r="476" spans="14:21">
      <c r="N476" s="58"/>
      <c r="O476" s="58"/>
      <c r="P476" s="58"/>
      <c r="Q476" s="58"/>
      <c r="S476" s="58"/>
      <c r="T476" s="58"/>
      <c r="U476" s="58"/>
    </row>
    <row r="477" spans="14:21">
      <c r="N477" s="58"/>
      <c r="O477" s="58"/>
      <c r="P477" s="58"/>
      <c r="Q477" s="58"/>
      <c r="S477" s="58"/>
      <c r="T477" s="58"/>
      <c r="U477" s="58"/>
    </row>
    <row r="478" spans="14:21">
      <c r="N478" s="58"/>
      <c r="O478" s="58"/>
      <c r="P478" s="58"/>
      <c r="Q478" s="58"/>
      <c r="S478" s="58"/>
      <c r="T478" s="58"/>
      <c r="U478" s="58"/>
    </row>
    <row r="479" spans="14:21">
      <c r="N479" s="58"/>
      <c r="O479" s="58"/>
      <c r="P479" s="58"/>
      <c r="Q479" s="58"/>
      <c r="S479" s="58"/>
      <c r="T479" s="58"/>
      <c r="U479" s="58"/>
    </row>
    <row r="480" spans="14:21">
      <c r="N480" s="58"/>
      <c r="O480" s="58"/>
      <c r="P480" s="58"/>
      <c r="Q480" s="58"/>
      <c r="S480" s="58"/>
      <c r="T480" s="58"/>
      <c r="U480" s="58"/>
    </row>
    <row r="481" spans="14:21">
      <c r="N481" s="58"/>
      <c r="O481" s="58"/>
      <c r="P481" s="58"/>
      <c r="Q481" s="58"/>
      <c r="S481" s="58"/>
      <c r="T481" s="58"/>
      <c r="U481" s="58"/>
    </row>
    <row r="482" spans="14:21">
      <c r="N482" s="58"/>
      <c r="O482" s="58"/>
      <c r="P482" s="58"/>
      <c r="Q482" s="58"/>
      <c r="S482" s="58"/>
      <c r="T482" s="58"/>
      <c r="U482" s="58"/>
    </row>
    <row r="483" spans="14:21">
      <c r="N483" s="58"/>
      <c r="O483" s="58"/>
      <c r="P483" s="58"/>
      <c r="Q483" s="58"/>
      <c r="S483" s="58"/>
      <c r="T483" s="58"/>
      <c r="U483" s="58"/>
    </row>
    <row r="484" spans="14:21">
      <c r="N484" s="58"/>
      <c r="O484" s="58"/>
      <c r="P484" s="58"/>
      <c r="Q484" s="58"/>
      <c r="S484" s="58"/>
      <c r="T484" s="58"/>
      <c r="U484" s="58"/>
    </row>
    <row r="485" spans="14:21">
      <c r="N485" s="58"/>
      <c r="O485" s="58"/>
      <c r="P485" s="58"/>
      <c r="Q485" s="58"/>
      <c r="S485" s="58"/>
      <c r="T485" s="58"/>
      <c r="U485" s="58"/>
    </row>
    <row r="486" spans="14:21">
      <c r="N486" s="58"/>
      <c r="O486" s="58"/>
      <c r="P486" s="58"/>
      <c r="Q486" s="58"/>
      <c r="S486" s="58"/>
      <c r="T486" s="58"/>
      <c r="U486" s="58"/>
    </row>
    <row r="487" spans="14:21">
      <c r="N487" s="58"/>
      <c r="O487" s="58"/>
      <c r="P487" s="58"/>
      <c r="Q487" s="58"/>
      <c r="S487" s="58"/>
      <c r="T487" s="58"/>
      <c r="U487" s="58"/>
    </row>
    <row r="488" spans="14:21">
      <c r="N488" s="58"/>
      <c r="O488" s="58"/>
      <c r="P488" s="58"/>
      <c r="Q488" s="58"/>
      <c r="S488" s="58"/>
      <c r="T488" s="58"/>
      <c r="U488" s="58"/>
    </row>
    <row r="489" spans="14:21">
      <c r="N489" s="58"/>
      <c r="O489" s="58"/>
      <c r="P489" s="58"/>
      <c r="Q489" s="58"/>
      <c r="S489" s="58"/>
      <c r="T489" s="58"/>
      <c r="U489" s="58"/>
    </row>
    <row r="490" spans="14:21">
      <c r="N490" s="58"/>
      <c r="O490" s="58"/>
      <c r="P490" s="58"/>
      <c r="Q490" s="58"/>
      <c r="S490" s="58"/>
      <c r="T490" s="58"/>
      <c r="U490" s="58"/>
    </row>
    <row r="491" spans="14:21">
      <c r="N491" s="58"/>
      <c r="O491" s="58"/>
      <c r="P491" s="58"/>
      <c r="Q491" s="58"/>
      <c r="S491" s="58"/>
      <c r="T491" s="58"/>
      <c r="U491" s="58"/>
    </row>
    <row r="492" spans="14:21">
      <c r="N492" s="58"/>
      <c r="O492" s="58"/>
      <c r="P492" s="58"/>
      <c r="Q492" s="58"/>
      <c r="S492" s="58"/>
      <c r="T492" s="58"/>
      <c r="U492" s="58"/>
    </row>
    <row r="493" spans="14:21">
      <c r="N493" s="58"/>
      <c r="O493" s="58"/>
      <c r="P493" s="58"/>
      <c r="Q493" s="58"/>
      <c r="S493" s="58"/>
      <c r="T493" s="58"/>
      <c r="U493" s="58"/>
    </row>
    <row r="494" spans="14:21">
      <c r="N494" s="58"/>
      <c r="O494" s="58"/>
      <c r="P494" s="58"/>
      <c r="Q494" s="58"/>
      <c r="S494" s="58"/>
      <c r="T494" s="58"/>
      <c r="U494" s="58"/>
    </row>
    <row r="495" spans="14:21">
      <c r="N495" s="58"/>
      <c r="O495" s="58"/>
      <c r="P495" s="58"/>
      <c r="Q495" s="58"/>
      <c r="S495" s="58"/>
      <c r="T495" s="58"/>
      <c r="U495" s="58"/>
    </row>
    <row r="496" spans="14:21">
      <c r="N496" s="58"/>
      <c r="O496" s="58"/>
      <c r="P496" s="58"/>
      <c r="Q496" s="58"/>
      <c r="S496" s="58"/>
      <c r="T496" s="58"/>
      <c r="U496" s="58"/>
    </row>
    <row r="497" spans="14:21">
      <c r="N497" s="58"/>
      <c r="O497" s="58"/>
      <c r="P497" s="58"/>
      <c r="Q497" s="58"/>
      <c r="S497" s="58"/>
      <c r="T497" s="58"/>
      <c r="U497" s="58"/>
    </row>
    <row r="498" spans="14:21">
      <c r="N498" s="58"/>
      <c r="O498" s="58"/>
      <c r="P498" s="58"/>
      <c r="Q498" s="58"/>
      <c r="S498" s="58"/>
      <c r="T498" s="58"/>
      <c r="U498" s="58"/>
    </row>
    <row r="499" spans="14:21">
      <c r="N499" s="58"/>
      <c r="O499" s="58"/>
      <c r="P499" s="58"/>
      <c r="Q499" s="58"/>
      <c r="S499" s="58"/>
      <c r="T499" s="58"/>
      <c r="U499" s="58"/>
    </row>
    <row r="500" spans="14:21">
      <c r="N500" s="58"/>
      <c r="O500" s="58"/>
      <c r="P500" s="58"/>
      <c r="Q500" s="58"/>
      <c r="S500" s="58"/>
      <c r="T500" s="58"/>
      <c r="U500" s="58"/>
    </row>
    <row r="501" spans="14:21">
      <c r="N501" s="58"/>
      <c r="O501" s="58"/>
      <c r="P501" s="58"/>
      <c r="Q501" s="58"/>
      <c r="S501" s="58"/>
      <c r="T501" s="58"/>
      <c r="U501" s="58"/>
    </row>
    <row r="502" spans="14:21">
      <c r="N502" s="58"/>
      <c r="O502" s="58"/>
      <c r="P502" s="58"/>
      <c r="Q502" s="58"/>
      <c r="S502" s="58"/>
      <c r="T502" s="58"/>
      <c r="U502" s="58"/>
    </row>
    <row r="503" spans="14:21">
      <c r="N503" s="58"/>
      <c r="O503" s="58"/>
      <c r="P503" s="58"/>
      <c r="Q503" s="58"/>
      <c r="S503" s="58"/>
      <c r="T503" s="58"/>
      <c r="U503" s="58"/>
    </row>
    <row r="504" spans="14:21">
      <c r="N504" s="58"/>
      <c r="O504" s="58"/>
      <c r="P504" s="58"/>
      <c r="Q504" s="58"/>
      <c r="S504" s="58"/>
      <c r="T504" s="58"/>
      <c r="U504" s="58"/>
    </row>
    <row r="505" spans="14:21">
      <c r="N505" s="58"/>
      <c r="O505" s="58"/>
      <c r="P505" s="58"/>
      <c r="Q505" s="58"/>
      <c r="S505" s="58"/>
      <c r="T505" s="58"/>
      <c r="U505" s="58"/>
    </row>
    <row r="506" spans="14:21">
      <c r="N506" s="58"/>
      <c r="O506" s="58"/>
      <c r="P506" s="58"/>
      <c r="Q506" s="58"/>
      <c r="S506" s="58"/>
      <c r="T506" s="58"/>
      <c r="U506" s="58"/>
    </row>
    <row r="507" spans="14:21">
      <c r="N507" s="58"/>
      <c r="O507" s="58"/>
      <c r="P507" s="58"/>
      <c r="Q507" s="58"/>
      <c r="S507" s="58"/>
      <c r="T507" s="58"/>
      <c r="U507" s="58"/>
    </row>
    <row r="508" spans="14:21">
      <c r="N508" s="58"/>
      <c r="O508" s="58"/>
      <c r="P508" s="58"/>
      <c r="Q508" s="58"/>
      <c r="S508" s="58"/>
      <c r="T508" s="58"/>
      <c r="U508" s="58"/>
    </row>
    <row r="509" spans="14:21">
      <c r="N509" s="58"/>
      <c r="O509" s="58"/>
      <c r="P509" s="58"/>
      <c r="Q509" s="58"/>
      <c r="S509" s="58"/>
      <c r="T509" s="58"/>
      <c r="U509" s="58"/>
    </row>
    <row r="510" spans="14:21">
      <c r="N510" s="58"/>
      <c r="O510" s="58"/>
      <c r="P510" s="58"/>
      <c r="Q510" s="58"/>
      <c r="S510" s="58"/>
      <c r="T510" s="58"/>
      <c r="U510" s="58"/>
    </row>
    <row r="511" spans="14:21">
      <c r="N511" s="58"/>
      <c r="O511" s="58"/>
      <c r="P511" s="58"/>
      <c r="Q511" s="58"/>
      <c r="S511" s="58"/>
      <c r="T511" s="58"/>
      <c r="U511" s="58"/>
    </row>
    <row r="512" spans="14:21">
      <c r="N512" s="58"/>
      <c r="O512" s="58"/>
      <c r="P512" s="58"/>
      <c r="Q512" s="58"/>
      <c r="S512" s="58"/>
      <c r="T512" s="58"/>
      <c r="U512" s="58"/>
    </row>
  </sheetData>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election activeCell="F49" sqref="F49"/>
    </sheetView>
  </sheetViews>
  <sheetFormatPr defaultColWidth="10.6640625" defaultRowHeight="12.75"/>
  <cols>
    <col min="1" max="1" width="40.33203125" style="239" customWidth="1"/>
    <col min="2" max="16" width="8.33203125" style="239" customWidth="1"/>
    <col min="17" max="16384" width="10.6640625" style="239"/>
  </cols>
  <sheetData>
    <row r="1" spans="1:16">
      <c r="A1" s="237" t="s">
        <v>373</v>
      </c>
      <c r="B1" s="237"/>
      <c r="C1" s="237"/>
      <c r="D1" s="237"/>
      <c r="E1" s="237"/>
      <c r="F1" s="237"/>
      <c r="G1" s="237"/>
      <c r="H1" s="237"/>
      <c r="I1" s="237"/>
      <c r="J1" s="237"/>
      <c r="K1" s="237"/>
      <c r="L1" s="237"/>
      <c r="M1" s="237"/>
      <c r="N1" s="237"/>
      <c r="O1" s="237"/>
      <c r="P1" s="237"/>
    </row>
    <row r="2" spans="1:16">
      <c r="A2" s="237" t="s">
        <v>1711</v>
      </c>
      <c r="B2" s="237"/>
      <c r="C2" s="237"/>
      <c r="D2" s="237"/>
      <c r="E2" s="237"/>
      <c r="F2" s="237"/>
      <c r="G2" s="237"/>
      <c r="H2" s="237"/>
      <c r="I2" s="237"/>
      <c r="J2" s="237"/>
      <c r="K2" s="237"/>
      <c r="L2" s="237"/>
      <c r="M2" s="237"/>
      <c r="N2" s="237"/>
      <c r="O2" s="237"/>
      <c r="P2" s="237"/>
    </row>
    <row r="3" spans="1:16">
      <c r="A3" s="240" t="s">
        <v>1712</v>
      </c>
      <c r="B3" s="240"/>
      <c r="C3" s="240"/>
      <c r="D3" s="240"/>
      <c r="E3" s="240"/>
      <c r="F3" s="240"/>
      <c r="G3" s="240"/>
      <c r="H3" s="240"/>
      <c r="I3" s="240"/>
      <c r="J3" s="240"/>
      <c r="K3" s="240"/>
      <c r="L3" s="240"/>
      <c r="M3" s="240"/>
      <c r="N3" s="240"/>
      <c r="O3" s="240"/>
      <c r="P3" s="240"/>
    </row>
    <row r="4" spans="1:16" ht="13.5" thickBot="1">
      <c r="A4" s="240"/>
      <c r="B4" s="240"/>
      <c r="C4" s="240"/>
      <c r="D4" s="240"/>
      <c r="E4" s="240"/>
      <c r="F4" s="240"/>
      <c r="G4" s="240"/>
      <c r="H4" s="240"/>
      <c r="I4" s="240"/>
      <c r="J4" s="240"/>
      <c r="K4" s="240"/>
      <c r="L4" s="240"/>
      <c r="M4" s="240"/>
      <c r="N4" s="240"/>
      <c r="O4" s="240"/>
      <c r="P4" s="240"/>
    </row>
    <row r="5" spans="1:16" ht="13.5" thickBot="1">
      <c r="A5" s="245" t="s">
        <v>958</v>
      </c>
      <c r="B5" s="290" t="s">
        <v>631</v>
      </c>
      <c r="C5" s="290" t="s">
        <v>632</v>
      </c>
      <c r="D5" s="290" t="s">
        <v>633</v>
      </c>
      <c r="E5" s="290" t="s">
        <v>634</v>
      </c>
      <c r="F5" s="290" t="s">
        <v>635</v>
      </c>
      <c r="G5" s="290" t="s">
        <v>1554</v>
      </c>
      <c r="H5" s="290" t="s">
        <v>1555</v>
      </c>
      <c r="I5" s="290" t="s">
        <v>1556</v>
      </c>
      <c r="J5" s="290" t="s">
        <v>1557</v>
      </c>
      <c r="K5" s="290" t="s">
        <v>1558</v>
      </c>
      <c r="L5" s="290" t="s">
        <v>1504</v>
      </c>
      <c r="M5" s="290" t="s">
        <v>1505</v>
      </c>
      <c r="N5" s="290" t="s">
        <v>1508</v>
      </c>
      <c r="O5" s="290" t="s">
        <v>1506</v>
      </c>
      <c r="P5" s="290" t="s">
        <v>1507</v>
      </c>
    </row>
    <row r="6" spans="1:16">
      <c r="A6" s="261"/>
      <c r="B6" s="261"/>
      <c r="C6" s="261"/>
      <c r="D6" s="261"/>
      <c r="E6" s="261"/>
      <c r="F6" s="261"/>
      <c r="G6" s="261"/>
      <c r="H6" s="261"/>
      <c r="I6" s="261"/>
      <c r="J6" s="261"/>
      <c r="K6" s="261"/>
      <c r="L6" s="261"/>
      <c r="M6" s="261"/>
      <c r="N6" s="261"/>
      <c r="O6" s="261"/>
      <c r="P6" s="261"/>
    </row>
    <row r="7" spans="1:16">
      <c r="A7" s="268" t="s">
        <v>970</v>
      </c>
      <c r="B7" s="291">
        <v>134818.29999999999</v>
      </c>
      <c r="C7" s="291">
        <v>140471.4</v>
      </c>
      <c r="D7" s="291">
        <v>159429.20000000001</v>
      </c>
      <c r="E7" s="291">
        <v>187701.2</v>
      </c>
      <c r="F7" s="291">
        <v>222114.7</v>
      </c>
      <c r="G7" s="291">
        <v>233085.6</v>
      </c>
      <c r="H7" s="291">
        <v>274044.79999999999</v>
      </c>
      <c r="I7" s="291">
        <v>293351.2</v>
      </c>
      <c r="J7" s="291">
        <v>323894.7</v>
      </c>
      <c r="K7" s="291">
        <v>354103.4</v>
      </c>
      <c r="L7" s="291">
        <v>353104.9</v>
      </c>
      <c r="M7" s="291">
        <v>335155.8</v>
      </c>
      <c r="N7" s="291">
        <v>321247.8</v>
      </c>
      <c r="O7" s="291">
        <v>315716</v>
      </c>
      <c r="P7" s="291">
        <v>378029.2</v>
      </c>
    </row>
    <row r="8" spans="1:16">
      <c r="A8" s="261"/>
      <c r="B8" s="269"/>
      <c r="C8" s="269"/>
      <c r="D8" s="269"/>
      <c r="E8" s="269"/>
      <c r="F8" s="269"/>
      <c r="G8" s="269"/>
      <c r="H8" s="269"/>
      <c r="I8" s="269"/>
      <c r="J8" s="269"/>
      <c r="K8" s="269"/>
      <c r="L8" s="269"/>
      <c r="M8" s="269"/>
      <c r="N8" s="269"/>
      <c r="O8" s="269"/>
      <c r="P8" s="269"/>
    </row>
    <row r="9" spans="1:16">
      <c r="A9" s="261" t="s">
        <v>971</v>
      </c>
      <c r="B9" s="269">
        <v>24057.1</v>
      </c>
      <c r="C9" s="269">
        <v>36250.6</v>
      </c>
      <c r="D9" s="269">
        <v>39534.1</v>
      </c>
      <c r="E9" s="269">
        <v>48902.7</v>
      </c>
      <c r="F9" s="269">
        <v>67787.600000000006</v>
      </c>
      <c r="G9" s="269">
        <v>60410.6</v>
      </c>
      <c r="H9" s="269">
        <v>77283.3</v>
      </c>
      <c r="I9" s="269">
        <v>83289.2</v>
      </c>
      <c r="J9" s="269">
        <v>103486.5</v>
      </c>
      <c r="K9" s="269">
        <v>107409.7</v>
      </c>
      <c r="L9" s="269">
        <v>76344</v>
      </c>
      <c r="M9" s="269">
        <v>42759.199999999997</v>
      </c>
      <c r="N9" s="269">
        <v>38664.6</v>
      </c>
      <c r="O9" s="269">
        <v>30443.5</v>
      </c>
      <c r="P9" s="269">
        <v>91335.3</v>
      </c>
    </row>
    <row r="10" spans="1:16">
      <c r="A10" s="261"/>
      <c r="B10" s="269"/>
      <c r="C10" s="269"/>
      <c r="D10" s="269"/>
      <c r="E10" s="269"/>
      <c r="F10" s="269"/>
      <c r="G10" s="269"/>
      <c r="H10" s="269"/>
      <c r="I10" s="269"/>
      <c r="J10" s="269"/>
      <c r="K10" s="269"/>
      <c r="L10" s="269"/>
      <c r="M10" s="269"/>
      <c r="N10" s="269"/>
      <c r="O10" s="269"/>
      <c r="P10" s="269"/>
    </row>
    <row r="11" spans="1:16">
      <c r="A11" s="273" t="s">
        <v>978</v>
      </c>
      <c r="B11" s="292">
        <v>33889.599999999999</v>
      </c>
      <c r="C11" s="292">
        <v>31250.400000000001</v>
      </c>
      <c r="D11" s="292">
        <v>36032.199999999997</v>
      </c>
      <c r="E11" s="292">
        <v>47058.5</v>
      </c>
      <c r="F11" s="292">
        <v>42526.6</v>
      </c>
      <c r="G11" s="292">
        <v>50819.1</v>
      </c>
      <c r="H11" s="292">
        <v>58581.9</v>
      </c>
      <c r="I11" s="292">
        <v>55391.1</v>
      </c>
      <c r="J11" s="292">
        <v>52349.1</v>
      </c>
      <c r="K11" s="292">
        <v>55023.3</v>
      </c>
      <c r="L11" s="292">
        <v>57586.5</v>
      </c>
      <c r="M11" s="292">
        <v>71282.8</v>
      </c>
      <c r="N11" s="292">
        <v>63873.3</v>
      </c>
      <c r="O11" s="292">
        <v>64677.3</v>
      </c>
      <c r="P11" s="292">
        <v>75343.3</v>
      </c>
    </row>
    <row r="12" spans="1:16">
      <c r="A12" s="261"/>
      <c r="B12" s="269"/>
      <c r="C12" s="269"/>
      <c r="D12" s="269"/>
      <c r="E12" s="269"/>
      <c r="F12" s="269"/>
      <c r="G12" s="269"/>
      <c r="H12" s="269"/>
      <c r="I12" s="269"/>
      <c r="J12" s="269"/>
      <c r="K12" s="269"/>
      <c r="L12" s="269"/>
      <c r="M12" s="269"/>
      <c r="N12" s="269"/>
      <c r="O12" s="269"/>
      <c r="P12" s="269"/>
    </row>
    <row r="13" spans="1:16">
      <c r="A13" s="261" t="s">
        <v>950</v>
      </c>
      <c r="B13" s="269">
        <v>2358.1999999999998</v>
      </c>
      <c r="C13" s="269">
        <v>2741.4</v>
      </c>
      <c r="D13" s="269">
        <v>3284.1</v>
      </c>
      <c r="E13" s="269">
        <v>4172.3</v>
      </c>
      <c r="F13" s="269">
        <v>7530.3</v>
      </c>
      <c r="G13" s="269">
        <v>8159</v>
      </c>
      <c r="H13" s="269">
        <v>13360.5</v>
      </c>
      <c r="I13" s="269">
        <v>16589.599999999999</v>
      </c>
      <c r="J13" s="269">
        <v>19384.900000000001</v>
      </c>
      <c r="K13" s="269">
        <v>23159.3</v>
      </c>
      <c r="L13" s="269">
        <v>24524.6</v>
      </c>
      <c r="M13" s="269">
        <v>20340.599999999999</v>
      </c>
      <c r="N13" s="269">
        <v>24385</v>
      </c>
      <c r="O13" s="269">
        <v>25520</v>
      </c>
      <c r="P13" s="269">
        <v>22511.5</v>
      </c>
    </row>
    <row r="14" spans="1:16">
      <c r="A14" s="261"/>
      <c r="B14" s="269"/>
      <c r="C14" s="269"/>
      <c r="D14" s="269"/>
      <c r="E14" s="269"/>
      <c r="F14" s="269"/>
      <c r="G14" s="269"/>
      <c r="H14" s="269"/>
      <c r="I14" s="269"/>
      <c r="J14" s="269"/>
      <c r="K14" s="269"/>
      <c r="L14" s="269"/>
      <c r="M14" s="269"/>
      <c r="N14" s="269"/>
      <c r="O14" s="269"/>
      <c r="P14" s="269"/>
    </row>
    <row r="15" spans="1:16">
      <c r="A15" s="261" t="s">
        <v>102</v>
      </c>
      <c r="B15" s="269">
        <v>64513.3</v>
      </c>
      <c r="C15" s="269">
        <v>70229.100000000006</v>
      </c>
      <c r="D15" s="269">
        <v>8578.9</v>
      </c>
      <c r="E15" s="269">
        <v>87567.7</v>
      </c>
      <c r="F15" s="269">
        <v>104270.3</v>
      </c>
      <c r="G15" s="269">
        <v>113696.8</v>
      </c>
      <c r="H15" s="269">
        <v>124818.5</v>
      </c>
      <c r="I15" s="269">
        <v>138081.4</v>
      </c>
      <c r="J15" s="269">
        <v>148674</v>
      </c>
      <c r="K15" s="269">
        <v>168511</v>
      </c>
      <c r="L15" s="269">
        <v>191436.79999999999</v>
      </c>
      <c r="M15" s="269">
        <v>189738.3</v>
      </c>
      <c r="N15" s="269">
        <v>186537.60000000001</v>
      </c>
      <c r="O15" s="269">
        <v>195075.20000000001</v>
      </c>
      <c r="P15" s="269">
        <v>188839.1</v>
      </c>
    </row>
    <row r="16" spans="1:16">
      <c r="A16" s="261"/>
      <c r="B16" s="269"/>
      <c r="C16" s="269"/>
      <c r="D16" s="269"/>
      <c r="E16" s="269"/>
      <c r="F16" s="269"/>
      <c r="G16" s="269"/>
      <c r="H16" s="269"/>
      <c r="I16" s="269"/>
      <c r="J16" s="269"/>
      <c r="K16" s="269"/>
      <c r="L16" s="269"/>
      <c r="M16" s="269"/>
      <c r="N16" s="269"/>
      <c r="O16" s="269"/>
      <c r="P16" s="269"/>
    </row>
    <row r="17" spans="1:16">
      <c r="A17" s="276" t="s">
        <v>374</v>
      </c>
      <c r="B17" s="269" t="s">
        <v>1229</v>
      </c>
      <c r="C17" s="269" t="s">
        <v>1229</v>
      </c>
      <c r="D17" s="269" t="s">
        <v>1229</v>
      </c>
      <c r="E17" s="269" t="s">
        <v>1229</v>
      </c>
      <c r="F17" s="269" t="s">
        <v>1229</v>
      </c>
      <c r="G17" s="269" t="s">
        <v>1229</v>
      </c>
      <c r="H17" s="269" t="s">
        <v>1229</v>
      </c>
      <c r="I17" s="269" t="s">
        <v>1229</v>
      </c>
      <c r="J17" s="269" t="s">
        <v>1229</v>
      </c>
      <c r="K17" s="269" t="s">
        <v>1229</v>
      </c>
      <c r="L17" s="269">
        <v>3212.8</v>
      </c>
      <c r="M17" s="269">
        <v>11035</v>
      </c>
      <c r="N17" s="269">
        <v>7787.3</v>
      </c>
      <c r="O17" s="269" t="s">
        <v>1229</v>
      </c>
      <c r="P17" s="269" t="s">
        <v>1229</v>
      </c>
    </row>
    <row r="18" spans="1:16">
      <c r="A18" s="276"/>
      <c r="B18" s="269"/>
      <c r="C18" s="269"/>
      <c r="D18" s="269"/>
      <c r="E18" s="269"/>
      <c r="F18" s="269"/>
      <c r="G18" s="269"/>
      <c r="H18" s="269"/>
      <c r="I18" s="269"/>
      <c r="J18" s="269"/>
      <c r="K18" s="269"/>
      <c r="L18" s="269"/>
      <c r="M18" s="269"/>
      <c r="N18" s="269"/>
      <c r="O18" s="269"/>
      <c r="P18" s="269"/>
    </row>
    <row r="19" spans="1:16">
      <c r="A19" s="282" t="s">
        <v>619</v>
      </c>
      <c r="B19" s="263">
        <v>14552</v>
      </c>
      <c r="C19" s="263">
        <v>17762</v>
      </c>
      <c r="D19" s="264">
        <v>22407.4</v>
      </c>
      <c r="E19" s="264">
        <v>23007.8</v>
      </c>
      <c r="F19" s="264">
        <v>26687.200000000001</v>
      </c>
      <c r="G19" s="264">
        <v>29683.4</v>
      </c>
      <c r="H19" s="264">
        <v>31603.5</v>
      </c>
      <c r="I19" s="264">
        <v>28423</v>
      </c>
      <c r="J19" s="264">
        <v>33832.400000000001</v>
      </c>
      <c r="K19" s="264">
        <v>37467.9</v>
      </c>
      <c r="L19" s="264">
        <v>39808.699999999997</v>
      </c>
      <c r="M19" s="264">
        <v>49999.8</v>
      </c>
      <c r="N19" s="264">
        <v>43405</v>
      </c>
      <c r="O19" s="264">
        <v>29779.1</v>
      </c>
      <c r="P19" s="264">
        <v>28862.1</v>
      </c>
    </row>
    <row r="20" spans="1:16">
      <c r="A20" s="261"/>
      <c r="B20" s="269"/>
      <c r="C20" s="269"/>
      <c r="D20" s="269"/>
      <c r="E20" s="269"/>
      <c r="F20" s="269"/>
      <c r="G20" s="269"/>
      <c r="H20" s="269"/>
      <c r="I20" s="269"/>
      <c r="J20" s="269"/>
      <c r="K20" s="269"/>
      <c r="L20" s="269"/>
      <c r="M20" s="269"/>
      <c r="N20" s="269"/>
      <c r="O20" s="269"/>
      <c r="P20" s="269"/>
    </row>
    <row r="21" spans="1:16">
      <c r="A21" s="261" t="s">
        <v>620</v>
      </c>
      <c r="B21" s="269">
        <v>3941.5</v>
      </c>
      <c r="C21" s="269">
        <v>5553.6</v>
      </c>
      <c r="D21" s="269">
        <v>8068</v>
      </c>
      <c r="E21" s="269">
        <v>8640.7999999999993</v>
      </c>
      <c r="F21" s="269">
        <v>10741.7</v>
      </c>
      <c r="G21" s="269">
        <v>12476.2</v>
      </c>
      <c r="H21" s="269">
        <v>11891.1</v>
      </c>
      <c r="I21" s="269">
        <v>11240.2</v>
      </c>
      <c r="J21" s="269">
        <v>10479.200000000001</v>
      </c>
      <c r="K21" s="269">
        <v>11268.5</v>
      </c>
      <c r="L21" s="269">
        <v>11696.4</v>
      </c>
      <c r="M21" s="269">
        <v>20464.5</v>
      </c>
      <c r="N21" s="269">
        <v>11561.1</v>
      </c>
      <c r="O21" s="269">
        <v>12017.1</v>
      </c>
      <c r="P21" s="269">
        <v>9113.6</v>
      </c>
    </row>
    <row r="22" spans="1:16">
      <c r="A22" s="261"/>
      <c r="B22" s="269"/>
      <c r="C22" s="269"/>
      <c r="D22" s="269"/>
      <c r="E22" s="269"/>
      <c r="F22" s="269"/>
      <c r="G22" s="269"/>
      <c r="H22" s="269"/>
      <c r="I22" s="269"/>
      <c r="J22" s="269"/>
      <c r="K22" s="269"/>
      <c r="L22" s="269"/>
      <c r="M22" s="269"/>
      <c r="N22" s="269"/>
      <c r="O22" s="269"/>
      <c r="P22" s="269"/>
    </row>
    <row r="23" spans="1:16">
      <c r="A23" s="276" t="s">
        <v>1115</v>
      </c>
      <c r="B23" s="269">
        <v>738.3</v>
      </c>
      <c r="C23" s="269">
        <v>317.10000000000002</v>
      </c>
      <c r="D23" s="269">
        <v>135</v>
      </c>
      <c r="E23" s="269">
        <v>398.6</v>
      </c>
      <c r="F23" s="269">
        <v>372.4</v>
      </c>
      <c r="G23" s="269">
        <v>459.5</v>
      </c>
      <c r="H23" s="269">
        <v>507.7</v>
      </c>
      <c r="I23" s="269">
        <v>580</v>
      </c>
      <c r="J23" s="269">
        <v>0</v>
      </c>
      <c r="K23" s="269">
        <v>1036.5999999999999</v>
      </c>
      <c r="L23" s="269">
        <v>436.6</v>
      </c>
      <c r="M23" s="269">
        <v>620.29999999999995</v>
      </c>
      <c r="N23" s="269">
        <v>777.9</v>
      </c>
      <c r="O23" s="269">
        <v>2047.8</v>
      </c>
      <c r="P23" s="269">
        <v>2548.1</v>
      </c>
    </row>
    <row r="24" spans="1:16">
      <c r="A24" s="273"/>
      <c r="B24" s="292"/>
      <c r="C24" s="292"/>
      <c r="D24" s="292"/>
      <c r="E24" s="292"/>
      <c r="F24" s="292"/>
      <c r="G24" s="292"/>
      <c r="H24" s="292"/>
      <c r="I24" s="292"/>
      <c r="J24" s="292"/>
      <c r="K24" s="292"/>
      <c r="L24" s="292"/>
      <c r="M24" s="292"/>
      <c r="N24" s="292"/>
      <c r="O24" s="292"/>
      <c r="P24" s="292"/>
    </row>
    <row r="25" spans="1:16">
      <c r="A25" s="261" t="s">
        <v>375</v>
      </c>
      <c r="B25" s="269">
        <v>5888</v>
      </c>
      <c r="C25" s="269">
        <v>8794</v>
      </c>
      <c r="D25" s="269">
        <v>10251.5</v>
      </c>
      <c r="E25" s="269">
        <v>11405.1</v>
      </c>
      <c r="F25" s="269">
        <v>11872.9</v>
      </c>
      <c r="G25" s="269">
        <v>12260.8</v>
      </c>
      <c r="H25" s="269">
        <v>12861.7</v>
      </c>
      <c r="I25" s="269">
        <v>9511.7000000000007</v>
      </c>
      <c r="J25" s="269">
        <v>14661.7</v>
      </c>
      <c r="K25" s="269">
        <v>14508.9</v>
      </c>
      <c r="L25" s="269">
        <v>15549</v>
      </c>
      <c r="M25" s="269">
        <v>13030.5</v>
      </c>
      <c r="N25" s="269">
        <v>8571.9</v>
      </c>
      <c r="O25" s="269">
        <v>5307.4</v>
      </c>
      <c r="P25" s="269">
        <v>4700</v>
      </c>
    </row>
    <row r="26" spans="1:16">
      <c r="A26" s="261"/>
      <c r="B26" s="269"/>
      <c r="C26" s="269"/>
      <c r="D26" s="269"/>
      <c r="E26" s="269"/>
      <c r="F26" s="269"/>
      <c r="G26" s="269"/>
      <c r="H26" s="269"/>
      <c r="I26" s="269"/>
      <c r="J26" s="269"/>
      <c r="K26" s="269"/>
      <c r="L26" s="269"/>
      <c r="M26" s="269"/>
      <c r="N26" s="269"/>
      <c r="O26" s="269"/>
      <c r="P26" s="269"/>
    </row>
    <row r="27" spans="1:16">
      <c r="A27" s="261" t="s">
        <v>672</v>
      </c>
      <c r="B27" s="269">
        <v>93.5</v>
      </c>
      <c r="C27" s="269">
        <v>122.1</v>
      </c>
      <c r="D27" s="269">
        <v>123.4</v>
      </c>
      <c r="E27" s="269">
        <v>152.69999999999999</v>
      </c>
      <c r="F27" s="269">
        <v>374.5</v>
      </c>
      <c r="G27" s="269">
        <v>396.4</v>
      </c>
      <c r="H27" s="269">
        <v>532.4</v>
      </c>
      <c r="I27" s="269">
        <v>626.1</v>
      </c>
      <c r="J27" s="269">
        <v>704.8</v>
      </c>
      <c r="K27" s="269">
        <v>976.3</v>
      </c>
      <c r="L27" s="269">
        <v>453.1</v>
      </c>
      <c r="M27" s="269">
        <v>419.8</v>
      </c>
      <c r="N27" s="269">
        <v>1522.7</v>
      </c>
      <c r="O27" s="269">
        <v>2391</v>
      </c>
      <c r="P27" s="269">
        <v>3624.6</v>
      </c>
    </row>
    <row r="28" spans="1:16">
      <c r="A28" s="261"/>
      <c r="B28" s="269"/>
      <c r="C28" s="269"/>
      <c r="D28" s="269"/>
      <c r="E28" s="269"/>
      <c r="F28" s="269"/>
      <c r="G28" s="269"/>
      <c r="H28" s="269"/>
      <c r="I28" s="269"/>
      <c r="J28" s="269"/>
      <c r="K28" s="269"/>
      <c r="L28" s="269"/>
      <c r="M28" s="269"/>
      <c r="N28" s="269"/>
      <c r="O28" s="269"/>
      <c r="P28" s="269"/>
    </row>
    <row r="29" spans="1:16">
      <c r="A29" s="261" t="s">
        <v>674</v>
      </c>
      <c r="B29" s="269">
        <v>869.7</v>
      </c>
      <c r="C29" s="269">
        <v>1005.6</v>
      </c>
      <c r="D29" s="269">
        <v>1072.7</v>
      </c>
      <c r="E29" s="269">
        <v>1221.4000000000001</v>
      </c>
      <c r="F29" s="269">
        <v>1587.5</v>
      </c>
      <c r="G29" s="269">
        <v>2264.9</v>
      </c>
      <c r="H29" s="269">
        <v>3767.7</v>
      </c>
      <c r="I29" s="269">
        <v>4788.7</v>
      </c>
      <c r="J29" s="269">
        <v>5733.8</v>
      </c>
      <c r="K29" s="269">
        <v>7177.9</v>
      </c>
      <c r="L29" s="269">
        <v>9377.4</v>
      </c>
      <c r="M29" s="269">
        <v>12954.2</v>
      </c>
      <c r="N29" s="269">
        <v>10292.5</v>
      </c>
      <c r="O29" s="269">
        <v>4716.8999999999996</v>
      </c>
      <c r="P29" s="269">
        <v>4668.3999999999996</v>
      </c>
    </row>
    <row r="30" spans="1:16">
      <c r="A30" s="261"/>
      <c r="B30" s="269"/>
      <c r="C30" s="269"/>
      <c r="D30" s="269"/>
      <c r="E30" s="269"/>
      <c r="F30" s="269"/>
      <c r="G30" s="269"/>
      <c r="H30" s="269"/>
      <c r="I30" s="269"/>
      <c r="J30" s="269"/>
      <c r="K30" s="269"/>
      <c r="L30" s="269"/>
      <c r="M30" s="269"/>
      <c r="N30" s="269"/>
      <c r="O30" s="269"/>
      <c r="P30" s="269"/>
    </row>
    <row r="31" spans="1:16">
      <c r="A31" s="261" t="s">
        <v>1484</v>
      </c>
      <c r="B31" s="269">
        <v>888.9</v>
      </c>
      <c r="C31" s="269">
        <v>602.6</v>
      </c>
      <c r="D31" s="269">
        <v>241.7</v>
      </c>
      <c r="E31" s="269">
        <v>265.39999999999998</v>
      </c>
      <c r="F31" s="269">
        <v>255.1</v>
      </c>
      <c r="G31" s="269">
        <v>765.5</v>
      </c>
      <c r="H31" s="269">
        <v>1218.5</v>
      </c>
      <c r="I31" s="269">
        <v>584.20000000000005</v>
      </c>
      <c r="J31" s="269">
        <v>1416.2</v>
      </c>
      <c r="K31" s="269">
        <v>1222.5</v>
      </c>
      <c r="L31" s="269">
        <v>1176.5999999999999</v>
      </c>
      <c r="M31" s="269">
        <v>986</v>
      </c>
      <c r="N31" s="269">
        <v>1021.3</v>
      </c>
      <c r="O31" s="269">
        <v>1236.4000000000001</v>
      </c>
      <c r="P31" s="269">
        <v>1632.1</v>
      </c>
    </row>
    <row r="32" spans="1:16">
      <c r="A32" s="261"/>
      <c r="B32" s="269"/>
      <c r="C32" s="269"/>
      <c r="D32" s="269"/>
      <c r="E32" s="269"/>
      <c r="F32" s="269"/>
      <c r="G32" s="269"/>
      <c r="H32" s="269"/>
      <c r="I32" s="269"/>
      <c r="J32" s="269"/>
      <c r="K32" s="269"/>
      <c r="L32" s="269"/>
      <c r="M32" s="269"/>
      <c r="N32" s="269"/>
      <c r="O32" s="269"/>
      <c r="P32" s="269"/>
    </row>
    <row r="33" spans="1:16">
      <c r="A33" s="261" t="s">
        <v>1490</v>
      </c>
      <c r="B33" s="269">
        <v>210.3</v>
      </c>
      <c r="C33" s="269">
        <v>287.10000000000002</v>
      </c>
      <c r="D33" s="269">
        <v>245.2</v>
      </c>
      <c r="E33" s="269">
        <v>423.7</v>
      </c>
      <c r="F33" s="269">
        <v>427.2</v>
      </c>
      <c r="G33" s="269">
        <v>469.9</v>
      </c>
      <c r="H33" s="269">
        <v>463.5</v>
      </c>
      <c r="I33" s="269">
        <v>511.8</v>
      </c>
      <c r="J33" s="269">
        <v>575.29999999999995</v>
      </c>
      <c r="K33" s="269">
        <v>645.29999999999995</v>
      </c>
      <c r="L33" s="269">
        <v>708.6</v>
      </c>
      <c r="M33" s="269">
        <v>794.1</v>
      </c>
      <c r="N33" s="269">
        <v>819.5</v>
      </c>
      <c r="O33" s="269">
        <v>1050.7</v>
      </c>
      <c r="P33" s="269">
        <v>1058.7</v>
      </c>
    </row>
    <row r="34" spans="1:16">
      <c r="A34" s="261"/>
      <c r="B34" s="269"/>
      <c r="C34" s="269"/>
      <c r="D34" s="269"/>
      <c r="E34" s="269"/>
      <c r="F34" s="269"/>
      <c r="G34" s="269"/>
      <c r="H34" s="269"/>
      <c r="I34" s="269"/>
      <c r="J34" s="269"/>
      <c r="K34" s="269"/>
      <c r="L34" s="269"/>
      <c r="M34" s="269"/>
      <c r="N34" s="269"/>
      <c r="O34" s="269"/>
      <c r="P34" s="269"/>
    </row>
    <row r="35" spans="1:16">
      <c r="A35" s="276" t="s">
        <v>847</v>
      </c>
      <c r="B35" s="269">
        <v>1921.8</v>
      </c>
      <c r="C35" s="269">
        <v>1079.9000000000001</v>
      </c>
      <c r="D35" s="269">
        <v>2169.9</v>
      </c>
      <c r="E35" s="269">
        <v>500.1</v>
      </c>
      <c r="F35" s="269">
        <v>1056</v>
      </c>
      <c r="G35" s="269">
        <v>590.1</v>
      </c>
      <c r="H35" s="269">
        <v>360.9</v>
      </c>
      <c r="I35" s="269">
        <v>580.29999999999995</v>
      </c>
      <c r="J35" s="269">
        <v>261</v>
      </c>
      <c r="K35" s="269">
        <v>631.79999999999995</v>
      </c>
      <c r="L35" s="269">
        <v>410.7</v>
      </c>
      <c r="M35" s="269">
        <v>730.5</v>
      </c>
      <c r="N35" s="269">
        <v>8838</v>
      </c>
      <c r="O35" s="269">
        <v>1011.2</v>
      </c>
      <c r="P35" s="269">
        <v>1516.6</v>
      </c>
    </row>
    <row r="36" spans="1:16">
      <c r="A36" s="261"/>
      <c r="B36" s="269"/>
      <c r="C36" s="269"/>
      <c r="D36" s="269"/>
      <c r="E36" s="269"/>
      <c r="F36" s="269"/>
      <c r="G36" s="269"/>
      <c r="H36" s="269"/>
      <c r="I36" s="269"/>
      <c r="J36" s="269"/>
      <c r="K36" s="269"/>
      <c r="L36" s="269"/>
      <c r="M36" s="269"/>
      <c r="N36" s="269"/>
      <c r="O36" s="269"/>
      <c r="P36" s="269"/>
    </row>
    <row r="37" spans="1:16">
      <c r="A37" s="282" t="s">
        <v>850</v>
      </c>
      <c r="B37" s="264">
        <v>76.599999999999994</v>
      </c>
      <c r="C37" s="264">
        <v>49</v>
      </c>
      <c r="D37" s="264">
        <v>190.1</v>
      </c>
      <c r="E37" s="264">
        <v>52.5</v>
      </c>
      <c r="F37" s="264">
        <v>1549.4</v>
      </c>
      <c r="G37" s="264">
        <v>287.7</v>
      </c>
      <c r="H37" s="264">
        <v>1244.4000000000001</v>
      </c>
      <c r="I37" s="264">
        <v>81.400000000000006</v>
      </c>
      <c r="J37" s="264">
        <v>209.2</v>
      </c>
      <c r="K37" s="264">
        <v>1199.0999999999999</v>
      </c>
      <c r="L37" s="264">
        <v>66.7</v>
      </c>
      <c r="M37" s="264">
        <v>608.5</v>
      </c>
      <c r="N37" s="264">
        <v>5887.6</v>
      </c>
      <c r="O37" s="264">
        <v>11381.6</v>
      </c>
      <c r="P37" s="264">
        <v>8807.2999999999993</v>
      </c>
    </row>
    <row r="38" spans="1:16">
      <c r="A38" s="261"/>
      <c r="B38" s="269"/>
      <c r="C38" s="269"/>
      <c r="D38" s="269"/>
      <c r="E38" s="269"/>
      <c r="F38" s="269"/>
      <c r="G38" s="269"/>
      <c r="H38" s="269"/>
      <c r="I38" s="269"/>
      <c r="J38" s="269"/>
      <c r="K38" s="269"/>
      <c r="L38" s="269"/>
      <c r="M38" s="269"/>
      <c r="N38" s="269"/>
      <c r="O38" s="269"/>
      <c r="P38" s="269"/>
    </row>
    <row r="39" spans="1:16">
      <c r="A39" s="261" t="s">
        <v>854</v>
      </c>
      <c r="B39" s="269">
        <v>0</v>
      </c>
      <c r="C39" s="269">
        <v>4.3</v>
      </c>
      <c r="D39" s="269">
        <v>1.2</v>
      </c>
      <c r="E39" s="269">
        <v>4.0999999999999996</v>
      </c>
      <c r="F39" s="269">
        <v>1.8</v>
      </c>
      <c r="G39" s="269">
        <v>2.9</v>
      </c>
      <c r="H39" s="269">
        <v>6.6</v>
      </c>
      <c r="I39" s="269">
        <v>3.8</v>
      </c>
      <c r="J39" s="269">
        <v>17.600000000000001</v>
      </c>
      <c r="K39" s="269">
        <v>8</v>
      </c>
      <c r="L39" s="269">
        <v>25.2</v>
      </c>
      <c r="M39" s="269">
        <v>10.7</v>
      </c>
      <c r="N39" s="269">
        <v>4.2</v>
      </c>
      <c r="O39" s="269">
        <v>0.8</v>
      </c>
      <c r="P39" s="269">
        <v>0</v>
      </c>
    </row>
    <row r="40" spans="1:16">
      <c r="A40" s="261"/>
      <c r="B40" s="269"/>
      <c r="C40" s="269"/>
      <c r="D40" s="269"/>
      <c r="E40" s="269"/>
      <c r="F40" s="269"/>
      <c r="G40" s="269"/>
      <c r="H40" s="269"/>
      <c r="I40" s="269"/>
      <c r="J40" s="269"/>
      <c r="K40" s="269"/>
      <c r="L40" s="269"/>
      <c r="M40" s="269"/>
      <c r="N40" s="269"/>
      <c r="O40" s="269"/>
      <c r="P40" s="269"/>
    </row>
    <row r="41" spans="1:16">
      <c r="A41" s="261" t="s">
        <v>570</v>
      </c>
      <c r="B41" s="269">
        <v>13.6</v>
      </c>
      <c r="C41" s="269">
        <v>15</v>
      </c>
      <c r="D41" s="269">
        <v>4.7</v>
      </c>
      <c r="E41" s="269">
        <v>20.399999999999999</v>
      </c>
      <c r="F41" s="269">
        <v>1512.9</v>
      </c>
      <c r="G41" s="269">
        <v>238.1</v>
      </c>
      <c r="H41" s="269">
        <v>910.3</v>
      </c>
      <c r="I41" s="269">
        <v>20.8</v>
      </c>
      <c r="J41" s="269">
        <v>185.7</v>
      </c>
      <c r="K41" s="269">
        <v>1175.8</v>
      </c>
      <c r="L41" s="269">
        <v>27.7</v>
      </c>
      <c r="M41" s="269">
        <v>594.5</v>
      </c>
      <c r="N41" s="269">
        <v>5837.2</v>
      </c>
      <c r="O41" s="269">
        <v>11380.7</v>
      </c>
      <c r="P41" s="269">
        <v>8807.2999999999993</v>
      </c>
    </row>
    <row r="42" spans="1:16">
      <c r="A42" s="261"/>
      <c r="B42" s="269"/>
      <c r="C42" s="269"/>
      <c r="D42" s="269"/>
      <c r="E42" s="269"/>
      <c r="F42" s="269"/>
      <c r="G42" s="269"/>
      <c r="H42" s="269"/>
      <c r="I42" s="269"/>
      <c r="J42" s="269"/>
      <c r="K42" s="269"/>
      <c r="L42" s="269"/>
      <c r="M42" s="269"/>
      <c r="N42" s="269"/>
      <c r="O42" s="269"/>
      <c r="P42" s="269"/>
    </row>
    <row r="43" spans="1:16">
      <c r="A43" s="282" t="s">
        <v>573</v>
      </c>
      <c r="B43" s="264">
        <v>2405.6999999999998</v>
      </c>
      <c r="C43" s="264">
        <v>2643.5</v>
      </c>
      <c r="D43" s="264">
        <v>2978.4</v>
      </c>
      <c r="E43" s="264">
        <v>4357.5</v>
      </c>
      <c r="F43" s="264">
        <v>4663</v>
      </c>
      <c r="G43" s="264">
        <v>7605.3</v>
      </c>
      <c r="H43" s="264">
        <v>8794</v>
      </c>
      <c r="I43" s="264">
        <v>5940.2</v>
      </c>
      <c r="J43" s="264">
        <v>6770.9</v>
      </c>
      <c r="K43" s="264">
        <v>5404.8</v>
      </c>
      <c r="L43" s="264">
        <v>7664.1</v>
      </c>
      <c r="M43" s="264">
        <v>12771.7</v>
      </c>
      <c r="N43" s="264">
        <v>5648.2</v>
      </c>
      <c r="O43" s="264">
        <v>9028.2999999999993</v>
      </c>
      <c r="P43" s="264">
        <v>5835.2</v>
      </c>
    </row>
    <row r="44" spans="1:16">
      <c r="A44" s="261"/>
      <c r="B44" s="269"/>
      <c r="C44" s="269"/>
      <c r="D44" s="269"/>
      <c r="E44" s="269"/>
      <c r="F44" s="269"/>
      <c r="G44" s="269"/>
      <c r="H44" s="269"/>
      <c r="I44" s="269"/>
      <c r="J44" s="269"/>
      <c r="K44" s="269"/>
      <c r="L44" s="269"/>
      <c r="M44" s="269"/>
      <c r="N44" s="269"/>
      <c r="O44" s="269"/>
      <c r="P44" s="269"/>
    </row>
    <row r="45" spans="1:16">
      <c r="A45" s="261" t="s">
        <v>574</v>
      </c>
      <c r="B45" s="269">
        <v>332.8</v>
      </c>
      <c r="C45" s="269">
        <v>337</v>
      </c>
      <c r="D45" s="269">
        <v>365.6</v>
      </c>
      <c r="E45" s="269">
        <v>546.70000000000005</v>
      </c>
      <c r="F45" s="269">
        <v>590.79999999999995</v>
      </c>
      <c r="G45" s="269">
        <v>698.7</v>
      </c>
      <c r="H45" s="269">
        <v>1378</v>
      </c>
      <c r="I45" s="269">
        <v>887.4</v>
      </c>
      <c r="J45" s="269">
        <v>2243.6</v>
      </c>
      <c r="K45" s="269">
        <v>979.9</v>
      </c>
      <c r="L45" s="269">
        <v>1289.5999999999999</v>
      </c>
      <c r="M45" s="269">
        <v>1047.9000000000001</v>
      </c>
      <c r="N45" s="269">
        <v>138.69999999999999</v>
      </c>
      <c r="O45" s="269">
        <v>811.2</v>
      </c>
      <c r="P45" s="269">
        <v>107.4</v>
      </c>
    </row>
    <row r="46" spans="1:16">
      <c r="A46" s="261"/>
      <c r="B46" s="269"/>
      <c r="C46" s="269"/>
      <c r="D46" s="269"/>
      <c r="E46" s="269"/>
      <c r="F46" s="269"/>
      <c r="G46" s="269"/>
      <c r="H46" s="269"/>
      <c r="I46" s="269"/>
      <c r="J46" s="269"/>
      <c r="K46" s="269"/>
      <c r="L46" s="269"/>
      <c r="M46" s="269"/>
      <c r="N46" s="269"/>
      <c r="O46" s="269"/>
      <c r="P46" s="269"/>
    </row>
    <row r="47" spans="1:16">
      <c r="A47" s="261" t="s">
        <v>581</v>
      </c>
      <c r="B47" s="269">
        <v>1040.3</v>
      </c>
      <c r="C47" s="269">
        <v>1231.0999999999999</v>
      </c>
      <c r="D47" s="269">
        <v>1417.7</v>
      </c>
      <c r="E47" s="269">
        <v>2223</v>
      </c>
      <c r="F47" s="269">
        <v>2435.6999999999998</v>
      </c>
      <c r="G47" s="269">
        <v>4900.7</v>
      </c>
      <c r="H47" s="269">
        <v>5208.7</v>
      </c>
      <c r="I47" s="269">
        <v>2496.6999999999998</v>
      </c>
      <c r="J47" s="269">
        <v>2622.1</v>
      </c>
      <c r="K47" s="269">
        <v>2042.2</v>
      </c>
      <c r="L47" s="269">
        <v>3810.1</v>
      </c>
      <c r="M47" s="269">
        <v>8730.2000000000007</v>
      </c>
      <c r="N47" s="269">
        <v>2355</v>
      </c>
      <c r="O47" s="269">
        <v>4481.1000000000004</v>
      </c>
      <c r="P47" s="269">
        <v>2617</v>
      </c>
    </row>
    <row r="48" spans="1:16">
      <c r="A48" s="261"/>
      <c r="B48" s="269"/>
      <c r="C48" s="269"/>
      <c r="D48" s="269"/>
      <c r="E48" s="269"/>
      <c r="F48" s="269"/>
      <c r="G48" s="269"/>
      <c r="H48" s="269"/>
      <c r="I48" s="269"/>
      <c r="J48" s="269"/>
      <c r="K48" s="269"/>
      <c r="L48" s="269"/>
      <c r="M48" s="269"/>
      <c r="N48" s="269"/>
      <c r="O48" s="269"/>
      <c r="P48" s="269"/>
    </row>
    <row r="49" spans="1:16">
      <c r="A49" s="261" t="s">
        <v>586</v>
      </c>
      <c r="B49" s="269">
        <v>612.4</v>
      </c>
      <c r="C49" s="269">
        <v>612.29999999999995</v>
      </c>
      <c r="D49" s="269">
        <v>710.6</v>
      </c>
      <c r="E49" s="269">
        <f>-F49-F49</f>
        <v>0</v>
      </c>
      <c r="F49" s="269">
        <v>0</v>
      </c>
      <c r="G49" s="269">
        <v>1178.5999999999999</v>
      </c>
      <c r="H49" s="269">
        <v>1510.5</v>
      </c>
      <c r="I49" s="269">
        <v>1817.4</v>
      </c>
      <c r="J49" s="269">
        <v>1719.6</v>
      </c>
      <c r="K49" s="269">
        <v>1918.9</v>
      </c>
      <c r="L49" s="269">
        <v>2133.8000000000002</v>
      </c>
      <c r="M49" s="269">
        <v>2337.4</v>
      </c>
      <c r="N49" s="269">
        <v>2738.7</v>
      </c>
      <c r="O49" s="269">
        <v>2558.3000000000002</v>
      </c>
      <c r="P49" s="269">
        <v>2609.9</v>
      </c>
    </row>
    <row r="50" spans="1:16">
      <c r="A50" s="261"/>
      <c r="B50" s="269"/>
      <c r="C50" s="269"/>
      <c r="D50" s="269"/>
      <c r="E50" s="269"/>
      <c r="F50" s="269"/>
      <c r="G50" s="269"/>
      <c r="H50" s="269"/>
      <c r="I50" s="269"/>
      <c r="J50" s="269"/>
      <c r="K50" s="269"/>
      <c r="L50" s="269"/>
      <c r="M50" s="269"/>
      <c r="N50" s="269"/>
      <c r="O50" s="269"/>
      <c r="P50" s="269"/>
    </row>
    <row r="51" spans="1:16">
      <c r="A51" s="261" t="s">
        <v>590</v>
      </c>
      <c r="B51" s="269">
        <v>79.900000000000006</v>
      </c>
      <c r="C51" s="269">
        <v>109.8</v>
      </c>
      <c r="D51" s="269">
        <v>153.19999999999999</v>
      </c>
      <c r="E51" s="269">
        <v>224.5</v>
      </c>
      <c r="F51" s="269">
        <v>287.3</v>
      </c>
      <c r="G51" s="269">
        <v>353.7</v>
      </c>
      <c r="H51" s="269">
        <v>402.2</v>
      </c>
      <c r="I51" s="269">
        <v>265.7</v>
      </c>
      <c r="J51" s="269">
        <v>11.9</v>
      </c>
      <c r="K51" s="269">
        <v>256.89999999999998</v>
      </c>
      <c r="L51" s="269">
        <v>302</v>
      </c>
      <c r="M51" s="269">
        <v>487.6</v>
      </c>
      <c r="N51" s="269">
        <v>235.5</v>
      </c>
      <c r="O51" s="269">
        <v>291.7</v>
      </c>
      <c r="P51" s="269">
        <v>238.2</v>
      </c>
    </row>
    <row r="52" spans="1:16">
      <c r="A52" s="261"/>
      <c r="B52" s="269"/>
      <c r="C52" s="269"/>
      <c r="D52" s="269"/>
      <c r="E52" s="269"/>
      <c r="F52" s="269"/>
      <c r="G52" s="269"/>
      <c r="H52" s="269"/>
      <c r="I52" s="269"/>
      <c r="J52" s="269"/>
      <c r="K52" s="269"/>
      <c r="L52" s="269"/>
      <c r="M52" s="269"/>
      <c r="N52" s="269"/>
      <c r="O52" s="269"/>
      <c r="P52" s="269"/>
    </row>
    <row r="53" spans="1:16">
      <c r="A53" s="261" t="s">
        <v>592</v>
      </c>
      <c r="B53" s="269">
        <v>340.3</v>
      </c>
      <c r="C53" s="269">
        <v>353.2</v>
      </c>
      <c r="D53" s="269">
        <v>331.4</v>
      </c>
      <c r="E53" s="269">
        <v>406.6</v>
      </c>
      <c r="F53" s="269">
        <v>385.5</v>
      </c>
      <c r="G53" s="269">
        <v>473.7</v>
      </c>
      <c r="H53" s="269">
        <v>294.5</v>
      </c>
      <c r="I53" s="269">
        <v>473</v>
      </c>
      <c r="J53" s="269">
        <v>173.5</v>
      </c>
      <c r="K53" s="269">
        <v>206.9</v>
      </c>
      <c r="L53" s="269">
        <v>128.4</v>
      </c>
      <c r="M53" s="269">
        <v>168.5</v>
      </c>
      <c r="N53" s="269">
        <v>180.3</v>
      </c>
      <c r="O53" s="269">
        <v>886</v>
      </c>
      <c r="P53" s="269">
        <v>262.8</v>
      </c>
    </row>
    <row r="54" spans="1:16">
      <c r="A54" s="261"/>
      <c r="B54" s="269"/>
      <c r="C54" s="269"/>
      <c r="D54" s="269"/>
      <c r="E54" s="269"/>
      <c r="F54" s="269"/>
      <c r="G54" s="269"/>
      <c r="H54" s="269"/>
      <c r="I54" s="269"/>
      <c r="J54" s="269"/>
      <c r="K54" s="269"/>
      <c r="L54" s="269"/>
      <c r="M54" s="269"/>
      <c r="N54" s="269"/>
      <c r="O54" s="269"/>
      <c r="P54" s="269"/>
    </row>
    <row r="55" spans="1:16">
      <c r="A55" s="286" t="s">
        <v>1551</v>
      </c>
      <c r="B55" s="264">
        <v>3434.1</v>
      </c>
      <c r="C55" s="264">
        <v>6205</v>
      </c>
      <c r="D55" s="264">
        <v>6275</v>
      </c>
      <c r="E55" s="264">
        <v>6046.5</v>
      </c>
      <c r="F55" s="264">
        <v>5581.4</v>
      </c>
      <c r="G55" s="264">
        <v>4437</v>
      </c>
      <c r="H55" s="264">
        <v>4418.3999999999996</v>
      </c>
      <c r="I55" s="264">
        <v>4756.1000000000004</v>
      </c>
      <c r="J55" s="264">
        <v>3000.1</v>
      </c>
      <c r="K55" s="264">
        <v>3377.3</v>
      </c>
      <c r="L55" s="264">
        <v>2841.9</v>
      </c>
      <c r="M55" s="264">
        <v>-810.5</v>
      </c>
      <c r="N55" s="264">
        <v>1542.6</v>
      </c>
      <c r="O55" s="264">
        <v>11019.9</v>
      </c>
      <c r="P55" s="264">
        <v>-769.1</v>
      </c>
    </row>
    <row r="56" spans="1:16">
      <c r="A56" s="273"/>
      <c r="B56" s="292"/>
      <c r="C56" s="292"/>
      <c r="D56" s="292"/>
      <c r="E56" s="292"/>
      <c r="F56" s="292"/>
      <c r="G56" s="292"/>
      <c r="H56" s="292"/>
      <c r="I56" s="292"/>
      <c r="J56" s="292"/>
      <c r="K56" s="292"/>
      <c r="L56" s="292"/>
      <c r="M56" s="292"/>
      <c r="N56" s="292"/>
      <c r="O56" s="292"/>
      <c r="P56" s="292"/>
    </row>
    <row r="57" spans="1:16">
      <c r="A57" s="276" t="s">
        <v>214</v>
      </c>
      <c r="B57" s="269">
        <v>4271.3999999999996</v>
      </c>
      <c r="C57" s="269">
        <v>4913.2</v>
      </c>
      <c r="D57" s="269">
        <v>5358.7</v>
      </c>
      <c r="E57" s="269">
        <v>5745.2</v>
      </c>
      <c r="F57" s="269">
        <v>4137.8</v>
      </c>
      <c r="G57" s="269">
        <v>3640.8</v>
      </c>
      <c r="H57" s="269">
        <v>3557.9</v>
      </c>
      <c r="I57" s="269">
        <v>3873.4</v>
      </c>
      <c r="J57" s="269">
        <v>1680.4</v>
      </c>
      <c r="K57" s="269">
        <v>1708.6</v>
      </c>
      <c r="L57" s="269">
        <v>2071.6</v>
      </c>
      <c r="M57" s="269">
        <v>2178.4</v>
      </c>
      <c r="N57" s="269">
        <v>1062</v>
      </c>
      <c r="O57" s="269">
        <v>14166.1</v>
      </c>
      <c r="P57" s="269">
        <v>1468.9</v>
      </c>
    </row>
    <row r="58" spans="1:16">
      <c r="A58" s="261"/>
      <c r="B58" s="269"/>
      <c r="C58" s="269"/>
      <c r="D58" s="269"/>
      <c r="E58" s="269"/>
      <c r="F58" s="269"/>
      <c r="G58" s="269"/>
      <c r="H58" s="269"/>
      <c r="I58" s="269"/>
      <c r="J58" s="269"/>
      <c r="K58" s="269"/>
      <c r="L58" s="269"/>
      <c r="M58" s="269"/>
      <c r="N58" s="269"/>
      <c r="O58" s="269"/>
      <c r="P58" s="269"/>
    </row>
    <row r="59" spans="1:16">
      <c r="A59" s="273" t="s">
        <v>67</v>
      </c>
      <c r="B59" s="292">
        <v>-837.3</v>
      </c>
      <c r="C59" s="292">
        <v>1291.8</v>
      </c>
      <c r="D59" s="292">
        <v>916.3</v>
      </c>
      <c r="E59" s="292">
        <v>301.3</v>
      </c>
      <c r="F59" s="292">
        <v>1443.6</v>
      </c>
      <c r="G59" s="292">
        <v>796.2</v>
      </c>
      <c r="H59" s="292">
        <v>860.5</v>
      </c>
      <c r="I59" s="292">
        <v>825.3</v>
      </c>
      <c r="J59" s="292">
        <v>1270.4000000000001</v>
      </c>
      <c r="K59" s="292">
        <v>1612.3</v>
      </c>
      <c r="L59" s="292">
        <v>726</v>
      </c>
      <c r="M59" s="292">
        <v>-3131.8</v>
      </c>
      <c r="N59" s="292">
        <v>398.7</v>
      </c>
      <c r="O59" s="292">
        <v>-3146.1</v>
      </c>
      <c r="P59" s="292">
        <v>-2238</v>
      </c>
    </row>
    <row r="60" spans="1:16">
      <c r="A60" s="276"/>
      <c r="B60" s="269"/>
      <c r="C60" s="269"/>
      <c r="D60" s="269"/>
      <c r="E60" s="269"/>
      <c r="F60" s="269"/>
      <c r="G60" s="269"/>
      <c r="H60" s="269"/>
      <c r="I60" s="269"/>
      <c r="J60" s="269"/>
      <c r="K60" s="269"/>
      <c r="L60" s="269"/>
      <c r="M60" s="269"/>
      <c r="N60" s="269"/>
      <c r="O60" s="269"/>
      <c r="P60" s="269"/>
    </row>
    <row r="61" spans="1:16">
      <c r="A61" s="268" t="s">
        <v>69</v>
      </c>
      <c r="B61" s="264" t="s">
        <v>1229</v>
      </c>
      <c r="C61" s="264" t="s">
        <v>1229</v>
      </c>
      <c r="D61" s="264" t="s">
        <v>1229</v>
      </c>
      <c r="E61" s="264" t="s">
        <v>1229</v>
      </c>
      <c r="F61" s="264" t="s">
        <v>1229</v>
      </c>
      <c r="G61" s="264" t="s">
        <v>1229</v>
      </c>
      <c r="H61" s="264" t="s">
        <v>1229</v>
      </c>
      <c r="I61" s="264" t="s">
        <v>1229</v>
      </c>
      <c r="J61" s="264" t="s">
        <v>1229</v>
      </c>
      <c r="K61" s="264" t="s">
        <v>1229</v>
      </c>
      <c r="L61" s="264" t="s">
        <v>1229</v>
      </c>
      <c r="M61" s="264" t="s">
        <v>1229</v>
      </c>
      <c r="N61" s="264" t="s">
        <v>1229</v>
      </c>
      <c r="O61" s="264" t="s">
        <v>1229</v>
      </c>
      <c r="P61" s="291">
        <v>103.1</v>
      </c>
    </row>
    <row r="62" spans="1:16">
      <c r="A62" s="273"/>
      <c r="B62" s="269"/>
      <c r="C62" s="292"/>
      <c r="D62" s="269"/>
      <c r="E62" s="292"/>
      <c r="F62" s="269"/>
      <c r="G62" s="292"/>
      <c r="H62" s="269"/>
      <c r="I62" s="292"/>
      <c r="J62" s="269"/>
      <c r="K62" s="292"/>
      <c r="L62" s="269"/>
      <c r="M62" s="292"/>
      <c r="N62" s="269"/>
      <c r="O62" s="292"/>
      <c r="P62" s="292"/>
    </row>
    <row r="63" spans="1:16">
      <c r="A63" s="273" t="s">
        <v>70</v>
      </c>
      <c r="B63" s="269" t="s">
        <v>1229</v>
      </c>
      <c r="C63" s="269" t="s">
        <v>1229</v>
      </c>
      <c r="D63" s="269" t="s">
        <v>1229</v>
      </c>
      <c r="E63" s="269" t="s">
        <v>1229</v>
      </c>
      <c r="F63" s="269" t="s">
        <v>1229</v>
      </c>
      <c r="G63" s="269" t="s">
        <v>1229</v>
      </c>
      <c r="H63" s="269" t="s">
        <v>1229</v>
      </c>
      <c r="I63" s="269" t="s">
        <v>1229</v>
      </c>
      <c r="J63" s="269" t="s">
        <v>1229</v>
      </c>
      <c r="K63" s="269" t="s">
        <v>1229</v>
      </c>
      <c r="L63" s="269" t="s">
        <v>1229</v>
      </c>
      <c r="M63" s="269" t="s">
        <v>1229</v>
      </c>
      <c r="N63" s="269" t="s">
        <v>1229</v>
      </c>
      <c r="O63" s="269" t="s">
        <v>1229</v>
      </c>
      <c r="P63" s="292">
        <v>103.1</v>
      </c>
    </row>
    <row r="64" spans="1:16">
      <c r="A64" s="276"/>
      <c r="B64" s="269"/>
      <c r="C64" s="269"/>
      <c r="D64" s="269"/>
      <c r="E64" s="269"/>
      <c r="F64" s="269"/>
      <c r="G64" s="269"/>
      <c r="H64" s="269"/>
      <c r="I64" s="269"/>
      <c r="J64" s="269"/>
      <c r="K64" s="269"/>
      <c r="L64" s="269"/>
      <c r="M64" s="269"/>
      <c r="N64" s="269"/>
      <c r="O64" s="269"/>
      <c r="P64" s="269"/>
    </row>
    <row r="65" spans="1:16">
      <c r="A65" s="286" t="s">
        <v>348</v>
      </c>
      <c r="B65" s="269" t="s">
        <v>1229</v>
      </c>
      <c r="C65" s="269" t="s">
        <v>1229</v>
      </c>
      <c r="D65" s="269" t="s">
        <v>1229</v>
      </c>
      <c r="E65" s="269" t="s">
        <v>1229</v>
      </c>
      <c r="F65" s="269" t="s">
        <v>1229</v>
      </c>
      <c r="G65" s="269" t="s">
        <v>1229</v>
      </c>
      <c r="H65" s="269" t="s">
        <v>1229</v>
      </c>
      <c r="I65" s="269" t="s">
        <v>1229</v>
      </c>
      <c r="J65" s="269" t="s">
        <v>1229</v>
      </c>
      <c r="K65" s="269" t="s">
        <v>1229</v>
      </c>
      <c r="L65" s="269" t="s">
        <v>1229</v>
      </c>
      <c r="M65" s="269" t="s">
        <v>1229</v>
      </c>
      <c r="N65" s="269" t="s">
        <v>1229</v>
      </c>
      <c r="O65" s="269" t="s">
        <v>1229</v>
      </c>
      <c r="P65" s="269">
        <v>2315.6999999999998</v>
      </c>
    </row>
    <row r="66" spans="1:16">
      <c r="A66" s="261"/>
      <c r="B66" s="269"/>
      <c r="C66" s="269"/>
      <c r="D66" s="269"/>
      <c r="E66" s="269"/>
      <c r="F66" s="269"/>
      <c r="G66" s="269"/>
      <c r="H66" s="269"/>
      <c r="I66" s="269"/>
      <c r="J66" s="269"/>
      <c r="K66" s="269"/>
      <c r="L66" s="269"/>
      <c r="M66" s="269"/>
      <c r="N66" s="269"/>
      <c r="O66" s="269"/>
      <c r="P66" s="269"/>
    </row>
    <row r="67" spans="1:16" ht="13.5" thickBot="1">
      <c r="A67" s="287" t="s">
        <v>203</v>
      </c>
      <c r="B67" s="288">
        <f t="shared" ref="B67:O67" si="0">B55+B43+B37+B19+B7</f>
        <v>155286.69999999998</v>
      </c>
      <c r="C67" s="288">
        <f t="shared" si="0"/>
        <v>167130.9</v>
      </c>
      <c r="D67" s="288">
        <f t="shared" si="0"/>
        <v>191280.1</v>
      </c>
      <c r="E67" s="288">
        <f t="shared" si="0"/>
        <v>221165.5</v>
      </c>
      <c r="F67" s="288">
        <f t="shared" si="0"/>
        <v>260595.7</v>
      </c>
      <c r="G67" s="288">
        <f t="shared" si="0"/>
        <v>275099</v>
      </c>
      <c r="H67" s="288">
        <f t="shared" si="0"/>
        <v>320105.09999999998</v>
      </c>
      <c r="I67" s="288">
        <f t="shared" si="0"/>
        <v>332551.90000000002</v>
      </c>
      <c r="J67" s="288">
        <f t="shared" si="0"/>
        <v>367707.30000000005</v>
      </c>
      <c r="K67" s="288">
        <f t="shared" si="0"/>
        <v>401552.5</v>
      </c>
      <c r="L67" s="288">
        <f t="shared" si="0"/>
        <v>403486.30000000005</v>
      </c>
      <c r="M67" s="288">
        <f t="shared" si="0"/>
        <v>397725.3</v>
      </c>
      <c r="N67" s="288">
        <f t="shared" si="0"/>
        <v>377731.2</v>
      </c>
      <c r="O67" s="288">
        <f t="shared" si="0"/>
        <v>376924.9</v>
      </c>
      <c r="P67" s="288">
        <f>P61+P55+P43+P37+P19+P7</f>
        <v>420867.8</v>
      </c>
    </row>
    <row r="68" spans="1:16">
      <c r="A68" s="261" t="s">
        <v>376</v>
      </c>
      <c r="B68" s="261"/>
      <c r="C68" s="261"/>
      <c r="D68" s="261"/>
      <c r="E68" s="261"/>
      <c r="F68" s="261"/>
      <c r="G68" s="261"/>
      <c r="H68" s="261"/>
      <c r="I68" s="261"/>
      <c r="J68" s="261"/>
      <c r="K68" s="261"/>
      <c r="L68" s="261"/>
      <c r="M68" s="261"/>
      <c r="N68" s="261"/>
      <c r="O68" s="261"/>
      <c r="P68" s="261"/>
    </row>
    <row r="69" spans="1:16">
      <c r="A69" s="282"/>
      <c r="B69" s="282"/>
      <c r="C69" s="282"/>
      <c r="D69" s="282"/>
      <c r="E69" s="282"/>
      <c r="F69" s="282"/>
      <c r="G69" s="282"/>
      <c r="H69" s="282"/>
      <c r="I69" s="282"/>
      <c r="J69" s="282"/>
      <c r="K69" s="282"/>
      <c r="L69" s="282"/>
      <c r="M69" s="282"/>
      <c r="N69" s="282"/>
      <c r="O69" s="282"/>
      <c r="P69" s="282"/>
    </row>
    <row r="70" spans="1:16">
      <c r="A70" s="261"/>
      <c r="B70" s="261"/>
      <c r="C70" s="261"/>
      <c r="D70" s="261"/>
      <c r="E70" s="261"/>
      <c r="F70" s="261"/>
      <c r="G70" s="261"/>
      <c r="H70" s="261"/>
      <c r="I70" s="261"/>
      <c r="J70" s="261"/>
      <c r="K70" s="261"/>
      <c r="L70" s="261"/>
      <c r="M70" s="261"/>
      <c r="N70" s="261"/>
      <c r="O70" s="261"/>
      <c r="P70" s="261"/>
    </row>
    <row r="71" spans="1:16">
      <c r="A71" s="261"/>
      <c r="B71" s="261"/>
      <c r="C71" s="261"/>
      <c r="D71" s="261"/>
      <c r="E71" s="261"/>
      <c r="F71" s="261"/>
      <c r="G71" s="261"/>
      <c r="H71" s="261"/>
      <c r="I71" s="261"/>
      <c r="J71" s="261"/>
      <c r="K71" s="261"/>
      <c r="L71" s="261"/>
      <c r="M71" s="261"/>
      <c r="N71" s="261"/>
      <c r="O71" s="261"/>
      <c r="P71" s="261"/>
    </row>
    <row r="72" spans="1:16">
      <c r="A72" s="261"/>
      <c r="B72" s="261"/>
      <c r="C72" s="261"/>
      <c r="D72" s="261"/>
      <c r="E72" s="261"/>
      <c r="F72" s="261"/>
      <c r="G72" s="261"/>
      <c r="H72" s="261"/>
      <c r="I72" s="261"/>
      <c r="J72" s="261"/>
      <c r="K72" s="261"/>
      <c r="L72" s="261"/>
      <c r="M72" s="261"/>
      <c r="N72" s="261"/>
      <c r="O72" s="261"/>
      <c r="P72" s="261"/>
    </row>
    <row r="73" spans="1:16">
      <c r="A73" s="261"/>
      <c r="B73" s="261"/>
      <c r="C73" s="261"/>
      <c r="D73" s="261"/>
      <c r="E73" s="261"/>
      <c r="F73" s="261"/>
      <c r="G73" s="261"/>
      <c r="H73" s="261"/>
      <c r="I73" s="261"/>
      <c r="J73" s="261"/>
      <c r="K73" s="261"/>
      <c r="L73" s="261"/>
      <c r="M73" s="261"/>
      <c r="N73" s="261"/>
      <c r="O73" s="261"/>
      <c r="P73" s="261"/>
    </row>
    <row r="74" spans="1:16">
      <c r="A74" s="261"/>
      <c r="B74" s="261"/>
      <c r="C74" s="261"/>
      <c r="D74" s="261"/>
      <c r="E74" s="261"/>
      <c r="F74" s="261"/>
      <c r="G74" s="261"/>
      <c r="H74" s="261"/>
      <c r="I74" s="261"/>
      <c r="J74" s="261"/>
      <c r="K74" s="261"/>
      <c r="L74" s="261"/>
      <c r="M74" s="261"/>
      <c r="N74" s="261"/>
      <c r="O74" s="261"/>
      <c r="P74" s="261"/>
    </row>
  </sheetData>
  <phoneticPr fontId="18" type="noConversion"/>
  <pageMargins left="0.75" right="0.75" top="1" bottom="1" header="0.5" footer="0.5"/>
  <pageSetup paperSize="9" scale="87" fitToHeight="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6640625" style="58" bestFit="1" customWidth="1"/>
  </cols>
  <sheetData>
    <row r="1" spans="1:16" ht="11.85" customHeight="1">
      <c r="A1" s="41" t="s">
        <v>937</v>
      </c>
      <c r="B1" s="4"/>
      <c r="C1" s="4"/>
      <c r="D1" s="4"/>
      <c r="E1" s="4"/>
      <c r="F1" s="4"/>
      <c r="G1" s="4"/>
      <c r="H1" s="4"/>
      <c r="I1" s="4"/>
      <c r="J1" s="4"/>
      <c r="K1" s="4"/>
      <c r="L1" s="4"/>
      <c r="M1" s="4"/>
      <c r="N1" s="55"/>
    </row>
    <row r="2" spans="1:16" ht="11.85" customHeight="1">
      <c r="A2" s="41" t="s">
        <v>1687</v>
      </c>
      <c r="B2" s="4"/>
      <c r="C2" s="4"/>
      <c r="D2" s="4"/>
      <c r="E2" s="4"/>
      <c r="F2" s="4"/>
      <c r="G2" s="4"/>
      <c r="H2" s="4"/>
      <c r="I2" s="4"/>
      <c r="J2" s="4"/>
      <c r="K2" s="4"/>
      <c r="L2" s="4"/>
      <c r="M2" s="4"/>
      <c r="N2" s="55"/>
    </row>
    <row r="3" spans="1:16" ht="11.85" customHeight="1">
      <c r="A3" s="9" t="s">
        <v>1705</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row>
    <row r="6" spans="1:16" ht="11.85" customHeight="1">
      <c r="A6" s="437"/>
      <c r="B6" s="438"/>
      <c r="C6" s="438"/>
      <c r="D6" s="438"/>
      <c r="E6" s="438"/>
      <c r="F6" s="438"/>
      <c r="G6" s="438"/>
      <c r="H6" s="438"/>
      <c r="I6" s="438"/>
      <c r="J6" s="438"/>
      <c r="K6" s="438"/>
      <c r="L6" s="438"/>
      <c r="M6" s="438"/>
      <c r="N6" s="67"/>
    </row>
    <row r="7" spans="1:16" ht="11.85" customHeight="1">
      <c r="A7" s="17">
        <v>1</v>
      </c>
      <c r="B7" s="4" t="s">
        <v>401</v>
      </c>
      <c r="C7" s="3">
        <v>6733.2172991008001</v>
      </c>
      <c r="D7" s="45" t="s">
        <v>1229</v>
      </c>
      <c r="E7" s="3">
        <v>52.885606610499998</v>
      </c>
      <c r="F7" s="3">
        <v>29.357809070000005</v>
      </c>
      <c r="G7" s="45" t="s">
        <v>1229</v>
      </c>
      <c r="H7" s="45" t="s">
        <v>1229</v>
      </c>
      <c r="I7" s="45" t="s">
        <v>1229</v>
      </c>
      <c r="J7" s="3">
        <v>689.0953739201999</v>
      </c>
      <c r="K7" s="45" t="s">
        <v>1229</v>
      </c>
      <c r="L7" s="66" t="s">
        <v>1229</v>
      </c>
      <c r="M7" s="6">
        <f t="shared" ref="M7:M33" si="0">SUM(C7:L7)</f>
        <v>7504.5560887014999</v>
      </c>
      <c r="N7" s="67"/>
    </row>
    <row r="8" spans="1:16" ht="11.85" customHeight="1">
      <c r="A8" s="17">
        <v>2</v>
      </c>
      <c r="B8" s="4" t="s">
        <v>402</v>
      </c>
      <c r="C8" s="3">
        <v>1295.3421254078994</v>
      </c>
      <c r="D8" s="45" t="s">
        <v>1229</v>
      </c>
      <c r="E8" s="66" t="s">
        <v>1229</v>
      </c>
      <c r="F8" s="3">
        <v>188.70629088049998</v>
      </c>
      <c r="G8" s="45" t="s">
        <v>1229</v>
      </c>
      <c r="H8" s="45" t="s">
        <v>1229</v>
      </c>
      <c r="I8" s="45" t="s">
        <v>1229</v>
      </c>
      <c r="J8" s="66" t="s">
        <v>1229</v>
      </c>
      <c r="K8" s="45" t="s">
        <v>1229</v>
      </c>
      <c r="L8" s="3">
        <v>7472.7219102999998</v>
      </c>
      <c r="M8" s="6">
        <f t="shared" si="0"/>
        <v>8956.7703265883993</v>
      </c>
      <c r="N8" s="55"/>
      <c r="P8" s="58"/>
    </row>
    <row r="9" spans="1:16" ht="11.85" customHeight="1">
      <c r="A9" s="17">
        <v>3</v>
      </c>
      <c r="B9" s="4" t="s">
        <v>207</v>
      </c>
      <c r="C9" s="3">
        <v>6816.7301370028999</v>
      </c>
      <c r="D9" s="45" t="s">
        <v>1229</v>
      </c>
      <c r="E9" s="3">
        <v>1466.9098556154001</v>
      </c>
      <c r="F9" s="66" t="s">
        <v>1229</v>
      </c>
      <c r="G9" s="45" t="s">
        <v>1229</v>
      </c>
      <c r="H9" s="45" t="s">
        <v>1229</v>
      </c>
      <c r="I9" s="45" t="s">
        <v>1229</v>
      </c>
      <c r="J9" s="66" t="s">
        <v>1229</v>
      </c>
      <c r="K9" s="45" t="s">
        <v>1229</v>
      </c>
      <c r="L9" s="66" t="s">
        <v>1229</v>
      </c>
      <c r="M9" s="6">
        <f t="shared" si="0"/>
        <v>8283.6399926183003</v>
      </c>
      <c r="P9" s="58"/>
    </row>
    <row r="10" spans="1:16" ht="11.85" customHeight="1">
      <c r="A10" s="17">
        <v>4</v>
      </c>
      <c r="B10" s="4" t="s">
        <v>1267</v>
      </c>
      <c r="C10" s="3">
        <v>8.4192012399000014</v>
      </c>
      <c r="D10" s="45" t="s">
        <v>1229</v>
      </c>
      <c r="E10" s="3">
        <v>25504.438260886309</v>
      </c>
      <c r="F10" s="66" t="s">
        <v>1229</v>
      </c>
      <c r="G10" s="45" t="s">
        <v>1229</v>
      </c>
      <c r="H10" s="45" t="s">
        <v>1229</v>
      </c>
      <c r="I10" s="45" t="s">
        <v>1229</v>
      </c>
      <c r="J10" s="66" t="s">
        <v>1229</v>
      </c>
      <c r="K10" s="45" t="s">
        <v>1229</v>
      </c>
      <c r="L10" s="66" t="s">
        <v>1229</v>
      </c>
      <c r="M10" s="6">
        <f t="shared" si="0"/>
        <v>25512.857462126209</v>
      </c>
      <c r="P10" s="58"/>
    </row>
    <row r="11" spans="1:16" ht="11.85" customHeight="1">
      <c r="A11" s="17">
        <v>5</v>
      </c>
      <c r="B11" s="4" t="s">
        <v>1183</v>
      </c>
      <c r="C11" s="3">
        <v>900.39817381090006</v>
      </c>
      <c r="D11" s="3">
        <v>204.26309871040002</v>
      </c>
      <c r="E11" s="66" t="s">
        <v>1229</v>
      </c>
      <c r="F11" s="66" t="s">
        <v>1229</v>
      </c>
      <c r="G11" s="45" t="s">
        <v>1229</v>
      </c>
      <c r="H11" s="45" t="s">
        <v>1229</v>
      </c>
      <c r="I11" s="45"/>
      <c r="J11" s="3">
        <v>7.5279999999999996</v>
      </c>
      <c r="K11" s="45" t="s">
        <v>1229</v>
      </c>
      <c r="L11" s="3">
        <v>2.4232162999999995</v>
      </c>
      <c r="M11" s="6">
        <f t="shared" si="0"/>
        <v>1114.6124888213001</v>
      </c>
      <c r="P11" s="58"/>
    </row>
    <row r="12" spans="1:16" ht="11.85" customHeight="1">
      <c r="A12" s="17">
        <v>6</v>
      </c>
      <c r="B12" s="4" t="s">
        <v>1268</v>
      </c>
      <c r="C12" s="66" t="s">
        <v>1229</v>
      </c>
      <c r="D12" s="3">
        <v>45091.020813152492</v>
      </c>
      <c r="E12" s="3">
        <v>38.318613509999999</v>
      </c>
      <c r="F12" s="66" t="s">
        <v>1229</v>
      </c>
      <c r="G12" s="45" t="s">
        <v>1229</v>
      </c>
      <c r="H12" s="45" t="s">
        <v>1229</v>
      </c>
      <c r="I12" s="45" t="s">
        <v>1229</v>
      </c>
      <c r="J12" s="66" t="s">
        <v>1229</v>
      </c>
      <c r="K12" s="45" t="s">
        <v>1229</v>
      </c>
      <c r="L12" s="66" t="s">
        <v>1229</v>
      </c>
      <c r="M12" s="6">
        <f t="shared" si="0"/>
        <v>45129.339426662489</v>
      </c>
      <c r="P12" s="58"/>
    </row>
    <row r="13" spans="1:16" ht="11.85" customHeight="1">
      <c r="A13" s="17">
        <v>7</v>
      </c>
      <c r="B13" s="4" t="s">
        <v>1269</v>
      </c>
      <c r="C13" s="3">
        <v>15900.643574592705</v>
      </c>
      <c r="D13" s="66" t="s">
        <v>1229</v>
      </c>
      <c r="E13" s="66" t="s">
        <v>1229</v>
      </c>
      <c r="F13" s="3">
        <v>0</v>
      </c>
      <c r="G13" s="45" t="s">
        <v>1229</v>
      </c>
      <c r="H13" s="45" t="s">
        <v>1229</v>
      </c>
      <c r="I13" s="45" t="s">
        <v>1229</v>
      </c>
      <c r="J13" s="3">
        <v>11.381759379400002</v>
      </c>
      <c r="K13" s="45" t="s">
        <v>1229</v>
      </c>
      <c r="L13" s="66" t="s">
        <v>1229</v>
      </c>
      <c r="M13" s="6">
        <f t="shared" si="0"/>
        <v>15912.025333972104</v>
      </c>
      <c r="P13" s="58"/>
    </row>
    <row r="14" spans="1:16" ht="11.85" customHeight="1">
      <c r="A14" s="17">
        <v>8</v>
      </c>
      <c r="B14" s="4" t="s">
        <v>1270</v>
      </c>
      <c r="C14" s="3">
        <v>123.65432391919998</v>
      </c>
      <c r="D14" s="66" t="s">
        <v>1229</v>
      </c>
      <c r="E14" s="3">
        <v>279.60967682</v>
      </c>
      <c r="F14" s="3">
        <v>20.607252749600001</v>
      </c>
      <c r="G14" s="45" t="s">
        <v>1229</v>
      </c>
      <c r="H14" s="3">
        <v>185.78884327980001</v>
      </c>
      <c r="I14" s="45" t="s">
        <v>1229</v>
      </c>
      <c r="J14" s="66" t="s">
        <v>1229</v>
      </c>
      <c r="K14" s="45" t="s">
        <v>1229</v>
      </c>
      <c r="L14" s="3">
        <v>7114.7459187408012</v>
      </c>
      <c r="M14" s="6">
        <f t="shared" si="0"/>
        <v>7724.4060155094012</v>
      </c>
      <c r="P14" s="58"/>
    </row>
    <row r="15" spans="1:16" ht="11.85" customHeight="1">
      <c r="A15" s="17">
        <v>9</v>
      </c>
      <c r="B15" s="4" t="s">
        <v>1271</v>
      </c>
      <c r="C15" s="3">
        <v>54.601899380000006</v>
      </c>
      <c r="D15" s="66" t="s">
        <v>1229</v>
      </c>
      <c r="E15" s="66" t="s">
        <v>1229</v>
      </c>
      <c r="F15" s="3">
        <v>5.1245659999999998E-2</v>
      </c>
      <c r="G15" s="45" t="s">
        <v>1229</v>
      </c>
      <c r="H15" s="45" t="s">
        <v>1229</v>
      </c>
      <c r="I15" s="3">
        <v>20225.851263510798</v>
      </c>
      <c r="J15" s="66" t="s">
        <v>1229</v>
      </c>
      <c r="K15" s="45" t="s">
        <v>1229</v>
      </c>
      <c r="L15" s="3">
        <v>13787.616543650407</v>
      </c>
      <c r="M15" s="6">
        <f t="shared" si="0"/>
        <v>34068.120952201207</v>
      </c>
      <c r="P15" s="58"/>
    </row>
    <row r="16" spans="1:16" ht="11.85" customHeight="1">
      <c r="A16" s="17">
        <v>10</v>
      </c>
      <c r="B16" s="4" t="s">
        <v>1272</v>
      </c>
      <c r="C16" s="45" t="s">
        <v>1229</v>
      </c>
      <c r="D16" s="3">
        <v>64.719755150400005</v>
      </c>
      <c r="E16" s="66" t="s">
        <v>1229</v>
      </c>
      <c r="F16" s="3">
        <v>14.41826594</v>
      </c>
      <c r="G16" s="45" t="s">
        <v>1229</v>
      </c>
      <c r="H16" s="45" t="s">
        <v>1229</v>
      </c>
      <c r="I16" s="45" t="s">
        <v>1229</v>
      </c>
      <c r="J16" s="66" t="s">
        <v>1229</v>
      </c>
      <c r="K16" s="45" t="s">
        <v>1229</v>
      </c>
      <c r="L16" s="3">
        <v>121384.88510385613</v>
      </c>
      <c r="M16" s="6">
        <f t="shared" si="0"/>
        <v>121464.02312494653</v>
      </c>
      <c r="P16" s="58"/>
    </row>
    <row r="17" spans="1:17" ht="11.85" customHeight="1">
      <c r="A17" s="17">
        <v>11</v>
      </c>
      <c r="B17" s="4" t="s">
        <v>1273</v>
      </c>
      <c r="C17" s="45" t="s">
        <v>1229</v>
      </c>
      <c r="D17" s="45" t="s">
        <v>1229</v>
      </c>
      <c r="E17" s="66" t="s">
        <v>1229</v>
      </c>
      <c r="F17" s="66" t="s">
        <v>1229</v>
      </c>
      <c r="G17" s="45" t="s">
        <v>1229</v>
      </c>
      <c r="H17" s="45" t="s">
        <v>1229</v>
      </c>
      <c r="I17" s="45" t="s">
        <v>1229</v>
      </c>
      <c r="J17" s="66" t="s">
        <v>1229</v>
      </c>
      <c r="K17" s="45" t="s">
        <v>1229</v>
      </c>
      <c r="L17" s="3">
        <v>51953.610574999999</v>
      </c>
      <c r="M17" s="6">
        <f t="shared" si="0"/>
        <v>51953.610574999999</v>
      </c>
      <c r="P17" s="58"/>
    </row>
    <row r="18" spans="1:17" ht="11.85" customHeight="1">
      <c r="A18" s="17">
        <v>12</v>
      </c>
      <c r="B18" s="4" t="s">
        <v>593</v>
      </c>
      <c r="C18" s="45" t="s">
        <v>1229</v>
      </c>
      <c r="D18" s="45" t="s">
        <v>1229</v>
      </c>
      <c r="E18" s="66" t="s">
        <v>1229</v>
      </c>
      <c r="F18" s="66" t="s">
        <v>1229</v>
      </c>
      <c r="G18" s="45" t="s">
        <v>1229</v>
      </c>
      <c r="H18" s="45" t="s">
        <v>1229</v>
      </c>
      <c r="I18" s="45" t="s">
        <v>1229</v>
      </c>
      <c r="J18" s="66" t="s">
        <v>1229</v>
      </c>
      <c r="K18" s="66" t="s">
        <v>1229</v>
      </c>
      <c r="L18" s="3">
        <v>52222.968298730004</v>
      </c>
      <c r="M18" s="6">
        <f t="shared" si="0"/>
        <v>52222.968298730004</v>
      </c>
      <c r="P18" s="58"/>
    </row>
    <row r="19" spans="1:17" ht="11.85" customHeight="1">
      <c r="A19" s="17">
        <v>13</v>
      </c>
      <c r="B19" s="4" t="s">
        <v>594</v>
      </c>
      <c r="C19" s="45" t="s">
        <v>1229</v>
      </c>
      <c r="D19" s="45" t="s">
        <v>1229</v>
      </c>
      <c r="E19" s="66" t="s">
        <v>1229</v>
      </c>
      <c r="F19" s="3">
        <v>17376.553236804506</v>
      </c>
      <c r="G19" s="45" t="s">
        <v>1229</v>
      </c>
      <c r="H19" s="45" t="s">
        <v>1229</v>
      </c>
      <c r="I19" s="45" t="s">
        <v>1229</v>
      </c>
      <c r="J19" s="66" t="s">
        <v>1229</v>
      </c>
      <c r="K19" s="66" t="s">
        <v>1229</v>
      </c>
      <c r="L19" s="3">
        <v>46851.615857980396</v>
      </c>
      <c r="M19" s="6">
        <f t="shared" si="0"/>
        <v>64228.169094784898</v>
      </c>
      <c r="P19" s="58"/>
    </row>
    <row r="20" spans="1:17" ht="11.85" customHeight="1">
      <c r="A20" s="17">
        <v>14</v>
      </c>
      <c r="B20" s="4" t="s">
        <v>595</v>
      </c>
      <c r="C20" s="3">
        <v>23.141043850199999</v>
      </c>
      <c r="D20" s="45" t="s">
        <v>1229</v>
      </c>
      <c r="E20" s="66" t="s">
        <v>1229</v>
      </c>
      <c r="F20" s="3">
        <v>1105.2436108297993</v>
      </c>
      <c r="G20" s="45" t="s">
        <v>1229</v>
      </c>
      <c r="H20" s="45" t="s">
        <v>1229</v>
      </c>
      <c r="I20" s="45" t="s">
        <v>1229</v>
      </c>
      <c r="J20" s="66" t="s">
        <v>1229</v>
      </c>
      <c r="K20" s="66" t="s">
        <v>1229</v>
      </c>
      <c r="L20" s="66" t="s">
        <v>1229</v>
      </c>
      <c r="M20" s="6">
        <f t="shared" si="0"/>
        <v>1128.3846546799994</v>
      </c>
      <c r="P20" s="58"/>
    </row>
    <row r="21" spans="1:17" ht="11.85" customHeight="1">
      <c r="A21" s="17">
        <v>15</v>
      </c>
      <c r="B21" s="4" t="s">
        <v>596</v>
      </c>
      <c r="C21" s="66" t="s">
        <v>1229</v>
      </c>
      <c r="D21" s="45" t="s">
        <v>1229</v>
      </c>
      <c r="E21" s="66" t="s">
        <v>1229</v>
      </c>
      <c r="F21" s="66" t="s">
        <v>1229</v>
      </c>
      <c r="G21" s="66" t="s">
        <v>1229</v>
      </c>
      <c r="H21" s="45" t="s">
        <v>1229</v>
      </c>
      <c r="I21" s="45" t="s">
        <v>1229</v>
      </c>
      <c r="J21" s="66" t="s">
        <v>1229</v>
      </c>
      <c r="K21" s="3">
        <v>18643.065977319198</v>
      </c>
      <c r="L21" s="3">
        <v>1219.4381938197</v>
      </c>
      <c r="M21" s="6">
        <f t="shared" si="0"/>
        <v>19862.504171138899</v>
      </c>
      <c r="P21" s="58"/>
    </row>
    <row r="22" spans="1:17" ht="11.85" customHeight="1">
      <c r="A22" s="17">
        <v>16</v>
      </c>
      <c r="B22" s="4" t="s">
        <v>73</v>
      </c>
      <c r="C22" s="3">
        <v>11218.596923920097</v>
      </c>
      <c r="D22" s="45" t="s">
        <v>1229</v>
      </c>
      <c r="E22" s="66" t="s">
        <v>1229</v>
      </c>
      <c r="F22" s="66" t="s">
        <v>1229</v>
      </c>
      <c r="G22" s="3">
        <v>21.315152529799999</v>
      </c>
      <c r="H22" s="3">
        <v>50</v>
      </c>
      <c r="I22" s="45" t="s">
        <v>1229</v>
      </c>
      <c r="J22" s="66" t="s">
        <v>1229</v>
      </c>
      <c r="K22" s="3">
        <v>26569.220324793721</v>
      </c>
      <c r="L22" s="3">
        <v>4186.7407207897995</v>
      </c>
      <c r="M22" s="6">
        <f t="shared" si="0"/>
        <v>42045.873122033416</v>
      </c>
      <c r="P22" s="58"/>
    </row>
    <row r="23" spans="1:17" ht="11.85" customHeight="1">
      <c r="A23" s="17">
        <v>17</v>
      </c>
      <c r="B23" s="4" t="s">
        <v>74</v>
      </c>
      <c r="C23" s="3">
        <v>335.13027823209995</v>
      </c>
      <c r="D23" s="45" t="s">
        <v>1229</v>
      </c>
      <c r="E23" s="66" t="s">
        <v>1229</v>
      </c>
      <c r="F23" s="3">
        <v>36.916805450299989</v>
      </c>
      <c r="G23" s="66" t="s">
        <v>1229</v>
      </c>
      <c r="H23" s="45" t="s">
        <v>1229</v>
      </c>
      <c r="I23" s="45" t="s">
        <v>1229</v>
      </c>
      <c r="J23" s="3">
        <v>5377.0038120376976</v>
      </c>
      <c r="K23" s="3">
        <v>2529.241246</v>
      </c>
      <c r="L23" s="3">
        <v>73.240407000000005</v>
      </c>
      <c r="M23" s="6">
        <f t="shared" si="0"/>
        <v>8351.5325487200971</v>
      </c>
      <c r="P23" s="58"/>
    </row>
    <row r="24" spans="1:17" ht="22.5">
      <c r="A24" s="195">
        <v>18</v>
      </c>
      <c r="B24" s="82" t="s">
        <v>75</v>
      </c>
      <c r="C24" s="3">
        <v>2085.7150877034001</v>
      </c>
      <c r="D24" s="45" t="s">
        <v>1229</v>
      </c>
      <c r="E24" s="66" t="s">
        <v>1229</v>
      </c>
      <c r="F24" s="3">
        <v>395.34647556169989</v>
      </c>
      <c r="G24" s="3">
        <v>503.2699915816001</v>
      </c>
      <c r="H24" s="3">
        <v>2225.8735176430996</v>
      </c>
      <c r="I24" s="45" t="s">
        <v>1229</v>
      </c>
      <c r="J24" s="66" t="s">
        <v>1229</v>
      </c>
      <c r="K24" s="66" t="s">
        <v>1229</v>
      </c>
      <c r="L24" s="3">
        <v>3594.9710369999998</v>
      </c>
      <c r="M24" s="6">
        <f t="shared" si="0"/>
        <v>8805.1761094897993</v>
      </c>
      <c r="P24" s="58"/>
    </row>
    <row r="25" spans="1:17" ht="11.85" customHeight="1">
      <c r="A25" s="17">
        <v>19</v>
      </c>
      <c r="B25" s="4" t="s">
        <v>76</v>
      </c>
      <c r="C25" s="66" t="s">
        <v>1229</v>
      </c>
      <c r="D25" s="45" t="s">
        <v>1229</v>
      </c>
      <c r="E25" s="66" t="s">
        <v>1229</v>
      </c>
      <c r="F25" s="3">
        <v>832.37396827360021</v>
      </c>
      <c r="G25" s="66" t="s">
        <v>1229</v>
      </c>
      <c r="H25" s="3">
        <v>3018.7099446587999</v>
      </c>
      <c r="I25" s="45" t="s">
        <v>1229</v>
      </c>
      <c r="J25" s="66" t="s">
        <v>1229</v>
      </c>
      <c r="K25" s="66" t="s">
        <v>1229</v>
      </c>
      <c r="L25" s="66" t="s">
        <v>1229</v>
      </c>
      <c r="M25" s="6">
        <f t="shared" si="0"/>
        <v>3851.0839129324004</v>
      </c>
      <c r="P25" s="58"/>
    </row>
    <row r="26" spans="1:17" ht="11.85" customHeight="1">
      <c r="A26" s="17">
        <v>20</v>
      </c>
      <c r="B26" s="4" t="s">
        <v>1225</v>
      </c>
      <c r="C26" s="3">
        <v>67.140893219800006</v>
      </c>
      <c r="D26" s="45" t="s">
        <v>1229</v>
      </c>
      <c r="E26" s="66" t="s">
        <v>1229</v>
      </c>
      <c r="F26" s="3">
        <v>487.84793860139996</v>
      </c>
      <c r="G26" s="3">
        <v>2199.023951019301</v>
      </c>
      <c r="H26" s="45" t="s">
        <v>1229</v>
      </c>
      <c r="I26" s="45" t="s">
        <v>1229</v>
      </c>
      <c r="J26" s="66" t="s">
        <v>1229</v>
      </c>
      <c r="K26" s="66" t="s">
        <v>1229</v>
      </c>
      <c r="L26" s="66" t="s">
        <v>1229</v>
      </c>
      <c r="M26" s="6">
        <f t="shared" si="0"/>
        <v>2754.0127828405011</v>
      </c>
      <c r="P26" s="58"/>
    </row>
    <row r="27" spans="1:17" ht="11.85" customHeight="1">
      <c r="A27" s="17">
        <v>21</v>
      </c>
      <c r="B27" s="4" t="s">
        <v>77</v>
      </c>
      <c r="C27" s="66" t="s">
        <v>1229</v>
      </c>
      <c r="D27" s="45" t="s">
        <v>1229</v>
      </c>
      <c r="E27" s="66" t="s">
        <v>1229</v>
      </c>
      <c r="F27" s="3">
        <v>1864.2649146931003</v>
      </c>
      <c r="G27" s="3">
        <v>42.103551679699997</v>
      </c>
      <c r="H27" s="45" t="s">
        <v>1229</v>
      </c>
      <c r="I27" s="45" t="s">
        <v>1229</v>
      </c>
      <c r="J27" s="66" t="s">
        <v>1229</v>
      </c>
      <c r="K27" s="66" t="s">
        <v>1229</v>
      </c>
      <c r="L27" s="66" t="s">
        <v>1229</v>
      </c>
      <c r="M27" s="6">
        <f t="shared" si="0"/>
        <v>1906.3684663728004</v>
      </c>
      <c r="P27" s="58"/>
    </row>
    <row r="28" spans="1:17" ht="11.85" customHeight="1">
      <c r="A28" s="17">
        <v>22</v>
      </c>
      <c r="B28" s="4" t="s">
        <v>78</v>
      </c>
      <c r="C28" s="3">
        <v>852.46854071840005</v>
      </c>
      <c r="D28" s="45" t="s">
        <v>1229</v>
      </c>
      <c r="E28" s="3">
        <v>155.62389123</v>
      </c>
      <c r="F28" s="3">
        <v>23842.522930026804</v>
      </c>
      <c r="G28" s="66" t="s">
        <v>1229</v>
      </c>
      <c r="H28" s="45" t="s">
        <v>1229</v>
      </c>
      <c r="I28" s="45" t="s">
        <v>1229</v>
      </c>
      <c r="J28" s="66" t="s">
        <v>1229</v>
      </c>
      <c r="K28" s="66" t="s">
        <v>1229</v>
      </c>
      <c r="L28" s="66" t="s">
        <v>1229</v>
      </c>
      <c r="M28" s="6">
        <f t="shared" si="0"/>
        <v>24850.615361975204</v>
      </c>
      <c r="P28" s="58"/>
    </row>
    <row r="29" spans="1:17" ht="22.5">
      <c r="A29" s="195">
        <v>23</v>
      </c>
      <c r="B29" s="82" t="s">
        <v>1086</v>
      </c>
      <c r="C29" s="3">
        <v>37.698552010399993</v>
      </c>
      <c r="D29" s="45" t="s">
        <v>1229</v>
      </c>
      <c r="E29" s="45" t="s">
        <v>1229</v>
      </c>
      <c r="F29" s="3">
        <v>8318.1910833321017</v>
      </c>
      <c r="G29" s="3">
        <v>27.478511290299998</v>
      </c>
      <c r="H29" s="3">
        <v>1.550133</v>
      </c>
      <c r="I29" s="45" t="s">
        <v>1229</v>
      </c>
      <c r="J29" s="3">
        <v>1.6679644</v>
      </c>
      <c r="K29" s="3">
        <v>1227.9640000000004</v>
      </c>
      <c r="L29" s="66" t="s">
        <v>1229</v>
      </c>
      <c r="M29" s="6">
        <f t="shared" si="0"/>
        <v>9614.5502440328019</v>
      </c>
      <c r="P29" s="58"/>
    </row>
    <row r="30" spans="1:17" ht="11.85" customHeight="1">
      <c r="A30" s="17">
        <v>24</v>
      </c>
      <c r="B30" s="4" t="s">
        <v>1087</v>
      </c>
      <c r="C30" s="3">
        <v>91.911936788999995</v>
      </c>
      <c r="D30" s="45" t="s">
        <v>1229</v>
      </c>
      <c r="E30" s="45" t="s">
        <v>1229</v>
      </c>
      <c r="F30" s="3">
        <v>3205.6876571236976</v>
      </c>
      <c r="G30" s="3">
        <v>31.945741079999998</v>
      </c>
      <c r="H30" s="45" t="s">
        <v>1229</v>
      </c>
      <c r="I30" s="45" t="s">
        <v>1229</v>
      </c>
      <c r="J30" s="66" t="s">
        <v>1229</v>
      </c>
      <c r="K30" s="45" t="s">
        <v>1229</v>
      </c>
      <c r="L30" s="45" t="s">
        <v>1229</v>
      </c>
      <c r="M30" s="6">
        <f t="shared" si="0"/>
        <v>3329.5453349926975</v>
      </c>
      <c r="P30" s="58"/>
      <c r="Q30" s="3"/>
    </row>
    <row r="31" spans="1:17" ht="11.85" customHeight="1">
      <c r="A31" s="17">
        <v>25</v>
      </c>
      <c r="B31" s="4" t="s">
        <v>1088</v>
      </c>
      <c r="C31" s="3">
        <v>72400.297180884896</v>
      </c>
      <c r="D31" s="45" t="s">
        <v>1229</v>
      </c>
      <c r="E31" s="45" t="s">
        <v>1229</v>
      </c>
      <c r="F31" s="45" t="s">
        <v>1229</v>
      </c>
      <c r="G31" s="45" t="s">
        <v>1229</v>
      </c>
      <c r="H31" s="45" t="s">
        <v>1229</v>
      </c>
      <c r="I31" s="45" t="s">
        <v>1229</v>
      </c>
      <c r="J31" s="45" t="s">
        <v>1229</v>
      </c>
      <c r="K31" s="45" t="s">
        <v>1229</v>
      </c>
      <c r="L31" s="45" t="s">
        <v>1229</v>
      </c>
      <c r="M31" s="6">
        <f t="shared" si="0"/>
        <v>72400.297180884896</v>
      </c>
      <c r="P31" s="58"/>
      <c r="Q31" s="3"/>
    </row>
    <row r="32" spans="1:17" ht="11.85" customHeight="1">
      <c r="A32" s="17">
        <v>26</v>
      </c>
      <c r="B32" s="4" t="s">
        <v>422</v>
      </c>
      <c r="C32" s="3">
        <v>42173.347765840001</v>
      </c>
      <c r="D32" s="45" t="s">
        <v>1229</v>
      </c>
      <c r="E32" s="45" t="s">
        <v>1229</v>
      </c>
      <c r="F32" s="45" t="s">
        <v>1229</v>
      </c>
      <c r="G32" s="45" t="s">
        <v>1229</v>
      </c>
      <c r="H32" s="45" t="s">
        <v>1229</v>
      </c>
      <c r="I32" s="45" t="s">
        <v>1229</v>
      </c>
      <c r="J32" s="45" t="s">
        <v>1229</v>
      </c>
      <c r="K32" s="45" t="s">
        <v>1229</v>
      </c>
      <c r="L32" s="45" t="s">
        <v>1229</v>
      </c>
      <c r="M32" s="6">
        <f t="shared" si="0"/>
        <v>42173.347765840001</v>
      </c>
      <c r="P32" s="58"/>
      <c r="Q32" s="3"/>
    </row>
    <row r="33" spans="1:17" ht="11.85" customHeight="1">
      <c r="A33" s="17">
        <v>27</v>
      </c>
      <c r="B33" s="4" t="s">
        <v>1089</v>
      </c>
      <c r="C33" s="3">
        <v>18321.913959509999</v>
      </c>
      <c r="D33" s="45" t="s">
        <v>1229</v>
      </c>
      <c r="E33" s="45" t="s">
        <v>1229</v>
      </c>
      <c r="F33" s="45" t="s">
        <v>1229</v>
      </c>
      <c r="G33" s="45" t="s">
        <v>1229</v>
      </c>
      <c r="H33" s="45" t="s">
        <v>1229</v>
      </c>
      <c r="I33" s="45" t="s">
        <v>1229</v>
      </c>
      <c r="J33" s="45" t="s">
        <v>1229</v>
      </c>
      <c r="K33" s="45" t="s">
        <v>1229</v>
      </c>
      <c r="L33" s="45" t="s">
        <v>1229</v>
      </c>
      <c r="M33" s="6">
        <f t="shared" si="0"/>
        <v>18321.913959509999</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179440.36889713258</v>
      </c>
      <c r="D35" s="40">
        <f>SUM(D7:D34)</f>
        <v>45360.00366701329</v>
      </c>
      <c r="E35" s="40">
        <f>SUM(E7:E34)</f>
        <v>27497.785904672208</v>
      </c>
      <c r="F35" s="40">
        <f>SUM(F7:F34)</f>
        <v>57718.089484997116</v>
      </c>
      <c r="G35" s="40">
        <f t="shared" ref="G35:L35" si="1">SUM(G7:G34)</f>
        <v>2825.1368991807012</v>
      </c>
      <c r="H35" s="40">
        <f t="shared" si="1"/>
        <v>5481.9224385816988</v>
      </c>
      <c r="I35" s="40">
        <f t="shared" si="1"/>
        <v>20225.851263510798</v>
      </c>
      <c r="J35" s="40">
        <f>SUM(J7:J34)</f>
        <v>6086.6769097372971</v>
      </c>
      <c r="K35" s="40">
        <f t="shared" si="1"/>
        <v>48969.491548112914</v>
      </c>
      <c r="L35" s="40">
        <f t="shared" si="1"/>
        <v>309864.97778316727</v>
      </c>
      <c r="M35" s="40">
        <f>SUM(C35:L35)</f>
        <v>703470.30479610583</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4" spans="1:17" ht="11.85" customHeight="1">
      <c r="N44" s="68"/>
    </row>
    <row r="45" spans="1:17" ht="21" customHeight="1">
      <c r="N45" s="68"/>
    </row>
    <row r="46" spans="1:17"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7"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6" ht="11.85" customHeight="1">
      <c r="A1" s="41" t="s">
        <v>938</v>
      </c>
      <c r="B1" s="4"/>
      <c r="C1" s="4"/>
      <c r="D1" s="4"/>
      <c r="E1" s="4"/>
      <c r="F1" s="4"/>
      <c r="G1" s="4"/>
      <c r="H1" s="4"/>
      <c r="I1" s="4"/>
      <c r="J1" s="4"/>
      <c r="K1" s="4"/>
      <c r="L1" s="4"/>
      <c r="M1" s="4"/>
      <c r="N1" s="55"/>
    </row>
    <row r="2" spans="1:16" ht="11.85" customHeight="1">
      <c r="A2" s="41" t="s">
        <v>1686</v>
      </c>
      <c r="B2" s="4"/>
      <c r="C2" s="4"/>
      <c r="D2" s="4"/>
      <c r="E2" s="4"/>
      <c r="F2" s="4"/>
      <c r="G2" s="4"/>
      <c r="H2" s="4"/>
      <c r="I2" s="4"/>
      <c r="J2" s="4"/>
      <c r="K2" s="4"/>
      <c r="L2" s="4"/>
      <c r="M2" s="4"/>
      <c r="N2" s="55"/>
    </row>
    <row r="3" spans="1:16" ht="11.85" customHeight="1">
      <c r="A3" s="9" t="s">
        <v>753</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row>
    <row r="6" spans="1:16" ht="11.85" customHeight="1">
      <c r="A6" s="437"/>
      <c r="B6" s="438"/>
      <c r="C6" s="438"/>
      <c r="D6" s="438"/>
      <c r="E6" s="438"/>
      <c r="F6" s="438"/>
      <c r="G6" s="438"/>
      <c r="H6" s="438"/>
      <c r="I6" s="438"/>
      <c r="J6" s="438"/>
      <c r="K6" s="438"/>
      <c r="L6" s="438"/>
      <c r="M6" s="438"/>
      <c r="N6" s="67"/>
    </row>
    <row r="7" spans="1:16" ht="11.85" customHeight="1">
      <c r="A7" s="17">
        <v>1</v>
      </c>
      <c r="B7" s="4" t="s">
        <v>401</v>
      </c>
      <c r="C7" s="3">
        <v>6763.3537153889993</v>
      </c>
      <c r="D7" s="45" t="s">
        <v>1229</v>
      </c>
      <c r="E7" s="3">
        <v>57.639337570399995</v>
      </c>
      <c r="F7" s="3">
        <v>30.276196279799997</v>
      </c>
      <c r="G7" s="45" t="s">
        <v>1229</v>
      </c>
      <c r="H7" s="45" t="s">
        <v>1229</v>
      </c>
      <c r="I7" s="45" t="s">
        <v>1229</v>
      </c>
      <c r="J7" s="3">
        <v>688.12957218659983</v>
      </c>
      <c r="K7" s="45" t="s">
        <v>1229</v>
      </c>
      <c r="L7" s="66" t="s">
        <v>1229</v>
      </c>
      <c r="M7" s="6">
        <f t="shared" ref="M7:M33" si="0">SUM(C7:L7)</f>
        <v>7539.3988214257997</v>
      </c>
      <c r="N7" s="67"/>
    </row>
    <row r="8" spans="1:16" ht="11.85" customHeight="1">
      <c r="A8" s="17">
        <v>2</v>
      </c>
      <c r="B8" s="4" t="s">
        <v>402</v>
      </c>
      <c r="C8" s="3">
        <v>1318.1630761057997</v>
      </c>
      <c r="D8" s="45" t="s">
        <v>1229</v>
      </c>
      <c r="E8" s="66" t="s">
        <v>1229</v>
      </c>
      <c r="F8" s="3">
        <v>193.87786470419994</v>
      </c>
      <c r="G8" s="45" t="s">
        <v>1229</v>
      </c>
      <c r="H8" s="45" t="s">
        <v>1229</v>
      </c>
      <c r="I8" s="45" t="s">
        <v>1229</v>
      </c>
      <c r="J8" s="66" t="s">
        <v>1229</v>
      </c>
      <c r="K8" s="45" t="s">
        <v>1229</v>
      </c>
      <c r="L8" s="3">
        <v>7709.0178034999999</v>
      </c>
      <c r="M8" s="6">
        <f t="shared" si="0"/>
        <v>9221.0587443099994</v>
      </c>
      <c r="N8" s="55"/>
      <c r="P8" s="58"/>
    </row>
    <row r="9" spans="1:16" ht="11.85" customHeight="1">
      <c r="A9" s="17">
        <v>3</v>
      </c>
      <c r="B9" s="4" t="s">
        <v>207</v>
      </c>
      <c r="C9" s="3">
        <v>7064.3267841318993</v>
      </c>
      <c r="D9" s="45" t="s">
        <v>1229</v>
      </c>
      <c r="E9" s="3">
        <v>1504.8134562748</v>
      </c>
      <c r="F9" s="66" t="s">
        <v>1229</v>
      </c>
      <c r="G9" s="45" t="s">
        <v>1229</v>
      </c>
      <c r="H9" s="45" t="s">
        <v>1229</v>
      </c>
      <c r="I9" s="45" t="s">
        <v>1229</v>
      </c>
      <c r="J9" s="66" t="s">
        <v>1229</v>
      </c>
      <c r="K9" s="45" t="s">
        <v>1229</v>
      </c>
      <c r="L9" s="66" t="s">
        <v>1229</v>
      </c>
      <c r="M9" s="6">
        <f t="shared" si="0"/>
        <v>8569.1402404066994</v>
      </c>
      <c r="P9" s="58"/>
    </row>
    <row r="10" spans="1:16" ht="11.85" customHeight="1">
      <c r="A10" s="17">
        <v>4</v>
      </c>
      <c r="B10" s="4" t="s">
        <v>1267</v>
      </c>
      <c r="C10" s="3">
        <v>8.1927621299000002</v>
      </c>
      <c r="D10" s="45" t="s">
        <v>1229</v>
      </c>
      <c r="E10" s="3">
        <v>26309.594586497205</v>
      </c>
      <c r="F10" s="66" t="s">
        <v>1229</v>
      </c>
      <c r="G10" s="45" t="s">
        <v>1229</v>
      </c>
      <c r="H10" s="45" t="s">
        <v>1229</v>
      </c>
      <c r="I10" s="45" t="s">
        <v>1229</v>
      </c>
      <c r="J10" s="66" t="s">
        <v>1229</v>
      </c>
      <c r="K10" s="45" t="s">
        <v>1229</v>
      </c>
      <c r="L10" s="66" t="s">
        <v>1229</v>
      </c>
      <c r="M10" s="6">
        <f t="shared" si="0"/>
        <v>26317.787348627106</v>
      </c>
      <c r="P10" s="58"/>
    </row>
    <row r="11" spans="1:16" ht="11.85" customHeight="1">
      <c r="A11" s="17">
        <v>5</v>
      </c>
      <c r="B11" s="4" t="s">
        <v>1183</v>
      </c>
      <c r="C11" s="3">
        <v>1054.4336755646002</v>
      </c>
      <c r="D11" s="3">
        <v>206.21488232050004</v>
      </c>
      <c r="E11" s="66" t="s">
        <v>1229</v>
      </c>
      <c r="F11" s="66" t="s">
        <v>1229</v>
      </c>
      <c r="G11" s="45" t="s">
        <v>1229</v>
      </c>
      <c r="H11" s="45" t="s">
        <v>1229</v>
      </c>
      <c r="I11" s="45"/>
      <c r="J11" s="3">
        <v>0</v>
      </c>
      <c r="K11" s="45" t="s">
        <v>1229</v>
      </c>
      <c r="L11" s="3">
        <v>6.2328864402000006</v>
      </c>
      <c r="M11" s="6">
        <f t="shared" si="0"/>
        <v>1266.8814443253002</v>
      </c>
      <c r="P11" s="58"/>
    </row>
    <row r="12" spans="1:16" ht="11.85" customHeight="1">
      <c r="A12" s="17">
        <v>6</v>
      </c>
      <c r="B12" s="4" t="s">
        <v>1268</v>
      </c>
      <c r="C12" s="66" t="s">
        <v>1229</v>
      </c>
      <c r="D12" s="3">
        <v>42796.520102756404</v>
      </c>
      <c r="E12" s="3">
        <v>21.550270059999999</v>
      </c>
      <c r="F12" s="66" t="s">
        <v>1229</v>
      </c>
      <c r="G12" s="45" t="s">
        <v>1229</v>
      </c>
      <c r="H12" s="45" t="s">
        <v>1229</v>
      </c>
      <c r="I12" s="45" t="s">
        <v>1229</v>
      </c>
      <c r="J12" s="66" t="s">
        <v>1229</v>
      </c>
      <c r="K12" s="45">
        <v>28.197437000000001</v>
      </c>
      <c r="L12" s="66" t="s">
        <v>1229</v>
      </c>
      <c r="M12" s="6">
        <f t="shared" si="0"/>
        <v>42846.267809816403</v>
      </c>
      <c r="P12" s="58"/>
    </row>
    <row r="13" spans="1:16" ht="11.85" customHeight="1">
      <c r="A13" s="17">
        <v>7</v>
      </c>
      <c r="B13" s="4" t="s">
        <v>1269</v>
      </c>
      <c r="C13" s="3">
        <v>19894.791235033608</v>
      </c>
      <c r="D13" s="66" t="s">
        <v>1229</v>
      </c>
      <c r="E13" s="66" t="s">
        <v>1229</v>
      </c>
      <c r="F13" s="66" t="s">
        <v>1229</v>
      </c>
      <c r="G13" s="45" t="s">
        <v>1229</v>
      </c>
      <c r="H13" s="45" t="s">
        <v>1229</v>
      </c>
      <c r="I13" s="45" t="s">
        <v>1229</v>
      </c>
      <c r="J13" s="3">
        <v>12.3816928199</v>
      </c>
      <c r="K13" s="45" t="s">
        <v>1229</v>
      </c>
      <c r="L13" s="66" t="s">
        <v>1229</v>
      </c>
      <c r="M13" s="6">
        <f t="shared" si="0"/>
        <v>19907.172927853509</v>
      </c>
      <c r="P13" s="58"/>
    </row>
    <row r="14" spans="1:16" ht="11.85" customHeight="1">
      <c r="A14" s="17">
        <v>8</v>
      </c>
      <c r="B14" s="4" t="s">
        <v>1270</v>
      </c>
      <c r="C14" s="3">
        <v>140.15647800979997</v>
      </c>
      <c r="D14" s="66" t="s">
        <v>1229</v>
      </c>
      <c r="E14" s="3">
        <v>371.18493719030005</v>
      </c>
      <c r="F14" s="3">
        <v>20.824505779699994</v>
      </c>
      <c r="G14" s="45" t="s">
        <v>1229</v>
      </c>
      <c r="H14" s="3">
        <v>155.47670813049999</v>
      </c>
      <c r="I14" s="45" t="s">
        <v>1229</v>
      </c>
      <c r="J14" s="66" t="s">
        <v>1229</v>
      </c>
      <c r="K14" s="45" t="s">
        <v>1229</v>
      </c>
      <c r="L14" s="3">
        <v>6778.103395534803</v>
      </c>
      <c r="M14" s="6">
        <f t="shared" si="0"/>
        <v>7465.7460246451028</v>
      </c>
      <c r="P14" s="58"/>
    </row>
    <row r="15" spans="1:16" ht="11.85" customHeight="1">
      <c r="A15" s="17">
        <v>9</v>
      </c>
      <c r="B15" s="4" t="s">
        <v>1271</v>
      </c>
      <c r="C15" s="3">
        <v>46.15331621</v>
      </c>
      <c r="D15" s="66" t="s">
        <v>1229</v>
      </c>
      <c r="E15" s="66" t="s">
        <v>1229</v>
      </c>
      <c r="F15" s="3">
        <v>5.0793980000000002E-2</v>
      </c>
      <c r="G15" s="45" t="s">
        <v>1229</v>
      </c>
      <c r="H15" s="45" t="s">
        <v>1229</v>
      </c>
      <c r="I15" s="3">
        <v>24539.5291602094</v>
      </c>
      <c r="J15" s="66" t="s">
        <v>1229</v>
      </c>
      <c r="K15" s="45" t="s">
        <v>1229</v>
      </c>
      <c r="L15" s="3">
        <v>12223.280570886396</v>
      </c>
      <c r="M15" s="6">
        <f t="shared" si="0"/>
        <v>36809.013841285792</v>
      </c>
      <c r="P15" s="58"/>
    </row>
    <row r="16" spans="1:16" ht="11.85" customHeight="1">
      <c r="A16" s="17">
        <v>10</v>
      </c>
      <c r="B16" s="4" t="s">
        <v>1272</v>
      </c>
      <c r="C16" s="45" t="s">
        <v>1229</v>
      </c>
      <c r="D16" s="3"/>
      <c r="E16" s="66" t="s">
        <v>1229</v>
      </c>
      <c r="F16" s="3">
        <v>0</v>
      </c>
      <c r="G16" s="45" t="s">
        <v>1229</v>
      </c>
      <c r="H16" s="45" t="s">
        <v>1229</v>
      </c>
      <c r="I16" s="45" t="s">
        <v>1229</v>
      </c>
      <c r="J16" s="66" t="s">
        <v>1229</v>
      </c>
      <c r="K16" s="45" t="s">
        <v>1229</v>
      </c>
      <c r="L16" s="3">
        <v>122916.43688781925</v>
      </c>
      <c r="M16" s="6">
        <f t="shared" si="0"/>
        <v>122916.43688781925</v>
      </c>
      <c r="P16" s="58"/>
    </row>
    <row r="17" spans="1:17" ht="11.85" customHeight="1">
      <c r="A17" s="17">
        <v>11</v>
      </c>
      <c r="B17" s="4" t="s">
        <v>1273</v>
      </c>
      <c r="C17" s="45" t="s">
        <v>1229</v>
      </c>
      <c r="D17" s="45" t="s">
        <v>1229</v>
      </c>
      <c r="E17" s="66" t="s">
        <v>1229</v>
      </c>
      <c r="F17" s="66" t="s">
        <v>1229</v>
      </c>
      <c r="G17" s="45" t="s">
        <v>1229</v>
      </c>
      <c r="H17" s="45" t="s">
        <v>1229</v>
      </c>
      <c r="I17" s="45" t="s">
        <v>1229</v>
      </c>
      <c r="J17" s="66" t="s">
        <v>1229</v>
      </c>
      <c r="K17" s="45" t="s">
        <v>1229</v>
      </c>
      <c r="L17" s="3">
        <v>51229.107184</v>
      </c>
      <c r="M17" s="6">
        <f t="shared" si="0"/>
        <v>51229.107184</v>
      </c>
      <c r="P17" s="58"/>
    </row>
    <row r="18" spans="1:17" ht="11.85" customHeight="1">
      <c r="A18" s="17">
        <v>12</v>
      </c>
      <c r="B18" s="4" t="s">
        <v>593</v>
      </c>
      <c r="C18" s="45" t="s">
        <v>1229</v>
      </c>
      <c r="D18" s="45" t="s">
        <v>1229</v>
      </c>
      <c r="E18" s="66" t="s">
        <v>1229</v>
      </c>
      <c r="F18" s="66" t="s">
        <v>1229</v>
      </c>
      <c r="G18" s="45" t="s">
        <v>1229</v>
      </c>
      <c r="H18" s="45" t="s">
        <v>1229</v>
      </c>
      <c r="I18" s="45" t="s">
        <v>1229</v>
      </c>
      <c r="J18" s="66" t="s">
        <v>1229</v>
      </c>
      <c r="K18" s="66" t="s">
        <v>1229</v>
      </c>
      <c r="L18" s="3">
        <v>53924.690850620005</v>
      </c>
      <c r="M18" s="6">
        <f t="shared" si="0"/>
        <v>53924.690850620005</v>
      </c>
      <c r="P18" s="58"/>
    </row>
    <row r="19" spans="1:17" ht="11.85" customHeight="1">
      <c r="A19" s="17">
        <v>13</v>
      </c>
      <c r="B19" s="4" t="s">
        <v>594</v>
      </c>
      <c r="C19" s="45" t="s">
        <v>1229</v>
      </c>
      <c r="D19" s="45" t="s">
        <v>1229</v>
      </c>
      <c r="E19" s="66" t="s">
        <v>1229</v>
      </c>
      <c r="F19" s="3">
        <v>15980.258354426604</v>
      </c>
      <c r="G19" s="45" t="s">
        <v>1229</v>
      </c>
      <c r="H19" s="45" t="s">
        <v>1229</v>
      </c>
      <c r="I19" s="45" t="s">
        <v>1229</v>
      </c>
      <c r="J19" s="66" t="s">
        <v>1229</v>
      </c>
      <c r="K19" s="66" t="s">
        <v>1229</v>
      </c>
      <c r="L19" s="3">
        <v>51500.347371659795</v>
      </c>
      <c r="M19" s="6">
        <f t="shared" si="0"/>
        <v>67480.605726086404</v>
      </c>
      <c r="P19" s="58"/>
    </row>
    <row r="20" spans="1:17" ht="11.85" customHeight="1">
      <c r="A20" s="17">
        <v>14</v>
      </c>
      <c r="B20" s="4" t="s">
        <v>595</v>
      </c>
      <c r="C20" s="3">
        <v>22.139962689499999</v>
      </c>
      <c r="D20" s="45" t="s">
        <v>1229</v>
      </c>
      <c r="E20" s="66" t="s">
        <v>1229</v>
      </c>
      <c r="F20" s="3">
        <v>1069.2067207777</v>
      </c>
      <c r="G20" s="45" t="s">
        <v>1229</v>
      </c>
      <c r="H20" s="45" t="s">
        <v>1229</v>
      </c>
      <c r="I20" s="45" t="s">
        <v>1229</v>
      </c>
      <c r="J20" s="66" t="s">
        <v>1229</v>
      </c>
      <c r="K20" s="66" t="s">
        <v>1229</v>
      </c>
      <c r="L20" s="66" t="s">
        <v>1229</v>
      </c>
      <c r="M20" s="6">
        <f t="shared" si="0"/>
        <v>1091.3466834671999</v>
      </c>
      <c r="P20" s="58"/>
    </row>
    <row r="21" spans="1:17" ht="11.85" customHeight="1">
      <c r="A21" s="17">
        <v>15</v>
      </c>
      <c r="B21" s="4" t="s">
        <v>596</v>
      </c>
      <c r="C21" s="66" t="s">
        <v>1229</v>
      </c>
      <c r="D21" s="45" t="s">
        <v>1229</v>
      </c>
      <c r="E21" s="66" t="s">
        <v>1229</v>
      </c>
      <c r="F21" s="66" t="s">
        <v>1229</v>
      </c>
      <c r="G21" s="66" t="s">
        <v>1229</v>
      </c>
      <c r="H21" s="45" t="s">
        <v>1229</v>
      </c>
      <c r="I21" s="45" t="s">
        <v>1229</v>
      </c>
      <c r="J21" s="66" t="s">
        <v>1229</v>
      </c>
      <c r="K21" s="3">
        <v>19414.3250338301</v>
      </c>
      <c r="L21" s="3">
        <v>1418.5812562495998</v>
      </c>
      <c r="M21" s="6">
        <f t="shared" si="0"/>
        <v>20832.9062900797</v>
      </c>
      <c r="P21" s="58"/>
    </row>
    <row r="22" spans="1:17" ht="11.85" customHeight="1">
      <c r="A22" s="17">
        <v>16</v>
      </c>
      <c r="B22" s="4" t="s">
        <v>73</v>
      </c>
      <c r="C22" s="3">
        <v>11524.230805613597</v>
      </c>
      <c r="D22" s="45" t="s">
        <v>1229</v>
      </c>
      <c r="E22" s="66" t="s">
        <v>1229</v>
      </c>
      <c r="F22" s="66" t="s">
        <v>1229</v>
      </c>
      <c r="G22" s="3">
        <v>23.333023990399997</v>
      </c>
      <c r="H22" s="3">
        <v>49.139133999999999</v>
      </c>
      <c r="I22" s="45" t="s">
        <v>1229</v>
      </c>
      <c r="J22" s="66" t="s">
        <v>1229</v>
      </c>
      <c r="K22" s="3">
        <v>28437.281425016779</v>
      </c>
      <c r="L22" s="3">
        <v>3947.3402661455998</v>
      </c>
      <c r="M22" s="6">
        <f t="shared" si="0"/>
        <v>43981.324654766373</v>
      </c>
      <c r="P22" s="58"/>
    </row>
    <row r="23" spans="1:17" ht="11.85" customHeight="1">
      <c r="A23" s="17">
        <v>17</v>
      </c>
      <c r="B23" s="4" t="s">
        <v>74</v>
      </c>
      <c r="C23" s="3">
        <v>343.12748751160001</v>
      </c>
      <c r="D23" s="45" t="s">
        <v>1229</v>
      </c>
      <c r="E23" s="66" t="s">
        <v>1229</v>
      </c>
      <c r="F23" s="3">
        <v>37.880726190300003</v>
      </c>
      <c r="G23" s="66" t="s">
        <v>1229</v>
      </c>
      <c r="H23" s="45" t="s">
        <v>1229</v>
      </c>
      <c r="I23" s="45" t="s">
        <v>1229</v>
      </c>
      <c r="J23" s="3">
        <v>5671.0856409810995</v>
      </c>
      <c r="K23" s="3">
        <v>2613.7329995300001</v>
      </c>
      <c r="L23" s="3">
        <v>72.843535559999992</v>
      </c>
      <c r="M23" s="6">
        <f t="shared" si="0"/>
        <v>8738.6703897729985</v>
      </c>
      <c r="P23" s="58"/>
    </row>
    <row r="24" spans="1:17" ht="22.5">
      <c r="A24" s="195">
        <v>18</v>
      </c>
      <c r="B24" s="82" t="s">
        <v>75</v>
      </c>
      <c r="C24" s="3">
        <v>2219.7473670668992</v>
      </c>
      <c r="D24" s="45" t="s">
        <v>1229</v>
      </c>
      <c r="E24" s="66" t="s">
        <v>1229</v>
      </c>
      <c r="F24" s="3">
        <v>348.72277575919998</v>
      </c>
      <c r="G24" s="3">
        <v>230.05154639950001</v>
      </c>
      <c r="H24" s="3">
        <v>2311.0855346296985</v>
      </c>
      <c r="I24" s="45" t="s">
        <v>1229</v>
      </c>
      <c r="J24" s="66" t="s">
        <v>1229</v>
      </c>
      <c r="K24" s="66" t="s">
        <v>1229</v>
      </c>
      <c r="L24" s="3">
        <v>3613.7964342999999</v>
      </c>
      <c r="M24" s="6">
        <f t="shared" si="0"/>
        <v>8723.4036581552973</v>
      </c>
      <c r="P24" s="58"/>
    </row>
    <row r="25" spans="1:17" ht="11.85" customHeight="1">
      <c r="A25" s="17">
        <v>19</v>
      </c>
      <c r="B25" s="4" t="s">
        <v>76</v>
      </c>
      <c r="C25" s="66" t="s">
        <v>1229</v>
      </c>
      <c r="D25" s="45" t="s">
        <v>1229</v>
      </c>
      <c r="E25" s="66" t="s">
        <v>1229</v>
      </c>
      <c r="F25" s="3">
        <v>357.617547</v>
      </c>
      <c r="G25" s="66" t="s">
        <v>1229</v>
      </c>
      <c r="H25" s="3">
        <v>2943.6540712145024</v>
      </c>
      <c r="I25" s="45" t="s">
        <v>1229</v>
      </c>
      <c r="J25" s="66" t="s">
        <v>1229</v>
      </c>
      <c r="K25" s="66" t="s">
        <v>1229</v>
      </c>
      <c r="L25" s="66" t="s">
        <v>1229</v>
      </c>
      <c r="M25" s="6">
        <f t="shared" si="0"/>
        <v>3301.2716182145023</v>
      </c>
      <c r="P25" s="58"/>
    </row>
    <row r="26" spans="1:17" ht="11.85" customHeight="1">
      <c r="A26" s="17">
        <v>20</v>
      </c>
      <c r="B26" s="4" t="s">
        <v>1225</v>
      </c>
      <c r="C26" s="3">
        <v>70.796927120600003</v>
      </c>
      <c r="D26" s="45" t="s">
        <v>1229</v>
      </c>
      <c r="E26" s="66" t="s">
        <v>1229</v>
      </c>
      <c r="F26" s="3">
        <v>525.96041429730019</v>
      </c>
      <c r="G26" s="3">
        <v>2733.485382269299</v>
      </c>
      <c r="H26" s="45" t="s">
        <v>1229</v>
      </c>
      <c r="I26" s="45" t="s">
        <v>1229</v>
      </c>
      <c r="J26" s="66" t="s">
        <v>1229</v>
      </c>
      <c r="K26" s="66" t="s">
        <v>1229</v>
      </c>
      <c r="L26" s="66" t="s">
        <v>1229</v>
      </c>
      <c r="M26" s="6">
        <f t="shared" si="0"/>
        <v>3330.242723687199</v>
      </c>
      <c r="P26" s="58"/>
    </row>
    <row r="27" spans="1:17" ht="11.85" customHeight="1">
      <c r="A27" s="17">
        <v>21</v>
      </c>
      <c r="B27" s="4" t="s">
        <v>77</v>
      </c>
      <c r="C27" s="66" t="s">
        <v>1229</v>
      </c>
      <c r="D27" s="45" t="s">
        <v>1229</v>
      </c>
      <c r="E27" s="66" t="s">
        <v>1229</v>
      </c>
      <c r="F27" s="3">
        <v>1876.4188023605993</v>
      </c>
      <c r="G27" s="3">
        <v>192.54700721990002</v>
      </c>
      <c r="H27" s="45" t="s">
        <v>1229</v>
      </c>
      <c r="I27" s="45" t="s">
        <v>1229</v>
      </c>
      <c r="J27" s="66" t="s">
        <v>1229</v>
      </c>
      <c r="K27" s="66" t="s">
        <v>1229</v>
      </c>
      <c r="L27" s="66" t="s">
        <v>1229</v>
      </c>
      <c r="M27" s="6">
        <f t="shared" si="0"/>
        <v>2068.9658095804994</v>
      </c>
      <c r="P27" s="58"/>
    </row>
    <row r="28" spans="1:17" ht="11.85" customHeight="1">
      <c r="A28" s="17">
        <v>22</v>
      </c>
      <c r="B28" s="4" t="s">
        <v>78</v>
      </c>
      <c r="C28" s="3">
        <v>20.828567060200001</v>
      </c>
      <c r="D28" s="45" t="s">
        <v>1229</v>
      </c>
      <c r="E28" s="3">
        <v>144</v>
      </c>
      <c r="F28" s="3">
        <v>28978.982227108096</v>
      </c>
      <c r="G28" s="66" t="s">
        <v>1229</v>
      </c>
      <c r="H28" s="45" t="s">
        <v>1229</v>
      </c>
      <c r="I28" s="45" t="s">
        <v>1229</v>
      </c>
      <c r="J28" s="66" t="s">
        <v>1229</v>
      </c>
      <c r="K28" s="66" t="s">
        <v>1229</v>
      </c>
      <c r="L28" s="66" t="s">
        <v>1229</v>
      </c>
      <c r="M28" s="6">
        <f t="shared" si="0"/>
        <v>29143.810794168297</v>
      </c>
      <c r="P28" s="58"/>
    </row>
    <row r="29" spans="1:17" ht="22.5">
      <c r="A29" s="195">
        <v>23</v>
      </c>
      <c r="B29" s="82" t="s">
        <v>1086</v>
      </c>
      <c r="C29" s="3">
        <v>37.999802700300009</v>
      </c>
      <c r="D29" s="45" t="s">
        <v>1229</v>
      </c>
      <c r="E29" s="45" t="s">
        <v>1229</v>
      </c>
      <c r="F29" s="3">
        <v>10829.843494486106</v>
      </c>
      <c r="G29" s="3">
        <v>53.197472679199997</v>
      </c>
      <c r="H29" s="3">
        <v>1.5263119999999999</v>
      </c>
      <c r="I29" s="45" t="s">
        <v>1229</v>
      </c>
      <c r="J29" s="3">
        <v>6.4730034801</v>
      </c>
      <c r="K29" s="3">
        <v>1289.4790000055</v>
      </c>
      <c r="L29" s="66" t="s">
        <v>1229</v>
      </c>
      <c r="M29" s="6">
        <f t="shared" si="0"/>
        <v>12218.519085351205</v>
      </c>
      <c r="P29" s="58"/>
    </row>
    <row r="30" spans="1:17" ht="11.85" customHeight="1">
      <c r="A30" s="17">
        <v>24</v>
      </c>
      <c r="B30" s="4" t="s">
        <v>1087</v>
      </c>
      <c r="C30" s="3">
        <v>95.447146949400008</v>
      </c>
      <c r="D30" s="45" t="s">
        <v>1229</v>
      </c>
      <c r="E30" s="45" t="s">
        <v>1229</v>
      </c>
      <c r="F30" s="3">
        <v>3569.2376572086009</v>
      </c>
      <c r="G30" s="3">
        <v>24.847789160299996</v>
      </c>
      <c r="H30" s="45" t="s">
        <v>1229</v>
      </c>
      <c r="I30" s="45" t="s">
        <v>1229</v>
      </c>
      <c r="J30" s="66" t="s">
        <v>1229</v>
      </c>
      <c r="K30" s="45" t="s">
        <v>1229</v>
      </c>
      <c r="L30" s="45" t="s">
        <v>1229</v>
      </c>
      <c r="M30" s="6">
        <f t="shared" si="0"/>
        <v>3689.5325933183012</v>
      </c>
      <c r="P30" s="58"/>
      <c r="Q30" s="3"/>
    </row>
    <row r="31" spans="1:17" ht="11.85" customHeight="1">
      <c r="A31" s="17">
        <v>25</v>
      </c>
      <c r="B31" s="4" t="s">
        <v>1088</v>
      </c>
      <c r="C31" s="3">
        <v>69833.826073981705</v>
      </c>
      <c r="D31" s="45" t="s">
        <v>1229</v>
      </c>
      <c r="E31" s="45" t="s">
        <v>1229</v>
      </c>
      <c r="F31" s="45" t="s">
        <v>1229</v>
      </c>
      <c r="G31" s="45" t="s">
        <v>1229</v>
      </c>
      <c r="H31" s="45" t="s">
        <v>1229</v>
      </c>
      <c r="I31" s="45" t="s">
        <v>1229</v>
      </c>
      <c r="J31" s="45" t="s">
        <v>1229</v>
      </c>
      <c r="K31" s="45" t="s">
        <v>1229</v>
      </c>
      <c r="L31" s="45" t="s">
        <v>1229</v>
      </c>
      <c r="M31" s="6">
        <f t="shared" si="0"/>
        <v>69833.826073981705</v>
      </c>
      <c r="P31" s="58"/>
      <c r="Q31" s="3"/>
    </row>
    <row r="32" spans="1:17" ht="11.85" customHeight="1">
      <c r="A32" s="17">
        <v>26</v>
      </c>
      <c r="B32" s="4" t="s">
        <v>422</v>
      </c>
      <c r="C32" s="3">
        <v>52718.187038339995</v>
      </c>
      <c r="D32" s="45" t="s">
        <v>1229</v>
      </c>
      <c r="E32" s="45" t="s">
        <v>1229</v>
      </c>
      <c r="F32" s="45" t="s">
        <v>1229</v>
      </c>
      <c r="G32" s="45" t="s">
        <v>1229</v>
      </c>
      <c r="H32" s="45" t="s">
        <v>1229</v>
      </c>
      <c r="I32" s="45" t="s">
        <v>1229</v>
      </c>
      <c r="J32" s="45" t="s">
        <v>1229</v>
      </c>
      <c r="K32" s="45" t="s">
        <v>1229</v>
      </c>
      <c r="L32" s="45" t="s">
        <v>1229</v>
      </c>
      <c r="M32" s="6">
        <f t="shared" si="0"/>
        <v>52718.187038339995</v>
      </c>
      <c r="P32" s="58"/>
      <c r="Q32" s="3"/>
    </row>
    <row r="33" spans="1:17" ht="11.85" customHeight="1">
      <c r="A33" s="17">
        <v>27</v>
      </c>
      <c r="B33" s="4" t="s">
        <v>1089</v>
      </c>
      <c r="C33" s="3">
        <v>25563.070923210002</v>
      </c>
      <c r="D33" s="45" t="s">
        <v>1229</v>
      </c>
      <c r="E33" s="45" t="s">
        <v>1229</v>
      </c>
      <c r="F33" s="45" t="s">
        <v>1229</v>
      </c>
      <c r="G33" s="45" t="s">
        <v>1229</v>
      </c>
      <c r="H33" s="45" t="s">
        <v>1229</v>
      </c>
      <c r="I33" s="45" t="s">
        <v>1229</v>
      </c>
      <c r="J33" s="45" t="s">
        <v>1229</v>
      </c>
      <c r="K33" s="45" t="s">
        <v>1229</v>
      </c>
      <c r="L33" s="45" t="s">
        <v>1229</v>
      </c>
      <c r="M33" s="6">
        <f t="shared" si="0"/>
        <v>25563.070923210002</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198738.97314481842</v>
      </c>
      <c r="D35" s="40">
        <f>SUM(D7:D34)</f>
        <v>43002.734985076902</v>
      </c>
      <c r="E35" s="40">
        <f>SUM(E7:E34)</f>
        <v>28408.782587592708</v>
      </c>
      <c r="F35" s="40">
        <f>SUM(F7:F34)</f>
        <v>63819.158080358211</v>
      </c>
      <c r="G35" s="40">
        <f t="shared" ref="G35:L35" si="1">SUM(G7:G34)</f>
        <v>3257.4622217185993</v>
      </c>
      <c r="H35" s="40">
        <f t="shared" si="1"/>
        <v>5460.8817599747008</v>
      </c>
      <c r="I35" s="40">
        <f t="shared" si="1"/>
        <v>24539.5291602094</v>
      </c>
      <c r="J35" s="40">
        <f>SUM(J7:J34)</f>
        <v>6378.0699094676984</v>
      </c>
      <c r="K35" s="40">
        <f t="shared" si="1"/>
        <v>51783.015895382385</v>
      </c>
      <c r="L35" s="40">
        <f t="shared" si="1"/>
        <v>315339.7784427157</v>
      </c>
      <c r="M35" s="40">
        <f>SUM(C35:L35)</f>
        <v>740728.38618731475</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4" spans="1:17" ht="11.85" customHeight="1">
      <c r="N44" s="68"/>
    </row>
    <row r="45" spans="1:17" ht="21" customHeight="1">
      <c r="N45" s="68"/>
    </row>
    <row r="46" spans="1:17" ht="14.2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7"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6" ht="11.85" customHeight="1">
      <c r="A1" s="41" t="s">
        <v>939</v>
      </c>
      <c r="B1" s="4"/>
      <c r="C1" s="4"/>
      <c r="D1" s="4"/>
      <c r="E1" s="4"/>
      <c r="F1" s="4"/>
      <c r="G1" s="4"/>
      <c r="H1" s="4"/>
      <c r="I1" s="4"/>
      <c r="J1" s="4"/>
      <c r="K1" s="4"/>
      <c r="L1" s="4"/>
      <c r="M1" s="4"/>
      <c r="N1" s="55"/>
    </row>
    <row r="2" spans="1:16" ht="11.85" customHeight="1">
      <c r="A2" s="41" t="s">
        <v>1685</v>
      </c>
      <c r="B2" s="4"/>
      <c r="C2" s="4"/>
      <c r="D2" s="4"/>
      <c r="E2" s="4"/>
      <c r="F2" s="4"/>
      <c r="G2" s="4"/>
      <c r="H2" s="4"/>
      <c r="I2" s="4"/>
      <c r="J2" s="4"/>
      <c r="K2" s="4"/>
      <c r="L2" s="4"/>
      <c r="M2" s="4"/>
      <c r="N2" s="55"/>
    </row>
    <row r="3" spans="1:16" ht="11.85" customHeight="1">
      <c r="A3" s="9" t="s">
        <v>1379</v>
      </c>
      <c r="B3" s="4"/>
      <c r="C3" s="4"/>
      <c r="D3" s="4"/>
      <c r="E3" s="4"/>
      <c r="F3" s="4"/>
      <c r="G3" s="4"/>
      <c r="H3" s="4"/>
      <c r="I3" s="4"/>
      <c r="J3" s="4"/>
      <c r="K3" s="4"/>
      <c r="L3" s="4"/>
      <c r="M3" s="4"/>
      <c r="N3" s="55"/>
    </row>
    <row r="4" spans="1:16" ht="11.85" customHeight="1" thickBot="1">
      <c r="A4" s="39"/>
      <c r="B4" s="43"/>
      <c r="C4" s="4"/>
      <c r="D4" s="4"/>
      <c r="E4" s="4"/>
      <c r="F4" s="4"/>
      <c r="G4" s="4"/>
      <c r="H4" s="4"/>
      <c r="I4" s="4"/>
      <c r="J4" s="4"/>
      <c r="K4" s="4"/>
      <c r="L4" s="4"/>
      <c r="M4" s="4"/>
      <c r="N4" s="55"/>
    </row>
    <row r="5" spans="1:16"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row>
    <row r="6" spans="1:16" ht="11.85" customHeight="1">
      <c r="A6" s="437"/>
      <c r="B6" s="438"/>
      <c r="C6" s="438"/>
      <c r="D6" s="438"/>
      <c r="E6" s="438"/>
      <c r="F6" s="438"/>
      <c r="G6" s="438"/>
      <c r="H6" s="438"/>
      <c r="I6" s="438"/>
      <c r="J6" s="438"/>
      <c r="K6" s="438"/>
      <c r="L6" s="438"/>
      <c r="M6" s="438"/>
      <c r="N6" s="67"/>
    </row>
    <row r="7" spans="1:16" ht="11.85" customHeight="1">
      <c r="A7" s="17">
        <v>1</v>
      </c>
      <c r="B7" s="4" t="s">
        <v>401</v>
      </c>
      <c r="C7" s="3">
        <v>6907.56</v>
      </c>
      <c r="D7" s="45" t="s">
        <v>1378</v>
      </c>
      <c r="E7" s="3">
        <v>56.71</v>
      </c>
      <c r="F7" s="3">
        <v>29.45</v>
      </c>
      <c r="G7" s="66" t="s">
        <v>1378</v>
      </c>
      <c r="H7" s="66" t="s">
        <v>1378</v>
      </c>
      <c r="I7" s="66" t="s">
        <v>1378</v>
      </c>
      <c r="J7" s="3">
        <v>679.1</v>
      </c>
      <c r="K7" s="66" t="s">
        <v>1378</v>
      </c>
      <c r="L7" s="66" t="s">
        <v>1378</v>
      </c>
      <c r="M7" s="6">
        <f t="shared" ref="M7:M33" si="0">SUM(C7:L7)</f>
        <v>7672.8200000000006</v>
      </c>
      <c r="N7" s="67"/>
    </row>
    <row r="8" spans="1:16" ht="11.85" customHeight="1">
      <c r="A8" s="17">
        <v>2</v>
      </c>
      <c r="B8" s="4" t="s">
        <v>402</v>
      </c>
      <c r="C8" s="3">
        <v>1318.92</v>
      </c>
      <c r="D8" s="45" t="s">
        <v>1378</v>
      </c>
      <c r="E8" s="45" t="s">
        <v>1378</v>
      </c>
      <c r="F8" s="3">
        <v>179.2</v>
      </c>
      <c r="G8" s="45">
        <v>1264.53</v>
      </c>
      <c r="H8" s="45" t="s">
        <v>1378</v>
      </c>
      <c r="I8" s="45" t="s">
        <v>1378</v>
      </c>
      <c r="J8" s="45" t="s">
        <v>1378</v>
      </c>
      <c r="K8" s="66" t="s">
        <v>1378</v>
      </c>
      <c r="L8" s="3">
        <v>8209.18</v>
      </c>
      <c r="M8" s="6">
        <f t="shared" si="0"/>
        <v>10971.83</v>
      </c>
      <c r="N8" s="55"/>
      <c r="P8" s="58"/>
    </row>
    <row r="9" spans="1:16" ht="11.85" customHeight="1">
      <c r="A9" s="17">
        <v>3</v>
      </c>
      <c r="B9" s="4" t="s">
        <v>207</v>
      </c>
      <c r="C9" s="3">
        <v>7106.9</v>
      </c>
      <c r="D9" s="45" t="s">
        <v>1378</v>
      </c>
      <c r="E9" s="3">
        <v>1465.49</v>
      </c>
      <c r="F9" s="45" t="s">
        <v>1378</v>
      </c>
      <c r="G9" s="45" t="s">
        <v>1378</v>
      </c>
      <c r="H9" s="45" t="s">
        <v>1378</v>
      </c>
      <c r="I9" s="45" t="s">
        <v>1378</v>
      </c>
      <c r="J9" s="45" t="s">
        <v>1378</v>
      </c>
      <c r="K9" s="66" t="s">
        <v>1378</v>
      </c>
      <c r="L9" s="66" t="s">
        <v>1378</v>
      </c>
      <c r="M9" s="6">
        <f t="shared" si="0"/>
        <v>8572.39</v>
      </c>
      <c r="P9" s="58"/>
    </row>
    <row r="10" spans="1:16" ht="11.85" customHeight="1">
      <c r="A10" s="17">
        <v>4</v>
      </c>
      <c r="B10" s="4" t="s">
        <v>1267</v>
      </c>
      <c r="C10" s="3">
        <v>3.84</v>
      </c>
      <c r="D10" s="45" t="s">
        <v>1378</v>
      </c>
      <c r="E10" s="3">
        <v>27021.119999999999</v>
      </c>
      <c r="F10" s="45" t="s">
        <v>1378</v>
      </c>
      <c r="G10" s="45" t="s">
        <v>1378</v>
      </c>
      <c r="H10" s="45" t="s">
        <v>1378</v>
      </c>
      <c r="I10" s="45" t="s">
        <v>1378</v>
      </c>
      <c r="J10" s="45" t="s">
        <v>1378</v>
      </c>
      <c r="K10" s="66" t="s">
        <v>1378</v>
      </c>
      <c r="L10" s="66" t="s">
        <v>1378</v>
      </c>
      <c r="M10" s="6">
        <f t="shared" si="0"/>
        <v>27024.959999999999</v>
      </c>
      <c r="P10" s="58"/>
    </row>
    <row r="11" spans="1:16" ht="11.85" customHeight="1">
      <c r="A11" s="17">
        <v>5</v>
      </c>
      <c r="B11" s="4" t="s">
        <v>1183</v>
      </c>
      <c r="C11" s="3">
        <v>1030.52</v>
      </c>
      <c r="D11" s="3">
        <v>173.73</v>
      </c>
      <c r="E11" s="45" t="s">
        <v>1378</v>
      </c>
      <c r="F11" s="45" t="s">
        <v>1378</v>
      </c>
      <c r="G11" s="45" t="s">
        <v>1378</v>
      </c>
      <c r="H11" s="45" t="s">
        <v>1378</v>
      </c>
      <c r="I11" s="45" t="s">
        <v>1378</v>
      </c>
      <c r="J11" s="45" t="s">
        <v>1378</v>
      </c>
      <c r="K11" s="66" t="s">
        <v>1378</v>
      </c>
      <c r="L11" s="3">
        <v>160.68</v>
      </c>
      <c r="M11" s="6">
        <f t="shared" si="0"/>
        <v>1364.93</v>
      </c>
      <c r="P11" s="58"/>
    </row>
    <row r="12" spans="1:16" ht="11.85" customHeight="1">
      <c r="A12" s="17">
        <v>6</v>
      </c>
      <c r="B12" s="4" t="s">
        <v>1268</v>
      </c>
      <c r="C12" s="45" t="s">
        <v>1378</v>
      </c>
      <c r="D12" s="3">
        <v>43539.54</v>
      </c>
      <c r="E12" s="3">
        <v>21.82</v>
      </c>
      <c r="F12" s="45" t="s">
        <v>1378</v>
      </c>
      <c r="G12" s="45" t="s">
        <v>1378</v>
      </c>
      <c r="H12" s="45" t="s">
        <v>1378</v>
      </c>
      <c r="I12" s="45" t="s">
        <v>1378</v>
      </c>
      <c r="J12" s="45" t="s">
        <v>1378</v>
      </c>
      <c r="K12" s="45">
        <v>29.82</v>
      </c>
      <c r="L12" s="45" t="s">
        <v>1378</v>
      </c>
      <c r="M12" s="6">
        <f t="shared" si="0"/>
        <v>43591.18</v>
      </c>
      <c r="P12" s="58"/>
    </row>
    <row r="13" spans="1:16" ht="11.85" customHeight="1">
      <c r="A13" s="17">
        <v>7</v>
      </c>
      <c r="B13" s="4" t="s">
        <v>1269</v>
      </c>
      <c r="C13" s="3">
        <v>22246.63</v>
      </c>
      <c r="D13" s="66" t="s">
        <v>1378</v>
      </c>
      <c r="E13" s="45" t="s">
        <v>1378</v>
      </c>
      <c r="F13" s="45" t="s">
        <v>1378</v>
      </c>
      <c r="G13" s="45" t="s">
        <v>1378</v>
      </c>
      <c r="H13" s="45" t="s">
        <v>1378</v>
      </c>
      <c r="I13" s="45" t="s">
        <v>1378</v>
      </c>
      <c r="J13" s="3">
        <v>13.51</v>
      </c>
      <c r="K13" s="45" t="s">
        <v>1378</v>
      </c>
      <c r="L13" s="45" t="s">
        <v>1378</v>
      </c>
      <c r="M13" s="6">
        <f t="shared" si="0"/>
        <v>22260.14</v>
      </c>
      <c r="P13" s="58"/>
    </row>
    <row r="14" spans="1:16" ht="11.85" customHeight="1">
      <c r="A14" s="17">
        <v>8</v>
      </c>
      <c r="B14" s="4" t="s">
        <v>1270</v>
      </c>
      <c r="C14" s="3">
        <v>174.16</v>
      </c>
      <c r="D14" s="66" t="s">
        <v>1378</v>
      </c>
      <c r="E14" s="3">
        <v>340.28</v>
      </c>
      <c r="F14" s="3">
        <v>23.67</v>
      </c>
      <c r="G14" s="45" t="s">
        <v>1378</v>
      </c>
      <c r="H14" s="3">
        <v>143.44999999999999</v>
      </c>
      <c r="I14" s="45" t="s">
        <v>1378</v>
      </c>
      <c r="J14" s="45" t="s">
        <v>1378</v>
      </c>
      <c r="K14" s="45" t="s">
        <v>1378</v>
      </c>
      <c r="L14" s="3">
        <v>6236.82</v>
      </c>
      <c r="M14" s="6">
        <f t="shared" si="0"/>
        <v>6918.3799999999992</v>
      </c>
      <c r="P14" s="58"/>
    </row>
    <row r="15" spans="1:16" ht="11.85" customHeight="1">
      <c r="A15" s="17">
        <v>9</v>
      </c>
      <c r="B15" s="4" t="s">
        <v>1271</v>
      </c>
      <c r="C15" s="3">
        <v>48.21</v>
      </c>
      <c r="D15" s="66" t="s">
        <v>1378</v>
      </c>
      <c r="E15" s="45" t="s">
        <v>1378</v>
      </c>
      <c r="F15" s="3">
        <v>0.01</v>
      </c>
      <c r="G15" s="45" t="s">
        <v>1378</v>
      </c>
      <c r="H15" s="45" t="s">
        <v>1378</v>
      </c>
      <c r="I15" s="3">
        <v>24536.33</v>
      </c>
      <c r="J15" s="66">
        <v>6.19</v>
      </c>
      <c r="K15" s="45" t="s">
        <v>1378</v>
      </c>
      <c r="L15" s="3">
        <v>13882.41</v>
      </c>
      <c r="M15" s="6">
        <f t="shared" si="0"/>
        <v>38473.15</v>
      </c>
      <c r="P15" s="58"/>
    </row>
    <row r="16" spans="1:16" ht="11.85" customHeight="1">
      <c r="A16" s="17">
        <v>10</v>
      </c>
      <c r="B16" s="4" t="s">
        <v>1272</v>
      </c>
      <c r="C16" s="45" t="s">
        <v>1378</v>
      </c>
      <c r="D16" s="66" t="s">
        <v>1378</v>
      </c>
      <c r="E16" s="45" t="s">
        <v>1378</v>
      </c>
      <c r="F16" s="45" t="s">
        <v>1378</v>
      </c>
      <c r="G16" s="45" t="s">
        <v>1378</v>
      </c>
      <c r="H16" s="45" t="s">
        <v>1378</v>
      </c>
      <c r="I16" s="45" t="s">
        <v>1378</v>
      </c>
      <c r="J16" s="45" t="s">
        <v>1378</v>
      </c>
      <c r="K16" s="45" t="s">
        <v>1378</v>
      </c>
      <c r="L16" s="3">
        <v>127049.42</v>
      </c>
      <c r="M16" s="6">
        <f t="shared" si="0"/>
        <v>127049.42</v>
      </c>
      <c r="P16" s="58"/>
    </row>
    <row r="17" spans="1:17" ht="11.85" customHeight="1">
      <c r="A17" s="17">
        <v>11</v>
      </c>
      <c r="B17" s="4" t="s">
        <v>1273</v>
      </c>
      <c r="C17" s="45" t="s">
        <v>1378</v>
      </c>
      <c r="D17" s="66" t="s">
        <v>1378</v>
      </c>
      <c r="E17" s="45" t="s">
        <v>1378</v>
      </c>
      <c r="F17" s="45" t="s">
        <v>1378</v>
      </c>
      <c r="G17" s="45" t="s">
        <v>1378</v>
      </c>
      <c r="H17" s="45" t="s">
        <v>1378</v>
      </c>
      <c r="I17" s="45" t="s">
        <v>1378</v>
      </c>
      <c r="J17" s="45" t="s">
        <v>1378</v>
      </c>
      <c r="K17" s="45" t="s">
        <v>1378</v>
      </c>
      <c r="L17" s="3">
        <v>46120.23</v>
      </c>
      <c r="M17" s="6">
        <f t="shared" si="0"/>
        <v>46120.23</v>
      </c>
      <c r="P17" s="58"/>
    </row>
    <row r="18" spans="1:17" ht="11.85" customHeight="1">
      <c r="A18" s="17">
        <v>12</v>
      </c>
      <c r="B18" s="4" t="s">
        <v>593</v>
      </c>
      <c r="C18" s="45" t="s">
        <v>1378</v>
      </c>
      <c r="D18" s="66" t="s">
        <v>1378</v>
      </c>
      <c r="E18" s="45" t="s">
        <v>1378</v>
      </c>
      <c r="F18" s="45" t="s">
        <v>1378</v>
      </c>
      <c r="G18" s="45" t="s">
        <v>1378</v>
      </c>
      <c r="H18" s="45" t="s">
        <v>1378</v>
      </c>
      <c r="I18" s="45" t="s">
        <v>1378</v>
      </c>
      <c r="J18" s="45" t="s">
        <v>1378</v>
      </c>
      <c r="K18" s="45" t="s">
        <v>1378</v>
      </c>
      <c r="L18" s="3">
        <v>55466.720000000001</v>
      </c>
      <c r="M18" s="6">
        <f t="shared" si="0"/>
        <v>55466.720000000001</v>
      </c>
      <c r="P18" s="58"/>
    </row>
    <row r="19" spans="1:17" ht="11.85" customHeight="1">
      <c r="A19" s="17">
        <v>13</v>
      </c>
      <c r="B19" s="4" t="s">
        <v>594</v>
      </c>
      <c r="C19" s="45" t="s">
        <v>1378</v>
      </c>
      <c r="D19" s="66" t="s">
        <v>1378</v>
      </c>
      <c r="E19" s="45" t="s">
        <v>1378</v>
      </c>
      <c r="F19" s="3">
        <v>17075.310000000001</v>
      </c>
      <c r="G19" s="45" t="s">
        <v>1378</v>
      </c>
      <c r="H19" s="45" t="s">
        <v>1378</v>
      </c>
      <c r="I19" s="45" t="s">
        <v>1378</v>
      </c>
      <c r="J19" s="45" t="s">
        <v>1378</v>
      </c>
      <c r="K19" s="45" t="s">
        <v>1378</v>
      </c>
      <c r="L19" s="3">
        <v>52492.67</v>
      </c>
      <c r="M19" s="6">
        <f t="shared" si="0"/>
        <v>69567.98</v>
      </c>
      <c r="P19" s="58"/>
    </row>
    <row r="20" spans="1:17" ht="11.85" customHeight="1">
      <c r="A20" s="17">
        <v>14</v>
      </c>
      <c r="B20" s="4" t="s">
        <v>595</v>
      </c>
      <c r="C20" s="3">
        <v>22.99</v>
      </c>
      <c r="D20" s="66" t="s">
        <v>1378</v>
      </c>
      <c r="E20" s="45" t="s">
        <v>1378</v>
      </c>
      <c r="F20" s="3">
        <v>1129.53</v>
      </c>
      <c r="G20" s="45" t="s">
        <v>1378</v>
      </c>
      <c r="H20" s="45" t="s">
        <v>1378</v>
      </c>
      <c r="I20" s="45" t="s">
        <v>1378</v>
      </c>
      <c r="J20" s="45" t="s">
        <v>1378</v>
      </c>
      <c r="K20" s="45" t="s">
        <v>1378</v>
      </c>
      <c r="L20" s="45" t="s">
        <v>1378</v>
      </c>
      <c r="M20" s="6">
        <f t="shared" si="0"/>
        <v>1152.52</v>
      </c>
      <c r="P20" s="58"/>
    </row>
    <row r="21" spans="1:17" ht="11.85" customHeight="1">
      <c r="A21" s="17">
        <v>15</v>
      </c>
      <c r="B21" s="4" t="s">
        <v>596</v>
      </c>
      <c r="C21" s="45" t="s">
        <v>1378</v>
      </c>
      <c r="D21" s="66" t="s">
        <v>1378</v>
      </c>
      <c r="E21" s="45" t="s">
        <v>1378</v>
      </c>
      <c r="F21" s="45" t="s">
        <v>1378</v>
      </c>
      <c r="G21" s="45" t="s">
        <v>1378</v>
      </c>
      <c r="H21" s="45" t="s">
        <v>1378</v>
      </c>
      <c r="I21" s="45" t="s">
        <v>1378</v>
      </c>
      <c r="J21" s="45" t="s">
        <v>1378</v>
      </c>
      <c r="K21" s="3">
        <v>18312.62</v>
      </c>
      <c r="L21" s="3">
        <v>1466.75</v>
      </c>
      <c r="M21" s="6">
        <f t="shared" si="0"/>
        <v>19779.37</v>
      </c>
      <c r="P21" s="58"/>
    </row>
    <row r="22" spans="1:17" ht="11.85" customHeight="1">
      <c r="A22" s="17">
        <v>16</v>
      </c>
      <c r="B22" s="4" t="s">
        <v>73</v>
      </c>
      <c r="C22" s="3">
        <v>11622.32</v>
      </c>
      <c r="D22" s="66" t="s">
        <v>1378</v>
      </c>
      <c r="E22" s="45" t="s">
        <v>1378</v>
      </c>
      <c r="F22" s="45" t="s">
        <v>1378</v>
      </c>
      <c r="G22" s="3">
        <v>30.14</v>
      </c>
      <c r="H22" s="3">
        <v>47.89</v>
      </c>
      <c r="I22" s="45" t="s">
        <v>1378</v>
      </c>
      <c r="J22" s="45" t="s">
        <v>1378</v>
      </c>
      <c r="K22" s="3">
        <v>28038.12</v>
      </c>
      <c r="L22" s="3">
        <v>3956.58</v>
      </c>
      <c r="M22" s="6">
        <f t="shared" si="0"/>
        <v>43695.05</v>
      </c>
      <c r="P22" s="58"/>
    </row>
    <row r="23" spans="1:17" ht="11.85" customHeight="1">
      <c r="A23" s="17">
        <v>17</v>
      </c>
      <c r="B23" s="4" t="s">
        <v>74</v>
      </c>
      <c r="C23" s="3">
        <v>341.47</v>
      </c>
      <c r="D23" s="66" t="s">
        <v>1378</v>
      </c>
      <c r="E23" s="45" t="s">
        <v>1378</v>
      </c>
      <c r="F23" s="3">
        <v>38.06</v>
      </c>
      <c r="G23" s="45" t="s">
        <v>1378</v>
      </c>
      <c r="H23" s="45" t="s">
        <v>1378</v>
      </c>
      <c r="I23" s="45" t="s">
        <v>1378</v>
      </c>
      <c r="J23" s="3">
        <v>5861.78</v>
      </c>
      <c r="K23" s="3">
        <v>2650.81</v>
      </c>
      <c r="L23" s="3">
        <v>75.59</v>
      </c>
      <c r="M23" s="6">
        <f t="shared" si="0"/>
        <v>8967.7099999999991</v>
      </c>
      <c r="P23" s="58"/>
    </row>
    <row r="24" spans="1:17" ht="22.5">
      <c r="A24" s="195">
        <v>18</v>
      </c>
      <c r="B24" s="82" t="s">
        <v>75</v>
      </c>
      <c r="C24" s="3">
        <v>2189.77</v>
      </c>
      <c r="D24" s="66" t="s">
        <v>1378</v>
      </c>
      <c r="E24" s="45" t="s">
        <v>1378</v>
      </c>
      <c r="F24" s="3">
        <v>329.63</v>
      </c>
      <c r="G24" s="3">
        <v>120.47</v>
      </c>
      <c r="H24" s="3">
        <v>2492.42</v>
      </c>
      <c r="I24" s="45" t="s">
        <v>1378</v>
      </c>
      <c r="J24" s="45" t="s">
        <v>1378</v>
      </c>
      <c r="K24" s="45" t="s">
        <v>1378</v>
      </c>
      <c r="L24" s="3">
        <v>3604.68</v>
      </c>
      <c r="M24" s="6">
        <f t="shared" si="0"/>
        <v>8736.9699999999993</v>
      </c>
      <c r="P24" s="58"/>
    </row>
    <row r="25" spans="1:17" ht="11.85" customHeight="1">
      <c r="A25" s="17">
        <v>19</v>
      </c>
      <c r="B25" s="4" t="s">
        <v>76</v>
      </c>
      <c r="C25" s="45" t="s">
        <v>1378</v>
      </c>
      <c r="D25" s="66" t="s">
        <v>1378</v>
      </c>
      <c r="E25" s="45" t="s">
        <v>1378</v>
      </c>
      <c r="F25" s="3">
        <v>375.3</v>
      </c>
      <c r="G25" s="66"/>
      <c r="H25" s="3">
        <v>2910.24</v>
      </c>
      <c r="I25" s="45" t="s">
        <v>1378</v>
      </c>
      <c r="J25" s="45" t="s">
        <v>1378</v>
      </c>
      <c r="K25" s="45" t="s">
        <v>1378</v>
      </c>
      <c r="L25" s="45" t="s">
        <v>1378</v>
      </c>
      <c r="M25" s="6">
        <f t="shared" si="0"/>
        <v>3285.54</v>
      </c>
      <c r="P25" s="58"/>
    </row>
    <row r="26" spans="1:17" ht="11.85" customHeight="1">
      <c r="A26" s="17">
        <v>20</v>
      </c>
      <c r="B26" s="4" t="s">
        <v>1225</v>
      </c>
      <c r="C26" s="3">
        <v>72.45</v>
      </c>
      <c r="D26" s="66" t="s">
        <v>1378</v>
      </c>
      <c r="E26" s="45" t="s">
        <v>1378</v>
      </c>
      <c r="F26" s="3">
        <v>515.41</v>
      </c>
      <c r="G26" s="3">
        <v>3666.35</v>
      </c>
      <c r="H26" s="45" t="s">
        <v>1378</v>
      </c>
      <c r="I26" s="45" t="s">
        <v>1378</v>
      </c>
      <c r="J26" s="45" t="s">
        <v>1378</v>
      </c>
      <c r="K26" s="45" t="s">
        <v>1378</v>
      </c>
      <c r="L26" s="45" t="s">
        <v>1378</v>
      </c>
      <c r="M26" s="6">
        <f t="shared" si="0"/>
        <v>4254.21</v>
      </c>
      <c r="P26" s="58"/>
    </row>
    <row r="27" spans="1:17" ht="11.85" customHeight="1">
      <c r="A27" s="17">
        <v>21</v>
      </c>
      <c r="B27" s="4" t="s">
        <v>77</v>
      </c>
      <c r="C27" s="45" t="s">
        <v>1378</v>
      </c>
      <c r="D27" s="66" t="s">
        <v>1378</v>
      </c>
      <c r="E27" s="45" t="s">
        <v>1378</v>
      </c>
      <c r="F27" s="3">
        <v>1358.31</v>
      </c>
      <c r="G27" s="3">
        <v>37.93</v>
      </c>
      <c r="H27" s="45" t="s">
        <v>1378</v>
      </c>
      <c r="I27" s="45" t="s">
        <v>1378</v>
      </c>
      <c r="J27" s="45" t="s">
        <v>1378</v>
      </c>
      <c r="K27" s="45" t="s">
        <v>1378</v>
      </c>
      <c r="L27" s="45" t="s">
        <v>1378</v>
      </c>
      <c r="M27" s="6">
        <f t="shared" si="0"/>
        <v>1396.24</v>
      </c>
      <c r="P27" s="58"/>
    </row>
    <row r="28" spans="1:17" ht="11.85" customHeight="1">
      <c r="A28" s="17">
        <v>22</v>
      </c>
      <c r="B28" s="4" t="s">
        <v>78</v>
      </c>
      <c r="C28" s="3">
        <v>19.66</v>
      </c>
      <c r="D28" s="66" t="s">
        <v>1378</v>
      </c>
      <c r="E28" s="3">
        <v>144</v>
      </c>
      <c r="F28" s="3">
        <v>31669.360000000001</v>
      </c>
      <c r="G28" s="45" t="s">
        <v>1378</v>
      </c>
      <c r="H28" s="45" t="s">
        <v>1378</v>
      </c>
      <c r="I28" s="45" t="s">
        <v>1378</v>
      </c>
      <c r="J28" s="45" t="s">
        <v>1378</v>
      </c>
      <c r="K28" s="45" t="s">
        <v>1378</v>
      </c>
      <c r="L28" s="45" t="s">
        <v>1378</v>
      </c>
      <c r="M28" s="6">
        <f t="shared" si="0"/>
        <v>31833.02</v>
      </c>
      <c r="P28" s="58"/>
    </row>
    <row r="29" spans="1:17" ht="22.5">
      <c r="A29" s="195">
        <v>23</v>
      </c>
      <c r="B29" s="82" t="s">
        <v>1086</v>
      </c>
      <c r="C29" s="3">
        <v>36.26</v>
      </c>
      <c r="D29" s="66" t="s">
        <v>1378</v>
      </c>
      <c r="E29" s="45" t="s">
        <v>1378</v>
      </c>
      <c r="F29" s="3">
        <v>15980.26</v>
      </c>
      <c r="G29" s="3">
        <v>40.14</v>
      </c>
      <c r="H29" s="3">
        <v>1.53</v>
      </c>
      <c r="I29" s="45" t="s">
        <v>1378</v>
      </c>
      <c r="J29" s="3">
        <v>2.08</v>
      </c>
      <c r="K29" s="3">
        <v>1348.06</v>
      </c>
      <c r="L29" s="45" t="s">
        <v>1378</v>
      </c>
      <c r="M29" s="6">
        <f t="shared" si="0"/>
        <v>17408.330000000002</v>
      </c>
      <c r="P29" s="58"/>
    </row>
    <row r="30" spans="1:17" ht="11.85" customHeight="1">
      <c r="A30" s="17">
        <v>24</v>
      </c>
      <c r="B30" s="4" t="s">
        <v>1087</v>
      </c>
      <c r="C30" s="3">
        <v>93.39</v>
      </c>
      <c r="D30" s="66" t="s">
        <v>1378</v>
      </c>
      <c r="E30" s="45" t="s">
        <v>1378</v>
      </c>
      <c r="F30" s="3">
        <v>3655.25</v>
      </c>
      <c r="G30" s="3">
        <v>26.66</v>
      </c>
      <c r="H30" s="45" t="s">
        <v>1378</v>
      </c>
      <c r="I30" s="45" t="s">
        <v>1378</v>
      </c>
      <c r="J30" s="45" t="s">
        <v>1378</v>
      </c>
      <c r="K30" s="45" t="s">
        <v>1378</v>
      </c>
      <c r="L30" s="45" t="s">
        <v>1378</v>
      </c>
      <c r="M30" s="6">
        <f t="shared" si="0"/>
        <v>3775.2999999999997</v>
      </c>
      <c r="P30" s="58"/>
      <c r="Q30" s="3"/>
    </row>
    <row r="31" spans="1:17" ht="11.85" customHeight="1">
      <c r="A31" s="17">
        <v>25</v>
      </c>
      <c r="B31" s="4" t="s">
        <v>1088</v>
      </c>
      <c r="C31" s="3">
        <v>57325.1</v>
      </c>
      <c r="D31" s="66" t="s">
        <v>1378</v>
      </c>
      <c r="E31" s="45" t="s">
        <v>1378</v>
      </c>
      <c r="F31" s="45" t="s">
        <v>1378</v>
      </c>
      <c r="G31" s="45" t="s">
        <v>1378</v>
      </c>
      <c r="H31" s="45" t="s">
        <v>1378</v>
      </c>
      <c r="I31" s="45" t="s">
        <v>1378</v>
      </c>
      <c r="J31" s="45" t="s">
        <v>1378</v>
      </c>
      <c r="K31" s="45" t="s">
        <v>1378</v>
      </c>
      <c r="L31" s="45" t="s">
        <v>1378</v>
      </c>
      <c r="M31" s="6">
        <f t="shared" si="0"/>
        <v>57325.1</v>
      </c>
      <c r="P31" s="58"/>
      <c r="Q31" s="3"/>
    </row>
    <row r="32" spans="1:17" ht="11.85" customHeight="1">
      <c r="A32" s="17">
        <v>26</v>
      </c>
      <c r="B32" s="4" t="s">
        <v>422</v>
      </c>
      <c r="C32" s="3">
        <v>32657.38</v>
      </c>
      <c r="D32" s="66" t="s">
        <v>1378</v>
      </c>
      <c r="E32" s="45" t="s">
        <v>1378</v>
      </c>
      <c r="F32" s="45" t="s">
        <v>1378</v>
      </c>
      <c r="G32" s="45" t="s">
        <v>1378</v>
      </c>
      <c r="H32" s="45" t="s">
        <v>1378</v>
      </c>
      <c r="I32" s="45" t="s">
        <v>1378</v>
      </c>
      <c r="J32" s="45" t="s">
        <v>1378</v>
      </c>
      <c r="K32" s="45" t="s">
        <v>1378</v>
      </c>
      <c r="L32" s="45" t="s">
        <v>1378</v>
      </c>
      <c r="M32" s="6">
        <f t="shared" si="0"/>
        <v>32657.38</v>
      </c>
      <c r="P32" s="58"/>
      <c r="Q32" s="3"/>
    </row>
    <row r="33" spans="1:17" ht="11.85" customHeight="1">
      <c r="A33" s="17">
        <v>27</v>
      </c>
      <c r="B33" s="4" t="s">
        <v>1089</v>
      </c>
      <c r="C33" s="3">
        <v>25635.13</v>
      </c>
      <c r="D33" s="66" t="s">
        <v>1378</v>
      </c>
      <c r="E33" s="45" t="s">
        <v>1378</v>
      </c>
      <c r="F33" s="45" t="s">
        <v>1378</v>
      </c>
      <c r="G33" s="45" t="s">
        <v>1378</v>
      </c>
      <c r="H33" s="45" t="s">
        <v>1378</v>
      </c>
      <c r="I33" s="45" t="s">
        <v>1378</v>
      </c>
      <c r="J33" s="45" t="s">
        <v>1378</v>
      </c>
      <c r="K33" s="45" t="s">
        <v>1378</v>
      </c>
      <c r="L33" s="45" t="s">
        <v>1378</v>
      </c>
      <c r="M33" s="6">
        <f t="shared" si="0"/>
        <v>25635.13</v>
      </c>
      <c r="P33" s="58"/>
      <c r="Q33" s="3"/>
    </row>
    <row r="34" spans="1:17" ht="11.85" customHeight="1">
      <c r="A34" s="17"/>
      <c r="B34" s="4"/>
      <c r="C34" s="3"/>
      <c r="D34" s="3"/>
      <c r="E34" s="3"/>
      <c r="F34" s="3"/>
      <c r="G34" s="3"/>
      <c r="H34" s="3"/>
      <c r="I34" s="3"/>
      <c r="J34" s="3"/>
      <c r="K34" s="3"/>
      <c r="L34" s="3"/>
      <c r="M34" s="3"/>
      <c r="P34" s="58"/>
      <c r="Q34" s="3"/>
    </row>
    <row r="35" spans="1:17" ht="11.85" customHeight="1" thickBot="1">
      <c r="A35" s="39"/>
      <c r="B35" s="33" t="s">
        <v>1230</v>
      </c>
      <c r="C35" s="40">
        <f>SUM(C7:C34)</f>
        <v>168852.66</v>
      </c>
      <c r="D35" s="40">
        <f>SUM(D7:D34)</f>
        <v>43713.270000000004</v>
      </c>
      <c r="E35" s="40">
        <f>SUM(E7:E34)</f>
        <v>29049.42</v>
      </c>
      <c r="F35" s="40">
        <f>SUM(F7:F34)</f>
        <v>72358.75</v>
      </c>
      <c r="G35" s="40">
        <f t="shared" ref="G35:L35" si="1">SUM(G7:G34)</f>
        <v>5186.22</v>
      </c>
      <c r="H35" s="40">
        <f t="shared" si="1"/>
        <v>5595.53</v>
      </c>
      <c r="I35" s="40">
        <f t="shared" si="1"/>
        <v>24536.33</v>
      </c>
      <c r="J35" s="40">
        <f>SUM(J7:J34)</f>
        <v>6562.66</v>
      </c>
      <c r="K35" s="40">
        <f t="shared" si="1"/>
        <v>50379.429999999993</v>
      </c>
      <c r="L35" s="40">
        <f t="shared" si="1"/>
        <v>318721.73000000004</v>
      </c>
      <c r="M35" s="40">
        <f>SUM(C35:L35)</f>
        <v>724956</v>
      </c>
      <c r="P35" s="58"/>
      <c r="Q35" s="3"/>
    </row>
    <row r="36" spans="1:17" ht="11.85" customHeight="1">
      <c r="A36" s="42" t="s">
        <v>179</v>
      </c>
      <c r="B36" s="4"/>
      <c r="C36" s="4"/>
      <c r="D36" s="4"/>
      <c r="E36" s="4"/>
      <c r="F36" s="4"/>
      <c r="G36" s="4"/>
      <c r="H36" s="4"/>
      <c r="I36" s="4"/>
      <c r="J36" s="4"/>
      <c r="K36" s="4"/>
      <c r="L36" s="4"/>
      <c r="M36" s="4"/>
      <c r="N36" s="68"/>
      <c r="P36" s="58"/>
      <c r="Q36" s="3"/>
    </row>
    <row r="37" spans="1:17" ht="11.85" customHeight="1">
      <c r="A37" s="42" t="s">
        <v>539</v>
      </c>
      <c r="B37" s="4"/>
      <c r="C37" s="4"/>
      <c r="D37" s="4"/>
      <c r="E37" s="4"/>
      <c r="F37" s="4"/>
      <c r="G37" s="4"/>
      <c r="H37" s="4"/>
      <c r="I37" s="4"/>
      <c r="J37" s="4"/>
      <c r="K37" s="4"/>
      <c r="L37" s="4"/>
      <c r="M37" s="4"/>
      <c r="P37" s="58"/>
      <c r="Q37" s="3"/>
    </row>
    <row r="38" spans="1:17" ht="11.85" customHeight="1">
      <c r="N38" s="68"/>
      <c r="P38" s="58"/>
      <c r="Q38" s="3"/>
    </row>
    <row r="39" spans="1:17" ht="11.85" customHeight="1">
      <c r="P39" s="58"/>
      <c r="Q39" s="3"/>
    </row>
    <row r="40" spans="1:17" ht="11.85" customHeight="1">
      <c r="N40" s="68"/>
    </row>
    <row r="41" spans="1:17" ht="11.85" customHeight="1">
      <c r="N41" s="68"/>
    </row>
    <row r="42" spans="1:17" ht="11.85" customHeight="1">
      <c r="N42" s="68"/>
    </row>
    <row r="43" spans="1:17" ht="11.85" customHeight="1">
      <c r="A43" s="183"/>
    </row>
    <row r="44" spans="1:17" ht="11.85" customHeight="1">
      <c r="A44" s="183"/>
      <c r="N44" s="68"/>
    </row>
    <row r="45" spans="1:17" ht="21" customHeight="1">
      <c r="N45" s="68"/>
    </row>
    <row r="46" spans="1:17"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7"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zoomScaleNormal="100"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8" customWidth="1"/>
    <col min="15" max="15" width="7" style="58" customWidth="1"/>
    <col min="16" max="16" width="5.33203125" customWidth="1"/>
  </cols>
  <sheetData>
    <row r="1" spans="1:14" ht="11.85" customHeight="1">
      <c r="A1" s="41" t="s">
        <v>940</v>
      </c>
      <c r="B1" s="4"/>
      <c r="C1" s="4"/>
      <c r="D1" s="4"/>
      <c r="E1" s="4"/>
      <c r="F1" s="4"/>
      <c r="G1" s="4"/>
      <c r="H1" s="4"/>
      <c r="I1" s="4"/>
      <c r="J1" s="4"/>
      <c r="K1" s="4"/>
      <c r="L1" s="4"/>
      <c r="M1" s="4"/>
      <c r="N1" s="55"/>
    </row>
    <row r="2" spans="1:14" ht="11.85" customHeight="1">
      <c r="A2" s="41" t="s">
        <v>1684</v>
      </c>
      <c r="B2" s="4"/>
      <c r="C2" s="4"/>
      <c r="D2" s="4"/>
      <c r="E2" s="4"/>
      <c r="F2" s="4"/>
      <c r="G2" s="4"/>
      <c r="H2" s="4"/>
      <c r="I2" s="4"/>
      <c r="J2" s="4"/>
      <c r="K2" s="4"/>
      <c r="L2" s="4"/>
      <c r="M2" s="4"/>
      <c r="N2" s="55"/>
    </row>
    <row r="3" spans="1:14" ht="11.85" customHeight="1">
      <c r="A3" s="9" t="s">
        <v>426</v>
      </c>
      <c r="B3" s="4"/>
      <c r="C3" s="4"/>
      <c r="D3" s="4"/>
      <c r="E3" s="4"/>
      <c r="F3" s="4"/>
      <c r="G3" s="4"/>
      <c r="H3" s="4"/>
      <c r="I3" s="4"/>
      <c r="J3" s="4"/>
      <c r="K3" s="4"/>
      <c r="L3" s="4"/>
      <c r="M3" s="4"/>
      <c r="N3" s="55"/>
    </row>
    <row r="4" spans="1:14" ht="11.85" customHeight="1" thickBot="1">
      <c r="A4" s="39"/>
      <c r="B4" s="43"/>
      <c r="C4" s="4"/>
      <c r="D4" s="4"/>
      <c r="E4" s="4"/>
      <c r="F4" s="4"/>
      <c r="G4" s="4"/>
      <c r="H4" s="4"/>
      <c r="I4" s="4"/>
      <c r="J4" s="4"/>
      <c r="K4" s="4"/>
      <c r="L4" s="4"/>
      <c r="M4" s="4"/>
      <c r="N4" s="55"/>
    </row>
    <row r="5" spans="1:14"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row>
    <row r="6" spans="1:14" ht="11.85" customHeight="1">
      <c r="A6" s="437"/>
      <c r="B6" s="438"/>
      <c r="C6" s="438"/>
      <c r="D6" s="438"/>
      <c r="E6" s="438"/>
      <c r="F6" s="438"/>
      <c r="G6" s="438"/>
      <c r="H6" s="438"/>
      <c r="I6" s="438"/>
      <c r="J6" s="438"/>
      <c r="K6" s="438"/>
      <c r="L6" s="438"/>
      <c r="M6" s="438"/>
      <c r="N6" s="67"/>
    </row>
    <row r="7" spans="1:14" ht="11.85" customHeight="1">
      <c r="A7" s="17">
        <v>1</v>
      </c>
      <c r="B7" s="4" t="s">
        <v>401</v>
      </c>
      <c r="C7" s="3">
        <v>7417.7673631377993</v>
      </c>
      <c r="D7" s="66" t="s">
        <v>1378</v>
      </c>
      <c r="E7" s="3">
        <v>57.229287479900002</v>
      </c>
      <c r="F7" s="3">
        <v>28.596115450800003</v>
      </c>
      <c r="G7" s="66" t="s">
        <v>1378</v>
      </c>
      <c r="H7" s="66" t="s">
        <v>1378</v>
      </c>
      <c r="I7" s="66" t="s">
        <v>1378</v>
      </c>
      <c r="J7" s="3">
        <v>695.69066574969929</v>
      </c>
      <c r="K7" s="66" t="s">
        <v>1378</v>
      </c>
      <c r="L7" s="66" t="s">
        <v>1378</v>
      </c>
      <c r="M7" s="6">
        <f t="shared" ref="M7:M33" si="0">SUM(C7:L7)</f>
        <v>8199.2834318181995</v>
      </c>
      <c r="N7" s="67"/>
    </row>
    <row r="8" spans="1:14" ht="11.85" customHeight="1">
      <c r="A8" s="17">
        <v>2</v>
      </c>
      <c r="B8" s="4" t="s">
        <v>402</v>
      </c>
      <c r="C8" s="3">
        <v>1565.2109685493008</v>
      </c>
      <c r="D8" s="66" t="s">
        <v>1378</v>
      </c>
      <c r="E8" s="3"/>
      <c r="F8" s="3">
        <v>202.16632482109992</v>
      </c>
      <c r="G8" s="3">
        <v>1440.8157034031997</v>
      </c>
      <c r="H8" s="66" t="s">
        <v>1378</v>
      </c>
      <c r="I8" s="66" t="s">
        <v>1378</v>
      </c>
      <c r="J8" s="66" t="s">
        <v>1378</v>
      </c>
      <c r="K8" s="66" t="s">
        <v>1378</v>
      </c>
      <c r="L8" s="3">
        <v>8624.2558194579997</v>
      </c>
      <c r="M8" s="6">
        <f t="shared" si="0"/>
        <v>11832.448816231601</v>
      </c>
      <c r="N8" s="55"/>
    </row>
    <row r="9" spans="1:14" ht="11.85" customHeight="1">
      <c r="A9" s="17">
        <v>3</v>
      </c>
      <c r="B9" s="4" t="s">
        <v>207</v>
      </c>
      <c r="C9" s="3">
        <v>7459.3255674752018</v>
      </c>
      <c r="D9" s="66" t="s">
        <v>1378</v>
      </c>
      <c r="E9" s="3">
        <v>1551.7351251138</v>
      </c>
      <c r="F9" s="66" t="s">
        <v>1378</v>
      </c>
      <c r="G9" s="66" t="s">
        <v>1378</v>
      </c>
      <c r="H9" s="66" t="s">
        <v>1378</v>
      </c>
      <c r="I9" s="66" t="s">
        <v>1378</v>
      </c>
      <c r="J9" s="66" t="s">
        <v>1378</v>
      </c>
      <c r="K9" s="66" t="s">
        <v>1378</v>
      </c>
      <c r="L9" s="66" t="s">
        <v>1378</v>
      </c>
      <c r="M9" s="6">
        <f t="shared" si="0"/>
        <v>9011.0606925890024</v>
      </c>
    </row>
    <row r="10" spans="1:14" ht="11.85" customHeight="1">
      <c r="A10" s="17">
        <v>4</v>
      </c>
      <c r="B10" s="4" t="s">
        <v>1267</v>
      </c>
      <c r="C10" s="3">
        <v>3.3465950000000002</v>
      </c>
      <c r="D10" s="66" t="s">
        <v>1378</v>
      </c>
      <c r="E10" s="3">
        <v>28502.058041124299</v>
      </c>
      <c r="F10" s="66" t="s">
        <v>1378</v>
      </c>
      <c r="G10" s="66" t="s">
        <v>1378</v>
      </c>
      <c r="H10" s="66" t="s">
        <v>1378</v>
      </c>
      <c r="I10" s="66" t="s">
        <v>1378</v>
      </c>
      <c r="J10" s="66" t="s">
        <v>1378</v>
      </c>
      <c r="K10" s="66" t="s">
        <v>1378</v>
      </c>
      <c r="L10" s="66" t="s">
        <v>1378</v>
      </c>
      <c r="M10" s="6">
        <f t="shared" si="0"/>
        <v>28505.404636124298</v>
      </c>
    </row>
    <row r="11" spans="1:14" ht="11.85" customHeight="1">
      <c r="A11" s="17">
        <v>5</v>
      </c>
      <c r="B11" s="4" t="s">
        <v>1183</v>
      </c>
      <c r="C11" s="3">
        <v>1153.5153263780994</v>
      </c>
      <c r="D11" s="3">
        <v>194.15428376060004</v>
      </c>
      <c r="E11" s="66" t="s">
        <v>1378</v>
      </c>
      <c r="F11" s="66" t="s">
        <v>1378</v>
      </c>
      <c r="G11" s="66" t="s">
        <v>1378</v>
      </c>
      <c r="H11" s="66" t="s">
        <v>1378</v>
      </c>
      <c r="I11" s="66" t="s">
        <v>1378</v>
      </c>
      <c r="J11" s="66" t="s">
        <v>1378</v>
      </c>
      <c r="K11" s="66" t="s">
        <v>1378</v>
      </c>
      <c r="L11" s="3">
        <v>77.969311230000002</v>
      </c>
      <c r="M11" s="6">
        <f t="shared" si="0"/>
        <v>1425.6389213686994</v>
      </c>
    </row>
    <row r="12" spans="1:14" ht="11.85" customHeight="1">
      <c r="A12" s="17">
        <v>6</v>
      </c>
      <c r="B12" s="4" t="s">
        <v>1268</v>
      </c>
      <c r="C12" s="66" t="s">
        <v>1378</v>
      </c>
      <c r="D12" s="3">
        <v>43640.738164989001</v>
      </c>
      <c r="E12" s="3">
        <v>18.691982660000001</v>
      </c>
      <c r="F12" s="3">
        <v>81.113210749900006</v>
      </c>
      <c r="G12" s="66" t="s">
        <v>1378</v>
      </c>
      <c r="H12" s="66" t="s">
        <v>1378</v>
      </c>
      <c r="I12" s="66" t="s">
        <v>1378</v>
      </c>
      <c r="J12" s="66" t="s">
        <v>1378</v>
      </c>
      <c r="K12" s="3">
        <v>30.646244000099998</v>
      </c>
      <c r="L12" s="66" t="s">
        <v>1378</v>
      </c>
      <c r="M12" s="6">
        <f t="shared" si="0"/>
        <v>43771.189602398998</v>
      </c>
    </row>
    <row r="13" spans="1:14" ht="11.85" customHeight="1">
      <c r="A13" s="17">
        <v>7</v>
      </c>
      <c r="B13" s="4" t="s">
        <v>1269</v>
      </c>
      <c r="C13" s="3">
        <v>25879.24348370048</v>
      </c>
      <c r="D13" s="66" t="s">
        <v>1378</v>
      </c>
      <c r="E13" s="66" t="s">
        <v>1378</v>
      </c>
      <c r="F13" s="66" t="s">
        <v>1378</v>
      </c>
      <c r="G13" s="66" t="s">
        <v>1378</v>
      </c>
      <c r="H13" s="66" t="s">
        <v>1378</v>
      </c>
      <c r="I13" s="66" t="s">
        <v>1378</v>
      </c>
      <c r="J13" s="3">
        <v>14.231999999800003</v>
      </c>
      <c r="K13" s="66" t="s">
        <v>1378</v>
      </c>
      <c r="L13" s="66" t="s">
        <v>1378</v>
      </c>
      <c r="M13" s="6">
        <f t="shared" si="0"/>
        <v>25893.47548370028</v>
      </c>
    </row>
    <row r="14" spans="1:14" ht="11.85" customHeight="1">
      <c r="A14" s="17">
        <v>8</v>
      </c>
      <c r="B14" s="4" t="s">
        <v>1270</v>
      </c>
      <c r="C14" s="3">
        <v>69.035523310700015</v>
      </c>
      <c r="D14" s="66" t="s">
        <v>1378</v>
      </c>
      <c r="E14" s="3">
        <v>442.85635532090004</v>
      </c>
      <c r="F14" s="3">
        <v>31.1238284511</v>
      </c>
      <c r="G14" s="66" t="s">
        <v>1378</v>
      </c>
      <c r="H14" s="3">
        <v>35.460601009800001</v>
      </c>
      <c r="I14" s="66" t="s">
        <v>1378</v>
      </c>
      <c r="J14" s="66" t="s">
        <v>1378</v>
      </c>
      <c r="K14" s="66" t="s">
        <v>1378</v>
      </c>
      <c r="L14" s="3">
        <v>7274.316120133898</v>
      </c>
      <c r="M14" s="6">
        <f t="shared" si="0"/>
        <v>7852.7924282263984</v>
      </c>
    </row>
    <row r="15" spans="1:14" ht="11.85" customHeight="1">
      <c r="A15" s="17">
        <v>9</v>
      </c>
      <c r="B15" s="4" t="s">
        <v>1271</v>
      </c>
      <c r="C15" s="3">
        <v>52.496680099999999</v>
      </c>
      <c r="D15" s="66" t="s">
        <v>1378</v>
      </c>
      <c r="E15" s="66" t="s">
        <v>1378</v>
      </c>
      <c r="F15" s="3">
        <v>5.3361240099999999E-2</v>
      </c>
      <c r="G15" s="66" t="s">
        <v>1378</v>
      </c>
      <c r="H15" s="66" t="s">
        <v>1378</v>
      </c>
      <c r="I15" s="3">
        <v>25869.538416727992</v>
      </c>
      <c r="J15" s="3">
        <v>9.38668266</v>
      </c>
      <c r="K15" s="66" t="s">
        <v>1378</v>
      </c>
      <c r="L15" s="3">
        <v>16244.389652965197</v>
      </c>
      <c r="M15" s="6">
        <f t="shared" si="0"/>
        <v>42175.864793693283</v>
      </c>
    </row>
    <row r="16" spans="1:14" ht="11.85" customHeight="1">
      <c r="A16" s="17">
        <v>10</v>
      </c>
      <c r="B16" s="4" t="s">
        <v>1272</v>
      </c>
      <c r="C16" s="66" t="s">
        <v>1378</v>
      </c>
      <c r="D16" s="66" t="s">
        <v>1378</v>
      </c>
      <c r="E16" s="66" t="s">
        <v>1378</v>
      </c>
      <c r="F16" s="66" t="s">
        <v>1378</v>
      </c>
      <c r="G16" s="66" t="s">
        <v>1378</v>
      </c>
      <c r="H16" s="66" t="s">
        <v>1378</v>
      </c>
      <c r="I16" s="3">
        <v>1</v>
      </c>
      <c r="J16" s="66" t="s">
        <v>1378</v>
      </c>
      <c r="K16" s="66" t="s">
        <v>1378</v>
      </c>
      <c r="L16" s="3">
        <v>125682.2652023828</v>
      </c>
      <c r="M16" s="6">
        <f t="shared" si="0"/>
        <v>125683.2652023828</v>
      </c>
    </row>
    <row r="17" spans="1:13" ht="11.85" customHeight="1">
      <c r="A17" s="17">
        <v>11</v>
      </c>
      <c r="B17" s="4" t="s">
        <v>1273</v>
      </c>
      <c r="C17" s="66" t="s">
        <v>1378</v>
      </c>
      <c r="D17" s="66" t="s">
        <v>1378</v>
      </c>
      <c r="E17" s="66" t="s">
        <v>1378</v>
      </c>
      <c r="F17" s="66" t="s">
        <v>1378</v>
      </c>
      <c r="G17" s="66" t="s">
        <v>1378</v>
      </c>
      <c r="H17" s="66" t="s">
        <v>1378</v>
      </c>
      <c r="I17" s="66" t="s">
        <v>1378</v>
      </c>
      <c r="J17" s="66" t="s">
        <v>1378</v>
      </c>
      <c r="K17" s="66" t="s">
        <v>1378</v>
      </c>
      <c r="L17" s="3">
        <v>45018.678170699997</v>
      </c>
      <c r="M17" s="6">
        <f t="shared" si="0"/>
        <v>45018.678170699997</v>
      </c>
    </row>
    <row r="18" spans="1:13" ht="11.85" customHeight="1">
      <c r="A18" s="17">
        <v>12</v>
      </c>
      <c r="B18" s="4" t="s">
        <v>593</v>
      </c>
      <c r="C18" s="66" t="s">
        <v>1378</v>
      </c>
      <c r="D18" s="66" t="s">
        <v>1378</v>
      </c>
      <c r="E18" s="66" t="s">
        <v>1378</v>
      </c>
      <c r="F18" s="66" t="s">
        <v>1378</v>
      </c>
      <c r="G18" s="66" t="s">
        <v>1378</v>
      </c>
      <c r="H18" s="66" t="s">
        <v>1378</v>
      </c>
      <c r="I18" s="66" t="s">
        <v>1378</v>
      </c>
      <c r="J18" s="66" t="s">
        <v>1378</v>
      </c>
      <c r="K18" s="66" t="s">
        <v>1378</v>
      </c>
      <c r="L18" s="3">
        <v>60065.912845350009</v>
      </c>
      <c r="M18" s="6">
        <f t="shared" si="0"/>
        <v>60065.912845350009</v>
      </c>
    </row>
    <row r="19" spans="1:13" ht="11.85" customHeight="1">
      <c r="A19" s="17">
        <v>13</v>
      </c>
      <c r="B19" s="4" t="s">
        <v>594</v>
      </c>
      <c r="C19" s="66" t="s">
        <v>1378</v>
      </c>
      <c r="D19" s="66" t="s">
        <v>1378</v>
      </c>
      <c r="E19" s="66" t="s">
        <v>1378</v>
      </c>
      <c r="F19" s="3">
        <v>18612.153703766402</v>
      </c>
      <c r="G19" s="66" t="s">
        <v>1378</v>
      </c>
      <c r="H19" s="66" t="s">
        <v>1378</v>
      </c>
      <c r="I19" s="66" t="s">
        <v>1378</v>
      </c>
      <c r="J19" s="66" t="s">
        <v>1378</v>
      </c>
      <c r="K19" s="66" t="s">
        <v>1378</v>
      </c>
      <c r="L19" s="3">
        <v>49668.338016220485</v>
      </c>
      <c r="M19" s="6">
        <f t="shared" si="0"/>
        <v>68280.491719986894</v>
      </c>
    </row>
    <row r="20" spans="1:13" ht="11.85" customHeight="1">
      <c r="A20" s="17">
        <v>14</v>
      </c>
      <c r="B20" s="4" t="s">
        <v>595</v>
      </c>
      <c r="C20" s="3">
        <v>22.7523618301</v>
      </c>
      <c r="D20" s="66" t="s">
        <v>1378</v>
      </c>
      <c r="E20" s="66" t="s">
        <v>1378</v>
      </c>
      <c r="F20" s="3">
        <v>1192.9217723775994</v>
      </c>
      <c r="G20" s="66" t="s">
        <v>1378</v>
      </c>
      <c r="H20" s="66" t="s">
        <v>1378</v>
      </c>
      <c r="I20" s="66" t="s">
        <v>1378</v>
      </c>
      <c r="J20" s="66" t="s">
        <v>1378</v>
      </c>
      <c r="K20" s="66" t="s">
        <v>1378</v>
      </c>
      <c r="L20" s="66" t="s">
        <v>1378</v>
      </c>
      <c r="M20" s="6">
        <f t="shared" si="0"/>
        <v>1215.6741342076994</v>
      </c>
    </row>
    <row r="21" spans="1:13" ht="11.85" customHeight="1">
      <c r="A21" s="17">
        <v>15</v>
      </c>
      <c r="B21" s="4" t="s">
        <v>596</v>
      </c>
      <c r="C21" s="66" t="s">
        <v>1378</v>
      </c>
      <c r="D21" s="66" t="s">
        <v>1378</v>
      </c>
      <c r="E21" s="66" t="s">
        <v>1378</v>
      </c>
      <c r="F21" s="66" t="s">
        <v>1378</v>
      </c>
      <c r="G21" s="66" t="s">
        <v>1378</v>
      </c>
      <c r="H21" s="66" t="s">
        <v>1378</v>
      </c>
      <c r="I21" s="66" t="s">
        <v>1378</v>
      </c>
      <c r="J21" s="66" t="s">
        <v>1378</v>
      </c>
      <c r="K21" s="3">
        <v>18682.837256526505</v>
      </c>
      <c r="L21" s="3">
        <v>1453.9134685499998</v>
      </c>
      <c r="M21" s="6">
        <f t="shared" si="0"/>
        <v>20136.750725076505</v>
      </c>
    </row>
    <row r="22" spans="1:13" ht="11.85" customHeight="1">
      <c r="A22" s="17">
        <v>16</v>
      </c>
      <c r="B22" s="4" t="s">
        <v>73</v>
      </c>
      <c r="C22" s="3">
        <v>12139.499582582308</v>
      </c>
      <c r="D22" s="66" t="s">
        <v>1378</v>
      </c>
      <c r="E22" s="66" t="s">
        <v>1378</v>
      </c>
      <c r="F22" s="66" t="s">
        <v>1378</v>
      </c>
      <c r="G22" s="3">
        <v>26.097010859600001</v>
      </c>
      <c r="H22" s="3">
        <v>48.757216999999997</v>
      </c>
      <c r="I22" s="66" t="s">
        <v>1378</v>
      </c>
      <c r="J22" s="66" t="s">
        <v>1378</v>
      </c>
      <c r="K22" s="3">
        <v>30332.029084254817</v>
      </c>
      <c r="L22" s="3">
        <v>3948.7954708695997</v>
      </c>
      <c r="M22" s="6">
        <f t="shared" si="0"/>
        <v>46495.178365566324</v>
      </c>
    </row>
    <row r="23" spans="1:13" ht="11.85" customHeight="1">
      <c r="A23" s="17">
        <v>17</v>
      </c>
      <c r="B23" s="4" t="s">
        <v>74</v>
      </c>
      <c r="C23" s="3">
        <v>366.85989363950011</v>
      </c>
      <c r="D23" s="66" t="s">
        <v>1378</v>
      </c>
      <c r="E23" s="66" t="s">
        <v>1378</v>
      </c>
      <c r="F23" s="3">
        <v>325.97591964999998</v>
      </c>
      <c r="G23" s="66" t="s">
        <v>1378</v>
      </c>
      <c r="H23" s="66" t="s">
        <v>1378</v>
      </c>
      <c r="I23" s="66" t="s">
        <v>1378</v>
      </c>
      <c r="J23" s="3">
        <v>6117.2984051874009</v>
      </c>
      <c r="K23" s="3">
        <v>2701.0724677799999</v>
      </c>
      <c r="L23" s="3">
        <v>73.997639500000005</v>
      </c>
      <c r="M23" s="6">
        <f t="shared" si="0"/>
        <v>9585.2043257569003</v>
      </c>
    </row>
    <row r="24" spans="1:13" ht="22.5">
      <c r="A24" s="195">
        <v>18</v>
      </c>
      <c r="B24" s="82" t="s">
        <v>75</v>
      </c>
      <c r="C24" s="3">
        <v>2426.8540653482005</v>
      </c>
      <c r="D24" s="66" t="s">
        <v>1378</v>
      </c>
      <c r="E24" s="66" t="s">
        <v>1378</v>
      </c>
      <c r="F24" s="3">
        <v>342.94240569929997</v>
      </c>
      <c r="G24" s="3">
        <v>-0.93899468999999414</v>
      </c>
      <c r="H24" s="3">
        <v>2375.4481116773009</v>
      </c>
      <c r="I24" s="66" t="s">
        <v>1378</v>
      </c>
      <c r="J24" s="66" t="s">
        <v>1378</v>
      </c>
      <c r="K24" s="66" t="s">
        <v>1378</v>
      </c>
      <c r="L24" s="3">
        <v>3597.6216353999998</v>
      </c>
      <c r="M24" s="6">
        <f t="shared" si="0"/>
        <v>8741.9272234348009</v>
      </c>
    </row>
    <row r="25" spans="1:13" ht="11.85" customHeight="1">
      <c r="A25" s="17">
        <v>19</v>
      </c>
      <c r="B25" s="4" t="s">
        <v>76</v>
      </c>
      <c r="C25" s="66" t="s">
        <v>1378</v>
      </c>
      <c r="D25" s="66" t="s">
        <v>1378</v>
      </c>
      <c r="E25" s="66" t="s">
        <v>1378</v>
      </c>
      <c r="F25" s="3">
        <v>494.64377100000002</v>
      </c>
      <c r="G25" s="66" t="s">
        <v>1378</v>
      </c>
      <c r="H25" s="3">
        <v>2837.2528415452998</v>
      </c>
      <c r="I25" s="66" t="s">
        <v>1378</v>
      </c>
      <c r="J25" s="66" t="s">
        <v>1378</v>
      </c>
      <c r="K25" s="66" t="s">
        <v>1378</v>
      </c>
      <c r="L25" s="66" t="s">
        <v>1378</v>
      </c>
      <c r="M25" s="6">
        <f t="shared" si="0"/>
        <v>3331.8966125452998</v>
      </c>
    </row>
    <row r="26" spans="1:13" ht="11.85" customHeight="1">
      <c r="A26" s="17">
        <v>20</v>
      </c>
      <c r="B26" s="4" t="s">
        <v>1225</v>
      </c>
      <c r="C26" s="3">
        <v>72.382787160500001</v>
      </c>
      <c r="D26" s="66" t="s">
        <v>1378</v>
      </c>
      <c r="E26" s="66" t="s">
        <v>1378</v>
      </c>
      <c r="F26" s="3">
        <v>530.74780502380008</v>
      </c>
      <c r="G26" s="3">
        <v>4218.372668073499</v>
      </c>
      <c r="H26" s="66" t="s">
        <v>1378</v>
      </c>
      <c r="I26" s="66" t="s">
        <v>1378</v>
      </c>
      <c r="J26" s="66" t="s">
        <v>1378</v>
      </c>
      <c r="K26" s="66" t="s">
        <v>1378</v>
      </c>
      <c r="L26" s="66" t="s">
        <v>1378</v>
      </c>
      <c r="M26" s="6">
        <f t="shared" si="0"/>
        <v>4821.5032602577994</v>
      </c>
    </row>
    <row r="27" spans="1:13" ht="11.85" customHeight="1">
      <c r="A27" s="17">
        <v>21</v>
      </c>
      <c r="B27" s="4" t="s">
        <v>77</v>
      </c>
      <c r="C27" s="66" t="s">
        <v>1378</v>
      </c>
      <c r="D27" s="66" t="s">
        <v>1378</v>
      </c>
      <c r="E27" s="66" t="s">
        <v>1378</v>
      </c>
      <c r="F27" s="3">
        <v>1587.7838747840997</v>
      </c>
      <c r="G27" s="3">
        <v>15.4835866996</v>
      </c>
      <c r="H27" s="66" t="s">
        <v>1378</v>
      </c>
      <c r="I27" s="66" t="s">
        <v>1378</v>
      </c>
      <c r="J27" s="66" t="s">
        <v>1378</v>
      </c>
      <c r="K27" s="66" t="s">
        <v>1378</v>
      </c>
      <c r="L27" s="66" t="s">
        <v>1378</v>
      </c>
      <c r="M27" s="6">
        <f t="shared" si="0"/>
        <v>1603.2674614836997</v>
      </c>
    </row>
    <row r="28" spans="1:13" ht="11.85" customHeight="1">
      <c r="A28" s="17">
        <v>22</v>
      </c>
      <c r="B28" s="4" t="s">
        <v>78</v>
      </c>
      <c r="C28" s="3">
        <v>23.514089410300002</v>
      </c>
      <c r="D28" s="66" t="s">
        <v>1378</v>
      </c>
      <c r="E28" s="3">
        <v>178</v>
      </c>
      <c r="F28" s="3">
        <v>30931.805932046987</v>
      </c>
      <c r="G28" s="66" t="s">
        <v>1378</v>
      </c>
      <c r="H28" s="66" t="s">
        <v>1378</v>
      </c>
      <c r="I28" s="66" t="s">
        <v>1378</v>
      </c>
      <c r="J28" s="66" t="s">
        <v>1378</v>
      </c>
      <c r="K28" s="66" t="s">
        <v>1378</v>
      </c>
      <c r="L28" s="66" t="s">
        <v>1378</v>
      </c>
      <c r="M28" s="6">
        <f t="shared" si="0"/>
        <v>31133.320021457286</v>
      </c>
    </row>
    <row r="29" spans="1:13" ht="22.5">
      <c r="A29" s="195">
        <v>23</v>
      </c>
      <c r="B29" s="82" t="s">
        <v>1086</v>
      </c>
      <c r="C29" s="3">
        <v>38.543387869500002</v>
      </c>
      <c r="D29" s="66" t="s">
        <v>1378</v>
      </c>
      <c r="E29" s="3"/>
      <c r="F29" s="3">
        <v>19522.4132280679</v>
      </c>
      <c r="G29" s="3">
        <v>40.569131059699998</v>
      </c>
      <c r="H29" s="3">
        <v>1.528384</v>
      </c>
      <c r="I29" s="66" t="s">
        <v>1378</v>
      </c>
      <c r="J29" s="3">
        <v>9.2696630000000002E-2</v>
      </c>
      <c r="K29" s="3">
        <v>1382.0139999957</v>
      </c>
      <c r="L29" s="66" t="s">
        <v>1378</v>
      </c>
      <c r="M29" s="6">
        <f t="shared" si="0"/>
        <v>20985.1608276228</v>
      </c>
    </row>
    <row r="30" spans="1:13" ht="11.85" customHeight="1">
      <c r="A30" s="17">
        <v>24</v>
      </c>
      <c r="B30" s="4" t="s">
        <v>1087</v>
      </c>
      <c r="C30" s="3">
        <v>99.103005069100007</v>
      </c>
      <c r="D30" s="66" t="s">
        <v>1378</v>
      </c>
      <c r="E30" s="3">
        <v>0.25265199999999999</v>
      </c>
      <c r="F30" s="3">
        <v>3994.563406541904</v>
      </c>
      <c r="G30" s="3">
        <v>39.618463450099995</v>
      </c>
      <c r="H30" s="66" t="s">
        <v>1378</v>
      </c>
      <c r="I30" s="66" t="s">
        <v>1378</v>
      </c>
      <c r="J30" s="66" t="s">
        <v>1378</v>
      </c>
      <c r="K30" s="66" t="s">
        <v>1378</v>
      </c>
      <c r="L30" s="66" t="s">
        <v>1378</v>
      </c>
      <c r="M30" s="6">
        <f t="shared" si="0"/>
        <v>4133.5375270611039</v>
      </c>
    </row>
    <row r="31" spans="1:13" ht="11.85" customHeight="1">
      <c r="A31" s="17">
        <v>25</v>
      </c>
      <c r="B31" s="4" t="s">
        <v>1088</v>
      </c>
      <c r="C31" s="3">
        <v>60246.437461770402</v>
      </c>
      <c r="D31" s="66" t="s">
        <v>1378</v>
      </c>
      <c r="E31" s="66" t="s">
        <v>1378</v>
      </c>
      <c r="F31" s="66" t="s">
        <v>1378</v>
      </c>
      <c r="G31" s="66" t="s">
        <v>1378</v>
      </c>
      <c r="H31" s="66" t="s">
        <v>1378</v>
      </c>
      <c r="I31" s="66" t="s">
        <v>1378</v>
      </c>
      <c r="J31" s="66" t="s">
        <v>1378</v>
      </c>
      <c r="K31" s="66" t="s">
        <v>1378</v>
      </c>
      <c r="L31" s="66" t="s">
        <v>1378</v>
      </c>
      <c r="M31" s="6">
        <f t="shared" si="0"/>
        <v>60246.437461770402</v>
      </c>
    </row>
    <row r="32" spans="1:13" ht="11.85" customHeight="1">
      <c r="A32" s="17">
        <v>26</v>
      </c>
      <c r="B32" s="4" t="s">
        <v>422</v>
      </c>
      <c r="C32" s="3">
        <v>49472.278751559999</v>
      </c>
      <c r="D32" s="66" t="s">
        <v>1378</v>
      </c>
      <c r="E32" s="66" t="s">
        <v>1378</v>
      </c>
      <c r="F32" s="66" t="s">
        <v>1378</v>
      </c>
      <c r="G32" s="66" t="s">
        <v>1378</v>
      </c>
      <c r="H32" s="66" t="s">
        <v>1378</v>
      </c>
      <c r="I32" s="66" t="s">
        <v>1378</v>
      </c>
      <c r="J32" s="66" t="s">
        <v>1378</v>
      </c>
      <c r="K32" s="66" t="s">
        <v>1378</v>
      </c>
      <c r="L32" s="66" t="s">
        <v>1378</v>
      </c>
      <c r="M32" s="6">
        <f t="shared" si="0"/>
        <v>49472.278751559999</v>
      </c>
    </row>
    <row r="33" spans="1:14" ht="11.85" customHeight="1">
      <c r="A33" s="17">
        <v>27</v>
      </c>
      <c r="B33" s="4" t="s">
        <v>1089</v>
      </c>
      <c r="C33" s="3">
        <v>25920.171424890003</v>
      </c>
      <c r="D33" s="66" t="s">
        <v>1378</v>
      </c>
      <c r="E33" s="66" t="s">
        <v>1378</v>
      </c>
      <c r="F33" s="66" t="s">
        <v>1378</v>
      </c>
      <c r="G33" s="66" t="s">
        <v>1378</v>
      </c>
      <c r="H33" s="66" t="s">
        <v>1378</v>
      </c>
      <c r="I33" s="66" t="s">
        <v>1378</v>
      </c>
      <c r="J33" s="66" t="s">
        <v>1378</v>
      </c>
      <c r="K33" s="66" t="s">
        <v>1378</v>
      </c>
      <c r="L33" s="66" t="s">
        <v>1378</v>
      </c>
      <c r="M33" s="6">
        <f t="shared" si="0"/>
        <v>25920.171424890003</v>
      </c>
    </row>
    <row r="34" spans="1:14" ht="11.85" customHeight="1">
      <c r="A34" s="17"/>
      <c r="B34" s="4"/>
      <c r="C34" s="3"/>
      <c r="D34" s="66"/>
      <c r="E34" s="3"/>
      <c r="F34" s="3"/>
      <c r="G34" s="3"/>
      <c r="H34" s="3"/>
      <c r="I34" s="3"/>
      <c r="J34" s="3"/>
      <c r="K34" s="3"/>
      <c r="L34" s="3"/>
      <c r="M34" s="3"/>
    </row>
    <row r="35" spans="1:14" ht="11.85" customHeight="1" thickBot="1">
      <c r="A35" s="39"/>
      <c r="B35" s="33" t="s">
        <v>1230</v>
      </c>
      <c r="C35" s="40">
        <f t="shared" ref="C35:L35" si="1">SUM(C7:C34)</f>
        <v>194428.33831878146</v>
      </c>
      <c r="D35" s="40">
        <f t="shared" si="1"/>
        <v>43834.892448749604</v>
      </c>
      <c r="E35" s="40">
        <f t="shared" si="1"/>
        <v>30750.823443698897</v>
      </c>
      <c r="F35" s="40">
        <f t="shared" si="1"/>
        <v>77879.004659670987</v>
      </c>
      <c r="G35" s="40">
        <f t="shared" si="1"/>
        <v>5780.0175688556983</v>
      </c>
      <c r="H35" s="40">
        <f t="shared" si="1"/>
        <v>5298.4471552324003</v>
      </c>
      <c r="I35" s="40">
        <f t="shared" si="1"/>
        <v>25870.538416727992</v>
      </c>
      <c r="J35" s="40">
        <f t="shared" si="1"/>
        <v>6836.7004502269001</v>
      </c>
      <c r="K35" s="40">
        <f t="shared" si="1"/>
        <v>53128.599052557125</v>
      </c>
      <c r="L35" s="40">
        <f t="shared" si="1"/>
        <v>321730.45335276</v>
      </c>
      <c r="M35" s="40">
        <f>SUM(C35:L35)</f>
        <v>765537.8148672611</v>
      </c>
    </row>
    <row r="36" spans="1:14" ht="11.85" customHeight="1">
      <c r="A36" s="42" t="s">
        <v>179</v>
      </c>
      <c r="B36" s="4"/>
      <c r="C36" s="4"/>
      <c r="D36" s="4"/>
      <c r="E36" s="4"/>
      <c r="F36" s="4"/>
      <c r="G36" s="4"/>
      <c r="H36" s="4"/>
      <c r="I36" s="4"/>
      <c r="J36" s="4"/>
      <c r="K36" s="4"/>
      <c r="L36" s="4"/>
      <c r="M36" s="4"/>
      <c r="N36" s="68"/>
    </row>
    <row r="37" spans="1:14" ht="11.85" customHeight="1">
      <c r="A37" s="42" t="s">
        <v>539</v>
      </c>
      <c r="B37" s="4"/>
      <c r="C37" s="4"/>
      <c r="D37" s="4"/>
      <c r="E37" s="4"/>
      <c r="F37" s="4"/>
      <c r="G37" s="4"/>
      <c r="H37" s="4"/>
      <c r="I37" s="4"/>
      <c r="J37" s="4"/>
      <c r="K37" s="4"/>
      <c r="L37" s="4"/>
      <c r="M37" s="4"/>
    </row>
    <row r="38" spans="1:14" ht="11.85" customHeight="1">
      <c r="N38" s="68"/>
    </row>
    <row r="40" spans="1:14" ht="11.85" customHeight="1">
      <c r="N40" s="68"/>
    </row>
    <row r="41" spans="1:14" ht="11.85" customHeight="1">
      <c r="N41" s="68"/>
    </row>
    <row r="42" spans="1:14" ht="11.85" customHeight="1">
      <c r="N42" s="68"/>
    </row>
    <row r="43" spans="1:14" ht="11.85" customHeight="1">
      <c r="A43" s="183"/>
    </row>
    <row r="44" spans="1:14" ht="11.85" customHeight="1">
      <c r="A44" s="183"/>
      <c r="N44" s="68"/>
    </row>
    <row r="45" spans="1:14" ht="21" customHeight="1">
      <c r="N45" s="68"/>
    </row>
    <row r="46" spans="1:14" ht="13.5" customHeight="1"/>
    <row r="69" spans="16:17" ht="11.85" customHeight="1">
      <c r="P69" s="58"/>
      <c r="Q69" s="3"/>
    </row>
    <row r="70" spans="16:17" ht="11.85" customHeight="1">
      <c r="P70" s="58"/>
      <c r="Q70" s="3"/>
    </row>
    <row r="98" spans="16:17" ht="11.85" customHeight="1">
      <c r="P98" s="58"/>
      <c r="Q98" s="3"/>
    </row>
    <row r="99" spans="16:17" ht="11.85" customHeight="1">
      <c r="P99" s="58"/>
      <c r="Q99" s="3"/>
    </row>
    <row r="100" spans="16:17" ht="11.85" customHeight="1">
      <c r="P100" s="58"/>
      <c r="Q100" s="3"/>
    </row>
    <row r="101" spans="16:17" ht="11.85" customHeight="1">
      <c r="P101" s="58"/>
      <c r="Q101" s="3"/>
    </row>
    <row r="102" spans="16:17" ht="11.85" customHeight="1">
      <c r="P102" s="58"/>
      <c r="Q102" s="3"/>
    </row>
    <row r="103" spans="16:17" ht="11.85" customHeight="1">
      <c r="P103" s="58"/>
      <c r="Q103" s="3"/>
    </row>
    <row r="104" spans="16:17" ht="11.85" customHeight="1">
      <c r="P104" s="58"/>
      <c r="Q104" s="3"/>
    </row>
    <row r="105" spans="16:17" ht="11.85" customHeight="1">
      <c r="P105" s="58"/>
      <c r="Q105" s="3"/>
    </row>
    <row r="106" spans="16:17" ht="11.85" customHeight="1">
      <c r="P106" s="58"/>
      <c r="Q106" s="3"/>
    </row>
    <row r="107" spans="16:17" ht="11.85" customHeight="1">
      <c r="P107" s="58"/>
      <c r="Q107" s="3"/>
    </row>
    <row r="108" spans="16:17" ht="11.85" customHeight="1">
      <c r="P108" s="58"/>
      <c r="Q108" s="3"/>
    </row>
    <row r="109" spans="16:17" ht="11.85" customHeight="1">
      <c r="P109" s="58"/>
      <c r="Q109" s="3"/>
    </row>
    <row r="110" spans="16:17" ht="11.85" customHeight="1">
      <c r="P110" s="58"/>
      <c r="Q110" s="3"/>
    </row>
    <row r="111" spans="16:17" ht="11.85" customHeight="1">
      <c r="P111" s="58"/>
      <c r="Q111" s="3"/>
    </row>
    <row r="112" spans="16:17" ht="11.85" customHeight="1">
      <c r="P112" s="58"/>
      <c r="Q112" s="58"/>
    </row>
    <row r="113" spans="16:17" ht="11.85" customHeight="1">
      <c r="P113" s="58"/>
      <c r="Q113" s="58"/>
    </row>
    <row r="114" spans="16:17" ht="11.85" customHeight="1">
      <c r="P114" s="58"/>
      <c r="Q114" s="58"/>
    </row>
    <row r="115" spans="16:17" ht="11.85" customHeight="1">
      <c r="P115" s="58"/>
      <c r="Q115" s="58"/>
    </row>
    <row r="116" spans="16:17" ht="11.85" customHeight="1">
      <c r="P116" s="58"/>
      <c r="Q116" s="58"/>
    </row>
    <row r="117" spans="16:17" ht="11.85" customHeight="1">
      <c r="P117" s="58"/>
      <c r="Q117" s="58"/>
    </row>
    <row r="118" spans="16:17" ht="11.85" customHeight="1">
      <c r="P118" s="58"/>
      <c r="Q118" s="58"/>
    </row>
    <row r="119" spans="16:17" ht="11.85" customHeight="1">
      <c r="P119" s="58"/>
      <c r="Q119" s="58"/>
    </row>
    <row r="120" spans="16:17" ht="11.85" customHeight="1">
      <c r="P120" s="58"/>
      <c r="Q120" s="58"/>
    </row>
    <row r="121" spans="16:17" ht="11.85" customHeight="1">
      <c r="P121" s="58"/>
      <c r="Q121" s="58"/>
    </row>
    <row r="122" spans="16:17" ht="11.85" customHeight="1">
      <c r="P122" s="58"/>
      <c r="Q122" s="58"/>
    </row>
    <row r="123" spans="16:17" ht="11.85" customHeight="1">
      <c r="P123" s="58"/>
      <c r="Q123" s="58"/>
    </row>
    <row r="124" spans="16:17" ht="11.85" customHeight="1">
      <c r="P124" s="58"/>
      <c r="Q124" s="58"/>
    </row>
    <row r="125" spans="16:17" ht="11.85" customHeight="1">
      <c r="P125" s="58"/>
      <c r="Q125" s="58"/>
    </row>
    <row r="126" spans="16:17" ht="11.85" customHeight="1">
      <c r="P126" s="58"/>
      <c r="Q126" s="58"/>
    </row>
    <row r="127" spans="16:17" ht="11.85" customHeight="1">
      <c r="P127" s="58"/>
      <c r="Q127" s="58"/>
    </row>
    <row r="128" spans="16:17" ht="11.85" customHeight="1">
      <c r="P128" s="58"/>
      <c r="Q128" s="58"/>
    </row>
    <row r="129" spans="16:17" ht="11.85" customHeight="1">
      <c r="P129" s="58"/>
      <c r="Q129" s="58"/>
    </row>
    <row r="130" spans="16:17" ht="11.85" customHeight="1">
      <c r="P130" s="58"/>
      <c r="Q130" s="58"/>
    </row>
    <row r="131" spans="16:17" ht="11.85" customHeight="1">
      <c r="P131" s="58"/>
      <c r="Q131" s="58"/>
    </row>
    <row r="132" spans="16:17" ht="11.85" customHeight="1">
      <c r="P132" s="58"/>
      <c r="Q132" s="58"/>
    </row>
    <row r="133" spans="16:17" ht="11.85" customHeight="1">
      <c r="P133" s="58"/>
      <c r="Q133" s="58"/>
    </row>
    <row r="134" spans="16:17" ht="11.85" customHeight="1">
      <c r="P134" s="58"/>
      <c r="Q134" s="58"/>
    </row>
    <row r="135" spans="16:17" ht="11.85" customHeight="1">
      <c r="P135" s="58"/>
      <c r="Q135" s="58"/>
    </row>
    <row r="136" spans="16:17" ht="11.85" customHeight="1">
      <c r="P136" s="58"/>
      <c r="Q136" s="58"/>
    </row>
    <row r="137" spans="16:17" ht="11.85" customHeight="1">
      <c r="P137" s="58"/>
      <c r="Q137" s="58"/>
    </row>
    <row r="138" spans="16:17" ht="11.85" customHeight="1">
      <c r="P138" s="58"/>
      <c r="Q138" s="58"/>
    </row>
    <row r="139" spans="16:17" ht="11.85" customHeight="1">
      <c r="P139" s="58"/>
      <c r="Q139" s="58"/>
    </row>
    <row r="140" spans="16:17" ht="11.85" customHeight="1">
      <c r="P140" s="58"/>
      <c r="Q140" s="58"/>
    </row>
    <row r="141" spans="16:17" ht="11.85" customHeight="1">
      <c r="P141" s="58"/>
      <c r="Q141" s="58"/>
    </row>
    <row r="142" spans="16:17" ht="11.85" customHeight="1">
      <c r="P142" s="58"/>
      <c r="Q142" s="58"/>
    </row>
    <row r="143" spans="16:17" ht="11.85" customHeight="1">
      <c r="P143" s="58"/>
      <c r="Q143" s="58"/>
    </row>
    <row r="144" spans="16:17" ht="11.85" customHeight="1">
      <c r="P144" s="58"/>
      <c r="Q144" s="58"/>
    </row>
    <row r="145" spans="16:17" ht="11.85" customHeight="1">
      <c r="P145" s="58"/>
      <c r="Q145" s="58"/>
    </row>
    <row r="146" spans="16:17" ht="11.85" customHeight="1">
      <c r="P146" s="58"/>
      <c r="Q146" s="58"/>
    </row>
    <row r="147" spans="16:17" ht="11.85" customHeight="1">
      <c r="P147" s="58"/>
      <c r="Q147" s="58"/>
    </row>
    <row r="148" spans="16:17" ht="11.85" customHeight="1">
      <c r="P148" s="58"/>
      <c r="Q148" s="58"/>
    </row>
    <row r="149" spans="16:17" ht="11.85" customHeight="1">
      <c r="P149" s="58"/>
      <c r="Q149" s="58"/>
    </row>
    <row r="150" spans="16:17" ht="11.85" customHeight="1">
      <c r="P150" s="58"/>
      <c r="Q150" s="58"/>
    </row>
    <row r="151" spans="16:17" ht="11.85" customHeight="1">
      <c r="P151" s="58"/>
      <c r="Q151" s="58"/>
    </row>
    <row r="152" spans="16:17" ht="11.85" customHeight="1">
      <c r="P152" s="58"/>
      <c r="Q152" s="58"/>
    </row>
    <row r="153" spans="16:17" ht="11.85" customHeight="1">
      <c r="P153" s="58"/>
      <c r="Q153" s="58"/>
    </row>
    <row r="154" spans="16:17" ht="11.85" customHeight="1">
      <c r="P154" s="58"/>
      <c r="Q154" s="58"/>
    </row>
    <row r="155" spans="16:17" ht="11.85" customHeight="1">
      <c r="P155" s="58"/>
      <c r="Q155" s="58"/>
    </row>
    <row r="156" spans="16:17" ht="11.85" customHeight="1">
      <c r="P156" s="58"/>
      <c r="Q156" s="58"/>
    </row>
    <row r="157" spans="16:17" ht="11.85" customHeight="1">
      <c r="P157" s="58"/>
      <c r="Q157" s="58"/>
    </row>
    <row r="158" spans="16:17" ht="11.85" customHeight="1">
      <c r="P158" s="58"/>
      <c r="Q158" s="58"/>
    </row>
    <row r="159" spans="16:17" ht="11.85" customHeight="1">
      <c r="P159" s="58"/>
      <c r="Q159" s="58"/>
    </row>
    <row r="160" spans="16:17" ht="11.85" customHeight="1">
      <c r="P160" s="58"/>
      <c r="Q160" s="58"/>
    </row>
    <row r="161" spans="16:17" ht="11.85" customHeight="1">
      <c r="P161" s="58"/>
      <c r="Q161" s="58"/>
    </row>
    <row r="162" spans="16:17" ht="11.85" customHeight="1">
      <c r="P162" s="58"/>
      <c r="Q162" s="58"/>
    </row>
    <row r="163" spans="16:17" ht="11.85" customHeight="1">
      <c r="P163" s="58"/>
      <c r="Q163" s="58"/>
    </row>
    <row r="164" spans="16:17" ht="11.85" customHeight="1">
      <c r="P164" s="58"/>
      <c r="Q164" s="58"/>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7"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6"/>
  <sheetViews>
    <sheetView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8" customWidth="1"/>
    <col min="15" max="15" width="7" style="58" customWidth="1"/>
    <col min="16" max="16" width="11.6640625" customWidth="1"/>
    <col min="18" max="18" width="13" customWidth="1"/>
  </cols>
  <sheetData>
    <row r="1" spans="1:14" ht="11.85" customHeight="1">
      <c r="A1" s="41" t="s">
        <v>941</v>
      </c>
      <c r="B1" s="4"/>
      <c r="C1" s="4"/>
      <c r="D1" s="4"/>
      <c r="E1" s="4"/>
      <c r="F1" s="4"/>
      <c r="G1" s="4"/>
      <c r="H1" s="4"/>
      <c r="I1" s="4"/>
      <c r="J1" s="4"/>
      <c r="K1" s="4"/>
      <c r="L1" s="4"/>
      <c r="M1" s="4"/>
      <c r="N1" s="55"/>
    </row>
    <row r="2" spans="1:14" ht="11.85" customHeight="1">
      <c r="A2" s="41" t="s">
        <v>1683</v>
      </c>
      <c r="B2" s="4"/>
      <c r="C2" s="4"/>
      <c r="D2" s="4"/>
      <c r="E2" s="4"/>
      <c r="F2" s="4"/>
      <c r="G2" s="4"/>
      <c r="H2" s="4"/>
      <c r="I2" s="4"/>
      <c r="J2" s="4"/>
      <c r="K2" s="4"/>
      <c r="L2" s="4"/>
      <c r="M2" s="4"/>
      <c r="N2" s="55"/>
    </row>
    <row r="3" spans="1:14" ht="11.85" customHeight="1">
      <c r="A3" s="9" t="s">
        <v>99</v>
      </c>
      <c r="B3" s="4"/>
      <c r="C3" s="4"/>
      <c r="D3" s="4"/>
      <c r="E3" s="4"/>
      <c r="F3" s="4"/>
      <c r="G3" s="4"/>
      <c r="H3" s="4"/>
      <c r="I3" s="4"/>
      <c r="J3" s="4"/>
      <c r="K3" s="4"/>
      <c r="L3" s="4"/>
      <c r="M3" s="4"/>
      <c r="N3" s="55"/>
    </row>
    <row r="4" spans="1:14" ht="11.85" customHeight="1" thickBot="1">
      <c r="A4" s="39"/>
      <c r="B4" s="43"/>
      <c r="C4" s="4"/>
      <c r="D4" s="4"/>
      <c r="E4" s="4"/>
      <c r="F4" s="4"/>
      <c r="G4" s="4"/>
      <c r="H4" s="4"/>
      <c r="I4" s="4"/>
      <c r="J4" s="4"/>
      <c r="K4" s="4"/>
      <c r="L4" s="4"/>
      <c r="M4" s="4"/>
      <c r="N4" s="55"/>
    </row>
    <row r="5" spans="1:14"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row>
    <row r="6" spans="1:14" ht="11.85" customHeight="1">
      <c r="A6" s="437"/>
      <c r="B6" s="438"/>
      <c r="C6" s="438"/>
      <c r="D6" s="438"/>
      <c r="E6" s="438"/>
      <c r="F6" s="438"/>
      <c r="G6" s="438"/>
      <c r="H6" s="438"/>
      <c r="I6" s="438"/>
      <c r="J6" s="438"/>
      <c r="K6" s="438"/>
      <c r="L6" s="438"/>
      <c r="M6" s="438"/>
      <c r="N6" s="67"/>
    </row>
    <row r="7" spans="1:14" ht="11.85" customHeight="1">
      <c r="A7" s="17">
        <v>1</v>
      </c>
      <c r="B7" s="4" t="s">
        <v>401</v>
      </c>
      <c r="C7" s="45">
        <v>9789</v>
      </c>
      <c r="D7" s="45" t="s">
        <v>1378</v>
      </c>
      <c r="E7" s="45">
        <v>59</v>
      </c>
      <c r="F7" s="45">
        <v>33</v>
      </c>
      <c r="G7" s="45" t="s">
        <v>1378</v>
      </c>
      <c r="H7" s="45" t="s">
        <v>1378</v>
      </c>
      <c r="I7" s="45" t="s">
        <v>1378</v>
      </c>
      <c r="J7" s="45">
        <v>702</v>
      </c>
      <c r="K7" s="45" t="s">
        <v>1378</v>
      </c>
      <c r="L7" s="45">
        <v>11</v>
      </c>
      <c r="M7" s="6">
        <f t="shared" ref="M7:M33" si="0">SUM(C7:L7)</f>
        <v>10594</v>
      </c>
      <c r="N7" s="67"/>
    </row>
    <row r="8" spans="1:14" ht="11.85" customHeight="1">
      <c r="A8" s="17">
        <v>2</v>
      </c>
      <c r="B8" s="4" t="s">
        <v>402</v>
      </c>
      <c r="C8" s="45">
        <v>1829</v>
      </c>
      <c r="D8" s="45" t="s">
        <v>1378</v>
      </c>
      <c r="E8" s="45" t="s">
        <v>1378</v>
      </c>
      <c r="F8" s="45">
        <v>222</v>
      </c>
      <c r="G8" s="45">
        <v>257</v>
      </c>
      <c r="H8" s="45" t="s">
        <v>1378</v>
      </c>
      <c r="I8" s="45" t="s">
        <v>1378</v>
      </c>
      <c r="J8" s="45" t="s">
        <v>1378</v>
      </c>
      <c r="K8" s="45" t="s">
        <v>1378</v>
      </c>
      <c r="L8" s="45">
        <v>8899</v>
      </c>
      <c r="M8" s="6">
        <f t="shared" si="0"/>
        <v>11207</v>
      </c>
      <c r="N8" s="55"/>
    </row>
    <row r="9" spans="1:14" ht="11.85" customHeight="1">
      <c r="A9" s="17">
        <v>3</v>
      </c>
      <c r="B9" s="4" t="s">
        <v>207</v>
      </c>
      <c r="C9" s="45">
        <v>7976</v>
      </c>
      <c r="D9" s="45" t="s">
        <v>1378</v>
      </c>
      <c r="E9" s="45">
        <v>1694</v>
      </c>
      <c r="F9" s="45" t="s">
        <v>1378</v>
      </c>
      <c r="G9" s="45" t="s">
        <v>1378</v>
      </c>
      <c r="H9" s="45" t="s">
        <v>1378</v>
      </c>
      <c r="I9" s="45" t="s">
        <v>1378</v>
      </c>
      <c r="J9" s="45" t="s">
        <v>1378</v>
      </c>
      <c r="K9" s="45" t="s">
        <v>1378</v>
      </c>
      <c r="L9" s="45" t="s">
        <v>1378</v>
      </c>
      <c r="M9" s="6">
        <f t="shared" si="0"/>
        <v>9670</v>
      </c>
    </row>
    <row r="10" spans="1:14" ht="11.85" customHeight="1">
      <c r="A10" s="17">
        <v>4</v>
      </c>
      <c r="B10" s="4" t="s">
        <v>1267</v>
      </c>
      <c r="C10" s="45">
        <v>3</v>
      </c>
      <c r="D10" s="45" t="s">
        <v>1378</v>
      </c>
      <c r="E10" s="45">
        <v>30624</v>
      </c>
      <c r="F10" s="45" t="s">
        <v>1378</v>
      </c>
      <c r="G10" s="45" t="s">
        <v>1378</v>
      </c>
      <c r="H10" s="45" t="s">
        <v>1378</v>
      </c>
      <c r="I10" s="45" t="s">
        <v>1378</v>
      </c>
      <c r="J10" s="45" t="s">
        <v>1378</v>
      </c>
      <c r="K10" s="45" t="s">
        <v>1378</v>
      </c>
      <c r="L10" s="45" t="s">
        <v>1378</v>
      </c>
      <c r="M10" s="6">
        <f t="shared" si="0"/>
        <v>30627</v>
      </c>
    </row>
    <row r="11" spans="1:14" ht="11.85" customHeight="1">
      <c r="A11" s="17">
        <v>5</v>
      </c>
      <c r="B11" s="4" t="s">
        <v>1183</v>
      </c>
      <c r="C11" s="45">
        <v>1373</v>
      </c>
      <c r="D11" s="45">
        <v>207</v>
      </c>
      <c r="E11" s="45" t="s">
        <v>1378</v>
      </c>
      <c r="F11" s="45" t="s">
        <v>1378</v>
      </c>
      <c r="G11" s="45" t="s">
        <v>1378</v>
      </c>
      <c r="H11" s="45" t="s">
        <v>1378</v>
      </c>
      <c r="I11" s="45" t="s">
        <v>1378</v>
      </c>
      <c r="J11" s="45" t="s">
        <v>1378</v>
      </c>
      <c r="K11" s="45" t="s">
        <v>1378</v>
      </c>
      <c r="L11" s="45">
        <v>6</v>
      </c>
      <c r="M11" s="6">
        <f t="shared" si="0"/>
        <v>1586</v>
      </c>
    </row>
    <row r="12" spans="1:14" ht="11.85" customHeight="1">
      <c r="A12" s="17">
        <v>6</v>
      </c>
      <c r="B12" s="4" t="s">
        <v>1268</v>
      </c>
      <c r="C12" s="45" t="s">
        <v>1378</v>
      </c>
      <c r="D12" s="45">
        <v>45854</v>
      </c>
      <c r="E12" s="45">
        <v>204</v>
      </c>
      <c r="F12" s="45">
        <v>438</v>
      </c>
      <c r="G12" s="45" t="s">
        <v>1378</v>
      </c>
      <c r="H12" s="45" t="s">
        <v>1378</v>
      </c>
      <c r="I12" s="45" t="s">
        <v>1378</v>
      </c>
      <c r="J12" s="45"/>
      <c r="K12" s="45">
        <v>33</v>
      </c>
      <c r="L12" s="45" t="s">
        <v>1378</v>
      </c>
      <c r="M12" s="6">
        <f t="shared" si="0"/>
        <v>46529</v>
      </c>
    </row>
    <row r="13" spans="1:14" ht="11.85" customHeight="1">
      <c r="A13" s="17">
        <v>7</v>
      </c>
      <c r="B13" s="4" t="s">
        <v>1269</v>
      </c>
      <c r="C13" s="45">
        <v>25427</v>
      </c>
      <c r="D13" s="45" t="s">
        <v>1378</v>
      </c>
      <c r="E13" s="45" t="s">
        <v>1378</v>
      </c>
      <c r="F13" s="45" t="s">
        <v>1378</v>
      </c>
      <c r="G13" s="45" t="s">
        <v>1378</v>
      </c>
      <c r="H13" s="45" t="s">
        <v>1378</v>
      </c>
      <c r="I13" s="45" t="s">
        <v>1378</v>
      </c>
      <c r="J13" s="45">
        <v>14</v>
      </c>
      <c r="K13" s="45" t="s">
        <v>1378</v>
      </c>
      <c r="L13" s="45" t="s">
        <v>1378</v>
      </c>
      <c r="M13" s="6">
        <f t="shared" si="0"/>
        <v>25441</v>
      </c>
    </row>
    <row r="14" spans="1:14" ht="11.85" customHeight="1">
      <c r="A14" s="17">
        <v>8</v>
      </c>
      <c r="B14" s="4" t="s">
        <v>1270</v>
      </c>
      <c r="C14" s="45">
        <v>17</v>
      </c>
      <c r="D14" s="45" t="s">
        <v>1378</v>
      </c>
      <c r="E14" s="45">
        <v>758</v>
      </c>
      <c r="F14" s="45" t="s">
        <v>1378</v>
      </c>
      <c r="G14" s="45" t="s">
        <v>1378</v>
      </c>
      <c r="H14" s="45" t="s">
        <v>1378</v>
      </c>
      <c r="I14" s="45" t="s">
        <v>1378</v>
      </c>
      <c r="J14" s="45"/>
      <c r="K14" s="45" t="s">
        <v>1378</v>
      </c>
      <c r="L14" s="45">
        <v>4520</v>
      </c>
      <c r="M14" s="6">
        <f t="shared" si="0"/>
        <v>5295</v>
      </c>
    </row>
    <row r="15" spans="1:14" ht="11.85" customHeight="1">
      <c r="A15" s="17">
        <v>9</v>
      </c>
      <c r="B15" s="4" t="s">
        <v>1271</v>
      </c>
      <c r="C15" s="45">
        <v>49</v>
      </c>
      <c r="D15" s="45" t="s">
        <v>1378</v>
      </c>
      <c r="E15" s="45" t="s">
        <v>1378</v>
      </c>
      <c r="F15" s="45">
        <v>0</v>
      </c>
      <c r="G15" s="45" t="s">
        <v>1378</v>
      </c>
      <c r="H15" s="45"/>
      <c r="I15" s="45">
        <v>27525</v>
      </c>
      <c r="J15" s="45">
        <v>5</v>
      </c>
      <c r="K15" s="45" t="s">
        <v>1378</v>
      </c>
      <c r="L15" s="45">
        <v>19074</v>
      </c>
      <c r="M15" s="6">
        <f t="shared" si="0"/>
        <v>46653</v>
      </c>
    </row>
    <row r="16" spans="1:14" ht="11.85" customHeight="1">
      <c r="A16" s="17">
        <v>10</v>
      </c>
      <c r="B16" s="4" t="s">
        <v>1272</v>
      </c>
      <c r="C16" s="45" t="s">
        <v>1378</v>
      </c>
      <c r="D16" s="45" t="s">
        <v>1378</v>
      </c>
      <c r="E16" s="45" t="s">
        <v>1378</v>
      </c>
      <c r="F16" s="45" t="s">
        <v>1378</v>
      </c>
      <c r="G16" s="45" t="s">
        <v>1378</v>
      </c>
      <c r="H16" s="45" t="s">
        <v>1378</v>
      </c>
      <c r="I16" s="45">
        <v>808</v>
      </c>
      <c r="J16" s="45"/>
      <c r="K16" s="45" t="s">
        <v>1378</v>
      </c>
      <c r="L16" s="45">
        <v>118657</v>
      </c>
      <c r="M16" s="6">
        <f t="shared" si="0"/>
        <v>119465</v>
      </c>
    </row>
    <row r="17" spans="1:13" ht="11.85" customHeight="1">
      <c r="A17" s="17">
        <v>11</v>
      </c>
      <c r="B17" s="4" t="s">
        <v>1273</v>
      </c>
      <c r="C17" s="45" t="s">
        <v>1378</v>
      </c>
      <c r="D17" s="45" t="s">
        <v>1378</v>
      </c>
      <c r="E17" s="45" t="s">
        <v>1378</v>
      </c>
      <c r="F17" s="45" t="s">
        <v>1378</v>
      </c>
      <c r="G17" s="45" t="s">
        <v>1378</v>
      </c>
      <c r="H17" s="45" t="s">
        <v>1378</v>
      </c>
      <c r="I17" s="45" t="s">
        <v>1378</v>
      </c>
      <c r="J17" s="45" t="s">
        <v>1378</v>
      </c>
      <c r="K17" s="45" t="s">
        <v>1378</v>
      </c>
      <c r="L17" s="45">
        <v>43738</v>
      </c>
      <c r="M17" s="6">
        <f t="shared" si="0"/>
        <v>43738</v>
      </c>
    </row>
    <row r="18" spans="1:13" ht="11.85" customHeight="1">
      <c r="A18" s="17">
        <v>12</v>
      </c>
      <c r="B18" s="4" t="s">
        <v>593</v>
      </c>
      <c r="C18" s="45" t="s">
        <v>1378</v>
      </c>
      <c r="D18" s="45" t="s">
        <v>1378</v>
      </c>
      <c r="E18" s="45" t="s">
        <v>1378</v>
      </c>
      <c r="F18" s="45" t="s">
        <v>1378</v>
      </c>
      <c r="G18" s="45" t="s">
        <v>1378</v>
      </c>
      <c r="H18" s="45" t="s">
        <v>1378</v>
      </c>
      <c r="I18" s="45" t="s">
        <v>1378</v>
      </c>
      <c r="J18" s="45" t="s">
        <v>1378</v>
      </c>
      <c r="K18" s="45" t="s">
        <v>1378</v>
      </c>
      <c r="L18" s="45">
        <v>64945</v>
      </c>
      <c r="M18" s="6">
        <f t="shared" si="0"/>
        <v>64945</v>
      </c>
    </row>
    <row r="19" spans="1:13" ht="11.85" customHeight="1">
      <c r="A19" s="17">
        <v>13</v>
      </c>
      <c r="B19" s="4" t="s">
        <v>594</v>
      </c>
      <c r="C19" s="45" t="s">
        <v>1378</v>
      </c>
      <c r="D19" s="45" t="s">
        <v>1378</v>
      </c>
      <c r="E19" s="45" t="s">
        <v>1378</v>
      </c>
      <c r="F19" s="45">
        <v>17734</v>
      </c>
      <c r="G19" s="45" t="s">
        <v>1378</v>
      </c>
      <c r="H19" s="45">
        <v>36</v>
      </c>
      <c r="I19" s="45" t="s">
        <v>1378</v>
      </c>
      <c r="J19" s="45" t="s">
        <v>1378</v>
      </c>
      <c r="K19" s="45" t="s">
        <v>1378</v>
      </c>
      <c r="L19" s="45">
        <v>40263</v>
      </c>
      <c r="M19" s="6">
        <f t="shared" si="0"/>
        <v>58033</v>
      </c>
    </row>
    <row r="20" spans="1:13" ht="11.85" customHeight="1">
      <c r="A20" s="17">
        <v>14</v>
      </c>
      <c r="B20" s="4" t="s">
        <v>595</v>
      </c>
      <c r="C20" s="45">
        <v>22</v>
      </c>
      <c r="D20" s="45" t="s">
        <v>1378</v>
      </c>
      <c r="E20" s="45" t="s">
        <v>1378</v>
      </c>
      <c r="F20" s="45">
        <v>1078</v>
      </c>
      <c r="G20" s="45" t="s">
        <v>1378</v>
      </c>
      <c r="H20" s="45" t="s">
        <v>1378</v>
      </c>
      <c r="I20" s="45" t="s">
        <v>1378</v>
      </c>
      <c r="J20" s="45" t="s">
        <v>1378</v>
      </c>
      <c r="K20" s="45" t="s">
        <v>1378</v>
      </c>
      <c r="L20" s="45" t="s">
        <v>1378</v>
      </c>
      <c r="M20" s="6">
        <f t="shared" si="0"/>
        <v>1100</v>
      </c>
    </row>
    <row r="21" spans="1:13" ht="11.85" customHeight="1">
      <c r="A21" s="17">
        <v>15</v>
      </c>
      <c r="B21" s="4" t="s">
        <v>596</v>
      </c>
      <c r="C21" s="45" t="s">
        <v>1378</v>
      </c>
      <c r="D21" s="45" t="s">
        <v>1378</v>
      </c>
      <c r="E21" s="45" t="s">
        <v>1378</v>
      </c>
      <c r="F21" s="45" t="s">
        <v>1378</v>
      </c>
      <c r="G21" s="45" t="s">
        <v>1378</v>
      </c>
      <c r="H21" s="45" t="s">
        <v>1378</v>
      </c>
      <c r="I21" s="45" t="s">
        <v>1378</v>
      </c>
      <c r="J21" s="45" t="s">
        <v>1378</v>
      </c>
      <c r="K21" s="45">
        <v>19132</v>
      </c>
      <c r="L21" s="45">
        <v>196</v>
      </c>
      <c r="M21" s="6">
        <f t="shared" si="0"/>
        <v>19328</v>
      </c>
    </row>
    <row r="22" spans="1:13" ht="11.85" customHeight="1">
      <c r="A22" s="17">
        <v>16</v>
      </c>
      <c r="B22" s="4" t="s">
        <v>73</v>
      </c>
      <c r="C22" s="45">
        <v>14828</v>
      </c>
      <c r="D22" s="45" t="s">
        <v>1378</v>
      </c>
      <c r="E22" s="45" t="s">
        <v>1378</v>
      </c>
      <c r="F22" s="45" t="s">
        <v>1378</v>
      </c>
      <c r="G22" s="45">
        <v>31</v>
      </c>
      <c r="H22" s="45">
        <v>-1</v>
      </c>
      <c r="I22" s="45" t="s">
        <v>1378</v>
      </c>
      <c r="J22" s="45" t="s">
        <v>1378</v>
      </c>
      <c r="K22" s="45">
        <v>23376</v>
      </c>
      <c r="L22" s="45">
        <v>3963</v>
      </c>
      <c r="M22" s="6">
        <f t="shared" si="0"/>
        <v>42197</v>
      </c>
    </row>
    <row r="23" spans="1:13" ht="11.85" customHeight="1">
      <c r="A23" s="17">
        <v>17</v>
      </c>
      <c r="B23" s="4" t="s">
        <v>74</v>
      </c>
      <c r="C23" s="45">
        <v>383</v>
      </c>
      <c r="D23" s="45" t="s">
        <v>1378</v>
      </c>
      <c r="E23" s="45" t="s">
        <v>1378</v>
      </c>
      <c r="F23" s="45">
        <v>306</v>
      </c>
      <c r="G23" s="45" t="s">
        <v>1378</v>
      </c>
      <c r="H23" s="45" t="s">
        <v>1378</v>
      </c>
      <c r="I23" s="45" t="s">
        <v>1378</v>
      </c>
      <c r="J23" s="45">
        <v>6232</v>
      </c>
      <c r="K23" s="45">
        <v>3094</v>
      </c>
      <c r="L23" s="45">
        <v>75</v>
      </c>
      <c r="M23" s="6">
        <f t="shared" si="0"/>
        <v>10090</v>
      </c>
    </row>
    <row r="24" spans="1:13" ht="22.5">
      <c r="A24" s="195">
        <v>18</v>
      </c>
      <c r="B24" s="82" t="s">
        <v>75</v>
      </c>
      <c r="C24" s="45" t="s">
        <v>1378</v>
      </c>
      <c r="D24" s="45" t="s">
        <v>1378</v>
      </c>
      <c r="E24" s="45" t="s">
        <v>1378</v>
      </c>
      <c r="F24" s="45">
        <v>537</v>
      </c>
      <c r="G24" s="45">
        <v>32</v>
      </c>
      <c r="H24" s="45">
        <v>1855</v>
      </c>
      <c r="I24" s="45" t="s">
        <v>1378</v>
      </c>
      <c r="J24" s="45" t="s">
        <v>1378</v>
      </c>
      <c r="K24" s="45" t="s">
        <v>1378</v>
      </c>
      <c r="L24" s="45" t="s">
        <v>1378</v>
      </c>
      <c r="M24" s="6">
        <f t="shared" si="0"/>
        <v>2424</v>
      </c>
    </row>
    <row r="25" spans="1:13" ht="11.85" customHeight="1">
      <c r="A25" s="17">
        <v>19</v>
      </c>
      <c r="B25" s="4" t="s">
        <v>76</v>
      </c>
      <c r="C25" s="45" t="s">
        <v>1378</v>
      </c>
      <c r="D25" s="45" t="s">
        <v>1378</v>
      </c>
      <c r="E25" s="45" t="s">
        <v>1378</v>
      </c>
      <c r="F25" s="45">
        <v>314</v>
      </c>
      <c r="G25" s="45" t="s">
        <v>1378</v>
      </c>
      <c r="H25" s="45">
        <v>2565</v>
      </c>
      <c r="I25" s="45" t="s">
        <v>1378</v>
      </c>
      <c r="J25" s="45" t="s">
        <v>1378</v>
      </c>
      <c r="K25" s="45" t="s">
        <v>1378</v>
      </c>
      <c r="L25" s="45" t="s">
        <v>1378</v>
      </c>
      <c r="M25" s="6">
        <f t="shared" si="0"/>
        <v>2879</v>
      </c>
    </row>
    <row r="26" spans="1:13" ht="11.85" customHeight="1">
      <c r="A26" s="17">
        <v>20</v>
      </c>
      <c r="B26" s="4" t="s">
        <v>1225</v>
      </c>
      <c r="C26" s="45">
        <v>72</v>
      </c>
      <c r="D26" s="45" t="s">
        <v>1378</v>
      </c>
      <c r="E26" s="45" t="s">
        <v>1378</v>
      </c>
      <c r="F26" s="45">
        <v>236</v>
      </c>
      <c r="G26" s="45">
        <v>4004</v>
      </c>
      <c r="H26" s="45" t="s">
        <v>1378</v>
      </c>
      <c r="I26" s="45" t="s">
        <v>1378</v>
      </c>
      <c r="J26" s="45" t="s">
        <v>1378</v>
      </c>
      <c r="K26" s="45" t="s">
        <v>1378</v>
      </c>
      <c r="L26" s="45" t="s">
        <v>1378</v>
      </c>
      <c r="M26" s="6">
        <f t="shared" si="0"/>
        <v>4312</v>
      </c>
    </row>
    <row r="27" spans="1:13" ht="11.85" customHeight="1">
      <c r="A27" s="17">
        <v>21</v>
      </c>
      <c r="B27" s="4" t="s">
        <v>77</v>
      </c>
      <c r="C27" s="45" t="s">
        <v>1378</v>
      </c>
      <c r="D27" s="45" t="s">
        <v>1378</v>
      </c>
      <c r="E27" s="45" t="s">
        <v>1378</v>
      </c>
      <c r="F27" s="45">
        <v>2154</v>
      </c>
      <c r="G27" s="45">
        <v>18</v>
      </c>
      <c r="H27" s="45" t="s">
        <v>1378</v>
      </c>
      <c r="I27" s="45" t="s">
        <v>1378</v>
      </c>
      <c r="J27" s="45" t="s">
        <v>1378</v>
      </c>
      <c r="K27" s="45" t="s">
        <v>1378</v>
      </c>
      <c r="L27" s="45" t="s">
        <v>1378</v>
      </c>
      <c r="M27" s="6">
        <f t="shared" si="0"/>
        <v>2172</v>
      </c>
    </row>
    <row r="28" spans="1:13" ht="11.85" customHeight="1">
      <c r="A28" s="17">
        <v>22</v>
      </c>
      <c r="B28" s="4" t="s">
        <v>78</v>
      </c>
      <c r="C28" s="45">
        <v>463</v>
      </c>
      <c r="D28" s="45" t="s">
        <v>1378</v>
      </c>
      <c r="E28" s="45" t="s">
        <v>1378</v>
      </c>
      <c r="F28" s="45">
        <v>43827</v>
      </c>
      <c r="G28" s="45" t="s">
        <v>1378</v>
      </c>
      <c r="H28" s="45" t="s">
        <v>1378</v>
      </c>
      <c r="I28" s="45" t="s">
        <v>1378</v>
      </c>
      <c r="J28" s="45" t="s">
        <v>1378</v>
      </c>
      <c r="K28" s="45" t="s">
        <v>1378</v>
      </c>
      <c r="L28" s="45" t="s">
        <v>1378</v>
      </c>
      <c r="M28" s="6">
        <f t="shared" si="0"/>
        <v>44290</v>
      </c>
    </row>
    <row r="29" spans="1:13" ht="22.5">
      <c r="A29" s="195">
        <v>23</v>
      </c>
      <c r="B29" s="82" t="s">
        <v>1086</v>
      </c>
      <c r="C29" s="45">
        <v>37</v>
      </c>
      <c r="D29" s="45" t="s">
        <v>1378</v>
      </c>
      <c r="E29" s="45" t="s">
        <v>1378</v>
      </c>
      <c r="F29" s="45">
        <v>14007</v>
      </c>
      <c r="G29" s="45">
        <v>41</v>
      </c>
      <c r="H29" s="45">
        <v>2</v>
      </c>
      <c r="I29" s="45" t="s">
        <v>1378</v>
      </c>
      <c r="J29" s="45">
        <v>1</v>
      </c>
      <c r="K29" s="45">
        <v>1391</v>
      </c>
      <c r="L29" s="45" t="s">
        <v>1378</v>
      </c>
      <c r="M29" s="6">
        <f t="shared" si="0"/>
        <v>15479</v>
      </c>
    </row>
    <row r="30" spans="1:13" ht="11.85" customHeight="1">
      <c r="A30" s="17">
        <v>24</v>
      </c>
      <c r="B30" s="4" t="s">
        <v>1087</v>
      </c>
      <c r="C30" s="45">
        <v>99</v>
      </c>
      <c r="D30" s="45" t="s">
        <v>1378</v>
      </c>
      <c r="E30" s="45">
        <v>9</v>
      </c>
      <c r="F30" s="45">
        <v>4130</v>
      </c>
      <c r="G30" s="45">
        <v>15</v>
      </c>
      <c r="H30" s="45" t="s">
        <v>1378</v>
      </c>
      <c r="I30" s="45" t="s">
        <v>1378</v>
      </c>
      <c r="J30" s="45" t="s">
        <v>1378</v>
      </c>
      <c r="K30" s="45" t="s">
        <v>1378</v>
      </c>
      <c r="L30" s="45" t="s">
        <v>1378</v>
      </c>
      <c r="M30" s="6">
        <f t="shared" si="0"/>
        <v>4253</v>
      </c>
    </row>
    <row r="31" spans="1:13" ht="11.85" customHeight="1">
      <c r="A31" s="17">
        <v>25</v>
      </c>
      <c r="B31" s="4" t="s">
        <v>1088</v>
      </c>
      <c r="C31" s="45">
        <v>72975</v>
      </c>
      <c r="D31" s="45" t="s">
        <v>1378</v>
      </c>
      <c r="E31" s="45" t="s">
        <v>1378</v>
      </c>
      <c r="F31" s="45" t="s">
        <v>1378</v>
      </c>
      <c r="G31" s="45" t="s">
        <v>1378</v>
      </c>
      <c r="H31" s="45" t="s">
        <v>1378</v>
      </c>
      <c r="I31" s="45" t="s">
        <v>1378</v>
      </c>
      <c r="J31" s="45" t="s">
        <v>1378</v>
      </c>
      <c r="K31" s="45" t="s">
        <v>1378</v>
      </c>
      <c r="L31" s="45" t="s">
        <v>1378</v>
      </c>
      <c r="M31" s="6">
        <f t="shared" si="0"/>
        <v>72975</v>
      </c>
    </row>
    <row r="32" spans="1:13" ht="11.85" customHeight="1">
      <c r="A32" s="17">
        <v>26</v>
      </c>
      <c r="B32" s="4" t="s">
        <v>422</v>
      </c>
      <c r="C32" s="45">
        <v>47255</v>
      </c>
      <c r="D32" s="45" t="s">
        <v>1378</v>
      </c>
      <c r="E32" s="45" t="s">
        <v>1378</v>
      </c>
      <c r="F32" s="45" t="s">
        <v>1378</v>
      </c>
      <c r="G32" s="45" t="s">
        <v>1378</v>
      </c>
      <c r="H32" s="45" t="s">
        <v>1378</v>
      </c>
      <c r="I32" s="45" t="s">
        <v>1378</v>
      </c>
      <c r="J32" s="45" t="s">
        <v>1378</v>
      </c>
      <c r="K32" s="45" t="s">
        <v>1378</v>
      </c>
      <c r="L32" s="45" t="s">
        <v>1378</v>
      </c>
      <c r="M32" s="6">
        <f t="shared" si="0"/>
        <v>47255</v>
      </c>
    </row>
    <row r="33" spans="1:18" ht="11.85" customHeight="1">
      <c r="A33" s="17">
        <v>27</v>
      </c>
      <c r="B33" s="4" t="s">
        <v>1089</v>
      </c>
      <c r="C33" s="45">
        <v>26635</v>
      </c>
      <c r="D33" s="45" t="s">
        <v>1378</v>
      </c>
      <c r="E33" s="45" t="s">
        <v>1378</v>
      </c>
      <c r="F33" s="45" t="s">
        <v>1378</v>
      </c>
      <c r="G33" s="45" t="s">
        <v>1378</v>
      </c>
      <c r="H33" s="45" t="s">
        <v>1378</v>
      </c>
      <c r="I33" s="45" t="s">
        <v>1378</v>
      </c>
      <c r="J33" s="45" t="s">
        <v>1378</v>
      </c>
      <c r="K33" s="45" t="s">
        <v>1378</v>
      </c>
      <c r="L33" s="45" t="s">
        <v>1378</v>
      </c>
      <c r="M33" s="6">
        <f t="shared" si="0"/>
        <v>26635</v>
      </c>
    </row>
    <row r="34" spans="1:18" ht="11.85" customHeight="1">
      <c r="A34" s="17"/>
      <c r="B34" s="4"/>
      <c r="C34" s="3"/>
      <c r="D34" s="66"/>
      <c r="E34" s="3"/>
      <c r="F34" s="3"/>
      <c r="G34" s="3"/>
      <c r="H34" s="3"/>
      <c r="I34" s="3"/>
      <c r="J34" s="3"/>
      <c r="K34" s="3"/>
      <c r="L34" s="3"/>
      <c r="M34" s="3"/>
    </row>
    <row r="35" spans="1:18" ht="11.85" customHeight="1" thickBot="1">
      <c r="A35" s="39"/>
      <c r="B35" s="33" t="s">
        <v>1230</v>
      </c>
      <c r="C35" s="40">
        <f t="shared" ref="C35:L35" si="1">SUM(C7:C34)</f>
        <v>209232</v>
      </c>
      <c r="D35" s="40">
        <f t="shared" si="1"/>
        <v>46061</v>
      </c>
      <c r="E35" s="40">
        <f t="shared" si="1"/>
        <v>33348</v>
      </c>
      <c r="F35" s="40">
        <f t="shared" si="1"/>
        <v>85016</v>
      </c>
      <c r="G35" s="40">
        <f t="shared" si="1"/>
        <v>4398</v>
      </c>
      <c r="H35" s="40">
        <f t="shared" si="1"/>
        <v>4457</v>
      </c>
      <c r="I35" s="40">
        <f t="shared" si="1"/>
        <v>28333</v>
      </c>
      <c r="J35" s="40">
        <f>SUM(J7:J34)</f>
        <v>6954</v>
      </c>
      <c r="K35" s="40">
        <f t="shared" si="1"/>
        <v>47026</v>
      </c>
      <c r="L35" s="40">
        <f t="shared" si="1"/>
        <v>304347</v>
      </c>
      <c r="M35" s="40">
        <f>SUM(C35:L35)</f>
        <v>769172</v>
      </c>
    </row>
    <row r="36" spans="1:18" ht="11.85" customHeight="1">
      <c r="A36" s="42" t="s">
        <v>179</v>
      </c>
      <c r="B36" s="4"/>
      <c r="C36" s="4"/>
      <c r="D36" s="4"/>
      <c r="E36" s="4"/>
      <c r="F36" s="4"/>
      <c r="G36" s="4"/>
      <c r="H36" s="4"/>
      <c r="I36" s="4"/>
      <c r="J36" s="4"/>
      <c r="K36" s="4"/>
      <c r="L36" s="4"/>
      <c r="M36" s="4"/>
      <c r="N36" s="68"/>
    </row>
    <row r="37" spans="1:18" ht="11.85" customHeight="1">
      <c r="A37" s="42" t="s">
        <v>539</v>
      </c>
      <c r="B37" s="4"/>
      <c r="C37" s="4"/>
      <c r="D37" s="4"/>
      <c r="E37" s="4"/>
      <c r="F37" s="4"/>
      <c r="G37" s="4"/>
      <c r="H37" s="4"/>
      <c r="I37" s="4"/>
      <c r="J37" s="4"/>
      <c r="K37" s="4"/>
      <c r="L37" s="4"/>
      <c r="M37" s="4"/>
    </row>
    <row r="38" spans="1:18" ht="11.85" customHeight="1">
      <c r="A38" s="42"/>
      <c r="B38" s="4"/>
      <c r="C38" s="4"/>
      <c r="D38" s="4"/>
      <c r="E38" s="4"/>
      <c r="F38" s="4"/>
      <c r="G38" s="4"/>
      <c r="H38" s="4"/>
      <c r="I38" s="4"/>
      <c r="J38" s="4"/>
      <c r="K38" s="4"/>
      <c r="L38" s="4"/>
      <c r="M38" s="4"/>
      <c r="N38" s="68"/>
    </row>
    <row r="39" spans="1:18" ht="11.85" customHeight="1">
      <c r="A39" s="42"/>
      <c r="B39" s="4"/>
      <c r="C39" s="4"/>
      <c r="D39" s="4"/>
      <c r="E39" s="4"/>
      <c r="F39" s="4"/>
      <c r="G39" s="4"/>
      <c r="H39" s="4"/>
      <c r="I39" s="4"/>
      <c r="J39" s="4"/>
      <c r="K39" s="4"/>
      <c r="L39" s="4"/>
      <c r="M39" s="4"/>
    </row>
    <row r="40" spans="1:18" ht="9.7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4"/>
      <c r="E45" s="4"/>
      <c r="F45" s="4"/>
      <c r="G45" s="4"/>
      <c r="H45" s="4"/>
      <c r="I45" s="4"/>
      <c r="J45" s="4"/>
      <c r="K45" s="4"/>
      <c r="L45" s="4"/>
      <c r="M45" s="4"/>
    </row>
    <row r="46" spans="1:18" ht="11.85" customHeight="1">
      <c r="A46" s="42"/>
      <c r="B46" s="4"/>
      <c r="C46" s="4"/>
      <c r="D46" s="61"/>
      <c r="E46" s="61"/>
      <c r="F46" s="61"/>
      <c r="G46" s="61"/>
      <c r="H46" s="61"/>
      <c r="I46" s="61"/>
      <c r="J46" s="61"/>
      <c r="K46" s="61"/>
      <c r="L46" s="61"/>
      <c r="M46" s="61"/>
    </row>
    <row r="47" spans="1:18" ht="11.85" customHeight="1">
      <c r="A47" s="42"/>
      <c r="B47" s="4"/>
      <c r="C47" s="4"/>
      <c r="D47" s="61"/>
      <c r="E47" s="61"/>
      <c r="F47" s="61"/>
      <c r="G47" s="61"/>
      <c r="H47" s="61"/>
      <c r="I47" s="61"/>
      <c r="J47" s="61"/>
      <c r="K47" s="61"/>
      <c r="L47" s="61"/>
      <c r="M47" s="61"/>
    </row>
    <row r="48" spans="1:18" ht="11.85" customHeight="1">
      <c r="A48" s="42"/>
      <c r="B48" s="4"/>
      <c r="C48" s="4"/>
      <c r="D48" s="61"/>
      <c r="E48" s="61"/>
      <c r="F48" s="61"/>
      <c r="G48" s="61"/>
      <c r="H48" s="61"/>
      <c r="I48" s="61"/>
      <c r="J48" s="61"/>
      <c r="K48" s="61"/>
      <c r="L48" s="61"/>
      <c r="M48" s="61"/>
      <c r="N48" s="61"/>
      <c r="O48" s="61"/>
      <c r="P48" s="61"/>
      <c r="Q48" s="61"/>
      <c r="R48" s="61"/>
    </row>
    <row r="49" spans="1:18" ht="11.85" customHeight="1">
      <c r="A49" s="42"/>
      <c r="B49" s="4"/>
      <c r="C49" s="4"/>
      <c r="D49" s="61"/>
      <c r="E49" s="61"/>
      <c r="F49" s="61"/>
      <c r="G49" s="61"/>
      <c r="H49" s="61"/>
      <c r="I49" s="61"/>
      <c r="J49" s="61"/>
      <c r="K49" s="61"/>
      <c r="L49" s="61"/>
      <c r="M49" s="61"/>
      <c r="N49" s="61"/>
      <c r="O49" s="61"/>
      <c r="P49" s="61"/>
      <c r="Q49" s="61"/>
      <c r="R49" s="61"/>
    </row>
    <row r="50" spans="1:18" ht="11.85" customHeight="1">
      <c r="A50" s="42"/>
      <c r="B50" s="4"/>
      <c r="C50" s="4"/>
      <c r="D50" s="61"/>
      <c r="E50" s="61"/>
      <c r="F50" s="61"/>
      <c r="G50" s="61"/>
      <c r="H50" s="61"/>
      <c r="I50" s="61"/>
      <c r="J50" s="61"/>
      <c r="K50" s="61"/>
      <c r="L50" s="61"/>
      <c r="M50" s="61"/>
      <c r="N50" s="61"/>
      <c r="O50" s="61"/>
      <c r="P50" s="61"/>
      <c r="Q50" s="61"/>
      <c r="R50" s="61"/>
    </row>
    <row r="51" spans="1:18" ht="11.85" customHeight="1">
      <c r="A51" s="42"/>
      <c r="B51" s="4"/>
      <c r="C51" s="4"/>
      <c r="D51" s="61"/>
      <c r="E51" s="61"/>
      <c r="F51" s="61"/>
      <c r="G51" s="61"/>
      <c r="H51" s="61"/>
      <c r="I51" s="61"/>
      <c r="J51" s="61"/>
      <c r="K51" s="61"/>
      <c r="L51" s="61"/>
      <c r="M51" s="61"/>
      <c r="N51" s="61"/>
      <c r="O51" s="61"/>
      <c r="P51" s="61"/>
      <c r="Q51" s="61"/>
      <c r="R51" s="61"/>
    </row>
    <row r="52" spans="1:18" ht="11.85" customHeight="1">
      <c r="A52" s="42"/>
      <c r="B52" s="4"/>
      <c r="C52" s="4"/>
      <c r="D52" s="61"/>
      <c r="E52" s="61"/>
      <c r="F52" s="61"/>
      <c r="G52" s="61"/>
      <c r="H52" s="61"/>
      <c r="I52" s="61"/>
      <c r="J52" s="61"/>
      <c r="K52" s="61"/>
      <c r="L52" s="61"/>
      <c r="M52" s="61"/>
      <c r="N52" s="61"/>
      <c r="O52" s="61"/>
      <c r="P52" s="61"/>
      <c r="Q52" s="61"/>
      <c r="R52" s="61"/>
    </row>
    <row r="53" spans="1:18" ht="11.85" customHeight="1">
      <c r="A53" s="42"/>
      <c r="B53" s="4"/>
      <c r="C53" s="4"/>
      <c r="D53" s="61"/>
      <c r="E53" s="61"/>
      <c r="F53" s="61"/>
      <c r="G53" s="61"/>
      <c r="H53" s="61"/>
      <c r="I53" s="61"/>
      <c r="J53" s="61"/>
      <c r="K53" s="61"/>
      <c r="L53" s="61"/>
      <c r="M53" s="61"/>
      <c r="N53" s="61"/>
      <c r="O53" s="61"/>
      <c r="P53" s="61"/>
      <c r="Q53" s="61"/>
      <c r="R53" s="61"/>
    </row>
    <row r="54" spans="1:18" ht="11.85" customHeight="1">
      <c r="A54" s="42"/>
      <c r="B54" s="4"/>
      <c r="C54" s="4"/>
      <c r="D54" s="61"/>
      <c r="E54" s="61"/>
      <c r="F54" s="61"/>
      <c r="G54" s="61"/>
      <c r="H54" s="61"/>
      <c r="I54" s="61"/>
      <c r="J54" s="61"/>
      <c r="K54" s="61"/>
      <c r="L54" s="61"/>
      <c r="M54" s="61"/>
      <c r="N54" s="61"/>
      <c r="O54" s="61"/>
      <c r="P54" s="61"/>
      <c r="Q54" s="61"/>
      <c r="R54" s="61"/>
    </row>
    <row r="55" spans="1:18" ht="11.85" customHeight="1">
      <c r="A55" s="42"/>
      <c r="B55" s="4"/>
      <c r="C55" s="4"/>
      <c r="D55" s="61"/>
      <c r="E55" s="61"/>
      <c r="F55" s="61"/>
      <c r="G55" s="61"/>
      <c r="H55" s="61"/>
      <c r="I55" s="61"/>
      <c r="J55" s="61"/>
      <c r="K55" s="61"/>
      <c r="L55" s="61"/>
      <c r="M55" s="61"/>
      <c r="N55" s="61"/>
      <c r="O55" s="61"/>
      <c r="P55" s="61"/>
      <c r="Q55" s="61"/>
      <c r="R55" s="61"/>
    </row>
    <row r="56" spans="1:18" ht="11.85" customHeight="1">
      <c r="A56" s="42"/>
      <c r="B56" s="4"/>
      <c r="C56" s="4"/>
      <c r="D56" s="61"/>
      <c r="E56" s="61"/>
      <c r="F56" s="61"/>
      <c r="G56" s="61"/>
      <c r="H56" s="61"/>
      <c r="I56" s="61"/>
      <c r="J56" s="61"/>
      <c r="K56" s="61"/>
      <c r="L56" s="61"/>
      <c r="M56" s="61"/>
      <c r="N56" s="61"/>
      <c r="O56" s="61"/>
      <c r="P56" s="61"/>
      <c r="Q56" s="61"/>
      <c r="R56" s="61"/>
    </row>
    <row r="57" spans="1:18" ht="11.85" customHeight="1">
      <c r="A57" s="42"/>
      <c r="B57" s="4"/>
      <c r="C57" s="4"/>
      <c r="D57" s="61"/>
      <c r="E57" s="61"/>
      <c r="F57" s="61"/>
      <c r="G57" s="61"/>
      <c r="H57" s="61"/>
      <c r="I57" s="61"/>
      <c r="J57" s="61"/>
      <c r="K57" s="61"/>
      <c r="L57" s="61"/>
      <c r="M57" s="61"/>
      <c r="N57" s="61"/>
      <c r="O57" s="61"/>
      <c r="P57" s="61"/>
      <c r="Q57" s="61"/>
      <c r="R57" s="61"/>
    </row>
    <row r="58" spans="1:18" ht="11.85" customHeight="1">
      <c r="A58" s="42"/>
      <c r="B58" s="4"/>
      <c r="C58" s="4"/>
      <c r="D58" s="61"/>
      <c r="E58" s="61"/>
      <c r="F58" s="61"/>
      <c r="G58" s="61"/>
      <c r="H58" s="61"/>
      <c r="I58" s="61"/>
      <c r="J58" s="61"/>
      <c r="K58" s="61"/>
      <c r="L58" s="61"/>
      <c r="M58" s="61"/>
      <c r="N58" s="61"/>
      <c r="O58" s="61"/>
      <c r="P58" s="61"/>
      <c r="Q58" s="61"/>
      <c r="R58" s="61"/>
    </row>
    <row r="59" spans="1:18" ht="11.85" customHeight="1">
      <c r="A59" s="42"/>
      <c r="B59" s="4"/>
      <c r="C59" s="4"/>
      <c r="D59" s="61"/>
      <c r="E59" s="61"/>
      <c r="F59" s="61"/>
      <c r="G59" s="61"/>
      <c r="H59" s="61"/>
      <c r="I59" s="61"/>
      <c r="J59" s="61"/>
      <c r="K59" s="61"/>
      <c r="L59" s="61"/>
      <c r="M59" s="61"/>
      <c r="N59" s="61"/>
      <c r="O59" s="61"/>
      <c r="P59" s="61"/>
      <c r="Q59" s="61"/>
      <c r="R59" s="61"/>
    </row>
    <row r="60" spans="1:18" ht="11.85" customHeight="1">
      <c r="A60" s="42"/>
      <c r="B60" s="4"/>
      <c r="C60" s="4"/>
      <c r="D60" s="61"/>
      <c r="E60" s="61"/>
      <c r="F60" s="61"/>
      <c r="G60" s="61"/>
      <c r="H60" s="61"/>
      <c r="I60" s="61"/>
      <c r="J60" s="61"/>
      <c r="K60" s="61"/>
      <c r="L60" s="61"/>
      <c r="M60" s="61"/>
      <c r="N60" s="61"/>
      <c r="O60" s="61"/>
      <c r="P60" s="61"/>
      <c r="Q60" s="61"/>
      <c r="R60" s="61"/>
    </row>
    <row r="61" spans="1:18" ht="11.85" customHeight="1">
      <c r="A61" s="42"/>
      <c r="B61" s="4"/>
      <c r="C61" s="4"/>
      <c r="D61" s="61"/>
      <c r="E61" s="61"/>
      <c r="F61" s="61"/>
      <c r="G61" s="61"/>
      <c r="H61" s="61"/>
      <c r="I61" s="61"/>
      <c r="J61" s="61"/>
      <c r="K61" s="61"/>
      <c r="L61" s="61"/>
      <c r="M61" s="61"/>
      <c r="N61" s="61"/>
      <c r="O61" s="61"/>
      <c r="P61" s="61"/>
      <c r="Q61" s="61"/>
      <c r="R61" s="61"/>
    </row>
    <row r="62" spans="1:18" ht="11.85" customHeight="1">
      <c r="A62" s="42"/>
      <c r="B62" s="4"/>
      <c r="C62" s="4"/>
      <c r="D62" s="61"/>
      <c r="E62" s="61"/>
      <c r="F62" s="61"/>
      <c r="G62" s="61"/>
      <c r="H62" s="61"/>
      <c r="I62" s="61"/>
      <c r="J62" s="61"/>
      <c r="K62" s="61"/>
      <c r="L62" s="61"/>
      <c r="M62" s="61"/>
      <c r="N62" s="61"/>
      <c r="O62" s="61"/>
      <c r="P62" s="61"/>
      <c r="Q62" s="61"/>
      <c r="R62" s="61"/>
    </row>
    <row r="63" spans="1:18" ht="11.85" customHeight="1">
      <c r="A63" s="42"/>
      <c r="B63" s="4"/>
      <c r="C63" s="4"/>
      <c r="D63" s="61"/>
      <c r="E63" s="61"/>
      <c r="F63" s="61"/>
      <c r="G63" s="61"/>
      <c r="H63" s="61"/>
      <c r="I63" s="61"/>
      <c r="J63" s="61"/>
      <c r="K63" s="61"/>
      <c r="L63" s="61"/>
      <c r="M63" s="61"/>
      <c r="N63" s="61"/>
      <c r="O63" s="61"/>
      <c r="P63" s="61"/>
      <c r="Q63" s="61"/>
      <c r="R63" s="61"/>
    </row>
    <row r="64" spans="1:18" ht="11.85" customHeight="1">
      <c r="A64" s="42"/>
      <c r="B64" s="4"/>
      <c r="C64" s="4"/>
      <c r="D64" s="61"/>
      <c r="E64" s="61"/>
      <c r="F64" s="61"/>
      <c r="G64" s="61"/>
      <c r="H64" s="61"/>
      <c r="I64" s="61"/>
      <c r="J64" s="61"/>
      <c r="K64" s="61"/>
      <c r="L64" s="61"/>
      <c r="M64" s="61"/>
      <c r="N64" s="61"/>
      <c r="O64" s="61"/>
      <c r="P64" s="61"/>
      <c r="Q64" s="61"/>
      <c r="R64" s="61"/>
    </row>
    <row r="65" spans="1:18" ht="11.85" customHeight="1">
      <c r="A65" s="42"/>
      <c r="B65" s="4"/>
      <c r="C65" s="4"/>
      <c r="D65" s="61"/>
      <c r="E65" s="61"/>
      <c r="F65" s="61"/>
      <c r="G65" s="61"/>
      <c r="H65" s="61"/>
      <c r="I65" s="61"/>
      <c r="J65" s="61"/>
      <c r="K65" s="61"/>
      <c r="L65" s="61"/>
      <c r="M65" s="61"/>
      <c r="N65" s="61"/>
      <c r="O65" s="61"/>
      <c r="P65" s="61"/>
      <c r="Q65" s="61"/>
      <c r="R65" s="61"/>
    </row>
    <row r="66" spans="1:18" ht="11.85" customHeight="1">
      <c r="A66" s="42"/>
      <c r="B66" s="4"/>
      <c r="C66" s="4"/>
      <c r="D66" s="61"/>
      <c r="E66" s="61"/>
      <c r="F66" s="61"/>
      <c r="G66" s="61"/>
      <c r="H66" s="61"/>
      <c r="I66" s="61"/>
      <c r="J66" s="61"/>
      <c r="K66" s="61"/>
      <c r="L66" s="61"/>
      <c r="M66" s="61"/>
      <c r="N66" s="61"/>
      <c r="O66" s="61"/>
      <c r="P66" s="61"/>
      <c r="Q66" s="61"/>
      <c r="R66" s="61"/>
    </row>
    <row r="67" spans="1:18" ht="11.85" customHeight="1">
      <c r="A67" s="42"/>
      <c r="B67" s="4"/>
      <c r="C67" s="4"/>
      <c r="D67" s="61"/>
      <c r="E67" s="61"/>
      <c r="F67" s="61"/>
      <c r="G67" s="61"/>
      <c r="H67" s="61"/>
      <c r="I67" s="61"/>
      <c r="J67" s="61"/>
      <c r="K67" s="61"/>
      <c r="L67" s="61"/>
      <c r="M67" s="61"/>
      <c r="N67" s="61"/>
      <c r="O67" s="61"/>
      <c r="P67" s="61"/>
      <c r="Q67" s="61"/>
      <c r="R67" s="61"/>
    </row>
    <row r="68" spans="1:18" ht="11.85" customHeight="1">
      <c r="A68" s="42"/>
      <c r="B68" s="4"/>
      <c r="C68" s="4"/>
      <c r="D68" s="61"/>
      <c r="E68" s="61"/>
      <c r="F68" s="61"/>
      <c r="G68" s="61"/>
      <c r="H68" s="61"/>
      <c r="I68" s="61"/>
      <c r="J68" s="61"/>
      <c r="K68" s="61"/>
      <c r="L68" s="61"/>
      <c r="M68" s="61"/>
      <c r="N68" s="61"/>
      <c r="O68" s="61"/>
      <c r="P68" s="61"/>
      <c r="Q68" s="61"/>
      <c r="R68" s="61"/>
    </row>
    <row r="69" spans="1:18" ht="11.85" customHeight="1">
      <c r="A69" s="42"/>
      <c r="B69" s="4"/>
      <c r="C69" s="4"/>
      <c r="D69" s="61"/>
      <c r="E69" s="61"/>
      <c r="F69" s="61"/>
      <c r="G69" s="61"/>
      <c r="H69" s="61"/>
      <c r="I69" s="61"/>
      <c r="J69" s="61"/>
      <c r="K69" s="61"/>
      <c r="L69" s="61"/>
      <c r="M69" s="61"/>
      <c r="N69" s="61"/>
      <c r="O69" s="61"/>
      <c r="P69" s="61"/>
      <c r="Q69" s="61"/>
      <c r="R69" s="61"/>
    </row>
    <row r="70" spans="1:18" ht="11.85" customHeight="1">
      <c r="A70" s="42"/>
      <c r="B70" s="4"/>
      <c r="C70" s="4"/>
      <c r="D70" s="61"/>
      <c r="E70" s="61"/>
      <c r="F70" s="61"/>
      <c r="G70" s="61"/>
      <c r="H70" s="61"/>
      <c r="I70" s="61"/>
      <c r="J70" s="61"/>
      <c r="K70" s="61"/>
      <c r="L70" s="61"/>
      <c r="M70" s="61"/>
      <c r="N70" s="61"/>
      <c r="O70" s="61"/>
      <c r="P70" s="61"/>
      <c r="Q70" s="61"/>
      <c r="R70" s="61"/>
    </row>
    <row r="71" spans="1:18" ht="11.85" customHeight="1">
      <c r="A71" s="42"/>
      <c r="B71" s="4"/>
      <c r="C71" s="4"/>
      <c r="D71" s="61"/>
      <c r="E71" s="61"/>
      <c r="F71" s="61"/>
      <c r="G71" s="61"/>
      <c r="H71" s="61"/>
      <c r="I71" s="61"/>
      <c r="J71" s="61"/>
      <c r="K71" s="61"/>
      <c r="L71" s="61"/>
      <c r="M71" s="61"/>
      <c r="N71" s="61"/>
      <c r="O71" s="61"/>
      <c r="P71" s="61"/>
      <c r="Q71" s="61"/>
      <c r="R71" s="61"/>
    </row>
    <row r="72" spans="1:18" ht="11.85" customHeight="1">
      <c r="A72" s="42"/>
      <c r="B72" s="4"/>
      <c r="C72" s="4"/>
      <c r="D72" s="61"/>
      <c r="E72" s="61"/>
      <c r="F72" s="61"/>
      <c r="G72" s="61"/>
      <c r="H72" s="61"/>
      <c r="I72" s="61"/>
      <c r="J72" s="61"/>
      <c r="K72" s="61"/>
      <c r="L72" s="61"/>
      <c r="M72" s="61"/>
      <c r="N72" s="61"/>
      <c r="O72" s="61"/>
      <c r="P72" s="61"/>
      <c r="Q72" s="61"/>
      <c r="R72" s="61"/>
    </row>
    <row r="73" spans="1:18" ht="11.85" customHeight="1">
      <c r="A73" s="42"/>
      <c r="B73" s="4"/>
      <c r="C73" s="4"/>
      <c r="D73" s="4"/>
      <c r="E73" s="4"/>
      <c r="F73" s="4"/>
      <c r="G73" s="4"/>
      <c r="H73" s="4"/>
      <c r="I73" s="4"/>
      <c r="J73" s="4"/>
      <c r="K73" s="4"/>
      <c r="L73" s="4"/>
      <c r="M73" s="4"/>
      <c r="N73" s="61"/>
      <c r="O73" s="61"/>
      <c r="P73" s="61"/>
      <c r="Q73" s="61"/>
      <c r="R73" s="61"/>
    </row>
    <row r="74" spans="1:18" ht="11.85" customHeight="1">
      <c r="A74" s="42"/>
      <c r="B74" s="4"/>
      <c r="C74" s="4"/>
      <c r="D74" s="4"/>
      <c r="E74" s="4"/>
      <c r="F74" s="4"/>
      <c r="G74" s="4"/>
      <c r="H74" s="4"/>
      <c r="I74" s="4"/>
      <c r="J74" s="4"/>
      <c r="K74" s="4"/>
      <c r="L74" s="4"/>
      <c r="M74" s="4"/>
      <c r="N74" s="61"/>
      <c r="O74" s="61"/>
      <c r="P74" s="61"/>
      <c r="Q74" s="61"/>
      <c r="R74" s="61"/>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1" spans="1:14" ht="11.85" customHeight="1">
      <c r="A91" s="42"/>
      <c r="B91" s="4"/>
      <c r="C91" s="4"/>
      <c r="D91" s="4"/>
      <c r="E91" s="4"/>
      <c r="F91" s="4"/>
      <c r="G91" s="4"/>
      <c r="H91" s="4"/>
      <c r="I91" s="4"/>
      <c r="J91" s="4"/>
      <c r="K91" s="4"/>
      <c r="L91" s="4"/>
      <c r="M91" s="4"/>
    </row>
    <row r="94" spans="1:14" ht="11.85" customHeight="1">
      <c r="N94" s="68"/>
    </row>
    <row r="95" spans="1:14" ht="11.85" customHeight="1">
      <c r="N95" s="68"/>
    </row>
    <row r="96" spans="1:14" ht="11.85" customHeight="1">
      <c r="N96" s="68"/>
    </row>
    <row r="97" spans="1:18" ht="11.85" customHeight="1">
      <c r="A97" s="183"/>
    </row>
    <row r="98" spans="1:18" ht="11.85" customHeight="1">
      <c r="A98" s="183"/>
      <c r="N98" s="68"/>
      <c r="P98" s="61"/>
      <c r="Q98" s="61"/>
      <c r="R98" s="61"/>
    </row>
    <row r="99" spans="1:18" ht="21" customHeight="1">
      <c r="N99" s="68"/>
      <c r="P99" s="61"/>
      <c r="Q99" s="61"/>
      <c r="R99" s="61"/>
    </row>
    <row r="100" spans="1:18" ht="13.5" customHeight="1">
      <c r="P100" s="61"/>
      <c r="Q100" s="61"/>
      <c r="R100" s="61"/>
    </row>
    <row r="101" spans="1:18" ht="11.85" customHeight="1">
      <c r="P101" s="61"/>
      <c r="Q101" s="61"/>
      <c r="R101" s="61"/>
    </row>
    <row r="102" spans="1:18" ht="11.85" customHeight="1">
      <c r="P102" s="61"/>
      <c r="Q102" s="61"/>
      <c r="R102" s="61"/>
    </row>
    <row r="103" spans="1:18" ht="11.85" customHeight="1">
      <c r="P103" s="61"/>
      <c r="Q103" s="61"/>
      <c r="R103" s="61"/>
    </row>
    <row r="104" spans="1:18" ht="11.85" customHeight="1">
      <c r="P104" s="61"/>
      <c r="Q104" s="61"/>
      <c r="R104" s="61"/>
    </row>
    <row r="105" spans="1:18" ht="11.85" customHeight="1">
      <c r="P105" s="61"/>
      <c r="Q105" s="61"/>
      <c r="R105" s="61"/>
    </row>
    <row r="106" spans="1:18" ht="11.85" customHeight="1">
      <c r="P106" s="61"/>
      <c r="Q106" s="61"/>
      <c r="R106" s="61"/>
    </row>
    <row r="107" spans="1:18" ht="11.85" customHeight="1">
      <c r="P107" s="61"/>
      <c r="Q107" s="61"/>
      <c r="R107" s="61"/>
    </row>
    <row r="108" spans="1:18" ht="11.85" customHeight="1">
      <c r="P108" s="61"/>
      <c r="Q108" s="61"/>
      <c r="R108" s="61"/>
    </row>
    <row r="109" spans="1:18" ht="11.85" customHeight="1">
      <c r="P109" s="61"/>
      <c r="Q109" s="61"/>
      <c r="R109" s="61"/>
    </row>
    <row r="110" spans="1:18" ht="11.85" customHeight="1">
      <c r="P110" s="61"/>
      <c r="Q110" s="61"/>
      <c r="R110" s="61"/>
    </row>
    <row r="111" spans="1:18" ht="11.85" customHeight="1">
      <c r="P111" s="61"/>
      <c r="Q111" s="61"/>
      <c r="R111" s="61"/>
    </row>
    <row r="112" spans="1:18" ht="11.85" customHeight="1">
      <c r="P112" s="61"/>
      <c r="Q112" s="61"/>
      <c r="R112" s="61"/>
    </row>
    <row r="113" spans="16:18" ht="11.85" customHeight="1">
      <c r="P113" s="61"/>
      <c r="Q113" s="61"/>
      <c r="R113" s="61"/>
    </row>
    <row r="114" spans="16:18" ht="11.85" customHeight="1">
      <c r="P114" s="61"/>
      <c r="Q114" s="61"/>
      <c r="R114" s="61"/>
    </row>
    <row r="115" spans="16:18" ht="11.85" customHeight="1">
      <c r="P115" s="61"/>
      <c r="Q115" s="61"/>
      <c r="R115" s="61"/>
    </row>
    <row r="116" spans="16:18" ht="11.85" customHeight="1">
      <c r="P116" s="61"/>
      <c r="Q116" s="61"/>
      <c r="R116" s="61"/>
    </row>
    <row r="117" spans="16:18" ht="11.85" customHeight="1">
      <c r="P117" s="61"/>
      <c r="Q117" s="61"/>
      <c r="R117" s="61"/>
    </row>
    <row r="118" spans="16:18" ht="11.85" customHeight="1">
      <c r="P118" s="61"/>
      <c r="Q118" s="61"/>
      <c r="R118" s="61"/>
    </row>
    <row r="119" spans="16:18" ht="11.85" customHeight="1">
      <c r="P119" s="61"/>
      <c r="Q119" s="61"/>
      <c r="R119" s="61"/>
    </row>
    <row r="120" spans="16:18" ht="11.85" customHeight="1">
      <c r="P120" s="61"/>
      <c r="Q120" s="61"/>
      <c r="R120" s="61"/>
    </row>
    <row r="121" spans="16:18" ht="11.85" customHeight="1">
      <c r="P121" s="61"/>
      <c r="Q121" s="61"/>
      <c r="R121" s="61"/>
    </row>
    <row r="122" spans="16:18" ht="11.85" customHeight="1">
      <c r="P122" s="61"/>
      <c r="Q122" s="61"/>
      <c r="R122" s="61"/>
    </row>
    <row r="123" spans="16:18" ht="11.85" customHeight="1">
      <c r="P123" s="61"/>
      <c r="Q123" s="61"/>
      <c r="R123" s="61"/>
    </row>
    <row r="124" spans="16:18" ht="11.85" customHeight="1">
      <c r="P124" s="61"/>
      <c r="Q124" s="61"/>
      <c r="R124" s="61"/>
    </row>
    <row r="152" spans="16:17" ht="11.85" customHeight="1">
      <c r="P152" s="58"/>
      <c r="Q152" s="3"/>
    </row>
    <row r="153" spans="16:17" ht="11.85" customHeight="1">
      <c r="P153" s="58"/>
      <c r="Q153" s="3"/>
    </row>
    <row r="154" spans="16:17" ht="11.85" customHeight="1">
      <c r="P154" s="58"/>
      <c r="Q154" s="3"/>
    </row>
    <row r="155" spans="16:17" ht="11.85" customHeight="1">
      <c r="P155" s="58"/>
      <c r="Q155" s="3"/>
    </row>
    <row r="156" spans="16:17" ht="11.85" customHeight="1">
      <c r="P156" s="58"/>
      <c r="Q156" s="3"/>
    </row>
    <row r="157" spans="16:17" ht="11.85" customHeight="1">
      <c r="P157" s="58"/>
      <c r="Q157" s="3"/>
    </row>
    <row r="158" spans="16:17" ht="11.85" customHeight="1">
      <c r="P158" s="58"/>
      <c r="Q158" s="3"/>
    </row>
    <row r="159" spans="16:17" ht="11.85" customHeight="1">
      <c r="P159" s="58"/>
      <c r="Q159" s="3"/>
    </row>
    <row r="160" spans="16:17" ht="11.85" customHeight="1">
      <c r="P160" s="58"/>
      <c r="Q160" s="3"/>
    </row>
    <row r="161" spans="16:17" ht="11.85" customHeight="1">
      <c r="P161" s="58"/>
      <c r="Q161" s="3"/>
    </row>
    <row r="162" spans="16:17" ht="11.85" customHeight="1">
      <c r="P162" s="58"/>
      <c r="Q162" s="3"/>
    </row>
    <row r="163" spans="16:17" ht="11.85" customHeight="1">
      <c r="P163" s="58"/>
      <c r="Q163" s="3"/>
    </row>
    <row r="164" spans="16:17" ht="11.85" customHeight="1">
      <c r="P164" s="58"/>
      <c r="Q164" s="3"/>
    </row>
    <row r="165" spans="16:17" ht="11.85" customHeight="1">
      <c r="P165" s="58"/>
      <c r="Q165" s="3"/>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row r="513" spans="16:17" ht="11.85" customHeight="1">
      <c r="P513" s="58"/>
      <c r="Q513" s="58"/>
    </row>
    <row r="514" spans="16:17" ht="11.85" customHeight="1">
      <c r="P514" s="58"/>
      <c r="Q514" s="58"/>
    </row>
    <row r="515" spans="16:17" ht="11.85" customHeight="1">
      <c r="P515" s="58"/>
      <c r="Q515" s="58"/>
    </row>
    <row r="516" spans="16:17" ht="11.85" customHeight="1">
      <c r="P516" s="58"/>
      <c r="Q516" s="58"/>
    </row>
    <row r="517" spans="16:17" ht="11.85" customHeight="1">
      <c r="P517" s="58"/>
      <c r="Q517" s="58"/>
    </row>
    <row r="518" spans="16:17" ht="11.85" customHeight="1">
      <c r="P518" s="58"/>
      <c r="Q518" s="58"/>
    </row>
    <row r="519" spans="16:17" ht="11.85" customHeight="1">
      <c r="P519" s="58"/>
      <c r="Q519" s="58"/>
    </row>
    <row r="520" spans="16:17" ht="11.85" customHeight="1">
      <c r="P520" s="58"/>
      <c r="Q520" s="58"/>
    </row>
    <row r="521" spans="16:17" ht="11.85" customHeight="1">
      <c r="P521" s="58"/>
      <c r="Q521" s="58"/>
    </row>
    <row r="522" spans="16:17" ht="11.85" customHeight="1">
      <c r="P522" s="58"/>
      <c r="Q522" s="58"/>
    </row>
    <row r="523" spans="16:17" ht="11.85" customHeight="1">
      <c r="P523" s="58"/>
      <c r="Q523" s="58"/>
    </row>
    <row r="524" spans="16:17" ht="11.85" customHeight="1">
      <c r="P524" s="58"/>
      <c r="Q524" s="58"/>
    </row>
    <row r="525" spans="16:17" ht="11.85" customHeight="1">
      <c r="P525" s="58"/>
      <c r="Q525" s="58"/>
    </row>
    <row r="526" spans="16:17" ht="11.85" customHeight="1">
      <c r="P526" s="58"/>
      <c r="Q526" s="58"/>
    </row>
    <row r="527" spans="16:17" ht="11.85" customHeight="1">
      <c r="P527" s="58"/>
      <c r="Q527" s="58"/>
    </row>
    <row r="528" spans="16:17" ht="11.85" customHeight="1">
      <c r="P528" s="58"/>
      <c r="Q528" s="58"/>
    </row>
    <row r="529" spans="16:17" ht="11.85" customHeight="1">
      <c r="P529" s="58"/>
      <c r="Q529" s="58"/>
    </row>
    <row r="530" spans="16:17" ht="11.85" customHeight="1">
      <c r="P530" s="58"/>
      <c r="Q530" s="58"/>
    </row>
    <row r="531" spans="16:17" ht="11.85" customHeight="1">
      <c r="P531" s="58"/>
      <c r="Q531" s="58"/>
    </row>
    <row r="532" spans="16:17" ht="11.85" customHeight="1">
      <c r="P532" s="58"/>
      <c r="Q532" s="58"/>
    </row>
    <row r="533" spans="16:17" ht="11.85" customHeight="1">
      <c r="P533" s="58"/>
      <c r="Q533" s="58"/>
    </row>
    <row r="534" spans="16:17" ht="11.85" customHeight="1">
      <c r="P534" s="58"/>
      <c r="Q534" s="58"/>
    </row>
    <row r="535" spans="16:17" ht="11.85" customHeight="1">
      <c r="P535" s="58"/>
      <c r="Q535" s="58"/>
    </row>
    <row r="536" spans="16:17" ht="11.85" customHeight="1">
      <c r="P536" s="58"/>
      <c r="Q536" s="58"/>
    </row>
    <row r="537" spans="16:17" ht="11.85" customHeight="1">
      <c r="P537" s="58"/>
      <c r="Q537" s="58"/>
    </row>
    <row r="538" spans="16:17" ht="11.85" customHeight="1">
      <c r="P538" s="58"/>
      <c r="Q538" s="58"/>
    </row>
    <row r="539" spans="16:17" ht="11.85" customHeight="1">
      <c r="P539" s="58"/>
      <c r="Q539" s="58"/>
    </row>
    <row r="540" spans="16:17" ht="11.85" customHeight="1">
      <c r="P540" s="58"/>
      <c r="Q540" s="58"/>
    </row>
    <row r="541" spans="16:17" ht="11.85" customHeight="1">
      <c r="P541" s="58"/>
      <c r="Q541" s="58"/>
    </row>
    <row r="542" spans="16:17" ht="11.85" customHeight="1">
      <c r="P542" s="58"/>
      <c r="Q542" s="58"/>
    </row>
    <row r="543" spans="16:17" ht="11.85" customHeight="1">
      <c r="P543" s="58"/>
      <c r="Q543" s="58"/>
    </row>
    <row r="544" spans="16:17" ht="11.85" customHeight="1">
      <c r="P544" s="58"/>
      <c r="Q544" s="58"/>
    </row>
    <row r="545" spans="16:17" ht="11.85" customHeight="1">
      <c r="P545" s="58"/>
      <c r="Q545" s="58"/>
    </row>
    <row r="546" spans="16:17" ht="11.85" customHeight="1">
      <c r="P546" s="58"/>
      <c r="Q546" s="58"/>
    </row>
    <row r="547" spans="16:17" ht="11.85" customHeight="1">
      <c r="P547" s="58"/>
      <c r="Q547" s="58"/>
    </row>
    <row r="548" spans="16:17" ht="11.85" customHeight="1">
      <c r="P548" s="58"/>
      <c r="Q548" s="58"/>
    </row>
    <row r="549" spans="16:17" ht="11.85" customHeight="1">
      <c r="P549" s="58"/>
      <c r="Q549" s="58"/>
    </row>
    <row r="550" spans="16:17" ht="11.85" customHeight="1">
      <c r="P550" s="58"/>
      <c r="Q550" s="58"/>
    </row>
    <row r="551" spans="16:17" ht="11.85" customHeight="1">
      <c r="P551" s="58"/>
      <c r="Q551" s="58"/>
    </row>
    <row r="552" spans="16:17" ht="11.85" customHeight="1">
      <c r="P552" s="58"/>
      <c r="Q552" s="58"/>
    </row>
    <row r="553" spans="16:17" ht="11.85" customHeight="1">
      <c r="P553" s="58"/>
      <c r="Q553" s="58"/>
    </row>
    <row r="554" spans="16:17" ht="11.85" customHeight="1">
      <c r="P554" s="58"/>
      <c r="Q554" s="58"/>
    </row>
    <row r="555" spans="16:17" ht="11.85" customHeight="1">
      <c r="P555" s="58"/>
      <c r="Q555" s="58"/>
    </row>
    <row r="556" spans="16:17" ht="11.85" customHeight="1">
      <c r="P556" s="58"/>
      <c r="Q556" s="58"/>
    </row>
    <row r="557" spans="16:17" ht="11.85" customHeight="1">
      <c r="P557" s="58"/>
      <c r="Q557" s="58"/>
    </row>
    <row r="558" spans="16:17" ht="11.85" customHeight="1">
      <c r="P558" s="58"/>
      <c r="Q558" s="58"/>
    </row>
    <row r="559" spans="16:17" ht="11.85" customHeight="1">
      <c r="P559" s="58"/>
      <c r="Q559" s="58"/>
    </row>
    <row r="560" spans="16:17" ht="11.85" customHeight="1">
      <c r="P560" s="58"/>
      <c r="Q560" s="58"/>
    </row>
    <row r="561" spans="16:17" ht="11.85" customHeight="1">
      <c r="P561" s="58"/>
      <c r="Q561" s="58"/>
    </row>
    <row r="562" spans="16:17" ht="11.85" customHeight="1">
      <c r="P562" s="58"/>
      <c r="Q562" s="58"/>
    </row>
    <row r="563" spans="16:17" ht="11.85" customHeight="1">
      <c r="P563" s="58"/>
      <c r="Q563" s="58"/>
    </row>
    <row r="564" spans="16:17" ht="11.85" customHeight="1">
      <c r="P564" s="58"/>
      <c r="Q564" s="58"/>
    </row>
    <row r="565" spans="16:17" ht="11.85" customHeight="1">
      <c r="P565" s="58"/>
      <c r="Q565" s="58"/>
    </row>
    <row r="566" spans="16:17" ht="11.85" customHeight="1">
      <c r="P566" s="58"/>
      <c r="Q566"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5"/>
  <sheetViews>
    <sheetView workbookViewId="0">
      <selection activeCell="F49" sqref="F49"/>
    </sheetView>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8" customWidth="1"/>
    <col min="15" max="15" width="7" style="58" customWidth="1"/>
    <col min="16" max="16" width="11.6640625" customWidth="1"/>
    <col min="18" max="18" width="13" customWidth="1"/>
  </cols>
  <sheetData>
    <row r="1" spans="1:16" ht="11.85" customHeight="1">
      <c r="A1" s="41" t="s">
        <v>942</v>
      </c>
      <c r="B1" s="4"/>
      <c r="C1" s="4"/>
      <c r="D1" s="4"/>
      <c r="E1" s="4"/>
      <c r="F1" s="4"/>
      <c r="G1" s="4"/>
      <c r="H1" s="4"/>
      <c r="I1" s="4"/>
      <c r="J1" s="4"/>
      <c r="K1" s="4"/>
      <c r="L1" s="4"/>
      <c r="M1" s="4"/>
      <c r="N1" s="55"/>
      <c r="P1" s="58"/>
    </row>
    <row r="2" spans="1:16" ht="11.85" customHeight="1">
      <c r="A2" s="41" t="s">
        <v>1682</v>
      </c>
      <c r="B2" s="4"/>
      <c r="C2" s="4"/>
      <c r="D2" s="4"/>
      <c r="E2" s="4"/>
      <c r="F2" s="4"/>
      <c r="G2" s="4"/>
      <c r="H2" s="4"/>
      <c r="I2" s="4"/>
      <c r="J2" s="4"/>
      <c r="K2" s="4"/>
      <c r="L2" s="4"/>
      <c r="M2" s="4"/>
      <c r="N2" s="55"/>
      <c r="P2" s="58"/>
    </row>
    <row r="3" spans="1:16" ht="11.85" customHeight="1">
      <c r="A3" s="9" t="s">
        <v>1552</v>
      </c>
      <c r="B3" s="4"/>
      <c r="C3" s="4"/>
      <c r="D3" s="4"/>
      <c r="E3" s="4"/>
      <c r="F3" s="4"/>
      <c r="G3" s="4"/>
      <c r="H3" s="4"/>
      <c r="I3" s="4"/>
      <c r="J3" s="4"/>
      <c r="K3" s="4"/>
      <c r="L3" s="4"/>
      <c r="M3" s="4"/>
      <c r="N3" s="55"/>
      <c r="P3" s="58"/>
    </row>
    <row r="4" spans="1:16" ht="11.85" customHeight="1" thickBot="1">
      <c r="A4" s="39"/>
      <c r="B4" s="43"/>
      <c r="C4" s="4"/>
      <c r="D4" s="4"/>
      <c r="E4" s="4"/>
      <c r="F4" s="4"/>
      <c r="G4" s="4"/>
      <c r="H4" s="4"/>
      <c r="I4" s="4"/>
      <c r="J4" s="4"/>
      <c r="K4" s="4"/>
      <c r="L4" s="4"/>
      <c r="M4" s="4"/>
      <c r="N4" s="67"/>
      <c r="P4" s="58"/>
    </row>
    <row r="5" spans="1:16"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c r="N5" s="67"/>
      <c r="P5" s="58"/>
    </row>
    <row r="6" spans="1:16" ht="11.85" customHeight="1">
      <c r="A6" s="437"/>
      <c r="B6" s="438"/>
      <c r="C6" s="438"/>
      <c r="D6" s="438"/>
      <c r="E6" s="438"/>
      <c r="F6" s="438"/>
      <c r="G6" s="438"/>
      <c r="H6" s="438"/>
      <c r="I6" s="438"/>
      <c r="J6" s="438"/>
      <c r="K6" s="438"/>
      <c r="L6" s="438"/>
      <c r="M6" s="438"/>
      <c r="N6" s="67"/>
      <c r="P6" s="58"/>
    </row>
    <row r="7" spans="1:16" ht="11.85" customHeight="1">
      <c r="A7" s="17">
        <v>1</v>
      </c>
      <c r="B7" s="4" t="s">
        <v>401</v>
      </c>
      <c r="C7" s="45">
        <v>10160</v>
      </c>
      <c r="D7" s="45" t="s">
        <v>1378</v>
      </c>
      <c r="E7" s="45">
        <v>62</v>
      </c>
      <c r="F7" s="45">
        <v>31</v>
      </c>
      <c r="G7" s="45"/>
      <c r="H7" s="45" t="s">
        <v>1378</v>
      </c>
      <c r="I7" s="45"/>
      <c r="J7" s="45">
        <v>699</v>
      </c>
      <c r="K7" s="45" t="s">
        <v>1378</v>
      </c>
      <c r="L7" s="45">
        <v>14</v>
      </c>
      <c r="M7" s="6">
        <f t="shared" ref="M7:M33" si="0">SUM(C7:L7)</f>
        <v>10966</v>
      </c>
      <c r="N7" s="55"/>
      <c r="P7" s="58"/>
    </row>
    <row r="8" spans="1:16" ht="11.85" customHeight="1">
      <c r="A8" s="17">
        <v>2</v>
      </c>
      <c r="B8" s="4" t="s">
        <v>402</v>
      </c>
      <c r="C8" s="45">
        <v>1695</v>
      </c>
      <c r="D8" s="45" t="s">
        <v>1378</v>
      </c>
      <c r="E8" s="45" t="s">
        <v>1378</v>
      </c>
      <c r="F8" s="45">
        <v>222</v>
      </c>
      <c r="G8" s="45">
        <v>0</v>
      </c>
      <c r="H8" s="45" t="s">
        <v>1378</v>
      </c>
      <c r="I8" s="45" t="s">
        <v>1378</v>
      </c>
      <c r="J8" s="45" t="s">
        <v>1378</v>
      </c>
      <c r="K8" s="45" t="s">
        <v>1378</v>
      </c>
      <c r="L8" s="45">
        <v>9461</v>
      </c>
      <c r="M8" s="6">
        <f t="shared" si="0"/>
        <v>11378</v>
      </c>
      <c r="P8" s="58"/>
    </row>
    <row r="9" spans="1:16" ht="11.85" customHeight="1">
      <c r="A9" s="17">
        <v>3</v>
      </c>
      <c r="B9" s="4" t="s">
        <v>207</v>
      </c>
      <c r="C9" s="45">
        <v>7803</v>
      </c>
      <c r="D9" s="45" t="s">
        <v>1378</v>
      </c>
      <c r="E9" s="45">
        <v>1643</v>
      </c>
      <c r="F9" s="45" t="s">
        <v>1378</v>
      </c>
      <c r="G9" s="45" t="s">
        <v>1378</v>
      </c>
      <c r="H9" s="45" t="s">
        <v>1378</v>
      </c>
      <c r="I9" s="45" t="s">
        <v>1378</v>
      </c>
      <c r="J9" s="45" t="s">
        <v>1378</v>
      </c>
      <c r="K9" s="45" t="s">
        <v>1378</v>
      </c>
      <c r="L9" s="45" t="s">
        <v>1378</v>
      </c>
      <c r="M9" s="6">
        <f t="shared" si="0"/>
        <v>9446</v>
      </c>
      <c r="P9" s="58"/>
    </row>
    <row r="10" spans="1:16" ht="11.85" customHeight="1">
      <c r="A10" s="17">
        <v>4</v>
      </c>
      <c r="B10" s="4" t="s">
        <v>1267</v>
      </c>
      <c r="C10" s="45">
        <v>3</v>
      </c>
      <c r="D10" s="45" t="s">
        <v>1378</v>
      </c>
      <c r="E10" s="45">
        <v>32690</v>
      </c>
      <c r="F10" s="45" t="s">
        <v>1378</v>
      </c>
      <c r="G10" s="45" t="s">
        <v>1378</v>
      </c>
      <c r="H10" s="45" t="s">
        <v>1378</v>
      </c>
      <c r="I10" s="45" t="s">
        <v>1378</v>
      </c>
      <c r="J10" s="45" t="s">
        <v>1378</v>
      </c>
      <c r="K10" s="45" t="s">
        <v>1378</v>
      </c>
      <c r="L10" s="45" t="s">
        <v>1378</v>
      </c>
      <c r="M10" s="6">
        <f t="shared" si="0"/>
        <v>32693</v>
      </c>
      <c r="P10" s="58"/>
    </row>
    <row r="11" spans="1:16" ht="11.85" customHeight="1">
      <c r="A11" s="17">
        <v>5</v>
      </c>
      <c r="B11" s="4" t="s">
        <v>1183</v>
      </c>
      <c r="C11" s="45">
        <v>1533</v>
      </c>
      <c r="D11" s="45">
        <v>215</v>
      </c>
      <c r="E11" s="45" t="s">
        <v>1378</v>
      </c>
      <c r="F11" s="45" t="s">
        <v>1378</v>
      </c>
      <c r="G11" s="45" t="s">
        <v>1378</v>
      </c>
      <c r="H11" s="45" t="s">
        <v>1378</v>
      </c>
      <c r="I11" s="45" t="s">
        <v>1378</v>
      </c>
      <c r="J11" s="45" t="s">
        <v>1378</v>
      </c>
      <c r="K11" s="45" t="s">
        <v>1378</v>
      </c>
      <c r="L11" s="45">
        <v>2</v>
      </c>
      <c r="M11" s="6">
        <f t="shared" si="0"/>
        <v>1750</v>
      </c>
      <c r="P11" s="58"/>
    </row>
    <row r="12" spans="1:16" ht="11.85" customHeight="1">
      <c r="A12" s="17">
        <v>6</v>
      </c>
      <c r="B12" s="4" t="s">
        <v>1268</v>
      </c>
      <c r="C12" s="45"/>
      <c r="D12" s="45">
        <v>42281</v>
      </c>
      <c r="E12" s="45">
        <v>203</v>
      </c>
      <c r="F12" s="45">
        <v>438</v>
      </c>
      <c r="G12" s="45" t="s">
        <v>1378</v>
      </c>
      <c r="H12" s="45" t="s">
        <v>1378</v>
      </c>
      <c r="I12" s="45" t="s">
        <v>1378</v>
      </c>
      <c r="J12" s="45" t="s">
        <v>1378</v>
      </c>
      <c r="K12" s="45">
        <v>108</v>
      </c>
      <c r="L12" s="45" t="s">
        <v>1378</v>
      </c>
      <c r="M12" s="6">
        <f t="shared" si="0"/>
        <v>43030</v>
      </c>
      <c r="P12" s="58"/>
    </row>
    <row r="13" spans="1:16" ht="11.85" customHeight="1">
      <c r="A13" s="17">
        <v>7</v>
      </c>
      <c r="B13" s="4" t="s">
        <v>1269</v>
      </c>
      <c r="C13" s="45">
        <v>27438</v>
      </c>
      <c r="D13" s="45" t="s">
        <v>1378</v>
      </c>
      <c r="E13" s="45" t="s">
        <v>1378</v>
      </c>
      <c r="F13" s="45" t="s">
        <v>1378</v>
      </c>
      <c r="G13" s="45" t="s">
        <v>1378</v>
      </c>
      <c r="H13" s="45" t="s">
        <v>1378</v>
      </c>
      <c r="I13" s="45" t="s">
        <v>1378</v>
      </c>
      <c r="J13" s="45">
        <v>15</v>
      </c>
      <c r="K13" s="45" t="s">
        <v>1378</v>
      </c>
      <c r="L13" s="45" t="s">
        <v>1378</v>
      </c>
      <c r="M13" s="6">
        <f t="shared" si="0"/>
        <v>27453</v>
      </c>
      <c r="P13" s="58"/>
    </row>
    <row r="14" spans="1:16" ht="11.85" customHeight="1">
      <c r="A14" s="17">
        <v>8</v>
      </c>
      <c r="B14" s="4" t="s">
        <v>1231</v>
      </c>
      <c r="C14" s="45">
        <v>0</v>
      </c>
      <c r="D14" s="45" t="s">
        <v>1378</v>
      </c>
      <c r="E14" s="45">
        <v>922</v>
      </c>
      <c r="F14" s="45"/>
      <c r="G14" s="45" t="s">
        <v>1378</v>
      </c>
      <c r="H14" s="45" t="s">
        <v>1378</v>
      </c>
      <c r="I14" s="45" t="s">
        <v>1378</v>
      </c>
      <c r="J14" s="45" t="s">
        <v>1378</v>
      </c>
      <c r="K14" s="45" t="s">
        <v>1378</v>
      </c>
      <c r="L14" s="45">
        <v>5212</v>
      </c>
      <c r="M14" s="6">
        <f t="shared" si="0"/>
        <v>6134</v>
      </c>
      <c r="P14" s="58"/>
    </row>
    <row r="15" spans="1:16" ht="11.85" customHeight="1">
      <c r="A15" s="17">
        <v>9</v>
      </c>
      <c r="B15" s="4" t="s">
        <v>1271</v>
      </c>
      <c r="C15" s="45">
        <v>47</v>
      </c>
      <c r="D15" s="45" t="s">
        <v>1378</v>
      </c>
      <c r="E15" s="45" t="s">
        <v>1378</v>
      </c>
      <c r="F15" s="45">
        <v>0</v>
      </c>
      <c r="G15" s="45">
        <v>85</v>
      </c>
      <c r="H15" s="45"/>
      <c r="I15" s="45">
        <v>28452</v>
      </c>
      <c r="J15" s="45">
        <v>9</v>
      </c>
      <c r="K15" s="45"/>
      <c r="L15" s="45">
        <v>20538</v>
      </c>
      <c r="M15" s="6">
        <f t="shared" si="0"/>
        <v>49131</v>
      </c>
      <c r="P15" s="58"/>
    </row>
    <row r="16" spans="1:16" ht="11.85" customHeight="1">
      <c r="A16" s="17">
        <v>10</v>
      </c>
      <c r="B16" s="4" t="s">
        <v>1272</v>
      </c>
      <c r="C16" s="45" t="s">
        <v>1378</v>
      </c>
      <c r="D16" s="45" t="s">
        <v>1378</v>
      </c>
      <c r="E16" s="45" t="s">
        <v>1378</v>
      </c>
      <c r="F16" s="45" t="s">
        <v>1378</v>
      </c>
      <c r="G16" s="45" t="s">
        <v>1378</v>
      </c>
      <c r="H16" s="45" t="s">
        <v>1378</v>
      </c>
      <c r="I16" s="45">
        <v>1000</v>
      </c>
      <c r="J16" s="45" t="s">
        <v>1378</v>
      </c>
      <c r="K16" s="45" t="s">
        <v>1378</v>
      </c>
      <c r="L16" s="45">
        <v>114862</v>
      </c>
      <c r="M16" s="6">
        <f t="shared" si="0"/>
        <v>115862</v>
      </c>
      <c r="P16" s="58"/>
    </row>
    <row r="17" spans="1:16" ht="11.85" customHeight="1">
      <c r="A17" s="17">
        <v>11</v>
      </c>
      <c r="B17" s="4" t="s">
        <v>1273</v>
      </c>
      <c r="C17" s="45" t="s">
        <v>1378</v>
      </c>
      <c r="D17" s="45" t="s">
        <v>1378</v>
      </c>
      <c r="E17" s="45" t="s">
        <v>1378</v>
      </c>
      <c r="F17" s="45" t="s">
        <v>1378</v>
      </c>
      <c r="G17" s="45" t="s">
        <v>1378</v>
      </c>
      <c r="H17" s="45" t="s">
        <v>1378</v>
      </c>
      <c r="I17" s="45" t="s">
        <v>1378</v>
      </c>
      <c r="J17" s="45" t="s">
        <v>1378</v>
      </c>
      <c r="K17" s="45" t="s">
        <v>1378</v>
      </c>
      <c r="L17" s="45">
        <v>42591</v>
      </c>
      <c r="M17" s="6">
        <f t="shared" si="0"/>
        <v>42591</v>
      </c>
      <c r="P17" s="58"/>
    </row>
    <row r="18" spans="1:16" ht="11.85" customHeight="1">
      <c r="A18" s="17">
        <v>12</v>
      </c>
      <c r="B18" s="4" t="s">
        <v>593</v>
      </c>
      <c r="C18" s="45" t="s">
        <v>1378</v>
      </c>
      <c r="D18" s="45" t="s">
        <v>1378</v>
      </c>
      <c r="E18" s="45" t="s">
        <v>1378</v>
      </c>
      <c r="F18" s="45" t="s">
        <v>1378</v>
      </c>
      <c r="G18" s="45" t="s">
        <v>1378</v>
      </c>
      <c r="H18" s="45" t="s">
        <v>1378</v>
      </c>
      <c r="I18" s="45" t="s">
        <v>1378</v>
      </c>
      <c r="J18" s="45" t="s">
        <v>1378</v>
      </c>
      <c r="K18" s="45" t="s">
        <v>1378</v>
      </c>
      <c r="L18" s="45">
        <v>66393</v>
      </c>
      <c r="M18" s="6">
        <f t="shared" si="0"/>
        <v>66393</v>
      </c>
      <c r="P18" s="58"/>
    </row>
    <row r="19" spans="1:16" ht="11.85" customHeight="1">
      <c r="A19" s="17">
        <v>13</v>
      </c>
      <c r="B19" s="4" t="s">
        <v>594</v>
      </c>
      <c r="C19" s="45" t="s">
        <v>1378</v>
      </c>
      <c r="D19" s="45" t="s">
        <v>1378</v>
      </c>
      <c r="E19" s="45" t="s">
        <v>1378</v>
      </c>
      <c r="F19" s="45">
        <v>18292</v>
      </c>
      <c r="G19" s="45" t="s">
        <v>1378</v>
      </c>
      <c r="H19" s="45">
        <v>2</v>
      </c>
      <c r="I19" s="45" t="s">
        <v>1378</v>
      </c>
      <c r="J19" s="45" t="s">
        <v>1378</v>
      </c>
      <c r="K19" s="45" t="s">
        <v>1378</v>
      </c>
      <c r="L19" s="45">
        <v>33487</v>
      </c>
      <c r="M19" s="6">
        <f t="shared" si="0"/>
        <v>51781</v>
      </c>
      <c r="P19" s="58"/>
    </row>
    <row r="20" spans="1:16" ht="11.85" customHeight="1">
      <c r="A20" s="17">
        <v>14</v>
      </c>
      <c r="B20" s="4" t="s">
        <v>595</v>
      </c>
      <c r="C20" s="45">
        <v>24</v>
      </c>
      <c r="D20" s="45" t="s">
        <v>1378</v>
      </c>
      <c r="E20" s="45" t="s">
        <v>1378</v>
      </c>
      <c r="F20" s="45">
        <v>1007</v>
      </c>
      <c r="G20" s="45" t="s">
        <v>1378</v>
      </c>
      <c r="H20" s="45" t="s">
        <v>1378</v>
      </c>
      <c r="I20" s="45" t="s">
        <v>1378</v>
      </c>
      <c r="J20" s="45" t="s">
        <v>1378</v>
      </c>
      <c r="K20" s="45" t="s">
        <v>1378</v>
      </c>
      <c r="L20" s="45" t="s">
        <v>1378</v>
      </c>
      <c r="M20" s="6">
        <f t="shared" si="0"/>
        <v>1031</v>
      </c>
      <c r="P20" s="58"/>
    </row>
    <row r="21" spans="1:16" ht="11.85" customHeight="1">
      <c r="A21" s="17">
        <v>15</v>
      </c>
      <c r="B21" s="4" t="s">
        <v>596</v>
      </c>
      <c r="C21" s="45" t="s">
        <v>1378</v>
      </c>
      <c r="D21" s="45" t="s">
        <v>1378</v>
      </c>
      <c r="E21" s="45" t="s">
        <v>1378</v>
      </c>
      <c r="F21" s="45" t="s">
        <v>1378</v>
      </c>
      <c r="G21" s="45" t="s">
        <v>1378</v>
      </c>
      <c r="H21" s="45" t="s">
        <v>1378</v>
      </c>
      <c r="I21" s="45" t="s">
        <v>1378</v>
      </c>
      <c r="J21" s="45" t="s">
        <v>1378</v>
      </c>
      <c r="K21" s="45">
        <v>19080</v>
      </c>
      <c r="L21" s="45">
        <v>30</v>
      </c>
      <c r="M21" s="6">
        <f t="shared" si="0"/>
        <v>19110</v>
      </c>
      <c r="P21" s="58"/>
    </row>
    <row r="22" spans="1:16" ht="11.85" customHeight="1">
      <c r="A22" s="17">
        <v>16</v>
      </c>
      <c r="B22" s="4" t="s">
        <v>73</v>
      </c>
      <c r="C22" s="45">
        <v>16066</v>
      </c>
      <c r="D22" s="45" t="s">
        <v>1378</v>
      </c>
      <c r="E22" s="45" t="s">
        <v>1378</v>
      </c>
      <c r="F22" s="45" t="s">
        <v>1378</v>
      </c>
      <c r="G22" s="45">
        <v>31</v>
      </c>
      <c r="H22" s="45" t="s">
        <v>1378</v>
      </c>
      <c r="I22" s="45" t="s">
        <v>1378</v>
      </c>
      <c r="J22" s="45" t="s">
        <v>1378</v>
      </c>
      <c r="K22" s="45">
        <v>24457</v>
      </c>
      <c r="L22" s="45">
        <v>3970</v>
      </c>
      <c r="M22" s="6">
        <f t="shared" si="0"/>
        <v>44524</v>
      </c>
      <c r="P22" s="58"/>
    </row>
    <row r="23" spans="1:16" ht="11.85" customHeight="1">
      <c r="A23" s="17">
        <v>17</v>
      </c>
      <c r="B23" s="4" t="s">
        <v>74</v>
      </c>
      <c r="C23" s="45">
        <v>402</v>
      </c>
      <c r="D23" s="45" t="s">
        <v>1378</v>
      </c>
      <c r="E23" s="45" t="s">
        <v>1378</v>
      </c>
      <c r="F23" s="45">
        <v>120</v>
      </c>
      <c r="G23" s="45" t="s">
        <v>1378</v>
      </c>
      <c r="H23" s="45" t="s">
        <v>1378</v>
      </c>
      <c r="I23" s="45" t="s">
        <v>1378</v>
      </c>
      <c r="J23" s="45">
        <v>6348</v>
      </c>
      <c r="K23" s="45">
        <v>3173</v>
      </c>
      <c r="L23" s="45">
        <v>74</v>
      </c>
      <c r="M23" s="6">
        <f t="shared" si="0"/>
        <v>10117</v>
      </c>
      <c r="P23" s="58"/>
    </row>
    <row r="24" spans="1:16" ht="22.5">
      <c r="A24" s="195">
        <v>18</v>
      </c>
      <c r="B24" s="82" t="s">
        <v>1203</v>
      </c>
      <c r="C24" s="45" t="s">
        <v>1378</v>
      </c>
      <c r="D24" s="45" t="s">
        <v>1378</v>
      </c>
      <c r="E24" s="45" t="s">
        <v>1378</v>
      </c>
      <c r="F24" s="45">
        <v>578</v>
      </c>
      <c r="G24" s="45">
        <v>-6</v>
      </c>
      <c r="H24" s="45">
        <v>1503</v>
      </c>
      <c r="I24" s="45" t="s">
        <v>1378</v>
      </c>
      <c r="J24" s="45" t="s">
        <v>1378</v>
      </c>
      <c r="K24" s="45" t="s">
        <v>1378</v>
      </c>
      <c r="L24" s="45" t="s">
        <v>1378</v>
      </c>
      <c r="M24" s="6">
        <f t="shared" si="0"/>
        <v>2075</v>
      </c>
      <c r="P24" s="58"/>
    </row>
    <row r="25" spans="1:16" ht="11.85" customHeight="1">
      <c r="A25" s="17">
        <v>19</v>
      </c>
      <c r="B25" s="4" t="s">
        <v>76</v>
      </c>
      <c r="C25" s="45" t="s">
        <v>1378</v>
      </c>
      <c r="D25" s="45" t="s">
        <v>1378</v>
      </c>
      <c r="E25" s="45" t="s">
        <v>1378</v>
      </c>
      <c r="F25" s="45">
        <v>594</v>
      </c>
      <c r="G25" s="45"/>
      <c r="H25" s="45">
        <v>2205</v>
      </c>
      <c r="I25" s="45" t="s">
        <v>1378</v>
      </c>
      <c r="J25" s="45" t="s">
        <v>1378</v>
      </c>
      <c r="K25" s="45" t="s">
        <v>1378</v>
      </c>
      <c r="L25" s="45" t="s">
        <v>1378</v>
      </c>
      <c r="M25" s="6">
        <f t="shared" si="0"/>
        <v>2799</v>
      </c>
      <c r="P25" s="58"/>
    </row>
    <row r="26" spans="1:16" ht="12.75">
      <c r="A26" s="17">
        <v>20</v>
      </c>
      <c r="B26" s="4" t="s">
        <v>1225</v>
      </c>
      <c r="C26" s="45">
        <v>74</v>
      </c>
      <c r="D26" s="45" t="s">
        <v>1378</v>
      </c>
      <c r="E26" s="45" t="s">
        <v>1378</v>
      </c>
      <c r="F26" s="45">
        <v>286</v>
      </c>
      <c r="G26" s="45">
        <v>4307</v>
      </c>
      <c r="H26" s="45" t="s">
        <v>1378</v>
      </c>
      <c r="I26" s="45" t="s">
        <v>1378</v>
      </c>
      <c r="J26" s="45" t="s">
        <v>1378</v>
      </c>
      <c r="K26" s="45" t="s">
        <v>1378</v>
      </c>
      <c r="L26" s="45" t="s">
        <v>1378</v>
      </c>
      <c r="M26" s="6">
        <f t="shared" si="0"/>
        <v>4667</v>
      </c>
      <c r="P26" s="58"/>
    </row>
    <row r="27" spans="1:16" ht="11.85" customHeight="1">
      <c r="A27" s="17">
        <v>21</v>
      </c>
      <c r="B27" s="4" t="s">
        <v>77</v>
      </c>
      <c r="C27" s="45" t="s">
        <v>1378</v>
      </c>
      <c r="D27" s="45" t="s">
        <v>1378</v>
      </c>
      <c r="E27" s="45" t="s">
        <v>1378</v>
      </c>
      <c r="F27" s="45">
        <v>2079</v>
      </c>
      <c r="G27" s="45">
        <v>0</v>
      </c>
      <c r="H27" s="45" t="s">
        <v>1378</v>
      </c>
      <c r="I27" s="45" t="s">
        <v>1378</v>
      </c>
      <c r="J27" s="45" t="s">
        <v>1378</v>
      </c>
      <c r="K27" s="45" t="s">
        <v>1378</v>
      </c>
      <c r="L27" s="45" t="s">
        <v>1378</v>
      </c>
      <c r="M27" s="6">
        <f t="shared" si="0"/>
        <v>2079</v>
      </c>
      <c r="P27" s="58"/>
    </row>
    <row r="28" spans="1:16" ht="11.85" customHeight="1">
      <c r="A28" s="17">
        <v>22</v>
      </c>
      <c r="B28" s="4" t="s">
        <v>78</v>
      </c>
      <c r="C28" s="45">
        <v>423</v>
      </c>
      <c r="D28" s="45" t="s">
        <v>1378</v>
      </c>
      <c r="E28" s="45" t="s">
        <v>1378</v>
      </c>
      <c r="F28" s="45">
        <v>61061</v>
      </c>
      <c r="G28" s="45" t="s">
        <v>1378</v>
      </c>
      <c r="H28" s="45" t="s">
        <v>1378</v>
      </c>
      <c r="I28" s="45" t="s">
        <v>1378</v>
      </c>
      <c r="J28" s="45" t="s">
        <v>1378</v>
      </c>
      <c r="K28" s="45" t="s">
        <v>1378</v>
      </c>
      <c r="L28" s="45" t="s">
        <v>1378</v>
      </c>
      <c r="M28" s="6">
        <f t="shared" si="0"/>
        <v>61484</v>
      </c>
      <c r="P28" s="58"/>
    </row>
    <row r="29" spans="1:16" ht="22.5">
      <c r="A29" s="195">
        <v>23</v>
      </c>
      <c r="B29" s="82" t="s">
        <v>1086</v>
      </c>
      <c r="C29" s="45">
        <v>41</v>
      </c>
      <c r="D29" s="45" t="s">
        <v>1378</v>
      </c>
      <c r="E29" s="45" t="s">
        <v>1378</v>
      </c>
      <c r="F29" s="45">
        <v>15015</v>
      </c>
      <c r="G29" s="45">
        <v>25</v>
      </c>
      <c r="H29" s="45">
        <v>2</v>
      </c>
      <c r="I29" s="45" t="s">
        <v>1378</v>
      </c>
      <c r="J29" s="45">
        <v>0</v>
      </c>
      <c r="K29" s="45">
        <v>1425</v>
      </c>
      <c r="L29" s="45" t="s">
        <v>1378</v>
      </c>
      <c r="M29" s="6">
        <f t="shared" si="0"/>
        <v>16508</v>
      </c>
      <c r="P29" s="58"/>
    </row>
    <row r="30" spans="1:16" ht="11.85" customHeight="1">
      <c r="A30" s="17">
        <v>24</v>
      </c>
      <c r="B30" s="4" t="s">
        <v>1087</v>
      </c>
      <c r="C30" s="45">
        <v>94</v>
      </c>
      <c r="D30" s="45" t="s">
        <v>1378</v>
      </c>
      <c r="E30" s="45">
        <v>4</v>
      </c>
      <c r="F30" s="45">
        <v>12650</v>
      </c>
      <c r="G30" s="45">
        <v>13</v>
      </c>
      <c r="H30" s="45" t="s">
        <v>1378</v>
      </c>
      <c r="I30" s="45" t="s">
        <v>1378</v>
      </c>
      <c r="J30" s="45" t="s">
        <v>1378</v>
      </c>
      <c r="K30" s="45" t="s">
        <v>1378</v>
      </c>
      <c r="L30" s="45" t="s">
        <v>1378</v>
      </c>
      <c r="M30" s="6">
        <f t="shared" si="0"/>
        <v>12761</v>
      </c>
      <c r="P30" s="58"/>
    </row>
    <row r="31" spans="1:16" ht="11.85" customHeight="1">
      <c r="A31" s="17">
        <v>25</v>
      </c>
      <c r="B31" s="4" t="s">
        <v>1088</v>
      </c>
      <c r="C31" s="45">
        <v>64770</v>
      </c>
      <c r="D31" s="45" t="s">
        <v>1378</v>
      </c>
      <c r="E31" s="45" t="s">
        <v>1378</v>
      </c>
      <c r="F31" s="45" t="s">
        <v>1378</v>
      </c>
      <c r="G31" s="45" t="s">
        <v>1378</v>
      </c>
      <c r="H31" s="45" t="s">
        <v>1378</v>
      </c>
      <c r="I31" s="45" t="s">
        <v>1378</v>
      </c>
      <c r="J31" s="45" t="s">
        <v>1378</v>
      </c>
      <c r="K31" s="45" t="s">
        <v>1378</v>
      </c>
      <c r="L31" s="45" t="s">
        <v>1378</v>
      </c>
      <c r="M31" s="6">
        <f t="shared" si="0"/>
        <v>64770</v>
      </c>
      <c r="P31" s="58"/>
    </row>
    <row r="32" spans="1:16" ht="11.85" customHeight="1">
      <c r="A32" s="17">
        <v>26</v>
      </c>
      <c r="B32" s="4" t="s">
        <v>422</v>
      </c>
      <c r="C32" s="45">
        <v>33206</v>
      </c>
      <c r="D32" s="45" t="s">
        <v>1378</v>
      </c>
      <c r="E32" s="45" t="s">
        <v>1378</v>
      </c>
      <c r="F32" s="45">
        <v>15000</v>
      </c>
      <c r="G32" s="45" t="s">
        <v>1378</v>
      </c>
      <c r="H32" s="45" t="s">
        <v>1378</v>
      </c>
      <c r="I32" s="45" t="s">
        <v>1378</v>
      </c>
      <c r="J32" s="45" t="s">
        <v>1378</v>
      </c>
      <c r="K32" s="45" t="s">
        <v>1378</v>
      </c>
      <c r="L32" s="45" t="s">
        <v>1378</v>
      </c>
      <c r="M32" s="6">
        <f t="shared" si="0"/>
        <v>48206</v>
      </c>
      <c r="P32" s="58"/>
    </row>
    <row r="33" spans="1:18" ht="11.85" customHeight="1">
      <c r="A33" s="17">
        <v>27</v>
      </c>
      <c r="B33" s="4" t="s">
        <v>1089</v>
      </c>
      <c r="C33" s="45">
        <v>31526</v>
      </c>
      <c r="D33" s="45" t="s">
        <v>1378</v>
      </c>
      <c r="E33" s="45" t="s">
        <v>1378</v>
      </c>
      <c r="F33" s="45" t="s">
        <v>1378</v>
      </c>
      <c r="G33" s="45" t="s">
        <v>1378</v>
      </c>
      <c r="H33" s="45" t="s">
        <v>1378</v>
      </c>
      <c r="I33" s="45" t="s">
        <v>1378</v>
      </c>
      <c r="J33" s="45" t="s">
        <v>1378</v>
      </c>
      <c r="K33" s="45" t="s">
        <v>1378</v>
      </c>
      <c r="L33" s="45" t="s">
        <v>1378</v>
      </c>
      <c r="M33" s="6">
        <f t="shared" si="0"/>
        <v>31526</v>
      </c>
      <c r="P33" s="58"/>
    </row>
    <row r="34" spans="1:18" ht="11.85" customHeight="1">
      <c r="A34" s="17"/>
      <c r="B34" s="4"/>
      <c r="C34" s="3"/>
      <c r="D34" s="66"/>
      <c r="E34" s="3"/>
      <c r="F34" s="3"/>
      <c r="G34" s="3"/>
      <c r="H34" s="3"/>
      <c r="I34" s="45"/>
      <c r="J34" s="3"/>
      <c r="K34" s="3"/>
      <c r="L34" s="3"/>
      <c r="M34" s="3"/>
      <c r="P34" s="58"/>
    </row>
    <row r="35" spans="1:18" ht="11.85" customHeight="1" thickBot="1">
      <c r="A35" s="39"/>
      <c r="B35" s="33" t="s">
        <v>1230</v>
      </c>
      <c r="C35" s="40">
        <v>195306</v>
      </c>
      <c r="D35" s="40">
        <v>42494</v>
      </c>
      <c r="E35" s="40">
        <v>35523</v>
      </c>
      <c r="F35" s="40">
        <f>SUM(F7:F34)</f>
        <v>127373</v>
      </c>
      <c r="G35" s="40">
        <f>SUM(G7:G34)</f>
        <v>4455</v>
      </c>
      <c r="H35" s="40">
        <v>3711</v>
      </c>
      <c r="I35" s="40">
        <v>29451</v>
      </c>
      <c r="J35" s="40">
        <f>SUM(J7:J34)</f>
        <v>7071</v>
      </c>
      <c r="K35" s="40">
        <f>SUM(K7:K34)</f>
        <v>48243</v>
      </c>
      <c r="L35" s="40">
        <v>296636</v>
      </c>
      <c r="M35" s="40">
        <v>790263</v>
      </c>
      <c r="N35" s="68"/>
      <c r="P35" s="58"/>
    </row>
    <row r="36" spans="1:18" ht="11.85" customHeight="1">
      <c r="A36" s="42" t="s">
        <v>179</v>
      </c>
      <c r="B36" s="55"/>
      <c r="C36" s="55"/>
      <c r="D36" s="55"/>
      <c r="E36" s="55"/>
      <c r="F36" s="55"/>
      <c r="G36" s="55"/>
      <c r="H36" s="55"/>
      <c r="I36" s="55"/>
      <c r="J36" s="55"/>
      <c r="K36" s="55"/>
      <c r="L36" s="55"/>
      <c r="M36" s="55"/>
      <c r="P36" s="58"/>
    </row>
    <row r="37" spans="1:18" ht="11.85" customHeight="1">
      <c r="A37" s="42" t="s">
        <v>539</v>
      </c>
      <c r="B37" s="4"/>
      <c r="C37" s="4"/>
      <c r="D37" s="4"/>
      <c r="E37" s="4"/>
      <c r="F37" s="4"/>
      <c r="G37" s="4"/>
      <c r="H37" s="4"/>
      <c r="I37" s="4"/>
      <c r="J37" s="4"/>
      <c r="K37" s="4"/>
      <c r="L37" s="4"/>
      <c r="M37" s="4"/>
      <c r="N37" s="68"/>
      <c r="P37" s="58"/>
    </row>
    <row r="38" spans="1:18" ht="11.85" customHeight="1">
      <c r="A38" s="42"/>
      <c r="B38" s="4"/>
      <c r="C38" s="4"/>
      <c r="D38" s="4"/>
      <c r="E38" s="4"/>
      <c r="F38" s="4"/>
      <c r="G38" s="4"/>
      <c r="H38" s="4"/>
      <c r="I38" s="4"/>
      <c r="J38" s="4"/>
      <c r="K38" s="4"/>
      <c r="L38" s="4"/>
      <c r="M38" s="4"/>
      <c r="P38" s="58"/>
    </row>
    <row r="39" spans="1:18" ht="9.75" customHeight="1">
      <c r="A39" s="42"/>
      <c r="B39" s="4"/>
      <c r="C39" s="4"/>
      <c r="D39" s="4"/>
      <c r="E39" s="4"/>
      <c r="F39" s="4"/>
      <c r="G39" s="4"/>
      <c r="H39" s="4"/>
      <c r="I39" s="4"/>
      <c r="J39" s="4"/>
      <c r="K39" s="4"/>
      <c r="L39" s="4"/>
      <c r="M39" s="4"/>
    </row>
    <row r="40" spans="1:18" ht="11.8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61"/>
      <c r="E45" s="61"/>
      <c r="F45" s="61"/>
      <c r="G45" s="61"/>
      <c r="H45" s="61"/>
      <c r="I45" s="61"/>
      <c r="J45" s="61"/>
      <c r="K45" s="61"/>
      <c r="L45" s="61"/>
      <c r="M45" s="61"/>
    </row>
    <row r="46" spans="1:18" ht="11.85" customHeight="1">
      <c r="A46" s="42"/>
      <c r="B46" s="4"/>
      <c r="C46" s="4"/>
      <c r="D46" s="61"/>
      <c r="E46" s="61"/>
      <c r="F46" s="61"/>
      <c r="G46" s="61"/>
      <c r="H46" s="61"/>
      <c r="I46" s="61"/>
      <c r="J46" s="61"/>
      <c r="K46" s="61"/>
      <c r="L46" s="61"/>
      <c r="M46" s="61"/>
    </row>
    <row r="47" spans="1:18" ht="11.85" customHeight="1">
      <c r="A47" s="42"/>
      <c r="B47" s="4"/>
      <c r="C47" s="4"/>
      <c r="D47" s="61"/>
      <c r="E47" s="61"/>
      <c r="F47" s="61"/>
      <c r="G47" s="61"/>
      <c r="H47" s="61"/>
      <c r="I47" s="61"/>
      <c r="J47" s="61"/>
      <c r="K47" s="61"/>
      <c r="L47" s="61"/>
      <c r="M47" s="61"/>
      <c r="N47" s="61"/>
      <c r="O47" s="61"/>
      <c r="P47" s="61"/>
      <c r="Q47" s="61"/>
      <c r="R47" s="61"/>
    </row>
    <row r="48" spans="1:18" ht="11.85" customHeight="1">
      <c r="A48" s="42"/>
      <c r="B48" s="4"/>
      <c r="C48" s="4"/>
      <c r="D48" s="61"/>
      <c r="E48" s="61"/>
      <c r="F48" s="61"/>
      <c r="G48" s="61"/>
      <c r="H48" s="61"/>
      <c r="I48" s="61"/>
      <c r="J48" s="61"/>
      <c r="K48" s="61"/>
      <c r="L48" s="61"/>
      <c r="M48" s="61"/>
      <c r="N48" s="61"/>
      <c r="O48" s="61"/>
      <c r="P48" s="61"/>
      <c r="Q48" s="61"/>
      <c r="R48" s="61"/>
    </row>
    <row r="49" spans="1:18" ht="11.85" customHeight="1">
      <c r="A49" s="42"/>
      <c r="B49" s="4"/>
      <c r="C49" s="4"/>
      <c r="D49" s="61"/>
      <c r="E49" s="61"/>
      <c r="F49" s="61"/>
      <c r="G49" s="61"/>
      <c r="H49" s="61"/>
      <c r="I49" s="61"/>
      <c r="J49" s="61"/>
      <c r="K49" s="61"/>
      <c r="L49" s="61"/>
      <c r="M49" s="61"/>
      <c r="N49" s="61"/>
      <c r="O49" s="61"/>
      <c r="P49" s="61"/>
      <c r="Q49" s="61"/>
      <c r="R49" s="61"/>
    </row>
    <row r="50" spans="1:18" ht="11.85" customHeight="1">
      <c r="A50" s="42"/>
      <c r="B50" s="4"/>
      <c r="C50" s="4"/>
      <c r="D50" s="61"/>
      <c r="E50" s="61"/>
      <c r="F50" s="61"/>
      <c r="G50" s="61"/>
      <c r="H50" s="61"/>
      <c r="I50" s="61"/>
      <c r="J50" s="61"/>
      <c r="K50" s="61"/>
      <c r="L50" s="61"/>
      <c r="M50" s="61"/>
      <c r="N50" s="61"/>
      <c r="O50" s="61"/>
      <c r="P50" s="61"/>
      <c r="Q50" s="61"/>
      <c r="R50" s="61"/>
    </row>
    <row r="51" spans="1:18" ht="11.85" customHeight="1">
      <c r="A51" s="42"/>
      <c r="B51" s="4"/>
      <c r="C51" s="4"/>
      <c r="D51" s="61"/>
      <c r="E51" s="61"/>
      <c r="F51" s="61"/>
      <c r="G51" s="61"/>
      <c r="H51" s="61"/>
      <c r="I51" s="61"/>
      <c r="J51" s="61"/>
      <c r="K51" s="61"/>
      <c r="L51" s="61"/>
      <c r="M51" s="61"/>
      <c r="N51" s="61"/>
      <c r="O51" s="61"/>
      <c r="P51" s="61"/>
      <c r="Q51" s="61"/>
      <c r="R51" s="61"/>
    </row>
    <row r="52" spans="1:18" ht="11.85" customHeight="1">
      <c r="A52" s="42"/>
      <c r="B52" s="4"/>
      <c r="C52" s="4"/>
      <c r="D52" s="61"/>
      <c r="E52" s="61"/>
      <c r="F52" s="61"/>
      <c r="G52" s="61"/>
      <c r="H52" s="61"/>
      <c r="I52" s="61"/>
      <c r="J52" s="61"/>
      <c r="K52" s="61"/>
      <c r="L52" s="61"/>
      <c r="M52" s="61"/>
      <c r="N52" s="61"/>
      <c r="O52" s="61"/>
      <c r="P52" s="61"/>
      <c r="Q52" s="61"/>
      <c r="R52" s="61"/>
    </row>
    <row r="53" spans="1:18" ht="11.85" customHeight="1">
      <c r="A53" s="42"/>
      <c r="B53" s="4"/>
      <c r="C53" s="4"/>
      <c r="D53" s="61"/>
      <c r="E53" s="61"/>
      <c r="F53" s="61"/>
      <c r="G53" s="61"/>
      <c r="H53" s="61"/>
      <c r="I53" s="61"/>
      <c r="J53" s="61"/>
      <c r="K53" s="61"/>
      <c r="L53" s="61"/>
      <c r="M53" s="61"/>
      <c r="N53" s="61"/>
      <c r="O53" s="61"/>
      <c r="P53" s="61"/>
      <c r="Q53" s="61"/>
      <c r="R53" s="61"/>
    </row>
    <row r="54" spans="1:18" ht="11.85" customHeight="1">
      <c r="A54" s="42"/>
      <c r="B54" s="4"/>
      <c r="C54" s="4"/>
      <c r="D54" s="61"/>
      <c r="E54" s="61"/>
      <c r="F54" s="61"/>
      <c r="G54" s="61"/>
      <c r="H54" s="61"/>
      <c r="I54" s="61"/>
      <c r="J54" s="61"/>
      <c r="K54" s="61"/>
      <c r="L54" s="61"/>
      <c r="M54" s="61"/>
      <c r="N54" s="61"/>
      <c r="O54" s="61"/>
      <c r="P54" s="61"/>
      <c r="Q54" s="61"/>
      <c r="R54" s="61"/>
    </row>
    <row r="55" spans="1:18" ht="11.85" customHeight="1">
      <c r="A55" s="42"/>
      <c r="B55" s="4"/>
      <c r="C55" s="4"/>
      <c r="D55" s="61"/>
      <c r="E55" s="61"/>
      <c r="F55" s="61"/>
      <c r="G55" s="61"/>
      <c r="H55" s="61"/>
      <c r="I55" s="61"/>
      <c r="J55" s="61"/>
      <c r="K55" s="61"/>
      <c r="L55" s="61"/>
      <c r="M55" s="61"/>
      <c r="N55" s="61"/>
      <c r="O55" s="61"/>
      <c r="P55" s="61"/>
      <c r="Q55" s="61"/>
      <c r="R55" s="61"/>
    </row>
    <row r="56" spans="1:18" ht="11.85" customHeight="1">
      <c r="A56" s="42"/>
      <c r="B56" s="4"/>
      <c r="C56" s="4"/>
      <c r="D56" s="61"/>
      <c r="E56" s="61"/>
      <c r="F56" s="61"/>
      <c r="G56" s="61"/>
      <c r="H56" s="61"/>
      <c r="I56" s="61"/>
      <c r="J56" s="61"/>
      <c r="K56" s="61"/>
      <c r="L56" s="61"/>
      <c r="M56" s="61"/>
      <c r="N56" s="61"/>
      <c r="O56" s="61"/>
      <c r="P56" s="61"/>
      <c r="Q56" s="61"/>
      <c r="R56" s="61"/>
    </row>
    <row r="57" spans="1:18" ht="11.85" customHeight="1">
      <c r="A57" s="42"/>
      <c r="B57" s="4"/>
      <c r="C57" s="4"/>
      <c r="D57" s="61"/>
      <c r="E57" s="61"/>
      <c r="F57" s="61"/>
      <c r="G57" s="61"/>
      <c r="H57" s="61"/>
      <c r="I57" s="61"/>
      <c r="J57" s="61"/>
      <c r="K57" s="61"/>
      <c r="L57" s="61"/>
      <c r="M57" s="61"/>
      <c r="N57" s="61"/>
      <c r="O57" s="61"/>
      <c r="P57" s="61"/>
      <c r="Q57" s="61"/>
      <c r="R57" s="61"/>
    </row>
    <row r="58" spans="1:18" ht="11.85" customHeight="1">
      <c r="A58" s="42"/>
      <c r="B58" s="4"/>
      <c r="C58" s="4"/>
      <c r="D58" s="61"/>
      <c r="E58" s="61"/>
      <c r="F58" s="61"/>
      <c r="G58" s="61"/>
      <c r="H58" s="61"/>
      <c r="I58" s="61"/>
      <c r="J58" s="61"/>
      <c r="K58" s="61"/>
      <c r="L58" s="61"/>
      <c r="M58" s="61"/>
      <c r="N58" s="61"/>
      <c r="O58" s="61"/>
      <c r="P58" s="61"/>
      <c r="Q58" s="61"/>
      <c r="R58" s="61"/>
    </row>
    <row r="59" spans="1:18" ht="11.85" customHeight="1">
      <c r="A59" s="42"/>
      <c r="B59" s="4"/>
      <c r="C59" s="4"/>
      <c r="D59" s="61"/>
      <c r="E59" s="61"/>
      <c r="F59" s="61"/>
      <c r="G59" s="61"/>
      <c r="H59" s="61"/>
      <c r="I59" s="61"/>
      <c r="J59" s="61"/>
      <c r="K59" s="61"/>
      <c r="L59" s="61"/>
      <c r="M59" s="61"/>
      <c r="N59" s="61"/>
      <c r="O59" s="61"/>
      <c r="P59" s="61"/>
      <c r="Q59" s="61"/>
      <c r="R59" s="61"/>
    </row>
    <row r="60" spans="1:18" ht="11.85" customHeight="1">
      <c r="A60" s="42"/>
      <c r="B60" s="4"/>
      <c r="C60" s="4"/>
      <c r="D60" s="61"/>
      <c r="E60" s="61"/>
      <c r="F60" s="61"/>
      <c r="G60" s="61"/>
      <c r="H60" s="61"/>
      <c r="I60" s="61"/>
      <c r="J60" s="61"/>
      <c r="K60" s="61"/>
      <c r="L60" s="61"/>
      <c r="M60" s="61"/>
      <c r="N60" s="61"/>
      <c r="O60" s="61"/>
      <c r="P60" s="61"/>
      <c r="Q60" s="61"/>
      <c r="R60" s="61"/>
    </row>
    <row r="61" spans="1:18" ht="11.85" customHeight="1">
      <c r="A61" s="42"/>
      <c r="B61" s="4"/>
      <c r="C61" s="4"/>
      <c r="D61" s="61"/>
      <c r="E61" s="61"/>
      <c r="F61" s="61"/>
      <c r="G61" s="61"/>
      <c r="H61" s="61"/>
      <c r="I61" s="61"/>
      <c r="J61" s="61"/>
      <c r="K61" s="61"/>
      <c r="L61" s="61"/>
      <c r="M61" s="61"/>
      <c r="N61" s="61"/>
      <c r="O61" s="61"/>
      <c r="P61" s="61"/>
      <c r="Q61" s="61"/>
      <c r="R61" s="61"/>
    </row>
    <row r="62" spans="1:18" ht="11.85" customHeight="1">
      <c r="A62" s="42"/>
      <c r="B62" s="4"/>
      <c r="C62" s="4"/>
      <c r="D62" s="61"/>
      <c r="E62" s="61"/>
      <c r="F62" s="61"/>
      <c r="G62" s="61"/>
      <c r="H62" s="61"/>
      <c r="I62" s="61"/>
      <c r="J62" s="61"/>
      <c r="K62" s="61"/>
      <c r="L62" s="61"/>
      <c r="M62" s="61"/>
      <c r="N62" s="61"/>
      <c r="O62" s="61"/>
      <c r="P62" s="61"/>
      <c r="Q62" s="61"/>
      <c r="R62" s="61"/>
    </row>
    <row r="63" spans="1:18" ht="11.85" customHeight="1">
      <c r="A63" s="42"/>
      <c r="B63" s="4"/>
      <c r="C63" s="4"/>
      <c r="D63" s="61"/>
      <c r="E63" s="61"/>
      <c r="F63" s="61"/>
      <c r="G63" s="61"/>
      <c r="H63" s="61"/>
      <c r="I63" s="61"/>
      <c r="J63" s="61"/>
      <c r="K63" s="61"/>
      <c r="L63" s="61"/>
      <c r="M63" s="61"/>
      <c r="N63" s="61"/>
      <c r="O63" s="61"/>
      <c r="P63" s="61"/>
      <c r="Q63" s="61"/>
      <c r="R63" s="61"/>
    </row>
    <row r="64" spans="1:18" ht="11.85" customHeight="1">
      <c r="A64" s="42"/>
      <c r="B64" s="4"/>
      <c r="C64" s="4"/>
      <c r="D64" s="61"/>
      <c r="E64" s="61"/>
      <c r="F64" s="61"/>
      <c r="G64" s="61"/>
      <c r="H64" s="61"/>
      <c r="I64" s="61"/>
      <c r="J64" s="61"/>
      <c r="K64" s="61"/>
      <c r="L64" s="61"/>
      <c r="M64" s="61"/>
      <c r="N64" s="61"/>
      <c r="O64" s="61"/>
      <c r="P64" s="61"/>
      <c r="Q64" s="61"/>
      <c r="R64" s="61"/>
    </row>
    <row r="65" spans="1:18" ht="11.85" customHeight="1">
      <c r="A65" s="42"/>
      <c r="B65" s="4"/>
      <c r="C65" s="4"/>
      <c r="D65" s="61"/>
      <c r="E65" s="61"/>
      <c r="F65" s="61"/>
      <c r="G65" s="61"/>
      <c r="H65" s="61"/>
      <c r="I65" s="61"/>
      <c r="J65" s="61"/>
      <c r="K65" s="61"/>
      <c r="L65" s="61"/>
      <c r="M65" s="61"/>
      <c r="N65" s="61"/>
      <c r="O65" s="61"/>
      <c r="P65" s="61"/>
      <c r="Q65" s="61"/>
      <c r="R65" s="61"/>
    </row>
    <row r="66" spans="1:18" ht="11.85" customHeight="1">
      <c r="A66" s="42"/>
      <c r="B66" s="4"/>
      <c r="C66" s="4"/>
      <c r="D66" s="61"/>
      <c r="E66" s="61"/>
      <c r="F66" s="61"/>
      <c r="G66" s="61"/>
      <c r="H66" s="61"/>
      <c r="I66" s="61"/>
      <c r="J66" s="61"/>
      <c r="K66" s="61"/>
      <c r="L66" s="61"/>
      <c r="M66" s="61"/>
      <c r="N66" s="61"/>
      <c r="O66" s="61"/>
      <c r="P66" s="61"/>
      <c r="Q66" s="61"/>
      <c r="R66" s="61"/>
    </row>
    <row r="67" spans="1:18" ht="11.85" customHeight="1">
      <c r="A67" s="42"/>
      <c r="B67" s="4"/>
      <c r="C67" s="4"/>
      <c r="D67" s="61"/>
      <c r="E67" s="61"/>
      <c r="F67" s="61"/>
      <c r="G67" s="61"/>
      <c r="H67" s="61"/>
      <c r="I67" s="61"/>
      <c r="J67" s="61"/>
      <c r="K67" s="61"/>
      <c r="L67" s="61"/>
      <c r="M67" s="61"/>
      <c r="N67" s="61"/>
      <c r="O67" s="61"/>
      <c r="P67" s="61"/>
      <c r="Q67" s="61"/>
      <c r="R67" s="61"/>
    </row>
    <row r="68" spans="1:18" ht="11.85" customHeight="1">
      <c r="A68" s="42"/>
      <c r="B68" s="4"/>
      <c r="C68" s="4"/>
      <c r="D68" s="61"/>
      <c r="E68" s="61"/>
      <c r="F68" s="61"/>
      <c r="G68" s="61"/>
      <c r="H68" s="61"/>
      <c r="I68" s="61"/>
      <c r="J68" s="61"/>
      <c r="K68" s="61"/>
      <c r="L68" s="61"/>
      <c r="M68" s="61"/>
      <c r="N68" s="61"/>
      <c r="O68" s="61"/>
      <c r="P68" s="61"/>
      <c r="Q68" s="61"/>
      <c r="R68" s="61"/>
    </row>
    <row r="69" spans="1:18" ht="11.85" customHeight="1">
      <c r="A69" s="42"/>
      <c r="B69" s="4"/>
      <c r="C69" s="4"/>
      <c r="D69" s="61"/>
      <c r="E69" s="61"/>
      <c r="F69" s="61"/>
      <c r="G69" s="61"/>
      <c r="H69" s="61"/>
      <c r="I69" s="61"/>
      <c r="J69" s="61"/>
      <c r="K69" s="61"/>
      <c r="L69" s="61"/>
      <c r="M69" s="61"/>
      <c r="N69" s="61"/>
      <c r="O69" s="61"/>
      <c r="P69" s="61"/>
      <c r="Q69" s="61"/>
      <c r="R69" s="61"/>
    </row>
    <row r="70" spans="1:18" ht="11.85" customHeight="1">
      <c r="A70" s="42"/>
      <c r="B70" s="4"/>
      <c r="C70" s="4"/>
      <c r="D70" s="61"/>
      <c r="E70" s="61"/>
      <c r="F70" s="61"/>
      <c r="G70" s="61"/>
      <c r="H70" s="61"/>
      <c r="I70" s="61"/>
      <c r="J70" s="61"/>
      <c r="K70" s="61"/>
      <c r="L70" s="61"/>
      <c r="M70" s="61"/>
      <c r="N70" s="61"/>
      <c r="O70" s="61"/>
      <c r="P70" s="61"/>
      <c r="Q70" s="61"/>
      <c r="R70" s="61"/>
    </row>
    <row r="71" spans="1:18" ht="11.85" customHeight="1">
      <c r="A71" s="42"/>
      <c r="B71" s="4"/>
      <c r="C71" s="4"/>
      <c r="D71" s="61"/>
      <c r="E71" s="61"/>
      <c r="F71" s="61"/>
      <c r="G71" s="61"/>
      <c r="H71" s="61"/>
      <c r="I71" s="61"/>
      <c r="J71" s="61"/>
      <c r="K71" s="61"/>
      <c r="L71" s="61"/>
      <c r="M71" s="61"/>
      <c r="N71" s="61"/>
      <c r="O71" s="61"/>
      <c r="P71" s="61"/>
      <c r="Q71" s="61"/>
      <c r="R71" s="61"/>
    </row>
    <row r="72" spans="1:18" ht="11.85" customHeight="1">
      <c r="A72" s="42"/>
      <c r="B72" s="4"/>
      <c r="C72" s="4"/>
      <c r="D72" s="4"/>
      <c r="E72" s="4"/>
      <c r="F72" s="4"/>
      <c r="G72" s="4"/>
      <c r="H72" s="4"/>
      <c r="I72" s="4"/>
      <c r="J72" s="4"/>
      <c r="K72" s="4"/>
      <c r="L72" s="4"/>
      <c r="M72" s="4"/>
      <c r="N72" s="61"/>
      <c r="O72" s="61"/>
      <c r="P72" s="61"/>
      <c r="Q72" s="61"/>
      <c r="R72" s="61"/>
    </row>
    <row r="73" spans="1:18" ht="11.85" customHeight="1">
      <c r="A73" s="42"/>
      <c r="B73" s="4"/>
      <c r="C73" s="4"/>
      <c r="D73" s="4"/>
      <c r="E73" s="4"/>
      <c r="F73" s="4"/>
      <c r="G73" s="4"/>
      <c r="H73" s="4"/>
      <c r="I73" s="4"/>
      <c r="J73" s="4"/>
      <c r="K73" s="4"/>
      <c r="L73" s="4"/>
      <c r="M73" s="4"/>
      <c r="N73" s="61"/>
      <c r="O73" s="61"/>
      <c r="P73" s="61"/>
      <c r="Q73" s="61"/>
      <c r="R73" s="61"/>
    </row>
    <row r="74" spans="1:18" ht="11.85" customHeight="1">
      <c r="A74" s="42"/>
      <c r="B74" s="4"/>
      <c r="C74" s="4"/>
      <c r="D74" s="4"/>
      <c r="E74" s="4"/>
      <c r="F74" s="4"/>
      <c r="G74" s="4"/>
      <c r="H74" s="4"/>
      <c r="I74" s="4"/>
      <c r="J74" s="4"/>
      <c r="K74" s="4"/>
      <c r="L74" s="4"/>
      <c r="M74" s="4"/>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3" spans="1:14" ht="11.85" customHeight="1">
      <c r="N93" s="68"/>
    </row>
    <row r="94" spans="1:14" ht="11.85" customHeight="1">
      <c r="N94" s="68"/>
    </row>
    <row r="95" spans="1:14" ht="11.85" customHeight="1">
      <c r="N95" s="68"/>
    </row>
    <row r="96" spans="1:14" ht="11.85" customHeight="1">
      <c r="A96" s="183"/>
    </row>
    <row r="97" spans="1:18" ht="11.85" customHeight="1">
      <c r="A97" s="183"/>
      <c r="N97" s="68"/>
      <c r="P97" s="61"/>
      <c r="Q97" s="61"/>
      <c r="R97" s="61"/>
    </row>
    <row r="98" spans="1:18" ht="21" customHeight="1">
      <c r="N98" s="68"/>
      <c r="P98" s="61"/>
      <c r="Q98" s="61"/>
      <c r="R98" s="61"/>
    </row>
    <row r="99" spans="1:18" ht="13.5" customHeight="1">
      <c r="P99" s="61"/>
      <c r="Q99" s="61"/>
      <c r="R99" s="61"/>
    </row>
    <row r="100" spans="1:18" ht="11.85" customHeight="1">
      <c r="P100" s="61"/>
      <c r="Q100" s="61"/>
      <c r="R100" s="61"/>
    </row>
    <row r="101" spans="1:18" ht="11.85" customHeight="1">
      <c r="P101" s="61"/>
      <c r="Q101" s="61"/>
      <c r="R101" s="61"/>
    </row>
    <row r="102" spans="1:18" ht="11.85" customHeight="1">
      <c r="P102" s="61"/>
      <c r="Q102" s="61"/>
      <c r="R102" s="61"/>
    </row>
    <row r="103" spans="1:18" ht="11.85" customHeight="1">
      <c r="P103" s="61"/>
      <c r="Q103" s="61"/>
      <c r="R103" s="61"/>
    </row>
    <row r="104" spans="1:18" ht="11.85" customHeight="1">
      <c r="P104" s="61"/>
      <c r="Q104" s="61"/>
      <c r="R104" s="61"/>
    </row>
    <row r="105" spans="1:18" ht="11.85" customHeight="1">
      <c r="P105" s="61"/>
      <c r="Q105" s="61"/>
      <c r="R105" s="61"/>
    </row>
    <row r="106" spans="1:18" ht="11.85" customHeight="1">
      <c r="P106" s="61"/>
      <c r="Q106" s="61"/>
      <c r="R106" s="61"/>
    </row>
    <row r="107" spans="1:18" ht="11.85" customHeight="1">
      <c r="P107" s="61"/>
      <c r="Q107" s="61"/>
      <c r="R107" s="61"/>
    </row>
    <row r="108" spans="1:18" ht="11.85" customHeight="1">
      <c r="P108" s="61"/>
      <c r="Q108" s="61"/>
      <c r="R108" s="61"/>
    </row>
    <row r="109" spans="1:18" ht="11.85" customHeight="1">
      <c r="P109" s="61"/>
      <c r="Q109" s="61"/>
      <c r="R109" s="61"/>
    </row>
    <row r="110" spans="1:18" ht="11.85" customHeight="1">
      <c r="P110" s="61"/>
      <c r="Q110" s="61"/>
      <c r="R110" s="61"/>
    </row>
    <row r="111" spans="1:18" ht="11.85" customHeight="1">
      <c r="P111" s="61"/>
      <c r="Q111" s="61"/>
      <c r="R111" s="61"/>
    </row>
    <row r="112" spans="1:18" ht="11.85" customHeight="1">
      <c r="P112" s="61"/>
      <c r="Q112" s="61"/>
      <c r="R112" s="61"/>
    </row>
    <row r="113" spans="16:18" ht="11.85" customHeight="1">
      <c r="P113" s="61"/>
      <c r="Q113" s="61"/>
      <c r="R113" s="61"/>
    </row>
    <row r="114" spans="16:18" ht="11.85" customHeight="1">
      <c r="P114" s="61"/>
      <c r="Q114" s="61"/>
      <c r="R114" s="61"/>
    </row>
    <row r="115" spans="16:18" ht="11.85" customHeight="1">
      <c r="P115" s="61"/>
      <c r="Q115" s="61"/>
      <c r="R115" s="61"/>
    </row>
    <row r="116" spans="16:18" ht="11.85" customHeight="1">
      <c r="P116" s="61"/>
      <c r="Q116" s="61"/>
      <c r="R116" s="61"/>
    </row>
    <row r="117" spans="16:18" ht="11.85" customHeight="1">
      <c r="P117" s="61"/>
      <c r="Q117" s="61"/>
      <c r="R117" s="61"/>
    </row>
    <row r="118" spans="16:18" ht="11.85" customHeight="1">
      <c r="P118" s="61"/>
      <c r="Q118" s="61"/>
      <c r="R118" s="61"/>
    </row>
    <row r="119" spans="16:18" ht="11.85" customHeight="1">
      <c r="P119" s="61"/>
      <c r="Q119" s="61"/>
      <c r="R119" s="61"/>
    </row>
    <row r="120" spans="16:18" ht="11.85" customHeight="1">
      <c r="P120" s="61"/>
      <c r="Q120" s="61"/>
      <c r="R120" s="61"/>
    </row>
    <row r="121" spans="16:18" ht="11.85" customHeight="1">
      <c r="P121" s="61"/>
      <c r="Q121" s="61"/>
      <c r="R121" s="61"/>
    </row>
    <row r="122" spans="16:18" ht="11.85" customHeight="1">
      <c r="P122" s="61"/>
      <c r="Q122" s="61"/>
      <c r="R122" s="61"/>
    </row>
    <row r="123" spans="16:18" ht="11.85" customHeight="1">
      <c r="P123" s="61"/>
      <c r="Q123" s="61"/>
      <c r="R123" s="61"/>
    </row>
    <row r="151" spans="16:17" ht="11.85" customHeight="1">
      <c r="P151" s="58"/>
      <c r="Q151" s="3"/>
    </row>
    <row r="152" spans="16:17" ht="11.85" customHeight="1">
      <c r="P152" s="58"/>
      <c r="Q152" s="3"/>
    </row>
    <row r="153" spans="16:17" ht="11.85" customHeight="1">
      <c r="P153" s="58"/>
      <c r="Q153" s="3"/>
    </row>
    <row r="154" spans="16:17" ht="11.85" customHeight="1">
      <c r="P154" s="58"/>
      <c r="Q154" s="3"/>
    </row>
    <row r="155" spans="16:17" ht="11.85" customHeight="1">
      <c r="P155" s="58"/>
      <c r="Q155" s="3"/>
    </row>
    <row r="156" spans="16:17" ht="11.85" customHeight="1">
      <c r="P156" s="58"/>
      <c r="Q156" s="3"/>
    </row>
    <row r="157" spans="16:17" ht="11.85" customHeight="1">
      <c r="P157" s="58"/>
      <c r="Q157" s="3"/>
    </row>
    <row r="158" spans="16:17" ht="11.85" customHeight="1">
      <c r="P158" s="58"/>
      <c r="Q158" s="3"/>
    </row>
    <row r="159" spans="16:17" ht="11.85" customHeight="1">
      <c r="P159" s="58"/>
      <c r="Q159" s="3"/>
    </row>
    <row r="160" spans="16:17" ht="11.85" customHeight="1">
      <c r="P160" s="58"/>
      <c r="Q160" s="3"/>
    </row>
    <row r="161" spans="16:17" ht="11.85" customHeight="1">
      <c r="P161" s="58"/>
      <c r="Q161" s="3"/>
    </row>
    <row r="162" spans="16:17" ht="11.85" customHeight="1">
      <c r="P162" s="58"/>
      <c r="Q162" s="3"/>
    </row>
    <row r="163" spans="16:17" ht="11.85" customHeight="1">
      <c r="P163" s="58"/>
      <c r="Q163" s="3"/>
    </row>
    <row r="164" spans="16:17" ht="11.85" customHeight="1">
      <c r="P164" s="58"/>
      <c r="Q164" s="3"/>
    </row>
    <row r="165" spans="16:17" ht="11.85" customHeight="1">
      <c r="P165" s="58"/>
      <c r="Q165" s="58"/>
    </row>
    <row r="166" spans="16:17" ht="11.85" customHeight="1">
      <c r="P166" s="58"/>
      <c r="Q166" s="58"/>
    </row>
    <row r="167" spans="16:17" ht="11.85" customHeight="1">
      <c r="P167" s="58"/>
      <c r="Q167" s="58"/>
    </row>
    <row r="168" spans="16:17" ht="11.85" customHeight="1">
      <c r="P168" s="58"/>
      <c r="Q168" s="58"/>
    </row>
    <row r="169" spans="16:17" ht="11.85" customHeight="1">
      <c r="P169" s="58"/>
      <c r="Q169" s="58"/>
    </row>
    <row r="170" spans="16:17" ht="11.85" customHeight="1">
      <c r="P170" s="58"/>
      <c r="Q170" s="58"/>
    </row>
    <row r="171" spans="16:17" ht="11.85" customHeight="1">
      <c r="P171" s="58"/>
      <c r="Q171" s="58"/>
    </row>
    <row r="172" spans="16:17" ht="11.85" customHeight="1">
      <c r="P172" s="58"/>
      <c r="Q172" s="58"/>
    </row>
    <row r="173" spans="16:17" ht="11.85" customHeight="1">
      <c r="P173" s="58"/>
      <c r="Q173" s="58"/>
    </row>
    <row r="174" spans="16:17" ht="11.85" customHeight="1">
      <c r="P174" s="58"/>
      <c r="Q174" s="58"/>
    </row>
    <row r="175" spans="16:17" ht="11.85" customHeight="1">
      <c r="P175" s="58"/>
      <c r="Q175" s="58"/>
    </row>
    <row r="176" spans="16:17" ht="11.85" customHeight="1">
      <c r="P176" s="58"/>
      <c r="Q176" s="58"/>
    </row>
    <row r="177" spans="16:17" ht="11.85" customHeight="1">
      <c r="P177" s="58"/>
      <c r="Q177" s="58"/>
    </row>
    <row r="178" spans="16:17" ht="11.85" customHeight="1">
      <c r="P178" s="58"/>
      <c r="Q178" s="58"/>
    </row>
    <row r="179" spans="16:17" ht="11.85" customHeight="1">
      <c r="P179" s="58"/>
      <c r="Q179" s="58"/>
    </row>
    <row r="180" spans="16:17" ht="11.85" customHeight="1">
      <c r="P180" s="58"/>
      <c r="Q180" s="58"/>
    </row>
    <row r="181" spans="16:17" ht="11.85" customHeight="1">
      <c r="P181" s="58"/>
      <c r="Q181" s="58"/>
    </row>
    <row r="182" spans="16:17" ht="11.85" customHeight="1">
      <c r="P182" s="58"/>
      <c r="Q182" s="58"/>
    </row>
    <row r="183" spans="16:17" ht="11.85" customHeight="1">
      <c r="P183" s="58"/>
      <c r="Q183" s="58"/>
    </row>
    <row r="184" spans="16:17" ht="11.85" customHeight="1">
      <c r="P184" s="58"/>
      <c r="Q184" s="58"/>
    </row>
    <row r="185" spans="16:17" ht="11.85" customHeight="1">
      <c r="P185" s="58"/>
      <c r="Q185" s="58"/>
    </row>
    <row r="186" spans="16:17" ht="11.85" customHeight="1">
      <c r="P186" s="58"/>
      <c r="Q186" s="58"/>
    </row>
    <row r="187" spans="16:17" ht="11.85" customHeight="1">
      <c r="P187" s="58"/>
      <c r="Q187" s="58"/>
    </row>
    <row r="188" spans="16:17" ht="11.85" customHeight="1">
      <c r="P188" s="58"/>
      <c r="Q188" s="58"/>
    </row>
    <row r="189" spans="16:17" ht="11.85" customHeight="1">
      <c r="P189" s="58"/>
      <c r="Q189" s="58"/>
    </row>
    <row r="190" spans="16:17" ht="11.85" customHeight="1">
      <c r="P190" s="58"/>
      <c r="Q190" s="58"/>
    </row>
    <row r="191" spans="16:17" ht="11.85" customHeight="1">
      <c r="P191" s="58"/>
      <c r="Q191" s="58"/>
    </row>
    <row r="192" spans="16:17" ht="11.85" customHeight="1">
      <c r="P192" s="58"/>
      <c r="Q192" s="58"/>
    </row>
    <row r="193" spans="16:17" ht="11.85" customHeight="1">
      <c r="P193" s="58"/>
      <c r="Q193" s="58"/>
    </row>
    <row r="194" spans="16:17" ht="11.85" customHeight="1">
      <c r="P194" s="58"/>
      <c r="Q194" s="58"/>
    </row>
    <row r="195" spans="16:17" ht="11.85" customHeight="1">
      <c r="P195" s="58"/>
      <c r="Q195" s="58"/>
    </row>
    <row r="196" spans="16:17" ht="11.85" customHeight="1">
      <c r="P196" s="58"/>
      <c r="Q196" s="58"/>
    </row>
    <row r="197" spans="16:17" ht="11.85" customHeight="1">
      <c r="P197" s="58"/>
      <c r="Q197" s="58"/>
    </row>
    <row r="198" spans="16:17" ht="11.85" customHeight="1">
      <c r="P198" s="58"/>
      <c r="Q198" s="58"/>
    </row>
    <row r="199" spans="16:17" ht="11.85" customHeight="1">
      <c r="P199" s="58"/>
      <c r="Q199" s="58"/>
    </row>
    <row r="200" spans="16:17" ht="11.85" customHeight="1">
      <c r="P200" s="58"/>
      <c r="Q200" s="58"/>
    </row>
    <row r="201" spans="16:17" ht="11.85" customHeight="1">
      <c r="P201" s="58"/>
      <c r="Q201" s="58"/>
    </row>
    <row r="202" spans="16:17" ht="11.85" customHeight="1">
      <c r="P202" s="58"/>
      <c r="Q202" s="58"/>
    </row>
    <row r="203" spans="16:17" ht="11.85" customHeight="1">
      <c r="P203" s="58"/>
      <c r="Q203" s="58"/>
    </row>
    <row r="204" spans="16:17" ht="11.85" customHeight="1">
      <c r="P204" s="58"/>
      <c r="Q204" s="58"/>
    </row>
    <row r="205" spans="16:17" ht="11.85" customHeight="1">
      <c r="P205" s="58"/>
      <c r="Q205" s="58"/>
    </row>
    <row r="206" spans="16:17" ht="11.85" customHeight="1">
      <c r="P206" s="58"/>
      <c r="Q206" s="58"/>
    </row>
    <row r="207" spans="16:17" ht="11.85" customHeight="1">
      <c r="P207" s="58"/>
      <c r="Q207" s="58"/>
    </row>
    <row r="208" spans="16:17" ht="11.85" customHeight="1">
      <c r="P208" s="58"/>
      <c r="Q208" s="58"/>
    </row>
    <row r="209" spans="16:17" ht="11.85" customHeight="1">
      <c r="P209" s="58"/>
      <c r="Q209" s="58"/>
    </row>
    <row r="210" spans="16:17" ht="11.85" customHeight="1">
      <c r="P210" s="58"/>
      <c r="Q210" s="58"/>
    </row>
    <row r="211" spans="16:17" ht="11.85" customHeight="1">
      <c r="P211" s="58"/>
      <c r="Q211" s="58"/>
    </row>
    <row r="212" spans="16:17" ht="11.85" customHeight="1">
      <c r="P212" s="58"/>
      <c r="Q212" s="58"/>
    </row>
    <row r="213" spans="16:17" ht="11.85" customHeight="1">
      <c r="P213" s="58"/>
      <c r="Q213" s="58"/>
    </row>
    <row r="214" spans="16:17" ht="11.85" customHeight="1">
      <c r="P214" s="58"/>
      <c r="Q214" s="58"/>
    </row>
    <row r="215" spans="16:17" ht="11.85" customHeight="1">
      <c r="P215" s="58"/>
      <c r="Q215" s="58"/>
    </row>
    <row r="216" spans="16:17" ht="11.85" customHeight="1">
      <c r="P216" s="58"/>
      <c r="Q216" s="58"/>
    </row>
    <row r="217" spans="16:17" ht="11.85" customHeight="1">
      <c r="P217" s="58"/>
      <c r="Q217" s="58"/>
    </row>
    <row r="218" spans="16:17" ht="11.85" customHeight="1">
      <c r="P218" s="58"/>
      <c r="Q218" s="58"/>
    </row>
    <row r="219" spans="16:17" ht="11.85" customHeight="1">
      <c r="P219" s="58"/>
      <c r="Q219" s="58"/>
    </row>
    <row r="220" spans="16:17" ht="11.85" customHeight="1">
      <c r="P220" s="58"/>
      <c r="Q220" s="58"/>
    </row>
    <row r="221" spans="16:17" ht="11.85" customHeight="1">
      <c r="P221" s="58"/>
      <c r="Q221" s="58"/>
    </row>
    <row r="222" spans="16:17" ht="11.85" customHeight="1">
      <c r="P222" s="58"/>
      <c r="Q222" s="58"/>
    </row>
    <row r="223" spans="16:17" ht="11.85" customHeight="1">
      <c r="P223" s="58"/>
      <c r="Q223" s="58"/>
    </row>
    <row r="224" spans="16:17" ht="11.85" customHeight="1">
      <c r="P224" s="58"/>
      <c r="Q224" s="58"/>
    </row>
    <row r="225" spans="16:17" ht="11.85" customHeight="1">
      <c r="P225" s="58"/>
      <c r="Q225" s="58"/>
    </row>
    <row r="226" spans="16:17" ht="11.85" customHeight="1">
      <c r="P226" s="58"/>
      <c r="Q226" s="58"/>
    </row>
    <row r="227" spans="16:17" ht="11.85" customHeight="1">
      <c r="P227" s="58"/>
      <c r="Q227" s="58"/>
    </row>
    <row r="228" spans="16:17" ht="11.85" customHeight="1">
      <c r="P228" s="58"/>
      <c r="Q228" s="58"/>
    </row>
    <row r="229" spans="16:17" ht="11.85" customHeight="1">
      <c r="P229" s="58"/>
      <c r="Q229" s="58"/>
    </row>
    <row r="230" spans="16:17" ht="11.85" customHeight="1">
      <c r="P230" s="58"/>
      <c r="Q230" s="58"/>
    </row>
    <row r="231" spans="16:17" ht="11.85" customHeight="1">
      <c r="P231" s="58"/>
      <c r="Q231" s="58"/>
    </row>
    <row r="232" spans="16:17" ht="11.85" customHeight="1">
      <c r="P232" s="58"/>
      <c r="Q232" s="58"/>
    </row>
    <row r="233" spans="16:17" ht="11.85" customHeight="1">
      <c r="P233" s="58"/>
      <c r="Q233" s="58"/>
    </row>
    <row r="234" spans="16:17" ht="11.85" customHeight="1">
      <c r="P234" s="58"/>
      <c r="Q234" s="58"/>
    </row>
    <row r="235" spans="16:17" ht="11.85" customHeight="1">
      <c r="P235" s="58"/>
      <c r="Q235" s="58"/>
    </row>
    <row r="236" spans="16:17" ht="11.85" customHeight="1">
      <c r="P236" s="58"/>
      <c r="Q236" s="58"/>
    </row>
    <row r="237" spans="16:17" ht="11.85" customHeight="1">
      <c r="P237" s="58"/>
      <c r="Q237" s="58"/>
    </row>
    <row r="238" spans="16:17" ht="11.85" customHeight="1">
      <c r="P238" s="58"/>
      <c r="Q238" s="58"/>
    </row>
    <row r="239" spans="16:17" ht="11.85" customHeight="1">
      <c r="P239" s="58"/>
      <c r="Q239" s="58"/>
    </row>
    <row r="240" spans="16:17" ht="11.85" customHeight="1">
      <c r="P240" s="58"/>
      <c r="Q240" s="58"/>
    </row>
    <row r="241" spans="16:17" ht="11.85" customHeight="1">
      <c r="P241" s="58"/>
      <c r="Q241" s="58"/>
    </row>
    <row r="242" spans="16:17" ht="11.85" customHeight="1">
      <c r="P242" s="58"/>
      <c r="Q242" s="58"/>
    </row>
    <row r="243" spans="16:17" ht="11.85" customHeight="1">
      <c r="P243" s="58"/>
      <c r="Q243" s="58"/>
    </row>
    <row r="244" spans="16:17" ht="11.85" customHeight="1">
      <c r="P244" s="58"/>
      <c r="Q244" s="58"/>
    </row>
    <row r="245" spans="16:17" ht="11.85" customHeight="1">
      <c r="P245" s="58"/>
      <c r="Q245" s="58"/>
    </row>
    <row r="246" spans="16:17" ht="11.85" customHeight="1">
      <c r="P246" s="58"/>
      <c r="Q246" s="58"/>
    </row>
    <row r="247" spans="16:17" ht="11.85" customHeight="1">
      <c r="P247" s="58"/>
      <c r="Q247" s="58"/>
    </row>
    <row r="248" spans="16:17" ht="11.85" customHeight="1">
      <c r="P248" s="58"/>
      <c r="Q248" s="58"/>
    </row>
    <row r="249" spans="16:17" ht="11.85" customHeight="1">
      <c r="P249" s="58"/>
      <c r="Q249" s="58"/>
    </row>
    <row r="250" spans="16:17" ht="11.85" customHeight="1">
      <c r="P250" s="58"/>
      <c r="Q250" s="58"/>
    </row>
    <row r="251" spans="16:17" ht="11.85" customHeight="1">
      <c r="P251" s="58"/>
      <c r="Q251" s="58"/>
    </row>
    <row r="252" spans="16:17" ht="11.85" customHeight="1">
      <c r="P252" s="58"/>
      <c r="Q252" s="58"/>
    </row>
    <row r="253" spans="16:17" ht="11.85" customHeight="1">
      <c r="P253" s="58"/>
      <c r="Q253" s="58"/>
    </row>
    <row r="254" spans="16:17" ht="11.85" customHeight="1">
      <c r="P254" s="58"/>
      <c r="Q254" s="58"/>
    </row>
    <row r="255" spans="16:17" ht="11.85" customHeight="1">
      <c r="P255" s="58"/>
      <c r="Q255" s="58"/>
    </row>
    <row r="256" spans="16:17" ht="11.85" customHeight="1">
      <c r="P256" s="58"/>
      <c r="Q256" s="58"/>
    </row>
    <row r="257" spans="16:17" ht="11.85" customHeight="1">
      <c r="P257" s="58"/>
      <c r="Q257" s="58"/>
    </row>
    <row r="258" spans="16:17" ht="11.85" customHeight="1">
      <c r="P258" s="58"/>
      <c r="Q258" s="58"/>
    </row>
    <row r="259" spans="16:17" ht="11.85" customHeight="1">
      <c r="P259" s="58"/>
      <c r="Q259" s="58"/>
    </row>
    <row r="260" spans="16:17" ht="11.85" customHeight="1">
      <c r="P260" s="58"/>
      <c r="Q260" s="58"/>
    </row>
    <row r="261" spans="16:17" ht="11.85" customHeight="1">
      <c r="P261" s="58"/>
      <c r="Q261" s="58"/>
    </row>
    <row r="262" spans="16:17" ht="11.85" customHeight="1">
      <c r="P262" s="58"/>
      <c r="Q262" s="58"/>
    </row>
    <row r="263" spans="16:17" ht="11.85" customHeight="1">
      <c r="P263" s="58"/>
      <c r="Q263" s="58"/>
    </row>
    <row r="264" spans="16:17" ht="11.85" customHeight="1">
      <c r="P264" s="58"/>
      <c r="Q264" s="58"/>
    </row>
    <row r="265" spans="16:17" ht="11.85" customHeight="1">
      <c r="P265" s="58"/>
      <c r="Q265" s="58"/>
    </row>
    <row r="266" spans="16:17" ht="11.85" customHeight="1">
      <c r="P266" s="58"/>
      <c r="Q266" s="58"/>
    </row>
    <row r="267" spans="16:17" ht="11.85" customHeight="1">
      <c r="P267" s="58"/>
      <c r="Q267" s="58"/>
    </row>
    <row r="268" spans="16:17" ht="11.85" customHeight="1">
      <c r="P268" s="58"/>
      <c r="Q268" s="58"/>
    </row>
    <row r="269" spans="16:17" ht="11.85" customHeight="1">
      <c r="P269" s="58"/>
      <c r="Q269" s="58"/>
    </row>
    <row r="270" spans="16:17" ht="11.85" customHeight="1">
      <c r="P270" s="58"/>
      <c r="Q270" s="58"/>
    </row>
    <row r="271" spans="16:17" ht="11.85" customHeight="1">
      <c r="P271" s="58"/>
      <c r="Q271" s="58"/>
    </row>
    <row r="272" spans="16:17" ht="11.85" customHeight="1">
      <c r="P272" s="58"/>
      <c r="Q272" s="58"/>
    </row>
    <row r="273" spans="16:17" ht="11.85" customHeight="1">
      <c r="P273" s="58"/>
      <c r="Q273" s="58"/>
    </row>
    <row r="274" spans="16:17" ht="11.85" customHeight="1">
      <c r="P274" s="58"/>
      <c r="Q274" s="58"/>
    </row>
    <row r="275" spans="16:17" ht="11.85" customHeight="1">
      <c r="P275" s="58"/>
      <c r="Q275" s="58"/>
    </row>
    <row r="276" spans="16:17" ht="11.85" customHeight="1">
      <c r="P276" s="58"/>
      <c r="Q276" s="58"/>
    </row>
    <row r="277" spans="16:17" ht="11.85" customHeight="1">
      <c r="P277" s="58"/>
      <c r="Q277" s="58"/>
    </row>
    <row r="278" spans="16:17" ht="11.85" customHeight="1">
      <c r="P278" s="58"/>
      <c r="Q278" s="58"/>
    </row>
    <row r="279" spans="16:17" ht="11.85" customHeight="1">
      <c r="P279" s="58"/>
      <c r="Q279" s="58"/>
    </row>
    <row r="280" spans="16:17" ht="11.85" customHeight="1">
      <c r="P280" s="58"/>
      <c r="Q280" s="58"/>
    </row>
    <row r="281" spans="16:17" ht="11.85" customHeight="1">
      <c r="P281" s="58"/>
      <c r="Q281" s="58"/>
    </row>
    <row r="282" spans="16:17" ht="11.85" customHeight="1">
      <c r="P282" s="58"/>
      <c r="Q282" s="58"/>
    </row>
    <row r="283" spans="16:17" ht="11.85" customHeight="1">
      <c r="P283" s="58"/>
      <c r="Q283" s="58"/>
    </row>
    <row r="284" spans="16:17" ht="11.85" customHeight="1">
      <c r="P284" s="58"/>
      <c r="Q284" s="58"/>
    </row>
    <row r="285" spans="16:17" ht="11.85" customHeight="1">
      <c r="P285" s="58"/>
      <c r="Q285" s="58"/>
    </row>
    <row r="286" spans="16:17" ht="11.85" customHeight="1">
      <c r="P286" s="58"/>
      <c r="Q286" s="58"/>
    </row>
    <row r="287" spans="16:17" ht="11.85" customHeight="1">
      <c r="P287" s="58"/>
      <c r="Q287" s="58"/>
    </row>
    <row r="288" spans="16:17" ht="11.85" customHeight="1">
      <c r="P288" s="58"/>
      <c r="Q288" s="58"/>
    </row>
    <row r="289" spans="16:17" ht="11.85" customHeight="1">
      <c r="P289" s="58"/>
      <c r="Q289" s="58"/>
    </row>
    <row r="290" spans="16:17" ht="11.85" customHeight="1">
      <c r="P290" s="58"/>
      <c r="Q290" s="58"/>
    </row>
    <row r="291" spans="16:17" ht="11.85" customHeight="1">
      <c r="P291" s="58"/>
      <c r="Q291" s="58"/>
    </row>
    <row r="292" spans="16:17" ht="11.85" customHeight="1">
      <c r="P292" s="58"/>
      <c r="Q292" s="58"/>
    </row>
    <row r="293" spans="16:17" ht="11.85" customHeight="1">
      <c r="P293" s="58"/>
      <c r="Q293" s="58"/>
    </row>
    <row r="294" spans="16:17" ht="11.85" customHeight="1">
      <c r="P294" s="58"/>
      <c r="Q294" s="58"/>
    </row>
    <row r="295" spans="16:17" ht="11.85" customHeight="1">
      <c r="P295" s="58"/>
      <c r="Q295" s="58"/>
    </row>
    <row r="296" spans="16:17" ht="11.85" customHeight="1">
      <c r="P296" s="58"/>
      <c r="Q296" s="58"/>
    </row>
    <row r="297" spans="16:17" ht="11.85" customHeight="1">
      <c r="P297" s="58"/>
      <c r="Q297" s="58"/>
    </row>
    <row r="298" spans="16:17" ht="11.85" customHeight="1">
      <c r="P298" s="58"/>
      <c r="Q298" s="58"/>
    </row>
    <row r="299" spans="16:17" ht="11.85" customHeight="1">
      <c r="P299" s="58"/>
      <c r="Q299" s="58"/>
    </row>
    <row r="300" spans="16:17" ht="11.85" customHeight="1">
      <c r="P300" s="58"/>
      <c r="Q300" s="58"/>
    </row>
    <row r="301" spans="16:17" ht="11.85" customHeight="1">
      <c r="P301" s="58"/>
      <c r="Q301" s="58"/>
    </row>
    <row r="302" spans="16:17" ht="11.85" customHeight="1">
      <c r="P302" s="58"/>
      <c r="Q302" s="58"/>
    </row>
    <row r="303" spans="16:17" ht="11.85" customHeight="1">
      <c r="P303" s="58"/>
      <c r="Q303" s="58"/>
    </row>
    <row r="304" spans="16:17" ht="11.85" customHeight="1">
      <c r="P304" s="58"/>
      <c r="Q304" s="58"/>
    </row>
    <row r="305" spans="16:17" ht="11.85" customHeight="1">
      <c r="P305" s="58"/>
      <c r="Q305" s="58"/>
    </row>
    <row r="306" spans="16:17" ht="11.85" customHeight="1">
      <c r="P306" s="58"/>
      <c r="Q306" s="58"/>
    </row>
    <row r="307" spans="16:17" ht="11.85" customHeight="1">
      <c r="P307" s="58"/>
      <c r="Q307" s="58"/>
    </row>
    <row r="308" spans="16:17" ht="11.85" customHeight="1">
      <c r="P308" s="58"/>
      <c r="Q308" s="58"/>
    </row>
    <row r="309" spans="16:17" ht="11.85" customHeight="1">
      <c r="P309" s="58"/>
      <c r="Q309" s="58"/>
    </row>
    <row r="310" spans="16:17" ht="11.85" customHeight="1">
      <c r="P310" s="58"/>
      <c r="Q310" s="58"/>
    </row>
    <row r="311" spans="16:17" ht="11.85" customHeight="1">
      <c r="P311" s="58"/>
      <c r="Q311" s="58"/>
    </row>
    <row r="312" spans="16:17" ht="11.85" customHeight="1">
      <c r="P312" s="58"/>
      <c r="Q312" s="58"/>
    </row>
    <row r="313" spans="16:17" ht="11.85" customHeight="1">
      <c r="P313" s="58"/>
      <c r="Q313" s="58"/>
    </row>
    <row r="314" spans="16:17" ht="11.85" customHeight="1">
      <c r="P314" s="58"/>
      <c r="Q314" s="58"/>
    </row>
    <row r="315" spans="16:17" ht="11.85" customHeight="1">
      <c r="P315" s="58"/>
      <c r="Q315" s="58"/>
    </row>
    <row r="316" spans="16:17" ht="11.85" customHeight="1">
      <c r="P316" s="58"/>
      <c r="Q316" s="58"/>
    </row>
    <row r="317" spans="16:17" ht="11.85" customHeight="1">
      <c r="P317" s="58"/>
      <c r="Q317" s="58"/>
    </row>
    <row r="318" spans="16:17" ht="11.85" customHeight="1">
      <c r="P318" s="58"/>
      <c r="Q318" s="58"/>
    </row>
    <row r="319" spans="16:17" ht="11.85" customHeight="1">
      <c r="P319" s="58"/>
      <c r="Q319" s="58"/>
    </row>
    <row r="320" spans="16:17" ht="11.85" customHeight="1">
      <c r="P320" s="58"/>
      <c r="Q320" s="58"/>
    </row>
    <row r="321" spans="16:17" ht="11.85" customHeight="1">
      <c r="P321" s="58"/>
      <c r="Q321" s="58"/>
    </row>
    <row r="322" spans="16:17" ht="11.85" customHeight="1">
      <c r="P322" s="58"/>
      <c r="Q322" s="58"/>
    </row>
    <row r="323" spans="16:17" ht="11.85" customHeight="1">
      <c r="P323" s="58"/>
      <c r="Q323" s="58"/>
    </row>
    <row r="324" spans="16:17" ht="11.85" customHeight="1">
      <c r="P324" s="58"/>
      <c r="Q324" s="58"/>
    </row>
    <row r="325" spans="16:17" ht="11.85" customHeight="1">
      <c r="P325" s="58"/>
      <c r="Q325" s="58"/>
    </row>
    <row r="326" spans="16:17" ht="11.85" customHeight="1">
      <c r="P326" s="58"/>
      <c r="Q326" s="58"/>
    </row>
    <row r="327" spans="16:17" ht="11.85" customHeight="1">
      <c r="P327" s="58"/>
      <c r="Q327" s="58"/>
    </row>
    <row r="328" spans="16:17" ht="11.85" customHeight="1">
      <c r="P328" s="58"/>
      <c r="Q328" s="58"/>
    </row>
    <row r="329" spans="16:17" ht="11.85" customHeight="1">
      <c r="P329" s="58"/>
      <c r="Q329" s="58"/>
    </row>
    <row r="330" spans="16:17" ht="11.85" customHeight="1">
      <c r="P330" s="58"/>
      <c r="Q330" s="58"/>
    </row>
    <row r="331" spans="16:17" ht="11.85" customHeight="1">
      <c r="P331" s="58"/>
      <c r="Q331" s="58"/>
    </row>
    <row r="332" spans="16:17" ht="11.85" customHeight="1">
      <c r="P332" s="58"/>
      <c r="Q332" s="58"/>
    </row>
    <row r="333" spans="16:17" ht="11.85" customHeight="1">
      <c r="P333" s="58"/>
      <c r="Q333" s="58"/>
    </row>
    <row r="334" spans="16:17" ht="11.85" customHeight="1">
      <c r="P334" s="58"/>
      <c r="Q334" s="58"/>
    </row>
    <row r="335" spans="16:17" ht="11.85" customHeight="1">
      <c r="P335" s="58"/>
      <c r="Q335" s="58"/>
    </row>
    <row r="336" spans="16:17" ht="11.85" customHeight="1">
      <c r="P336" s="58"/>
      <c r="Q336" s="58"/>
    </row>
    <row r="337" spans="16:17" ht="11.85" customHeight="1">
      <c r="P337" s="58"/>
      <c r="Q337" s="58"/>
    </row>
    <row r="338" spans="16:17" ht="11.85" customHeight="1">
      <c r="P338" s="58"/>
      <c r="Q338" s="58"/>
    </row>
    <row r="339" spans="16:17" ht="11.85" customHeight="1">
      <c r="P339" s="58"/>
      <c r="Q339" s="58"/>
    </row>
    <row r="340" spans="16:17" ht="11.85" customHeight="1">
      <c r="P340" s="58"/>
      <c r="Q340" s="58"/>
    </row>
    <row r="341" spans="16:17" ht="11.85" customHeight="1">
      <c r="P341" s="58"/>
      <c r="Q341" s="58"/>
    </row>
    <row r="342" spans="16:17" ht="11.85" customHeight="1">
      <c r="P342" s="58"/>
      <c r="Q342" s="58"/>
    </row>
    <row r="343" spans="16:17" ht="11.85" customHeight="1">
      <c r="P343" s="58"/>
      <c r="Q343" s="58"/>
    </row>
    <row r="344" spans="16:17" ht="11.85" customHeight="1">
      <c r="P344" s="58"/>
      <c r="Q344" s="58"/>
    </row>
    <row r="345" spans="16:17" ht="11.85" customHeight="1">
      <c r="P345" s="58"/>
      <c r="Q345" s="58"/>
    </row>
    <row r="346" spans="16:17" ht="11.85" customHeight="1">
      <c r="P346" s="58"/>
      <c r="Q346" s="58"/>
    </row>
    <row r="347" spans="16:17" ht="11.85" customHeight="1">
      <c r="P347" s="58"/>
      <c r="Q347" s="58"/>
    </row>
    <row r="348" spans="16:17" ht="11.85" customHeight="1">
      <c r="P348" s="58"/>
      <c r="Q348" s="58"/>
    </row>
    <row r="349" spans="16:17" ht="11.85" customHeight="1">
      <c r="P349" s="58"/>
      <c r="Q349" s="58"/>
    </row>
    <row r="350" spans="16:17" ht="11.85" customHeight="1">
      <c r="P350" s="58"/>
      <c r="Q350" s="58"/>
    </row>
    <row r="351" spans="16:17" ht="11.85" customHeight="1">
      <c r="P351" s="58"/>
      <c r="Q351" s="58"/>
    </row>
    <row r="352" spans="16:17" ht="11.85" customHeight="1">
      <c r="P352" s="58"/>
      <c r="Q352" s="58"/>
    </row>
    <row r="353" spans="16:17" ht="11.85" customHeight="1">
      <c r="P353" s="58"/>
      <c r="Q353" s="58"/>
    </row>
    <row r="354" spans="16:17" ht="11.85" customHeight="1">
      <c r="P354" s="58"/>
      <c r="Q354" s="58"/>
    </row>
    <row r="355" spans="16:17" ht="11.85" customHeight="1">
      <c r="P355" s="58"/>
      <c r="Q355" s="58"/>
    </row>
    <row r="356" spans="16:17" ht="11.85" customHeight="1">
      <c r="P356" s="58"/>
      <c r="Q356" s="58"/>
    </row>
    <row r="357" spans="16:17" ht="11.85" customHeight="1">
      <c r="P357" s="58"/>
      <c r="Q357" s="58"/>
    </row>
    <row r="358" spans="16:17" ht="11.85" customHeight="1">
      <c r="P358" s="58"/>
      <c r="Q358" s="58"/>
    </row>
    <row r="359" spans="16:17" ht="11.85" customHeight="1">
      <c r="P359" s="58"/>
      <c r="Q359" s="58"/>
    </row>
    <row r="360" spans="16:17" ht="11.85" customHeight="1">
      <c r="P360" s="58"/>
      <c r="Q360" s="58"/>
    </row>
    <row r="361" spans="16:17" ht="11.85" customHeight="1">
      <c r="P361" s="58"/>
      <c r="Q361" s="58"/>
    </row>
    <row r="362" spans="16:17" ht="11.85" customHeight="1">
      <c r="P362" s="58"/>
      <c r="Q362" s="58"/>
    </row>
    <row r="363" spans="16:17" ht="11.85" customHeight="1">
      <c r="P363" s="58"/>
      <c r="Q363" s="58"/>
    </row>
    <row r="364" spans="16:17" ht="11.85" customHeight="1">
      <c r="P364" s="58"/>
      <c r="Q364" s="58"/>
    </row>
    <row r="365" spans="16:17" ht="11.85" customHeight="1">
      <c r="P365" s="58"/>
      <c r="Q365" s="58"/>
    </row>
    <row r="366" spans="16:17" ht="11.85" customHeight="1">
      <c r="P366" s="58"/>
      <c r="Q366" s="58"/>
    </row>
    <row r="367" spans="16:17" ht="11.85" customHeight="1">
      <c r="P367" s="58"/>
      <c r="Q367" s="58"/>
    </row>
    <row r="368" spans="16:17" ht="11.85" customHeight="1">
      <c r="P368" s="58"/>
      <c r="Q368" s="58"/>
    </row>
    <row r="369" spans="16:17" ht="11.85" customHeight="1">
      <c r="P369" s="58"/>
      <c r="Q369" s="58"/>
    </row>
    <row r="370" spans="16:17" ht="11.85" customHeight="1">
      <c r="P370" s="58"/>
      <c r="Q370" s="58"/>
    </row>
    <row r="371" spans="16:17" ht="11.85" customHeight="1">
      <c r="P371" s="58"/>
      <c r="Q371" s="58"/>
    </row>
    <row r="372" spans="16:17" ht="11.85" customHeight="1">
      <c r="P372" s="58"/>
      <c r="Q372" s="58"/>
    </row>
    <row r="373" spans="16:17" ht="11.85" customHeight="1">
      <c r="P373" s="58"/>
      <c r="Q373" s="58"/>
    </row>
    <row r="374" spans="16:17" ht="11.85" customHeight="1">
      <c r="P374" s="58"/>
      <c r="Q374" s="58"/>
    </row>
    <row r="375" spans="16:17" ht="11.85" customHeight="1">
      <c r="P375" s="58"/>
      <c r="Q375" s="58"/>
    </row>
    <row r="376" spans="16:17" ht="11.85" customHeight="1">
      <c r="P376" s="58"/>
      <c r="Q376" s="58"/>
    </row>
    <row r="377" spans="16:17" ht="11.85" customHeight="1">
      <c r="P377" s="58"/>
      <c r="Q377" s="58"/>
    </row>
    <row r="378" spans="16:17" ht="11.85" customHeight="1">
      <c r="P378" s="58"/>
      <c r="Q378" s="58"/>
    </row>
    <row r="379" spans="16:17" ht="11.85" customHeight="1">
      <c r="P379" s="58"/>
      <c r="Q379" s="58"/>
    </row>
    <row r="380" spans="16:17" ht="11.85" customHeight="1">
      <c r="P380" s="58"/>
      <c r="Q380" s="58"/>
    </row>
    <row r="381" spans="16:17" ht="11.85" customHeight="1">
      <c r="P381" s="58"/>
      <c r="Q381" s="58"/>
    </row>
    <row r="382" spans="16:17" ht="11.85" customHeight="1">
      <c r="P382" s="58"/>
      <c r="Q382" s="58"/>
    </row>
    <row r="383" spans="16:17" ht="11.85" customHeight="1">
      <c r="P383" s="58"/>
      <c r="Q383" s="58"/>
    </row>
    <row r="384" spans="16:17" ht="11.85" customHeight="1">
      <c r="P384" s="58"/>
      <c r="Q384" s="58"/>
    </row>
    <row r="385" spans="16:17" ht="11.85" customHeight="1">
      <c r="P385" s="58"/>
      <c r="Q385" s="58"/>
    </row>
    <row r="386" spans="16:17" ht="11.85" customHeight="1">
      <c r="P386" s="58"/>
      <c r="Q386" s="58"/>
    </row>
    <row r="387" spans="16:17" ht="11.85" customHeight="1">
      <c r="P387" s="58"/>
      <c r="Q387" s="58"/>
    </row>
    <row r="388" spans="16:17" ht="11.85" customHeight="1">
      <c r="P388" s="58"/>
      <c r="Q388" s="58"/>
    </row>
    <row r="389" spans="16:17" ht="11.85" customHeight="1">
      <c r="P389" s="58"/>
      <c r="Q389" s="58"/>
    </row>
    <row r="390" spans="16:17" ht="11.85" customHeight="1">
      <c r="P390" s="58"/>
      <c r="Q390" s="58"/>
    </row>
    <row r="391" spans="16:17" ht="11.85" customHeight="1">
      <c r="P391" s="58"/>
      <c r="Q391" s="58"/>
    </row>
    <row r="392" spans="16:17" ht="11.85" customHeight="1">
      <c r="P392" s="58"/>
      <c r="Q392" s="58"/>
    </row>
    <row r="393" spans="16:17" ht="11.85" customHeight="1">
      <c r="P393" s="58"/>
      <c r="Q393" s="58"/>
    </row>
    <row r="394" spans="16:17" ht="11.85" customHeight="1">
      <c r="P394" s="58"/>
      <c r="Q394" s="58"/>
    </row>
    <row r="395" spans="16:17" ht="11.85" customHeight="1">
      <c r="P395" s="58"/>
      <c r="Q395" s="58"/>
    </row>
    <row r="396" spans="16:17" ht="11.85" customHeight="1">
      <c r="P396" s="58"/>
      <c r="Q396" s="58"/>
    </row>
    <row r="397" spans="16:17" ht="11.85" customHeight="1">
      <c r="P397" s="58"/>
      <c r="Q397" s="58"/>
    </row>
    <row r="398" spans="16:17" ht="11.85" customHeight="1">
      <c r="P398" s="58"/>
      <c r="Q398" s="58"/>
    </row>
    <row r="399" spans="16:17" ht="11.85" customHeight="1">
      <c r="P399" s="58"/>
      <c r="Q399" s="58"/>
    </row>
    <row r="400" spans="16:17" ht="11.85" customHeight="1">
      <c r="P400" s="58"/>
      <c r="Q400" s="58"/>
    </row>
    <row r="401" spans="16:17" ht="11.85" customHeight="1">
      <c r="P401" s="58"/>
      <c r="Q401" s="58"/>
    </row>
    <row r="402" spans="16:17" ht="11.85" customHeight="1">
      <c r="P402" s="58"/>
      <c r="Q402" s="58"/>
    </row>
    <row r="403" spans="16:17" ht="11.85" customHeight="1">
      <c r="P403" s="58"/>
      <c r="Q403" s="58"/>
    </row>
    <row r="404" spans="16:17" ht="11.85" customHeight="1">
      <c r="P404" s="58"/>
      <c r="Q404" s="58"/>
    </row>
    <row r="405" spans="16:17" ht="11.85" customHeight="1">
      <c r="P405" s="58"/>
      <c r="Q405" s="58"/>
    </row>
    <row r="406" spans="16:17" ht="11.85" customHeight="1">
      <c r="P406" s="58"/>
      <c r="Q406" s="58"/>
    </row>
    <row r="407" spans="16:17" ht="11.85" customHeight="1">
      <c r="P407" s="58"/>
      <c r="Q407" s="58"/>
    </row>
    <row r="408" spans="16:17" ht="11.85" customHeight="1">
      <c r="P408" s="58"/>
      <c r="Q408" s="58"/>
    </row>
    <row r="409" spans="16:17" ht="11.85" customHeight="1">
      <c r="P409" s="58"/>
      <c r="Q409" s="58"/>
    </row>
    <row r="410" spans="16:17" ht="11.85" customHeight="1">
      <c r="P410" s="58"/>
      <c r="Q410" s="58"/>
    </row>
    <row r="411" spans="16:17" ht="11.85" customHeight="1">
      <c r="P411" s="58"/>
      <c r="Q411" s="58"/>
    </row>
    <row r="412" spans="16:17" ht="11.85" customHeight="1">
      <c r="P412" s="58"/>
      <c r="Q412" s="58"/>
    </row>
    <row r="413" spans="16:17" ht="11.85" customHeight="1">
      <c r="P413" s="58"/>
      <c r="Q413" s="58"/>
    </row>
    <row r="414" spans="16:17" ht="11.85" customHeight="1">
      <c r="P414" s="58"/>
      <c r="Q414" s="58"/>
    </row>
    <row r="415" spans="16:17" ht="11.85" customHeight="1">
      <c r="P415" s="58"/>
      <c r="Q415" s="58"/>
    </row>
    <row r="416" spans="16:17" ht="11.85" customHeight="1">
      <c r="P416" s="58"/>
      <c r="Q416" s="58"/>
    </row>
    <row r="417" spans="16:17" ht="11.85" customHeight="1">
      <c r="P417" s="58"/>
      <c r="Q417" s="58"/>
    </row>
    <row r="418" spans="16:17" ht="11.85" customHeight="1">
      <c r="P418" s="58"/>
      <c r="Q418" s="58"/>
    </row>
    <row r="419" spans="16:17" ht="11.85" customHeight="1">
      <c r="P419" s="58"/>
      <c r="Q419" s="58"/>
    </row>
    <row r="420" spans="16:17" ht="11.85" customHeight="1">
      <c r="P420" s="58"/>
      <c r="Q420" s="58"/>
    </row>
    <row r="421" spans="16:17" ht="11.85" customHeight="1">
      <c r="P421" s="58"/>
      <c r="Q421" s="58"/>
    </row>
    <row r="422" spans="16:17" ht="11.85" customHeight="1">
      <c r="P422" s="58"/>
      <c r="Q422" s="58"/>
    </row>
    <row r="423" spans="16:17" ht="11.85" customHeight="1">
      <c r="P423" s="58"/>
      <c r="Q423" s="58"/>
    </row>
    <row r="424" spans="16:17" ht="11.85" customHeight="1">
      <c r="P424" s="58"/>
      <c r="Q424" s="58"/>
    </row>
    <row r="425" spans="16:17" ht="11.85" customHeight="1">
      <c r="P425" s="58"/>
      <c r="Q425" s="58"/>
    </row>
    <row r="426" spans="16:17" ht="11.85" customHeight="1">
      <c r="P426" s="58"/>
      <c r="Q426" s="58"/>
    </row>
    <row r="427" spans="16:17" ht="11.85" customHeight="1">
      <c r="P427" s="58"/>
      <c r="Q427" s="58"/>
    </row>
    <row r="428" spans="16:17" ht="11.85" customHeight="1">
      <c r="P428" s="58"/>
      <c r="Q428" s="58"/>
    </row>
    <row r="429" spans="16:17" ht="11.85" customHeight="1">
      <c r="P429" s="58"/>
      <c r="Q429" s="58"/>
    </row>
    <row r="430" spans="16:17" ht="11.85" customHeight="1">
      <c r="P430" s="58"/>
      <c r="Q430" s="58"/>
    </row>
    <row r="431" spans="16:17" ht="11.85" customHeight="1">
      <c r="P431" s="58"/>
      <c r="Q431" s="58"/>
    </row>
    <row r="432" spans="16:17" ht="11.85" customHeight="1">
      <c r="P432" s="58"/>
      <c r="Q432" s="58"/>
    </row>
    <row r="433" spans="16:17" ht="11.85" customHeight="1">
      <c r="P433" s="58"/>
      <c r="Q433" s="58"/>
    </row>
    <row r="434" spans="16:17" ht="11.85" customHeight="1">
      <c r="P434" s="58"/>
      <c r="Q434" s="58"/>
    </row>
    <row r="435" spans="16:17" ht="11.85" customHeight="1">
      <c r="P435" s="58"/>
      <c r="Q435" s="58"/>
    </row>
    <row r="436" spans="16:17" ht="11.85" customHeight="1">
      <c r="P436" s="58"/>
      <c r="Q436" s="58"/>
    </row>
    <row r="437" spans="16:17" ht="11.85" customHeight="1">
      <c r="P437" s="58"/>
      <c r="Q437" s="58"/>
    </row>
    <row r="438" spans="16:17" ht="11.85" customHeight="1">
      <c r="P438" s="58"/>
      <c r="Q438" s="58"/>
    </row>
    <row r="439" spans="16:17" ht="11.85" customHeight="1">
      <c r="P439" s="58"/>
      <c r="Q439" s="58"/>
    </row>
    <row r="440" spans="16:17" ht="11.85" customHeight="1">
      <c r="P440" s="58"/>
      <c r="Q440" s="58"/>
    </row>
    <row r="441" spans="16:17" ht="11.85" customHeight="1">
      <c r="P441" s="58"/>
      <c r="Q441" s="58"/>
    </row>
    <row r="442" spans="16:17" ht="11.85" customHeight="1">
      <c r="P442" s="58"/>
      <c r="Q442" s="58"/>
    </row>
    <row r="443" spans="16:17" ht="11.85" customHeight="1">
      <c r="P443" s="58"/>
      <c r="Q443" s="58"/>
    </row>
    <row r="444" spans="16:17" ht="11.85" customHeight="1">
      <c r="P444" s="58"/>
      <c r="Q444" s="58"/>
    </row>
    <row r="445" spans="16:17" ht="11.85" customHeight="1">
      <c r="P445" s="58"/>
      <c r="Q445" s="58"/>
    </row>
    <row r="446" spans="16:17" ht="11.85" customHeight="1">
      <c r="P446" s="58"/>
      <c r="Q446" s="58"/>
    </row>
    <row r="447" spans="16:17" ht="11.85" customHeight="1">
      <c r="P447" s="58"/>
      <c r="Q447" s="58"/>
    </row>
    <row r="448" spans="16:17" ht="11.85" customHeight="1">
      <c r="P448" s="58"/>
      <c r="Q448" s="58"/>
    </row>
    <row r="449" spans="16:17" ht="11.85" customHeight="1">
      <c r="P449" s="58"/>
      <c r="Q449" s="58"/>
    </row>
    <row r="450" spans="16:17" ht="11.85" customHeight="1">
      <c r="P450" s="58"/>
      <c r="Q450" s="58"/>
    </row>
    <row r="451" spans="16:17" ht="11.85" customHeight="1">
      <c r="P451" s="58"/>
      <c r="Q451" s="58"/>
    </row>
    <row r="452" spans="16:17" ht="11.85" customHeight="1">
      <c r="P452" s="58"/>
      <c r="Q452" s="58"/>
    </row>
    <row r="453" spans="16:17" ht="11.85" customHeight="1">
      <c r="P453" s="58"/>
      <c r="Q453" s="58"/>
    </row>
    <row r="454" spans="16:17" ht="11.85" customHeight="1">
      <c r="P454" s="58"/>
      <c r="Q454" s="58"/>
    </row>
    <row r="455" spans="16:17" ht="11.85" customHeight="1">
      <c r="P455" s="58"/>
      <c r="Q455" s="58"/>
    </row>
    <row r="456" spans="16:17" ht="11.85" customHeight="1">
      <c r="P456" s="58"/>
      <c r="Q456" s="58"/>
    </row>
    <row r="457" spans="16:17" ht="11.85" customHeight="1">
      <c r="P457" s="58"/>
      <c r="Q457" s="58"/>
    </row>
    <row r="458" spans="16:17" ht="11.85" customHeight="1">
      <c r="P458" s="58"/>
      <c r="Q458" s="58"/>
    </row>
    <row r="459" spans="16:17" ht="11.85" customHeight="1">
      <c r="P459" s="58"/>
      <c r="Q459" s="58"/>
    </row>
    <row r="460" spans="16:17" ht="11.85" customHeight="1">
      <c r="P460" s="58"/>
      <c r="Q460" s="58"/>
    </row>
    <row r="461" spans="16:17" ht="11.85" customHeight="1">
      <c r="P461" s="58"/>
      <c r="Q461" s="58"/>
    </row>
    <row r="462" spans="16:17" ht="11.85" customHeight="1">
      <c r="P462" s="58"/>
      <c r="Q462" s="58"/>
    </row>
    <row r="463" spans="16:17" ht="11.85" customHeight="1">
      <c r="P463" s="58"/>
      <c r="Q463" s="58"/>
    </row>
    <row r="464" spans="16:17" ht="11.85" customHeight="1">
      <c r="P464" s="58"/>
      <c r="Q464" s="58"/>
    </row>
    <row r="465" spans="16:17" ht="11.85" customHeight="1">
      <c r="P465" s="58"/>
      <c r="Q465" s="58"/>
    </row>
    <row r="466" spans="16:17" ht="11.85" customHeight="1">
      <c r="P466" s="58"/>
      <c r="Q466" s="58"/>
    </row>
    <row r="467" spans="16:17" ht="11.85" customHeight="1">
      <c r="P467" s="58"/>
      <c r="Q467" s="58"/>
    </row>
    <row r="468" spans="16:17" ht="11.85" customHeight="1">
      <c r="P468" s="58"/>
      <c r="Q468" s="58"/>
    </row>
    <row r="469" spans="16:17" ht="11.85" customHeight="1">
      <c r="P469" s="58"/>
      <c r="Q469" s="58"/>
    </row>
    <row r="470" spans="16:17" ht="11.85" customHeight="1">
      <c r="P470" s="58"/>
      <c r="Q470" s="58"/>
    </row>
    <row r="471" spans="16:17" ht="11.85" customHeight="1">
      <c r="P471" s="58"/>
      <c r="Q471" s="58"/>
    </row>
    <row r="472" spans="16:17" ht="11.85" customHeight="1">
      <c r="P472" s="58"/>
      <c r="Q472" s="58"/>
    </row>
    <row r="473" spans="16:17" ht="11.85" customHeight="1">
      <c r="P473" s="58"/>
      <c r="Q473" s="58"/>
    </row>
    <row r="474" spans="16:17" ht="11.85" customHeight="1">
      <c r="P474" s="58"/>
      <c r="Q474" s="58"/>
    </row>
    <row r="475" spans="16:17" ht="11.85" customHeight="1">
      <c r="P475" s="58"/>
      <c r="Q475" s="58"/>
    </row>
    <row r="476" spans="16:17" ht="11.85" customHeight="1">
      <c r="P476" s="58"/>
      <c r="Q476" s="58"/>
    </row>
    <row r="477" spans="16:17" ht="11.85" customHeight="1">
      <c r="P477" s="58"/>
      <c r="Q477" s="58"/>
    </row>
    <row r="478" spans="16:17" ht="11.85" customHeight="1">
      <c r="P478" s="58"/>
      <c r="Q478" s="58"/>
    </row>
    <row r="479" spans="16:17" ht="11.85" customHeight="1">
      <c r="P479" s="58"/>
      <c r="Q479" s="58"/>
    </row>
    <row r="480" spans="16:17" ht="11.85" customHeight="1">
      <c r="P480" s="58"/>
      <c r="Q480" s="58"/>
    </row>
    <row r="481" spans="16:17" ht="11.85" customHeight="1">
      <c r="P481" s="58"/>
      <c r="Q481" s="58"/>
    </row>
    <row r="482" spans="16:17" ht="11.85" customHeight="1">
      <c r="P482" s="58"/>
      <c r="Q482" s="58"/>
    </row>
    <row r="483" spans="16:17" ht="11.85" customHeight="1">
      <c r="P483" s="58"/>
      <c r="Q483" s="58"/>
    </row>
    <row r="484" spans="16:17" ht="11.85" customHeight="1">
      <c r="P484" s="58"/>
      <c r="Q484" s="58"/>
    </row>
    <row r="485" spans="16:17" ht="11.85" customHeight="1">
      <c r="P485" s="58"/>
      <c r="Q485" s="58"/>
    </row>
    <row r="486" spans="16:17" ht="11.85" customHeight="1">
      <c r="P486" s="58"/>
      <c r="Q486" s="58"/>
    </row>
    <row r="487" spans="16:17" ht="11.85" customHeight="1">
      <c r="P487" s="58"/>
      <c r="Q487" s="58"/>
    </row>
    <row r="488" spans="16:17" ht="11.85" customHeight="1">
      <c r="P488" s="58"/>
      <c r="Q488" s="58"/>
    </row>
    <row r="489" spans="16:17" ht="11.85" customHeight="1">
      <c r="P489" s="58"/>
      <c r="Q489" s="58"/>
    </row>
    <row r="490" spans="16:17" ht="11.85" customHeight="1">
      <c r="P490" s="58"/>
      <c r="Q490" s="58"/>
    </row>
    <row r="491" spans="16:17" ht="11.85" customHeight="1">
      <c r="P491" s="58"/>
      <c r="Q491" s="58"/>
    </row>
    <row r="492" spans="16:17" ht="11.85" customHeight="1">
      <c r="P492" s="58"/>
      <c r="Q492" s="58"/>
    </row>
    <row r="493" spans="16:17" ht="11.85" customHeight="1">
      <c r="P493" s="58"/>
      <c r="Q493" s="58"/>
    </row>
    <row r="494" spans="16:17" ht="11.85" customHeight="1">
      <c r="P494" s="58"/>
      <c r="Q494" s="58"/>
    </row>
    <row r="495" spans="16:17" ht="11.85" customHeight="1">
      <c r="P495" s="58"/>
      <c r="Q495" s="58"/>
    </row>
    <row r="496" spans="16:17" ht="11.85" customHeight="1">
      <c r="P496" s="58"/>
      <c r="Q496" s="58"/>
    </row>
    <row r="497" spans="16:17" ht="11.85" customHeight="1">
      <c r="P497" s="58"/>
      <c r="Q497" s="58"/>
    </row>
    <row r="498" spans="16:17" ht="11.85" customHeight="1">
      <c r="P498" s="58"/>
      <c r="Q498" s="58"/>
    </row>
    <row r="499" spans="16:17" ht="11.85" customHeight="1">
      <c r="P499" s="58"/>
      <c r="Q499" s="58"/>
    </row>
    <row r="500" spans="16:17" ht="11.85" customHeight="1">
      <c r="P500" s="58"/>
      <c r="Q500" s="58"/>
    </row>
    <row r="501" spans="16:17" ht="11.85" customHeight="1">
      <c r="P501" s="58"/>
      <c r="Q501" s="58"/>
    </row>
    <row r="502" spans="16:17" ht="11.85" customHeight="1">
      <c r="P502" s="58"/>
      <c r="Q502" s="58"/>
    </row>
    <row r="503" spans="16:17" ht="11.85" customHeight="1">
      <c r="P503" s="58"/>
      <c r="Q503" s="58"/>
    </row>
    <row r="504" spans="16:17" ht="11.85" customHeight="1">
      <c r="P504" s="58"/>
      <c r="Q504" s="58"/>
    </row>
    <row r="505" spans="16:17" ht="11.85" customHeight="1">
      <c r="P505" s="58"/>
      <c r="Q505" s="58"/>
    </row>
    <row r="506" spans="16:17" ht="11.85" customHeight="1">
      <c r="P506" s="58"/>
      <c r="Q506" s="58"/>
    </row>
    <row r="507" spans="16:17" ht="11.85" customHeight="1">
      <c r="P507" s="58"/>
      <c r="Q507" s="58"/>
    </row>
    <row r="508" spans="16:17" ht="11.85" customHeight="1">
      <c r="P508" s="58"/>
      <c r="Q508" s="58"/>
    </row>
    <row r="509" spans="16:17" ht="11.85" customHeight="1">
      <c r="P509" s="58"/>
      <c r="Q509" s="58"/>
    </row>
    <row r="510" spans="16:17" ht="11.85" customHeight="1">
      <c r="P510" s="58"/>
      <c r="Q510" s="58"/>
    </row>
    <row r="511" spans="16:17" ht="11.85" customHeight="1">
      <c r="P511" s="58"/>
      <c r="Q511" s="58"/>
    </row>
    <row r="512" spans="16:17" ht="11.85" customHeight="1">
      <c r="P512" s="58"/>
      <c r="Q512" s="58"/>
    </row>
    <row r="513" spans="16:17" ht="11.85" customHeight="1">
      <c r="P513" s="58"/>
      <c r="Q513" s="58"/>
    </row>
    <row r="514" spans="16:17" ht="11.85" customHeight="1">
      <c r="P514" s="58"/>
      <c r="Q514" s="58"/>
    </row>
    <row r="515" spans="16:17" ht="11.85" customHeight="1">
      <c r="P515" s="58"/>
      <c r="Q515" s="58"/>
    </row>
    <row r="516" spans="16:17" ht="11.85" customHeight="1">
      <c r="P516" s="58"/>
      <c r="Q516" s="58"/>
    </row>
    <row r="517" spans="16:17" ht="11.85" customHeight="1">
      <c r="P517" s="58"/>
      <c r="Q517" s="58"/>
    </row>
    <row r="518" spans="16:17" ht="11.85" customHeight="1">
      <c r="P518" s="58"/>
      <c r="Q518" s="58"/>
    </row>
    <row r="519" spans="16:17" ht="11.85" customHeight="1">
      <c r="P519" s="58"/>
      <c r="Q519" s="58"/>
    </row>
    <row r="520" spans="16:17" ht="11.85" customHeight="1">
      <c r="P520" s="58"/>
      <c r="Q520" s="58"/>
    </row>
    <row r="521" spans="16:17" ht="11.85" customHeight="1">
      <c r="P521" s="58"/>
      <c r="Q521" s="58"/>
    </row>
    <row r="522" spans="16:17" ht="11.85" customHeight="1">
      <c r="P522" s="58"/>
      <c r="Q522" s="58"/>
    </row>
    <row r="523" spans="16:17" ht="11.85" customHeight="1">
      <c r="P523" s="58"/>
      <c r="Q523" s="58"/>
    </row>
    <row r="524" spans="16:17" ht="11.85" customHeight="1">
      <c r="P524" s="58"/>
      <c r="Q524" s="58"/>
    </row>
    <row r="525" spans="16:17" ht="11.85" customHeight="1">
      <c r="P525" s="58"/>
      <c r="Q525" s="58"/>
    </row>
    <row r="526" spans="16:17" ht="11.85" customHeight="1">
      <c r="P526" s="58"/>
      <c r="Q526" s="58"/>
    </row>
    <row r="527" spans="16:17" ht="11.85" customHeight="1">
      <c r="P527" s="58"/>
      <c r="Q527" s="58"/>
    </row>
    <row r="528" spans="16:17" ht="11.85" customHeight="1">
      <c r="P528" s="58"/>
      <c r="Q528" s="58"/>
    </row>
    <row r="529" spans="16:17" ht="11.85" customHeight="1">
      <c r="P529" s="58"/>
      <c r="Q529" s="58"/>
    </row>
    <row r="530" spans="16:17" ht="11.85" customHeight="1">
      <c r="P530" s="58"/>
      <c r="Q530" s="58"/>
    </row>
    <row r="531" spans="16:17" ht="11.85" customHeight="1">
      <c r="P531" s="58"/>
      <c r="Q531" s="58"/>
    </row>
    <row r="532" spans="16:17" ht="11.85" customHeight="1">
      <c r="P532" s="58"/>
      <c r="Q532" s="58"/>
    </row>
    <row r="533" spans="16:17" ht="11.85" customHeight="1">
      <c r="P533" s="58"/>
      <c r="Q533" s="58"/>
    </row>
    <row r="534" spans="16:17" ht="11.85" customHeight="1">
      <c r="P534" s="58"/>
      <c r="Q534" s="58"/>
    </row>
    <row r="535" spans="16:17" ht="11.85" customHeight="1">
      <c r="P535" s="58"/>
      <c r="Q535" s="58"/>
    </row>
    <row r="536" spans="16:17" ht="11.85" customHeight="1">
      <c r="P536" s="58"/>
      <c r="Q536" s="58"/>
    </row>
    <row r="537" spans="16:17" ht="11.85" customHeight="1">
      <c r="P537" s="58"/>
      <c r="Q537" s="58"/>
    </row>
    <row r="538" spans="16:17" ht="11.85" customHeight="1">
      <c r="P538" s="58"/>
      <c r="Q538" s="58"/>
    </row>
    <row r="539" spans="16:17" ht="11.85" customHeight="1">
      <c r="P539" s="58"/>
      <c r="Q539" s="58"/>
    </row>
    <row r="540" spans="16:17" ht="11.85" customHeight="1">
      <c r="P540" s="58"/>
      <c r="Q540" s="58"/>
    </row>
    <row r="541" spans="16:17" ht="11.85" customHeight="1">
      <c r="P541" s="58"/>
      <c r="Q541" s="58"/>
    </row>
    <row r="542" spans="16:17" ht="11.85" customHeight="1">
      <c r="P542" s="58"/>
      <c r="Q542" s="58"/>
    </row>
    <row r="543" spans="16:17" ht="11.85" customHeight="1">
      <c r="P543" s="58"/>
      <c r="Q543" s="58"/>
    </row>
    <row r="544" spans="16:17" ht="11.85" customHeight="1">
      <c r="P544" s="58"/>
      <c r="Q544" s="58"/>
    </row>
    <row r="545" spans="16:17" ht="11.85" customHeight="1">
      <c r="P545" s="58"/>
      <c r="Q545" s="58"/>
    </row>
    <row r="546" spans="16:17" ht="11.85" customHeight="1">
      <c r="P546" s="58"/>
      <c r="Q546" s="58"/>
    </row>
    <row r="547" spans="16:17" ht="11.85" customHeight="1">
      <c r="P547" s="58"/>
      <c r="Q547" s="58"/>
    </row>
    <row r="548" spans="16:17" ht="11.85" customHeight="1">
      <c r="P548" s="58"/>
      <c r="Q548" s="58"/>
    </row>
    <row r="549" spans="16:17" ht="11.85" customHeight="1">
      <c r="P549" s="58"/>
      <c r="Q549" s="58"/>
    </row>
    <row r="550" spans="16:17" ht="11.85" customHeight="1">
      <c r="P550" s="58"/>
      <c r="Q550" s="58"/>
    </row>
    <row r="551" spans="16:17" ht="11.85" customHeight="1">
      <c r="P551" s="58"/>
      <c r="Q551" s="58"/>
    </row>
    <row r="552" spans="16:17" ht="11.85" customHeight="1">
      <c r="P552" s="58"/>
      <c r="Q552" s="58"/>
    </row>
    <row r="553" spans="16:17" ht="11.85" customHeight="1">
      <c r="P553" s="58"/>
      <c r="Q553" s="58"/>
    </row>
    <row r="554" spans="16:17" ht="11.85" customHeight="1">
      <c r="P554" s="58"/>
      <c r="Q554" s="58"/>
    </row>
    <row r="555" spans="16:17" ht="11.85" customHeight="1">
      <c r="P555" s="58"/>
      <c r="Q555" s="58"/>
    </row>
    <row r="556" spans="16:17" ht="11.85" customHeight="1">
      <c r="P556" s="58"/>
      <c r="Q556" s="58"/>
    </row>
    <row r="557" spans="16:17" ht="11.85" customHeight="1">
      <c r="P557" s="58"/>
      <c r="Q557" s="58"/>
    </row>
    <row r="558" spans="16:17" ht="11.85" customHeight="1">
      <c r="P558" s="58"/>
      <c r="Q558" s="58"/>
    </row>
    <row r="559" spans="16:17" ht="11.85" customHeight="1">
      <c r="P559" s="58"/>
      <c r="Q559" s="58"/>
    </row>
    <row r="560" spans="16:17" ht="11.85" customHeight="1">
      <c r="P560" s="58"/>
      <c r="Q560" s="58"/>
    </row>
    <row r="561" spans="16:17" ht="11.85" customHeight="1">
      <c r="P561" s="58"/>
      <c r="Q561" s="58"/>
    </row>
    <row r="562" spans="16:17" ht="11.85" customHeight="1">
      <c r="P562" s="58"/>
      <c r="Q562" s="58"/>
    </row>
    <row r="563" spans="16:17" ht="11.85" customHeight="1">
      <c r="P563" s="58"/>
      <c r="Q563" s="58"/>
    </row>
    <row r="564" spans="16:17" ht="11.85" customHeight="1">
      <c r="P564" s="58"/>
      <c r="Q564" s="58"/>
    </row>
    <row r="565" spans="16:17" ht="11.85" customHeight="1">
      <c r="P565" s="58"/>
      <c r="Q565" s="58"/>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6"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workbookViewId="0">
      <selection activeCell="F49" sqref="F49"/>
    </sheetView>
  </sheetViews>
  <sheetFormatPr defaultRowHeight="12.75"/>
  <cols>
    <col min="1" max="1" width="5.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1" t="s">
        <v>1320</v>
      </c>
      <c r="B1" s="4"/>
      <c r="C1" s="4"/>
      <c r="D1" s="4"/>
      <c r="E1" s="4"/>
      <c r="F1" s="4"/>
      <c r="G1" s="4"/>
      <c r="H1" s="4"/>
      <c r="I1" s="4"/>
      <c r="J1" s="4"/>
      <c r="K1" s="4"/>
      <c r="L1" s="4"/>
      <c r="M1" s="4"/>
    </row>
    <row r="2" spans="1:15">
      <c r="A2" s="41" t="s">
        <v>1680</v>
      </c>
      <c r="B2" s="4"/>
      <c r="C2" s="4"/>
      <c r="D2" s="4"/>
      <c r="E2" s="4"/>
      <c r="F2" s="4"/>
      <c r="G2" s="4"/>
      <c r="H2" s="4"/>
      <c r="I2" s="4"/>
      <c r="J2" s="4"/>
      <c r="K2" s="4"/>
      <c r="L2" s="4"/>
      <c r="M2" s="4"/>
    </row>
    <row r="3" spans="1:15">
      <c r="A3" s="9" t="s">
        <v>1291</v>
      </c>
      <c r="B3" s="4"/>
      <c r="C3" s="4"/>
      <c r="D3" s="4"/>
      <c r="E3" s="4"/>
      <c r="F3" s="4"/>
      <c r="G3" s="4"/>
      <c r="H3" s="4"/>
      <c r="I3" s="4"/>
      <c r="J3" s="4"/>
      <c r="K3" s="4"/>
      <c r="L3" s="4"/>
      <c r="M3" s="4"/>
    </row>
    <row r="4" spans="1:15" ht="13.5" thickBot="1">
      <c r="A4" s="39"/>
      <c r="B4" s="43"/>
      <c r="C4" s="4"/>
      <c r="D4" s="4"/>
      <c r="E4" s="4"/>
      <c r="F4" s="4"/>
      <c r="G4" s="4"/>
      <c r="H4" s="4"/>
      <c r="I4" s="4"/>
      <c r="J4" s="4"/>
      <c r="K4" s="4"/>
      <c r="L4" s="4"/>
      <c r="M4" s="4"/>
    </row>
    <row r="5" spans="1:15" ht="45.75"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row>
    <row r="6" spans="1:15" ht="12.75" customHeight="1">
      <c r="A6" s="437"/>
      <c r="B6" s="438"/>
      <c r="C6" s="438"/>
      <c r="D6" s="438"/>
      <c r="E6" s="438"/>
      <c r="F6" s="438"/>
      <c r="G6" s="438"/>
      <c r="H6" s="438"/>
      <c r="I6" s="438"/>
      <c r="J6" s="438"/>
      <c r="K6" s="438"/>
      <c r="L6" s="438"/>
      <c r="M6" s="438"/>
    </row>
    <row r="7" spans="1:15" ht="15" customHeight="1">
      <c r="A7" s="17">
        <v>1</v>
      </c>
      <c r="B7" s="4" t="s">
        <v>401</v>
      </c>
      <c r="C7" s="45">
        <v>11303</v>
      </c>
      <c r="D7" s="45" t="s">
        <v>1378</v>
      </c>
      <c r="E7" s="45">
        <v>69</v>
      </c>
      <c r="F7" s="45">
        <v>33</v>
      </c>
      <c r="G7" s="45" t="s">
        <v>1378</v>
      </c>
      <c r="H7" s="45" t="s">
        <v>1378</v>
      </c>
      <c r="I7" s="45"/>
      <c r="J7" s="45">
        <v>747</v>
      </c>
      <c r="K7" s="45" t="s">
        <v>1378</v>
      </c>
      <c r="L7" s="45" t="s">
        <v>1378</v>
      </c>
      <c r="M7" s="6">
        <f t="shared" ref="M7:M33" si="0">SUM(C7:L7)</f>
        <v>12152</v>
      </c>
    </row>
    <row r="8" spans="1:15">
      <c r="A8" s="17">
        <v>2</v>
      </c>
      <c r="B8" s="4" t="s">
        <v>402</v>
      </c>
      <c r="C8" s="45">
        <v>11715</v>
      </c>
      <c r="D8" s="45" t="s">
        <v>1378</v>
      </c>
      <c r="E8" s="45">
        <v>2</v>
      </c>
      <c r="F8" s="45">
        <v>289</v>
      </c>
      <c r="G8" s="45" t="s">
        <v>1378</v>
      </c>
      <c r="H8" s="45" t="s">
        <v>1378</v>
      </c>
      <c r="I8" s="45" t="s">
        <v>1378</v>
      </c>
      <c r="J8" s="45" t="s">
        <v>1378</v>
      </c>
      <c r="K8" s="45" t="s">
        <v>1378</v>
      </c>
      <c r="L8" s="45" t="s">
        <v>1378</v>
      </c>
      <c r="M8" s="6">
        <f t="shared" si="0"/>
        <v>12006</v>
      </c>
      <c r="O8" s="6"/>
    </row>
    <row r="9" spans="1:15">
      <c r="A9" s="17">
        <v>3</v>
      </c>
      <c r="B9" s="4" t="s">
        <v>207</v>
      </c>
      <c r="C9" s="45">
        <v>7805</v>
      </c>
      <c r="D9" s="45" t="s">
        <v>1378</v>
      </c>
      <c r="E9" s="45">
        <v>1630</v>
      </c>
      <c r="F9" s="45" t="s">
        <v>1378</v>
      </c>
      <c r="G9" s="45" t="s">
        <v>1378</v>
      </c>
      <c r="H9" s="45" t="s">
        <v>1378</v>
      </c>
      <c r="I9" s="45" t="s">
        <v>1378</v>
      </c>
      <c r="J9" s="45" t="s">
        <v>1378</v>
      </c>
      <c r="K9" s="45" t="s">
        <v>1378</v>
      </c>
      <c r="L9" s="45" t="s">
        <v>1378</v>
      </c>
      <c r="M9" s="6">
        <f t="shared" si="0"/>
        <v>9435</v>
      </c>
      <c r="O9" s="6"/>
    </row>
    <row r="10" spans="1:15">
      <c r="A10" s="17">
        <v>4</v>
      </c>
      <c r="B10" s="4" t="s">
        <v>1267</v>
      </c>
      <c r="C10" s="45">
        <v>45</v>
      </c>
      <c r="D10" s="45" t="s">
        <v>1378</v>
      </c>
      <c r="E10" s="45">
        <v>33600</v>
      </c>
      <c r="F10" s="45" t="s">
        <v>1378</v>
      </c>
      <c r="G10" s="45" t="s">
        <v>1378</v>
      </c>
      <c r="H10" s="45" t="s">
        <v>1378</v>
      </c>
      <c r="I10" s="45" t="s">
        <v>1378</v>
      </c>
      <c r="J10" s="45" t="s">
        <v>1378</v>
      </c>
      <c r="K10" s="45" t="s">
        <v>1378</v>
      </c>
      <c r="L10" s="45" t="s">
        <v>1378</v>
      </c>
      <c r="M10" s="6">
        <f t="shared" si="0"/>
        <v>33645</v>
      </c>
      <c r="O10" s="6"/>
    </row>
    <row r="11" spans="1:15">
      <c r="A11" s="17">
        <v>5</v>
      </c>
      <c r="B11" s="4" t="s">
        <v>1183</v>
      </c>
      <c r="C11" s="45">
        <v>1666</v>
      </c>
      <c r="D11" s="45">
        <v>148</v>
      </c>
      <c r="E11" s="45">
        <v>1</v>
      </c>
      <c r="F11" s="45" t="s">
        <v>1378</v>
      </c>
      <c r="G11" s="45" t="s">
        <v>1378</v>
      </c>
      <c r="H11" s="45" t="s">
        <v>1378</v>
      </c>
      <c r="I11" s="45" t="s">
        <v>1378</v>
      </c>
      <c r="J11" s="45" t="s">
        <v>1378</v>
      </c>
      <c r="K11" s="45" t="s">
        <v>1378</v>
      </c>
      <c r="L11" s="45" t="s">
        <v>1378</v>
      </c>
      <c r="M11" s="6">
        <f t="shared" si="0"/>
        <v>1815</v>
      </c>
      <c r="O11" s="6"/>
    </row>
    <row r="12" spans="1:15">
      <c r="A12" s="17">
        <v>6</v>
      </c>
      <c r="B12" s="4" t="s">
        <v>1292</v>
      </c>
      <c r="C12" s="45">
        <v>188</v>
      </c>
      <c r="D12" s="45">
        <v>41250</v>
      </c>
      <c r="E12" s="45" t="s">
        <v>1378</v>
      </c>
      <c r="F12" s="45">
        <v>668</v>
      </c>
      <c r="G12" s="45" t="s">
        <v>1378</v>
      </c>
      <c r="H12" s="45" t="s">
        <v>1378</v>
      </c>
      <c r="I12" s="45" t="s">
        <v>1378</v>
      </c>
      <c r="J12" s="45" t="s">
        <v>1378</v>
      </c>
      <c r="K12" s="45" t="s">
        <v>1378</v>
      </c>
      <c r="L12" s="45" t="s">
        <v>1378</v>
      </c>
      <c r="M12" s="6">
        <f t="shared" si="0"/>
        <v>42106</v>
      </c>
      <c r="O12" s="6"/>
    </row>
    <row r="13" spans="1:15">
      <c r="A13" s="17">
        <v>7</v>
      </c>
      <c r="B13" s="4" t="s">
        <v>1269</v>
      </c>
      <c r="C13" s="45">
        <v>29344</v>
      </c>
      <c r="D13" s="45">
        <v>53</v>
      </c>
      <c r="E13" s="45">
        <v>161</v>
      </c>
      <c r="F13" s="45">
        <v>15</v>
      </c>
      <c r="G13" s="45" t="s">
        <v>1378</v>
      </c>
      <c r="H13" s="45" t="s">
        <v>1378</v>
      </c>
      <c r="I13" s="45" t="s">
        <v>1378</v>
      </c>
      <c r="J13" s="45">
        <v>27</v>
      </c>
      <c r="K13" s="45" t="s">
        <v>1378</v>
      </c>
      <c r="L13" s="45" t="s">
        <v>1378</v>
      </c>
      <c r="M13" s="6">
        <f t="shared" si="0"/>
        <v>29600</v>
      </c>
      <c r="O13" s="6"/>
    </row>
    <row r="14" spans="1:15">
      <c r="A14" s="17">
        <v>8</v>
      </c>
      <c r="B14" s="4" t="s">
        <v>1231</v>
      </c>
      <c r="C14" s="45">
        <v>11</v>
      </c>
      <c r="D14" s="45" t="s">
        <v>1378</v>
      </c>
      <c r="E14" s="45">
        <v>765</v>
      </c>
      <c r="F14" s="45" t="s">
        <v>1378</v>
      </c>
      <c r="G14" s="45" t="s">
        <v>1378</v>
      </c>
      <c r="H14" s="45" t="s">
        <v>1378</v>
      </c>
      <c r="I14" s="45" t="s">
        <v>1378</v>
      </c>
      <c r="J14" s="45" t="s">
        <v>1378</v>
      </c>
      <c r="K14" s="45" t="s">
        <v>1378</v>
      </c>
      <c r="L14" s="45">
        <v>5746</v>
      </c>
      <c r="M14" s="6">
        <f t="shared" si="0"/>
        <v>6522</v>
      </c>
      <c r="O14" s="6"/>
    </row>
    <row r="15" spans="1:15">
      <c r="A15" s="17">
        <v>9</v>
      </c>
      <c r="B15" s="4" t="s">
        <v>1271</v>
      </c>
      <c r="C15" s="45">
        <v>1733</v>
      </c>
      <c r="D15" s="45" t="s">
        <v>1378</v>
      </c>
      <c r="E15" s="45" t="s">
        <v>1378</v>
      </c>
      <c r="F15" s="45" t="s">
        <v>1378</v>
      </c>
      <c r="G15" s="45" t="s">
        <v>1378</v>
      </c>
      <c r="H15" s="45">
        <v>154</v>
      </c>
      <c r="I15" s="45">
        <v>26024</v>
      </c>
      <c r="J15" s="45" t="s">
        <v>1378</v>
      </c>
      <c r="K15" s="45"/>
      <c r="L15" s="45">
        <v>25154</v>
      </c>
      <c r="M15" s="6">
        <f t="shared" si="0"/>
        <v>53065</v>
      </c>
      <c r="O15" s="6"/>
    </row>
    <row r="16" spans="1:15">
      <c r="A16" s="17">
        <v>10</v>
      </c>
      <c r="B16" s="4" t="s">
        <v>1272</v>
      </c>
      <c r="C16" s="45">
        <v>18</v>
      </c>
      <c r="D16" s="45" t="s">
        <v>1378</v>
      </c>
      <c r="E16" s="45" t="s">
        <v>1378</v>
      </c>
      <c r="F16" s="45" t="s">
        <v>1378</v>
      </c>
      <c r="G16" s="45" t="s">
        <v>1378</v>
      </c>
      <c r="H16" s="45" t="s">
        <v>1378</v>
      </c>
      <c r="I16" s="45" t="s">
        <v>1378</v>
      </c>
      <c r="J16" s="45" t="s">
        <v>1378</v>
      </c>
      <c r="K16" s="45" t="s">
        <v>1378</v>
      </c>
      <c r="L16" s="45">
        <v>109951</v>
      </c>
      <c r="M16" s="6">
        <f t="shared" si="0"/>
        <v>109969</v>
      </c>
      <c r="O16" s="6"/>
    </row>
    <row r="17" spans="1:15">
      <c r="A17" s="17">
        <v>11</v>
      </c>
      <c r="B17" s="4" t="s">
        <v>1273</v>
      </c>
      <c r="C17" s="45" t="s">
        <v>1378</v>
      </c>
      <c r="D17" s="45" t="s">
        <v>1378</v>
      </c>
      <c r="E17" s="45" t="s">
        <v>1378</v>
      </c>
      <c r="F17" s="45" t="s">
        <v>1378</v>
      </c>
      <c r="G17" s="45" t="s">
        <v>1378</v>
      </c>
      <c r="H17" s="45" t="s">
        <v>1378</v>
      </c>
      <c r="I17" s="45" t="s">
        <v>1378</v>
      </c>
      <c r="J17" s="45" t="s">
        <v>1378</v>
      </c>
      <c r="K17" s="45" t="s">
        <v>1378</v>
      </c>
      <c r="L17" s="45">
        <v>42304</v>
      </c>
      <c r="M17" s="6">
        <f t="shared" si="0"/>
        <v>42304</v>
      </c>
      <c r="O17" s="6"/>
    </row>
    <row r="18" spans="1:15">
      <c r="A18" s="17">
        <v>12</v>
      </c>
      <c r="B18" s="4" t="s">
        <v>593</v>
      </c>
      <c r="C18" s="45" t="s">
        <v>1378</v>
      </c>
      <c r="D18" s="45" t="s">
        <v>1378</v>
      </c>
      <c r="E18" s="45" t="s">
        <v>1378</v>
      </c>
      <c r="F18" s="45" t="s">
        <v>1378</v>
      </c>
      <c r="G18" s="45" t="s">
        <v>1378</v>
      </c>
      <c r="H18" s="45" t="s">
        <v>1378</v>
      </c>
      <c r="I18" s="45" t="s">
        <v>1378</v>
      </c>
      <c r="J18" s="45" t="s">
        <v>1378</v>
      </c>
      <c r="K18" s="45" t="s">
        <v>1378</v>
      </c>
      <c r="L18" s="45">
        <v>68080</v>
      </c>
      <c r="M18" s="6">
        <f t="shared" si="0"/>
        <v>68080</v>
      </c>
      <c r="O18" s="6"/>
    </row>
    <row r="19" spans="1:15">
      <c r="A19" s="17">
        <v>13</v>
      </c>
      <c r="B19" s="4" t="s">
        <v>1293</v>
      </c>
      <c r="C19" s="45">
        <v>273</v>
      </c>
      <c r="D19" s="45" t="s">
        <v>1378</v>
      </c>
      <c r="E19" s="45">
        <v>86</v>
      </c>
      <c r="F19" s="45">
        <v>106</v>
      </c>
      <c r="G19" s="45" t="s">
        <v>1378</v>
      </c>
      <c r="H19" s="45">
        <v>15</v>
      </c>
      <c r="I19" s="45">
        <v>38</v>
      </c>
      <c r="J19" s="45">
        <v>78</v>
      </c>
      <c r="K19" s="45">
        <v>86</v>
      </c>
      <c r="L19" s="45">
        <v>4651</v>
      </c>
      <c r="M19" s="6">
        <f t="shared" si="0"/>
        <v>5333</v>
      </c>
      <c r="O19" s="6"/>
    </row>
    <row r="20" spans="1:15">
      <c r="A20" s="17">
        <v>14</v>
      </c>
      <c r="B20" s="4" t="s">
        <v>595</v>
      </c>
      <c r="C20" s="45">
        <v>7428</v>
      </c>
      <c r="D20" s="45" t="s">
        <v>1378</v>
      </c>
      <c r="E20" s="45" t="s">
        <v>1378</v>
      </c>
      <c r="F20" s="45">
        <v>1376</v>
      </c>
      <c r="G20" s="45" t="s">
        <v>1378</v>
      </c>
      <c r="H20" s="45" t="s">
        <v>1378</v>
      </c>
      <c r="I20" s="45" t="s">
        <v>1378</v>
      </c>
      <c r="J20" s="45" t="s">
        <v>1378</v>
      </c>
      <c r="K20" s="45">
        <v>1</v>
      </c>
      <c r="L20" s="45">
        <v>51814</v>
      </c>
      <c r="M20" s="6">
        <f t="shared" si="0"/>
        <v>60619</v>
      </c>
      <c r="O20" s="6"/>
    </row>
    <row r="21" spans="1:15">
      <c r="A21" s="17">
        <v>15</v>
      </c>
      <c r="B21" s="4" t="s">
        <v>596</v>
      </c>
      <c r="C21" s="45" t="s">
        <v>1378</v>
      </c>
      <c r="D21" s="45" t="s">
        <v>1378</v>
      </c>
      <c r="E21" s="45" t="s">
        <v>1378</v>
      </c>
      <c r="F21" s="45" t="s">
        <v>1378</v>
      </c>
      <c r="G21" s="45" t="s">
        <v>1378</v>
      </c>
      <c r="H21" s="45" t="s">
        <v>1378</v>
      </c>
      <c r="I21" s="45" t="s">
        <v>1378</v>
      </c>
      <c r="J21" s="45">
        <v>30</v>
      </c>
      <c r="K21" s="45">
        <v>20992</v>
      </c>
      <c r="L21" s="45" t="s">
        <v>1378</v>
      </c>
      <c r="M21" s="6">
        <f t="shared" si="0"/>
        <v>21022</v>
      </c>
      <c r="O21" s="6"/>
    </row>
    <row r="22" spans="1:15">
      <c r="A22" s="17">
        <v>16</v>
      </c>
      <c r="B22" s="4" t="s">
        <v>73</v>
      </c>
      <c r="C22" s="45">
        <v>8581</v>
      </c>
      <c r="D22" s="45">
        <v>27</v>
      </c>
      <c r="E22" s="45" t="s">
        <v>1378</v>
      </c>
      <c r="F22" s="45">
        <v>193</v>
      </c>
      <c r="G22" s="45">
        <v>24</v>
      </c>
      <c r="H22" s="45" t="s">
        <v>1378</v>
      </c>
      <c r="I22" s="45" t="s">
        <v>1378</v>
      </c>
      <c r="J22" s="45" t="s">
        <v>1378</v>
      </c>
      <c r="K22" s="45">
        <v>40438</v>
      </c>
      <c r="L22" s="45" t="s">
        <v>1378</v>
      </c>
      <c r="M22" s="6">
        <f t="shared" si="0"/>
        <v>49263</v>
      </c>
      <c r="O22" s="6"/>
    </row>
    <row r="23" spans="1:15">
      <c r="A23" s="17">
        <v>17</v>
      </c>
      <c r="B23" s="4" t="s">
        <v>74</v>
      </c>
      <c r="C23" s="45">
        <v>6260</v>
      </c>
      <c r="D23" s="45" t="s">
        <v>1378</v>
      </c>
      <c r="E23" s="45" t="s">
        <v>1378</v>
      </c>
      <c r="F23" s="45">
        <v>65</v>
      </c>
      <c r="G23" s="45">
        <v>25</v>
      </c>
      <c r="H23" s="45">
        <v>44</v>
      </c>
      <c r="I23" s="45" t="s">
        <v>1378</v>
      </c>
      <c r="J23" s="45">
        <v>3779</v>
      </c>
      <c r="K23" s="45">
        <v>96</v>
      </c>
      <c r="L23" s="45" t="s">
        <v>1378</v>
      </c>
      <c r="M23" s="6">
        <f t="shared" si="0"/>
        <v>10269</v>
      </c>
      <c r="O23" s="6"/>
    </row>
    <row r="24" spans="1:15" ht="22.5">
      <c r="A24" s="195">
        <v>18</v>
      </c>
      <c r="B24" s="82" t="s">
        <v>75</v>
      </c>
      <c r="C24" s="45">
        <v>9</v>
      </c>
      <c r="D24" s="45" t="s">
        <v>1378</v>
      </c>
      <c r="E24" s="45" t="s">
        <v>1378</v>
      </c>
      <c r="F24" s="45">
        <v>659</v>
      </c>
      <c r="G24" s="45">
        <v>7</v>
      </c>
      <c r="H24" s="45">
        <v>1231</v>
      </c>
      <c r="I24" s="45" t="s">
        <v>1378</v>
      </c>
      <c r="J24" s="45" t="s">
        <v>1378</v>
      </c>
      <c r="K24" s="45" t="s">
        <v>1378</v>
      </c>
      <c r="L24" s="45" t="s">
        <v>1378</v>
      </c>
      <c r="M24" s="6">
        <f t="shared" si="0"/>
        <v>1906</v>
      </c>
      <c r="O24" s="6"/>
    </row>
    <row r="25" spans="1:15">
      <c r="A25" s="17">
        <v>19</v>
      </c>
      <c r="B25" s="4" t="s">
        <v>76</v>
      </c>
      <c r="C25" s="45">
        <v>746</v>
      </c>
      <c r="D25" s="45" t="s">
        <v>1378</v>
      </c>
      <c r="E25" s="45" t="s">
        <v>1378</v>
      </c>
      <c r="F25" s="45">
        <v>2450</v>
      </c>
      <c r="G25" s="45" t="s">
        <v>1378</v>
      </c>
      <c r="H25" s="45">
        <v>8</v>
      </c>
      <c r="I25" s="45" t="s">
        <v>1378</v>
      </c>
      <c r="J25" s="45" t="s">
        <v>1378</v>
      </c>
      <c r="K25" s="45" t="s">
        <v>1378</v>
      </c>
      <c r="L25" s="45" t="s">
        <v>1378</v>
      </c>
      <c r="M25" s="6">
        <f t="shared" si="0"/>
        <v>3204</v>
      </c>
      <c r="O25" s="6"/>
    </row>
    <row r="26" spans="1:15">
      <c r="A26" s="17">
        <v>20</v>
      </c>
      <c r="B26" s="4" t="s">
        <v>1225</v>
      </c>
      <c r="C26" s="45">
        <v>128</v>
      </c>
      <c r="D26" s="45" t="s">
        <v>1378</v>
      </c>
      <c r="E26" s="45" t="s">
        <v>1378</v>
      </c>
      <c r="F26" s="45">
        <v>1490</v>
      </c>
      <c r="G26" s="45">
        <v>3524</v>
      </c>
      <c r="H26" s="45">
        <v>19</v>
      </c>
      <c r="I26" s="45" t="s">
        <v>1378</v>
      </c>
      <c r="J26" s="45" t="s">
        <v>1378</v>
      </c>
      <c r="K26" s="45" t="s">
        <v>1378</v>
      </c>
      <c r="L26" s="45" t="s">
        <v>1378</v>
      </c>
      <c r="M26" s="6">
        <f t="shared" si="0"/>
        <v>5161</v>
      </c>
      <c r="O26" s="6"/>
    </row>
    <row r="27" spans="1:15">
      <c r="A27" s="17">
        <v>21</v>
      </c>
      <c r="B27" s="4" t="s">
        <v>77</v>
      </c>
      <c r="C27" s="45">
        <v>218</v>
      </c>
      <c r="D27" s="45" t="s">
        <v>1378</v>
      </c>
      <c r="E27" s="45" t="s">
        <v>1378</v>
      </c>
      <c r="F27" s="45">
        <v>1923</v>
      </c>
      <c r="G27" s="45" t="s">
        <v>1378</v>
      </c>
      <c r="H27" s="45">
        <v>904</v>
      </c>
      <c r="I27" s="45" t="s">
        <v>1378</v>
      </c>
      <c r="J27" s="45" t="s">
        <v>1378</v>
      </c>
      <c r="K27" s="45" t="s">
        <v>1378</v>
      </c>
      <c r="L27" s="45" t="s">
        <v>1378</v>
      </c>
      <c r="M27" s="6">
        <f t="shared" si="0"/>
        <v>3045</v>
      </c>
      <c r="O27" s="6"/>
    </row>
    <row r="28" spans="1:15">
      <c r="A28" s="17">
        <v>22</v>
      </c>
      <c r="B28" s="4" t="s">
        <v>78</v>
      </c>
      <c r="C28" s="45">
        <v>1051</v>
      </c>
      <c r="D28" s="45" t="s">
        <v>1378</v>
      </c>
      <c r="E28" s="45" t="s">
        <v>1378</v>
      </c>
      <c r="F28" s="45">
        <v>39518</v>
      </c>
      <c r="G28" s="45" t="s">
        <v>1378</v>
      </c>
      <c r="H28" s="45" t="s">
        <v>1378</v>
      </c>
      <c r="I28" s="45" t="s">
        <v>1378</v>
      </c>
      <c r="J28" s="45" t="s">
        <v>1378</v>
      </c>
      <c r="K28" s="45" t="s">
        <v>1378</v>
      </c>
      <c r="L28" s="45" t="s">
        <v>1378</v>
      </c>
      <c r="M28" s="6">
        <f t="shared" si="0"/>
        <v>40569</v>
      </c>
      <c r="O28" s="6"/>
    </row>
    <row r="29" spans="1:15" ht="22.5">
      <c r="A29" s="195">
        <v>23</v>
      </c>
      <c r="B29" s="82" t="s">
        <v>1086</v>
      </c>
      <c r="C29" s="45">
        <v>83</v>
      </c>
      <c r="D29" s="45" t="s">
        <v>1378</v>
      </c>
      <c r="E29" s="45">
        <v>3</v>
      </c>
      <c r="F29" s="45">
        <v>14612</v>
      </c>
      <c r="G29" s="45">
        <v>51</v>
      </c>
      <c r="H29" s="45" t="s">
        <v>1378</v>
      </c>
      <c r="I29" s="45" t="s">
        <v>1378</v>
      </c>
      <c r="J29" s="45">
        <v>120</v>
      </c>
      <c r="K29" s="45">
        <v>1503</v>
      </c>
      <c r="L29" s="45" t="s">
        <v>1378</v>
      </c>
      <c r="M29" s="6">
        <f t="shared" si="0"/>
        <v>16372</v>
      </c>
      <c r="O29" s="6"/>
    </row>
    <row r="30" spans="1:15">
      <c r="A30" s="17">
        <v>24</v>
      </c>
      <c r="B30" s="4" t="s">
        <v>1087</v>
      </c>
      <c r="C30" s="45">
        <v>2510</v>
      </c>
      <c r="D30" s="45" t="s">
        <v>1378</v>
      </c>
      <c r="E30" s="45" t="s">
        <v>1378</v>
      </c>
      <c r="F30" s="45">
        <v>4055</v>
      </c>
      <c r="G30" s="45" t="s">
        <v>1378</v>
      </c>
      <c r="H30" s="45" t="s">
        <v>1378</v>
      </c>
      <c r="I30" s="45" t="s">
        <v>1378</v>
      </c>
      <c r="J30" s="45" t="s">
        <v>1378</v>
      </c>
      <c r="K30" s="45" t="s">
        <v>1378</v>
      </c>
      <c r="L30" s="45" t="s">
        <v>1378</v>
      </c>
      <c r="M30" s="6">
        <f t="shared" si="0"/>
        <v>6565</v>
      </c>
      <c r="O30" s="6"/>
    </row>
    <row r="31" spans="1:15">
      <c r="A31" s="17">
        <v>25</v>
      </c>
      <c r="B31" s="4" t="s">
        <v>1088</v>
      </c>
      <c r="C31" s="45">
        <v>81589</v>
      </c>
      <c r="D31" s="45" t="s">
        <v>1378</v>
      </c>
      <c r="E31" s="45" t="s">
        <v>1378</v>
      </c>
      <c r="F31" s="45" t="s">
        <v>1378</v>
      </c>
      <c r="G31" s="45" t="s">
        <v>1378</v>
      </c>
      <c r="H31" s="45" t="s">
        <v>1378</v>
      </c>
      <c r="I31" s="45" t="s">
        <v>1378</v>
      </c>
      <c r="J31" s="45">
        <v>25</v>
      </c>
      <c r="K31" s="45" t="s">
        <v>1378</v>
      </c>
      <c r="L31" s="45" t="s">
        <v>1378</v>
      </c>
      <c r="M31" s="6">
        <f t="shared" si="0"/>
        <v>81614</v>
      </c>
      <c r="O31" s="6"/>
    </row>
    <row r="32" spans="1:15">
      <c r="A32" s="17">
        <v>26</v>
      </c>
      <c r="B32" s="4" t="s">
        <v>422</v>
      </c>
      <c r="C32" s="45">
        <v>31872</v>
      </c>
      <c r="D32" s="45">
        <v>2577</v>
      </c>
      <c r="E32" s="45">
        <v>940</v>
      </c>
      <c r="F32" s="45">
        <v>170</v>
      </c>
      <c r="G32" s="45">
        <v>6</v>
      </c>
      <c r="H32" s="45">
        <v>3</v>
      </c>
      <c r="I32" s="45">
        <v>12</v>
      </c>
      <c r="J32" s="45" t="s">
        <v>1378</v>
      </c>
      <c r="K32" s="45">
        <v>41</v>
      </c>
      <c r="L32" s="45">
        <v>816</v>
      </c>
      <c r="M32" s="6">
        <f t="shared" si="0"/>
        <v>36437</v>
      </c>
      <c r="O32" s="6"/>
    </row>
    <row r="33" spans="1:15">
      <c r="A33" s="17">
        <v>27</v>
      </c>
      <c r="B33" s="4" t="s">
        <v>1089</v>
      </c>
      <c r="C33" s="45">
        <v>18807</v>
      </c>
      <c r="D33" s="45" t="s">
        <v>1378</v>
      </c>
      <c r="E33" s="45" t="s">
        <v>1378</v>
      </c>
      <c r="F33" s="45">
        <v>385</v>
      </c>
      <c r="G33" s="45" t="s">
        <v>1378</v>
      </c>
      <c r="H33" s="45" t="s">
        <v>1378</v>
      </c>
      <c r="I33" s="45" t="s">
        <v>1378</v>
      </c>
      <c r="J33" s="45" t="s">
        <v>1378</v>
      </c>
      <c r="K33" s="45" t="s">
        <v>1378</v>
      </c>
      <c r="L33" s="45" t="s">
        <v>1378</v>
      </c>
      <c r="M33" s="6">
        <f t="shared" si="0"/>
        <v>19192</v>
      </c>
      <c r="O33" s="6"/>
    </row>
    <row r="34" spans="1:15">
      <c r="A34" s="17"/>
      <c r="B34" s="4"/>
      <c r="C34" s="3"/>
      <c r="D34" s="66"/>
      <c r="E34" s="3"/>
      <c r="F34" s="3"/>
      <c r="G34" s="3"/>
      <c r="H34" s="3"/>
      <c r="I34" s="45"/>
      <c r="J34" s="3"/>
      <c r="K34" s="3"/>
      <c r="L34" s="3"/>
      <c r="M34" s="3"/>
      <c r="O34" s="6"/>
    </row>
    <row r="35" spans="1:15" ht="13.5" thickBot="1">
      <c r="A35" s="39"/>
      <c r="B35" s="33" t="s">
        <v>1230</v>
      </c>
      <c r="C35" s="40">
        <f t="shared" ref="C35:L35" si="1">SUM(C7:C34)</f>
        <v>223383</v>
      </c>
      <c r="D35" s="40">
        <f t="shared" si="1"/>
        <v>44055</v>
      </c>
      <c r="E35" s="40">
        <f t="shared" si="1"/>
        <v>37257</v>
      </c>
      <c r="F35" s="40">
        <f t="shared" si="1"/>
        <v>68007</v>
      </c>
      <c r="G35" s="40">
        <f t="shared" si="1"/>
        <v>3637</v>
      </c>
      <c r="H35" s="40">
        <f t="shared" si="1"/>
        <v>2378</v>
      </c>
      <c r="I35" s="40">
        <f t="shared" si="1"/>
        <v>26074</v>
      </c>
      <c r="J35" s="40">
        <f>SUM(J7:J34)</f>
        <v>4806</v>
      </c>
      <c r="K35" s="40">
        <f t="shared" si="1"/>
        <v>63157</v>
      </c>
      <c r="L35" s="40">
        <f t="shared" si="1"/>
        <v>308516</v>
      </c>
      <c r="M35" s="40">
        <f>SUM(C35:L35)</f>
        <v>781270</v>
      </c>
    </row>
    <row r="36" spans="1:15">
      <c r="A36" s="42" t="s">
        <v>179</v>
      </c>
    </row>
    <row r="37" spans="1:15">
      <c r="A37" s="42" t="s">
        <v>539</v>
      </c>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F49" sqref="F49"/>
    </sheetView>
  </sheetViews>
  <sheetFormatPr defaultRowHeight="12.75"/>
  <cols>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1" t="s">
        <v>336</v>
      </c>
      <c r="B1" s="4"/>
    </row>
    <row r="2" spans="1:13">
      <c r="A2" s="41" t="s">
        <v>1681</v>
      </c>
      <c r="B2" s="4"/>
      <c r="C2" s="4"/>
      <c r="D2" s="4"/>
      <c r="E2" s="4"/>
      <c r="F2" s="4"/>
      <c r="G2" s="4"/>
      <c r="H2" s="4"/>
      <c r="I2" s="4"/>
      <c r="J2" s="4"/>
      <c r="K2" s="4"/>
      <c r="L2" s="4"/>
      <c r="M2" s="4"/>
    </row>
    <row r="3" spans="1:13">
      <c r="A3" s="9" t="s">
        <v>1704</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row>
    <row r="6" spans="1:13">
      <c r="A6" s="437"/>
      <c r="B6" s="438"/>
      <c r="C6" s="438"/>
      <c r="D6" s="438"/>
      <c r="E6" s="438"/>
      <c r="F6" s="438"/>
      <c r="G6" s="438"/>
      <c r="H6" s="438"/>
      <c r="I6" s="438"/>
      <c r="J6" s="438"/>
      <c r="K6" s="438"/>
      <c r="L6" s="438"/>
      <c r="M6" s="438"/>
    </row>
    <row r="7" spans="1:13">
      <c r="A7" s="17">
        <v>1</v>
      </c>
      <c r="B7" s="4" t="s">
        <v>401</v>
      </c>
      <c r="C7" s="45">
        <v>10725</v>
      </c>
      <c r="D7" s="45" t="s">
        <v>1378</v>
      </c>
      <c r="E7" s="45">
        <v>68</v>
      </c>
      <c r="F7" s="45">
        <v>34</v>
      </c>
      <c r="G7" s="45" t="s">
        <v>1378</v>
      </c>
      <c r="H7" s="45" t="s">
        <v>1378</v>
      </c>
      <c r="I7" s="45"/>
      <c r="J7" s="45">
        <v>759</v>
      </c>
      <c r="K7" s="45" t="s">
        <v>1378</v>
      </c>
      <c r="L7" s="45">
        <v>70</v>
      </c>
      <c r="M7" s="6">
        <f t="shared" ref="M7:M33" si="0">SUM(C7:L7)</f>
        <v>11656</v>
      </c>
    </row>
    <row r="8" spans="1:13">
      <c r="A8" s="17">
        <v>2</v>
      </c>
      <c r="B8" s="4" t="s">
        <v>402</v>
      </c>
      <c r="C8" s="45">
        <v>1770</v>
      </c>
      <c r="D8" s="45" t="s">
        <v>1378</v>
      </c>
      <c r="E8" s="45" t="s">
        <v>1378</v>
      </c>
      <c r="F8" s="45">
        <v>273</v>
      </c>
      <c r="G8" s="45" t="s">
        <v>1378</v>
      </c>
      <c r="H8" s="45" t="s">
        <v>1378</v>
      </c>
      <c r="I8" s="45" t="s">
        <v>1378</v>
      </c>
      <c r="J8" s="45" t="s">
        <v>1378</v>
      </c>
      <c r="K8" s="45" t="s">
        <v>1378</v>
      </c>
      <c r="L8" s="45">
        <v>10101</v>
      </c>
      <c r="M8" s="6">
        <f t="shared" si="0"/>
        <v>12144</v>
      </c>
    </row>
    <row r="9" spans="1:13">
      <c r="A9" s="17">
        <v>3</v>
      </c>
      <c r="B9" s="4" t="s">
        <v>207</v>
      </c>
      <c r="C9" s="45">
        <v>7765</v>
      </c>
      <c r="D9" s="45" t="s">
        <v>1378</v>
      </c>
      <c r="E9" s="45">
        <v>1621</v>
      </c>
      <c r="F9" s="45" t="s">
        <v>1378</v>
      </c>
      <c r="G9" s="45" t="s">
        <v>1378</v>
      </c>
      <c r="H9" s="45" t="s">
        <v>1378</v>
      </c>
      <c r="I9" s="45" t="s">
        <v>1378</v>
      </c>
      <c r="J9" s="45" t="s">
        <v>1378</v>
      </c>
      <c r="K9" s="45" t="s">
        <v>1378</v>
      </c>
      <c r="L9" s="45" t="s">
        <v>1378</v>
      </c>
      <c r="M9" s="6">
        <f t="shared" si="0"/>
        <v>9386</v>
      </c>
    </row>
    <row r="10" spans="1:13">
      <c r="A10" s="17">
        <v>4</v>
      </c>
      <c r="B10" s="4" t="s">
        <v>1267</v>
      </c>
      <c r="C10" s="45">
        <v>4</v>
      </c>
      <c r="D10" s="45" t="s">
        <v>1378</v>
      </c>
      <c r="E10" s="45">
        <v>35482</v>
      </c>
      <c r="F10" s="45" t="s">
        <v>1378</v>
      </c>
      <c r="G10" s="45" t="s">
        <v>1378</v>
      </c>
      <c r="H10" s="45" t="s">
        <v>1378</v>
      </c>
      <c r="I10" s="45" t="s">
        <v>1378</v>
      </c>
      <c r="J10" s="45" t="s">
        <v>1378</v>
      </c>
      <c r="K10" s="45" t="s">
        <v>1378</v>
      </c>
      <c r="L10" s="45" t="s">
        <v>1378</v>
      </c>
      <c r="M10" s="6">
        <f t="shared" si="0"/>
        <v>35486</v>
      </c>
    </row>
    <row r="11" spans="1:13">
      <c r="A11" s="17">
        <v>5</v>
      </c>
      <c r="B11" s="4" t="s">
        <v>1183</v>
      </c>
      <c r="C11" s="45">
        <v>1768</v>
      </c>
      <c r="D11" s="45">
        <v>226</v>
      </c>
      <c r="E11" s="45" t="s">
        <v>1378</v>
      </c>
      <c r="F11" s="45" t="s">
        <v>1378</v>
      </c>
      <c r="G11" s="45" t="s">
        <v>1378</v>
      </c>
      <c r="H11" s="45" t="s">
        <v>1378</v>
      </c>
      <c r="I11" s="45" t="s">
        <v>1378</v>
      </c>
      <c r="J11" s="45" t="s">
        <v>1378</v>
      </c>
      <c r="K11" s="45" t="s">
        <v>1378</v>
      </c>
      <c r="L11" s="45">
        <v>3</v>
      </c>
      <c r="M11" s="6">
        <f t="shared" si="0"/>
        <v>1997</v>
      </c>
    </row>
    <row r="12" spans="1:13">
      <c r="A12" s="17">
        <v>6</v>
      </c>
      <c r="B12" s="4" t="s">
        <v>1292</v>
      </c>
      <c r="C12" s="45" t="s">
        <v>1378</v>
      </c>
      <c r="D12" s="45">
        <v>44779</v>
      </c>
      <c r="E12" s="45">
        <v>183</v>
      </c>
      <c r="F12" s="45">
        <v>458</v>
      </c>
      <c r="G12" s="45" t="s">
        <v>1378</v>
      </c>
      <c r="H12" s="45" t="s">
        <v>1378</v>
      </c>
      <c r="I12" s="45" t="s">
        <v>1378</v>
      </c>
      <c r="J12" s="45" t="s">
        <v>1378</v>
      </c>
      <c r="K12" s="45">
        <v>245</v>
      </c>
      <c r="L12" s="45" t="s">
        <v>1378</v>
      </c>
      <c r="M12" s="6">
        <f t="shared" si="0"/>
        <v>45665</v>
      </c>
    </row>
    <row r="13" spans="1:13">
      <c r="A13" s="17">
        <v>7</v>
      </c>
      <c r="B13" s="4" t="s">
        <v>1269</v>
      </c>
      <c r="C13" s="45">
        <v>26654</v>
      </c>
      <c r="D13" s="45" t="s">
        <v>1378</v>
      </c>
      <c r="E13" s="45" t="s">
        <v>1378</v>
      </c>
      <c r="F13" s="45" t="s">
        <v>1378</v>
      </c>
      <c r="G13" s="45" t="s">
        <v>1378</v>
      </c>
      <c r="H13" s="45" t="s">
        <v>1378</v>
      </c>
      <c r="I13" s="45" t="s">
        <v>1378</v>
      </c>
      <c r="J13" s="45">
        <v>15</v>
      </c>
      <c r="K13" s="45" t="s">
        <v>1378</v>
      </c>
      <c r="L13" s="45" t="s">
        <v>1378</v>
      </c>
      <c r="M13" s="6">
        <f t="shared" si="0"/>
        <v>26669</v>
      </c>
    </row>
    <row r="14" spans="1:13">
      <c r="A14" s="17">
        <v>8</v>
      </c>
      <c r="B14" s="4" t="s">
        <v>1231</v>
      </c>
      <c r="C14" s="45" t="s">
        <v>1378</v>
      </c>
      <c r="D14" s="45" t="s">
        <v>1378</v>
      </c>
      <c r="E14" s="45">
        <v>1000</v>
      </c>
      <c r="F14" s="45" t="s">
        <v>1378</v>
      </c>
      <c r="G14" s="45" t="s">
        <v>1378</v>
      </c>
      <c r="H14" s="45" t="s">
        <v>1378</v>
      </c>
      <c r="I14" s="45" t="s">
        <v>1378</v>
      </c>
      <c r="J14" s="45" t="s">
        <v>1378</v>
      </c>
      <c r="K14" s="45" t="s">
        <v>1378</v>
      </c>
      <c r="L14" s="45">
        <v>6092</v>
      </c>
      <c r="M14" s="6">
        <f t="shared" si="0"/>
        <v>7092</v>
      </c>
    </row>
    <row r="15" spans="1:13">
      <c r="A15" s="17">
        <v>9</v>
      </c>
      <c r="B15" s="4" t="s">
        <v>1271</v>
      </c>
      <c r="C15" s="45">
        <v>52</v>
      </c>
      <c r="D15" s="45" t="s">
        <v>1378</v>
      </c>
      <c r="E15" s="45" t="s">
        <v>1378</v>
      </c>
      <c r="F15" s="45">
        <v>0</v>
      </c>
      <c r="G15" s="45">
        <v>2</v>
      </c>
      <c r="H15" s="45" t="s">
        <v>1378</v>
      </c>
      <c r="I15" s="45">
        <v>32848</v>
      </c>
      <c r="J15" s="45">
        <v>17</v>
      </c>
      <c r="K15" s="45" t="s">
        <v>1378</v>
      </c>
      <c r="L15" s="45">
        <v>23097</v>
      </c>
      <c r="M15" s="6">
        <f t="shared" si="0"/>
        <v>56016</v>
      </c>
    </row>
    <row r="16" spans="1:13">
      <c r="A16" s="17">
        <v>10</v>
      </c>
      <c r="B16" s="4" t="s">
        <v>1272</v>
      </c>
      <c r="C16" s="45" t="s">
        <v>1378</v>
      </c>
      <c r="D16" s="45" t="s">
        <v>1378</v>
      </c>
      <c r="E16" s="45" t="s">
        <v>1378</v>
      </c>
      <c r="F16" s="45" t="s">
        <v>1378</v>
      </c>
      <c r="G16" s="45" t="s">
        <v>1378</v>
      </c>
      <c r="H16" s="45" t="s">
        <v>1378</v>
      </c>
      <c r="I16" s="45">
        <v>1000</v>
      </c>
      <c r="J16" s="45" t="s">
        <v>1378</v>
      </c>
      <c r="K16" s="45" t="s">
        <v>1378</v>
      </c>
      <c r="L16" s="45">
        <v>98933</v>
      </c>
      <c r="M16" s="6">
        <f t="shared" si="0"/>
        <v>99933</v>
      </c>
    </row>
    <row r="17" spans="1:13">
      <c r="A17" s="17">
        <v>11</v>
      </c>
      <c r="B17" s="4" t="s">
        <v>1273</v>
      </c>
      <c r="C17" s="45" t="s">
        <v>1378</v>
      </c>
      <c r="D17" s="45" t="s">
        <v>1378</v>
      </c>
      <c r="E17" s="45" t="s">
        <v>1378</v>
      </c>
      <c r="F17" s="45" t="s">
        <v>1378</v>
      </c>
      <c r="G17" s="45" t="s">
        <v>1378</v>
      </c>
      <c r="H17" s="45" t="s">
        <v>1378</v>
      </c>
      <c r="I17" s="45" t="s">
        <v>1378</v>
      </c>
      <c r="J17" s="45" t="s">
        <v>1378</v>
      </c>
      <c r="K17" s="45" t="s">
        <v>1378</v>
      </c>
      <c r="L17" s="45">
        <v>41473</v>
      </c>
      <c r="M17" s="6">
        <f t="shared" si="0"/>
        <v>41473</v>
      </c>
    </row>
    <row r="18" spans="1:13">
      <c r="A18" s="17">
        <v>12</v>
      </c>
      <c r="B18" s="4" t="s">
        <v>593</v>
      </c>
      <c r="C18" s="45" t="s">
        <v>1378</v>
      </c>
      <c r="D18" s="45" t="s">
        <v>1378</v>
      </c>
      <c r="E18" s="45" t="s">
        <v>1378</v>
      </c>
      <c r="F18" s="45" t="s">
        <v>1378</v>
      </c>
      <c r="G18" s="45" t="s">
        <v>1378</v>
      </c>
      <c r="H18" s="45" t="s">
        <v>1378</v>
      </c>
      <c r="I18" s="45" t="s">
        <v>1378</v>
      </c>
      <c r="J18" s="45" t="s">
        <v>1378</v>
      </c>
      <c r="K18" s="45" t="s">
        <v>1378</v>
      </c>
      <c r="L18" s="45">
        <v>70177</v>
      </c>
      <c r="M18" s="6">
        <f t="shared" si="0"/>
        <v>70177</v>
      </c>
    </row>
    <row r="19" spans="1:13">
      <c r="A19" s="17">
        <v>13</v>
      </c>
      <c r="B19" s="4" t="s">
        <v>1293</v>
      </c>
      <c r="C19" s="45" t="s">
        <v>1378</v>
      </c>
      <c r="D19" s="45" t="s">
        <v>1378</v>
      </c>
      <c r="E19" s="45" t="s">
        <v>1378</v>
      </c>
      <c r="F19" s="45">
        <v>639</v>
      </c>
      <c r="G19" s="45" t="s">
        <v>1378</v>
      </c>
      <c r="H19" s="45">
        <v>1</v>
      </c>
      <c r="I19" s="45" t="s">
        <v>1378</v>
      </c>
      <c r="J19" s="45" t="s">
        <v>1378</v>
      </c>
      <c r="K19" s="45" t="s">
        <v>1378</v>
      </c>
      <c r="L19" s="45">
        <v>4551</v>
      </c>
      <c r="M19" s="6">
        <f t="shared" si="0"/>
        <v>5191</v>
      </c>
    </row>
    <row r="20" spans="1:13">
      <c r="A20" s="17">
        <v>14</v>
      </c>
      <c r="B20" s="4" t="s">
        <v>595</v>
      </c>
      <c r="C20" s="45">
        <v>29</v>
      </c>
      <c r="D20" s="45" t="s">
        <v>1378</v>
      </c>
      <c r="E20" s="45" t="s">
        <v>1378</v>
      </c>
      <c r="F20" s="45">
        <v>23604</v>
      </c>
      <c r="G20" s="45" t="s">
        <v>1378</v>
      </c>
      <c r="H20" s="45" t="s">
        <v>1378</v>
      </c>
      <c r="I20" s="45" t="s">
        <v>1378</v>
      </c>
      <c r="J20" s="45" t="s">
        <v>1378</v>
      </c>
      <c r="K20" s="45" t="s">
        <v>1378</v>
      </c>
      <c r="L20" s="45">
        <v>44922</v>
      </c>
      <c r="M20" s="6">
        <f t="shared" si="0"/>
        <v>68555</v>
      </c>
    </row>
    <row r="21" spans="1:13">
      <c r="A21" s="17">
        <v>15</v>
      </c>
      <c r="B21" s="4" t="s">
        <v>596</v>
      </c>
      <c r="C21" s="45" t="s">
        <v>1378</v>
      </c>
      <c r="D21" s="45" t="s">
        <v>1378</v>
      </c>
      <c r="E21" s="45" t="s">
        <v>1378</v>
      </c>
      <c r="F21" s="45" t="s">
        <v>1378</v>
      </c>
      <c r="G21" s="45" t="s">
        <v>1378</v>
      </c>
      <c r="H21" s="45" t="s">
        <v>1378</v>
      </c>
      <c r="I21" s="45" t="s">
        <v>1378</v>
      </c>
      <c r="J21" s="45" t="s">
        <v>1378</v>
      </c>
      <c r="K21" s="45">
        <v>22559</v>
      </c>
      <c r="L21" s="45">
        <v>22</v>
      </c>
      <c r="M21" s="6">
        <f t="shared" si="0"/>
        <v>22581</v>
      </c>
    </row>
    <row r="22" spans="1:13">
      <c r="A22" s="17">
        <v>16</v>
      </c>
      <c r="B22" s="4" t="s">
        <v>73</v>
      </c>
      <c r="C22" s="45">
        <v>19537</v>
      </c>
      <c r="D22" s="45">
        <v>23</v>
      </c>
      <c r="E22" s="45" t="s">
        <v>1378</v>
      </c>
      <c r="F22" s="45" t="s">
        <v>1378</v>
      </c>
      <c r="G22" s="45">
        <v>24</v>
      </c>
      <c r="H22" s="45" t="s">
        <v>1378</v>
      </c>
      <c r="I22" s="45" t="s">
        <v>1378</v>
      </c>
      <c r="J22" s="45" t="s">
        <v>1378</v>
      </c>
      <c r="K22" s="45">
        <v>29499</v>
      </c>
      <c r="L22" s="45">
        <v>4151</v>
      </c>
      <c r="M22" s="6">
        <f t="shared" si="0"/>
        <v>53234</v>
      </c>
    </row>
    <row r="23" spans="1:13">
      <c r="A23" s="17">
        <v>17</v>
      </c>
      <c r="B23" s="4" t="s">
        <v>74</v>
      </c>
      <c r="C23" s="45">
        <v>344</v>
      </c>
      <c r="D23" s="45" t="s">
        <v>1378</v>
      </c>
      <c r="E23" s="45" t="s">
        <v>1378</v>
      </c>
      <c r="F23" s="45">
        <v>45</v>
      </c>
      <c r="G23" s="45" t="s">
        <v>1378</v>
      </c>
      <c r="H23" s="45" t="s">
        <v>1378</v>
      </c>
      <c r="I23" s="45" t="s">
        <v>1378</v>
      </c>
      <c r="J23" s="45">
        <v>7597</v>
      </c>
      <c r="K23" s="45">
        <v>3276</v>
      </c>
      <c r="L23" s="45">
        <v>76</v>
      </c>
      <c r="M23" s="6">
        <f t="shared" si="0"/>
        <v>11338</v>
      </c>
    </row>
    <row r="24" spans="1:13" ht="22.5">
      <c r="A24" s="195">
        <v>18</v>
      </c>
      <c r="B24" s="82" t="s">
        <v>1319</v>
      </c>
      <c r="C24" s="45" t="s">
        <v>1378</v>
      </c>
      <c r="D24" s="45" t="s">
        <v>1378</v>
      </c>
      <c r="E24" s="45" t="s">
        <v>1378</v>
      </c>
      <c r="F24" s="45">
        <v>652</v>
      </c>
      <c r="G24" s="45">
        <v>12</v>
      </c>
      <c r="H24" s="45">
        <v>895</v>
      </c>
      <c r="I24" s="45" t="s">
        <v>1378</v>
      </c>
      <c r="J24" s="45" t="s">
        <v>1378</v>
      </c>
      <c r="K24" s="45" t="s">
        <v>1378</v>
      </c>
      <c r="L24" s="45" t="s">
        <v>1378</v>
      </c>
      <c r="M24" s="6">
        <f t="shared" si="0"/>
        <v>1559</v>
      </c>
    </row>
    <row r="25" spans="1:13">
      <c r="A25" s="17">
        <v>19</v>
      </c>
      <c r="B25" s="4" t="s">
        <v>1215</v>
      </c>
      <c r="C25" s="45" t="s">
        <v>1378</v>
      </c>
      <c r="D25" s="45" t="s">
        <v>1378</v>
      </c>
      <c r="E25" s="45" t="s">
        <v>1378</v>
      </c>
      <c r="F25" s="45">
        <v>366</v>
      </c>
      <c r="G25" s="45" t="s">
        <v>1378</v>
      </c>
      <c r="H25" s="45">
        <v>2813</v>
      </c>
      <c r="I25" s="45" t="s">
        <v>1378</v>
      </c>
      <c r="J25" s="45" t="s">
        <v>1378</v>
      </c>
      <c r="K25" s="45" t="s">
        <v>1378</v>
      </c>
      <c r="L25" s="45" t="s">
        <v>1378</v>
      </c>
      <c r="M25" s="6">
        <f t="shared" si="0"/>
        <v>3179</v>
      </c>
    </row>
    <row r="26" spans="1:13">
      <c r="A26" s="17">
        <v>20</v>
      </c>
      <c r="B26" s="4" t="s">
        <v>1225</v>
      </c>
      <c r="C26" s="45">
        <v>73</v>
      </c>
      <c r="D26" s="45" t="s">
        <v>1378</v>
      </c>
      <c r="E26" s="45" t="s">
        <v>1378</v>
      </c>
      <c r="F26" s="45">
        <v>335</v>
      </c>
      <c r="G26" s="45">
        <v>4246</v>
      </c>
      <c r="H26" s="45">
        <v>507</v>
      </c>
      <c r="I26" s="45" t="s">
        <v>1378</v>
      </c>
      <c r="J26" s="45" t="s">
        <v>1378</v>
      </c>
      <c r="K26" s="45" t="s">
        <v>1378</v>
      </c>
      <c r="L26" s="45" t="s">
        <v>1378</v>
      </c>
      <c r="M26" s="6">
        <f t="shared" si="0"/>
        <v>5161</v>
      </c>
    </row>
    <row r="27" spans="1:13">
      <c r="A27" s="17">
        <v>21</v>
      </c>
      <c r="B27" s="4" t="s">
        <v>77</v>
      </c>
      <c r="C27" s="45" t="s">
        <v>1378</v>
      </c>
      <c r="D27" s="45" t="s">
        <v>1378</v>
      </c>
      <c r="E27" s="45" t="s">
        <v>1378</v>
      </c>
      <c r="F27" s="45">
        <v>2705</v>
      </c>
      <c r="G27" s="45" t="s">
        <v>1378</v>
      </c>
      <c r="H27" s="45" t="s">
        <v>1378</v>
      </c>
      <c r="I27" s="45" t="s">
        <v>1378</v>
      </c>
      <c r="J27" s="45" t="s">
        <v>1378</v>
      </c>
      <c r="K27" s="45" t="s">
        <v>1378</v>
      </c>
      <c r="L27" s="45" t="s">
        <v>1378</v>
      </c>
      <c r="M27" s="6">
        <f t="shared" si="0"/>
        <v>2705</v>
      </c>
    </row>
    <row r="28" spans="1:13">
      <c r="A28" s="17">
        <v>22</v>
      </c>
      <c r="B28" s="4" t="s">
        <v>78</v>
      </c>
      <c r="C28" s="45">
        <v>312</v>
      </c>
      <c r="D28" s="45" t="s">
        <v>1378</v>
      </c>
      <c r="E28" s="45" t="s">
        <v>1378</v>
      </c>
      <c r="F28" s="45">
        <v>39472</v>
      </c>
      <c r="G28" s="45" t="s">
        <v>1378</v>
      </c>
      <c r="H28" s="45" t="s">
        <v>1378</v>
      </c>
      <c r="I28" s="45" t="s">
        <v>1378</v>
      </c>
      <c r="J28" s="45" t="s">
        <v>1378</v>
      </c>
      <c r="K28" s="45" t="s">
        <v>1378</v>
      </c>
      <c r="L28" s="45" t="s">
        <v>1378</v>
      </c>
      <c r="M28" s="6">
        <f t="shared" si="0"/>
        <v>39784</v>
      </c>
    </row>
    <row r="29" spans="1:13">
      <c r="A29" s="17">
        <v>23</v>
      </c>
      <c r="B29" s="197" t="s">
        <v>1318</v>
      </c>
      <c r="C29" s="45">
        <v>45</v>
      </c>
      <c r="D29" s="45" t="s">
        <v>1378</v>
      </c>
      <c r="E29" s="45" t="s">
        <v>1378</v>
      </c>
      <c r="F29" s="45">
        <v>15752</v>
      </c>
      <c r="G29" s="45">
        <v>24</v>
      </c>
      <c r="H29" s="45">
        <v>2</v>
      </c>
      <c r="I29" s="45" t="s">
        <v>1378</v>
      </c>
      <c r="J29" s="45" t="s">
        <v>1378</v>
      </c>
      <c r="K29" s="45">
        <v>1624</v>
      </c>
      <c r="L29" s="45" t="s">
        <v>1378</v>
      </c>
      <c r="M29" s="6">
        <f t="shared" si="0"/>
        <v>17447</v>
      </c>
    </row>
    <row r="30" spans="1:13">
      <c r="A30" s="17">
        <v>24</v>
      </c>
      <c r="B30" s="4" t="s">
        <v>1087</v>
      </c>
      <c r="C30" s="45">
        <v>25</v>
      </c>
      <c r="D30" s="45" t="s">
        <v>1378</v>
      </c>
      <c r="E30" s="45" t="s">
        <v>1378</v>
      </c>
      <c r="F30" s="45">
        <v>8468</v>
      </c>
      <c r="G30" s="45">
        <v>9</v>
      </c>
      <c r="H30" s="45" t="s">
        <v>1378</v>
      </c>
      <c r="I30" s="45" t="s">
        <v>1378</v>
      </c>
      <c r="J30" s="45" t="s">
        <v>1378</v>
      </c>
      <c r="K30" s="45" t="s">
        <v>1378</v>
      </c>
      <c r="L30" s="45" t="s">
        <v>1378</v>
      </c>
      <c r="M30" s="6">
        <f t="shared" si="0"/>
        <v>8502</v>
      </c>
    </row>
    <row r="31" spans="1:13">
      <c r="A31" s="17">
        <v>25</v>
      </c>
      <c r="B31" s="4" t="s">
        <v>1088</v>
      </c>
      <c r="C31" s="45">
        <v>75691</v>
      </c>
      <c r="D31" s="45" t="s">
        <v>1378</v>
      </c>
      <c r="E31" s="45" t="s">
        <v>1378</v>
      </c>
      <c r="F31" s="45" t="s">
        <v>1378</v>
      </c>
      <c r="G31" s="45" t="s">
        <v>1378</v>
      </c>
      <c r="H31" s="45" t="s">
        <v>1378</v>
      </c>
      <c r="I31" s="45" t="s">
        <v>1378</v>
      </c>
      <c r="J31" s="45" t="s">
        <v>1378</v>
      </c>
      <c r="K31" s="45" t="s">
        <v>1378</v>
      </c>
      <c r="L31" s="45" t="s">
        <v>1378</v>
      </c>
      <c r="M31" s="6">
        <f t="shared" si="0"/>
        <v>75691</v>
      </c>
    </row>
    <row r="32" spans="1:13">
      <c r="A32" s="17">
        <v>26</v>
      </c>
      <c r="B32" s="4" t="s">
        <v>422</v>
      </c>
      <c r="C32" s="45">
        <v>23361</v>
      </c>
      <c r="D32" s="45" t="s">
        <v>1378</v>
      </c>
      <c r="E32" s="45" t="s">
        <v>1378</v>
      </c>
      <c r="F32" s="45" t="s">
        <v>1378</v>
      </c>
      <c r="G32" s="45" t="s">
        <v>1378</v>
      </c>
      <c r="H32" s="45" t="s">
        <v>1378</v>
      </c>
      <c r="I32" s="45" t="s">
        <v>1378</v>
      </c>
      <c r="J32" s="45" t="s">
        <v>1378</v>
      </c>
      <c r="K32" s="45" t="s">
        <v>1378</v>
      </c>
      <c r="L32" s="45" t="s">
        <v>1378</v>
      </c>
      <c r="M32" s="6">
        <f t="shared" si="0"/>
        <v>23361</v>
      </c>
    </row>
    <row r="33" spans="1:13">
      <c r="A33" s="17">
        <v>27</v>
      </c>
      <c r="B33" s="4" t="s">
        <v>1750</v>
      </c>
      <c r="C33" s="45">
        <v>30407</v>
      </c>
      <c r="D33" s="45" t="s">
        <v>1378</v>
      </c>
      <c r="E33" s="45" t="s">
        <v>1378</v>
      </c>
      <c r="F33" s="45" t="s">
        <v>1378</v>
      </c>
      <c r="G33" s="45" t="s">
        <v>1378</v>
      </c>
      <c r="H33" s="45" t="s">
        <v>1378</v>
      </c>
      <c r="I33" s="45" t="s">
        <v>1378</v>
      </c>
      <c r="J33" s="45" t="s">
        <v>1378</v>
      </c>
      <c r="K33" s="45" t="s">
        <v>1378</v>
      </c>
      <c r="L33" s="45" t="s">
        <v>1378</v>
      </c>
      <c r="M33" s="6">
        <f t="shared" si="0"/>
        <v>30407</v>
      </c>
    </row>
    <row r="34" spans="1:13">
      <c r="A34" s="17"/>
      <c r="B34" s="4"/>
      <c r="C34" s="3"/>
      <c r="D34" s="66"/>
      <c r="E34" s="3"/>
      <c r="F34" s="3"/>
      <c r="G34" s="3"/>
      <c r="H34" s="3"/>
      <c r="I34" s="45"/>
      <c r="J34" s="3"/>
      <c r="K34" s="3"/>
      <c r="L34" s="3"/>
      <c r="M34" s="3"/>
    </row>
    <row r="35" spans="1:13" ht="13.5" thickBot="1">
      <c r="A35" s="39"/>
      <c r="B35" s="33" t="s">
        <v>1230</v>
      </c>
      <c r="C35" s="40">
        <f t="shared" ref="C35:L35" si="1">SUM(C7:C34)</f>
        <v>198562</v>
      </c>
      <c r="D35" s="40">
        <f t="shared" si="1"/>
        <v>45028</v>
      </c>
      <c r="E35" s="40">
        <f t="shared" si="1"/>
        <v>38354</v>
      </c>
      <c r="F35" s="40">
        <f t="shared" si="1"/>
        <v>92803</v>
      </c>
      <c r="G35" s="40">
        <f t="shared" si="1"/>
        <v>4317</v>
      </c>
      <c r="H35" s="40">
        <f t="shared" si="1"/>
        <v>4218</v>
      </c>
      <c r="I35" s="40">
        <f t="shared" si="1"/>
        <v>33848</v>
      </c>
      <c r="J35" s="40">
        <f>SUM(J7:J34)</f>
        <v>8388</v>
      </c>
      <c r="K35" s="40">
        <f t="shared" si="1"/>
        <v>57203</v>
      </c>
      <c r="L35" s="40">
        <f t="shared" si="1"/>
        <v>303668</v>
      </c>
      <c r="M35" s="40">
        <f>SUM(C35:L35)</f>
        <v>786389</v>
      </c>
    </row>
    <row r="36" spans="1:13">
      <c r="A36" s="42" t="s">
        <v>179</v>
      </c>
    </row>
    <row r="37" spans="1:13">
      <c r="A37" s="42" t="s">
        <v>539</v>
      </c>
    </row>
  </sheetData>
  <mergeCells count="1">
    <mergeCell ref="A5:B5"/>
  </mergeCells>
  <phoneticPr fontId="15" type="noConversion"/>
  <pageMargins left="0.70866141732283472" right="0.70866141732283472" top="0.74803149606299213" bottom="0.74803149606299213" header="0.31496062992125984" footer="0.31496062992125984"/>
  <pageSetup paperSize="9" scale="9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F49" sqref="F49"/>
    </sheetView>
  </sheetViews>
  <sheetFormatPr defaultRowHeight="12.75"/>
  <cols>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1" t="s">
        <v>1706</v>
      </c>
      <c r="B1" s="4"/>
    </row>
    <row r="2" spans="1:13">
      <c r="A2" s="41" t="s">
        <v>1702</v>
      </c>
      <c r="B2" s="4"/>
      <c r="C2" s="4"/>
      <c r="D2" s="4"/>
      <c r="E2" s="4"/>
      <c r="F2" s="4"/>
      <c r="G2" s="4"/>
      <c r="H2" s="4"/>
      <c r="I2" s="4"/>
      <c r="J2" s="4"/>
      <c r="K2" s="4"/>
      <c r="L2" s="4"/>
      <c r="M2" s="4"/>
    </row>
    <row r="3" spans="1:13">
      <c r="A3" s="9" t="s">
        <v>1703</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row>
    <row r="6" spans="1:13">
      <c r="A6" s="437"/>
      <c r="B6" s="438"/>
      <c r="C6" s="438"/>
      <c r="D6" s="438"/>
      <c r="E6" s="438"/>
      <c r="F6" s="438"/>
      <c r="G6" s="438"/>
      <c r="H6" s="438"/>
      <c r="I6" s="438"/>
      <c r="J6" s="438"/>
      <c r="K6" s="438"/>
      <c r="L6" s="438"/>
      <c r="M6" s="438"/>
    </row>
    <row r="7" spans="1:13">
      <c r="A7" s="17">
        <v>1</v>
      </c>
      <c r="B7" s="4" t="s">
        <v>401</v>
      </c>
      <c r="C7" s="45">
        <v>10362</v>
      </c>
      <c r="D7" s="45" t="s">
        <v>1378</v>
      </c>
      <c r="E7" s="45">
        <v>74</v>
      </c>
      <c r="F7" s="45">
        <v>37</v>
      </c>
      <c r="G7" s="45" t="s">
        <v>1378</v>
      </c>
      <c r="H7" s="45" t="s">
        <v>1378</v>
      </c>
      <c r="I7" s="45"/>
      <c r="J7" s="45">
        <v>631</v>
      </c>
      <c r="K7" s="45" t="s">
        <v>1378</v>
      </c>
      <c r="L7" s="45">
        <v>85</v>
      </c>
      <c r="M7" s="6">
        <f t="shared" ref="M7:M33" si="0">SUM(C7:L7)</f>
        <v>11189</v>
      </c>
    </row>
    <row r="8" spans="1:13">
      <c r="A8" s="17">
        <v>2</v>
      </c>
      <c r="B8" s="4" t="s">
        <v>402</v>
      </c>
      <c r="C8" s="45">
        <v>1903</v>
      </c>
      <c r="D8" s="45" t="s">
        <v>1378</v>
      </c>
      <c r="E8" s="45" t="s">
        <v>1378</v>
      </c>
      <c r="F8" s="45">
        <v>313</v>
      </c>
      <c r="G8" s="45" t="s">
        <v>1378</v>
      </c>
      <c r="H8" s="45" t="s">
        <v>1378</v>
      </c>
      <c r="I8" s="45" t="s">
        <v>1378</v>
      </c>
      <c r="J8" s="45" t="s">
        <v>1378</v>
      </c>
      <c r="K8" s="45" t="s">
        <v>1378</v>
      </c>
      <c r="L8" s="45">
        <v>10678</v>
      </c>
      <c r="M8" s="6">
        <f t="shared" si="0"/>
        <v>12894</v>
      </c>
    </row>
    <row r="9" spans="1:13">
      <c r="A9" s="17">
        <v>3</v>
      </c>
      <c r="B9" s="4" t="s">
        <v>207</v>
      </c>
      <c r="C9" s="45">
        <v>8239</v>
      </c>
      <c r="D9" s="45" t="s">
        <v>1378</v>
      </c>
      <c r="E9" s="45">
        <v>1671</v>
      </c>
      <c r="F9" s="45" t="s">
        <v>1378</v>
      </c>
      <c r="G9" s="45" t="s">
        <v>1378</v>
      </c>
      <c r="H9" s="45" t="s">
        <v>1378</v>
      </c>
      <c r="I9" s="45" t="s">
        <v>1378</v>
      </c>
      <c r="J9" s="45" t="s">
        <v>1378</v>
      </c>
      <c r="K9" s="45" t="s">
        <v>1378</v>
      </c>
      <c r="L9" s="45" t="s">
        <v>1378</v>
      </c>
      <c r="M9" s="6">
        <f t="shared" si="0"/>
        <v>9910</v>
      </c>
    </row>
    <row r="10" spans="1:13">
      <c r="A10" s="17">
        <v>4</v>
      </c>
      <c r="B10" s="4" t="s">
        <v>1267</v>
      </c>
      <c r="C10" s="45">
        <v>15</v>
      </c>
      <c r="D10" s="45" t="s">
        <v>1378</v>
      </c>
      <c r="E10" s="45">
        <v>37150</v>
      </c>
      <c r="F10" s="45" t="s">
        <v>1378</v>
      </c>
      <c r="G10" s="45" t="s">
        <v>1378</v>
      </c>
      <c r="H10" s="45" t="s">
        <v>1378</v>
      </c>
      <c r="I10" s="45" t="s">
        <v>1378</v>
      </c>
      <c r="J10" s="45" t="s">
        <v>1378</v>
      </c>
      <c r="K10" s="45" t="s">
        <v>1378</v>
      </c>
      <c r="L10" s="45" t="s">
        <v>1378</v>
      </c>
      <c r="M10" s="6">
        <f t="shared" si="0"/>
        <v>37165</v>
      </c>
    </row>
    <row r="11" spans="1:13">
      <c r="A11" s="17">
        <v>5</v>
      </c>
      <c r="B11" s="4" t="s">
        <v>1183</v>
      </c>
      <c r="C11" s="45">
        <v>1645</v>
      </c>
      <c r="D11" s="45">
        <v>239</v>
      </c>
      <c r="E11" s="45" t="s">
        <v>1378</v>
      </c>
      <c r="F11" s="45" t="s">
        <v>1378</v>
      </c>
      <c r="G11" s="45" t="s">
        <v>1378</v>
      </c>
      <c r="H11" s="45" t="s">
        <v>1378</v>
      </c>
      <c r="I11" s="45" t="s">
        <v>1378</v>
      </c>
      <c r="J11" s="45" t="s">
        <v>1378</v>
      </c>
      <c r="K11" s="45" t="s">
        <v>1378</v>
      </c>
      <c r="L11" s="45">
        <v>8</v>
      </c>
      <c r="M11" s="6">
        <f t="shared" si="0"/>
        <v>1892</v>
      </c>
    </row>
    <row r="12" spans="1:13">
      <c r="A12" s="17">
        <v>6</v>
      </c>
      <c r="B12" s="4" t="s">
        <v>1292</v>
      </c>
      <c r="C12" s="45" t="s">
        <v>1378</v>
      </c>
      <c r="D12" s="45">
        <v>43277</v>
      </c>
      <c r="E12" s="45">
        <v>234</v>
      </c>
      <c r="F12" s="45">
        <v>429</v>
      </c>
      <c r="G12" s="45" t="s">
        <v>1378</v>
      </c>
      <c r="H12" s="45" t="s">
        <v>1378</v>
      </c>
      <c r="I12" s="45" t="s">
        <v>1378</v>
      </c>
      <c r="J12" s="45" t="s">
        <v>1378</v>
      </c>
      <c r="K12" s="45">
        <v>214</v>
      </c>
      <c r="L12" s="45" t="s">
        <v>1378</v>
      </c>
      <c r="M12" s="6">
        <f t="shared" si="0"/>
        <v>44154</v>
      </c>
    </row>
    <row r="13" spans="1:13">
      <c r="A13" s="17">
        <v>7</v>
      </c>
      <c r="B13" s="4" t="s">
        <v>1269</v>
      </c>
      <c r="C13" s="45">
        <v>29183</v>
      </c>
      <c r="D13" s="45" t="s">
        <v>1378</v>
      </c>
      <c r="E13" s="45" t="s">
        <v>1378</v>
      </c>
      <c r="F13" s="45" t="s">
        <v>1378</v>
      </c>
      <c r="G13" s="45" t="s">
        <v>1378</v>
      </c>
      <c r="H13" s="45" t="s">
        <v>1378</v>
      </c>
      <c r="I13" s="45" t="s">
        <v>1378</v>
      </c>
      <c r="J13" s="45">
        <v>16</v>
      </c>
      <c r="K13" s="45" t="s">
        <v>1378</v>
      </c>
      <c r="L13" s="45" t="s">
        <v>1378</v>
      </c>
      <c r="M13" s="6">
        <f t="shared" si="0"/>
        <v>29199</v>
      </c>
    </row>
    <row r="14" spans="1:13">
      <c r="A14" s="17">
        <v>8</v>
      </c>
      <c r="B14" s="4" t="s">
        <v>1231</v>
      </c>
      <c r="C14" s="45" t="s">
        <v>1378</v>
      </c>
      <c r="D14" s="45" t="s">
        <v>1378</v>
      </c>
      <c r="E14" s="45">
        <v>1043</v>
      </c>
      <c r="F14" s="45" t="s">
        <v>1378</v>
      </c>
      <c r="G14" s="45" t="s">
        <v>1378</v>
      </c>
      <c r="H14" s="45" t="s">
        <v>1378</v>
      </c>
      <c r="I14" s="45" t="s">
        <v>1378</v>
      </c>
      <c r="J14" s="45" t="s">
        <v>1378</v>
      </c>
      <c r="K14" s="45" t="s">
        <v>1378</v>
      </c>
      <c r="L14" s="45">
        <v>6529</v>
      </c>
      <c r="M14" s="6">
        <f t="shared" si="0"/>
        <v>7572</v>
      </c>
    </row>
    <row r="15" spans="1:13">
      <c r="A15" s="17">
        <v>9</v>
      </c>
      <c r="B15" s="4" t="s">
        <v>1271</v>
      </c>
      <c r="C15" s="45">
        <v>49</v>
      </c>
      <c r="D15" s="45" t="s">
        <v>1378</v>
      </c>
      <c r="E15" s="45" t="s">
        <v>1378</v>
      </c>
      <c r="F15" s="45">
        <v>0</v>
      </c>
      <c r="G15" s="45">
        <v>0</v>
      </c>
      <c r="H15" s="45" t="s">
        <v>1378</v>
      </c>
      <c r="I15" s="45">
        <v>32815</v>
      </c>
      <c r="J15" s="45">
        <v>12</v>
      </c>
      <c r="K15" s="45" t="s">
        <v>1378</v>
      </c>
      <c r="L15" s="45">
        <v>23661</v>
      </c>
      <c r="M15" s="6">
        <f t="shared" si="0"/>
        <v>56537</v>
      </c>
    </row>
    <row r="16" spans="1:13">
      <c r="A16" s="17">
        <v>10</v>
      </c>
      <c r="B16" s="4" t="s">
        <v>1272</v>
      </c>
      <c r="C16" s="45" t="s">
        <v>1378</v>
      </c>
      <c r="D16" s="45" t="s">
        <v>1378</v>
      </c>
      <c r="E16" s="45" t="s">
        <v>1378</v>
      </c>
      <c r="F16" s="45" t="s">
        <v>1378</v>
      </c>
      <c r="G16" s="45" t="s">
        <v>1378</v>
      </c>
      <c r="H16" s="45" t="s">
        <v>1378</v>
      </c>
      <c r="I16" s="45">
        <v>715</v>
      </c>
      <c r="J16" s="45" t="s">
        <v>1378</v>
      </c>
      <c r="K16" s="45" t="s">
        <v>1378</v>
      </c>
      <c r="L16" s="45">
        <v>95085</v>
      </c>
      <c r="M16" s="6">
        <f t="shared" si="0"/>
        <v>95800</v>
      </c>
    </row>
    <row r="17" spans="1:13">
      <c r="A17" s="17">
        <v>11</v>
      </c>
      <c r="B17" s="4" t="s">
        <v>1273</v>
      </c>
      <c r="C17" s="45" t="s">
        <v>1378</v>
      </c>
      <c r="D17" s="45" t="s">
        <v>1378</v>
      </c>
      <c r="E17" s="45" t="s">
        <v>1378</v>
      </c>
      <c r="F17" s="45" t="s">
        <v>1378</v>
      </c>
      <c r="G17" s="45" t="s">
        <v>1378</v>
      </c>
      <c r="H17" s="45" t="s">
        <v>1378</v>
      </c>
      <c r="I17" s="45" t="s">
        <v>1378</v>
      </c>
      <c r="J17" s="45" t="s">
        <v>1378</v>
      </c>
      <c r="K17" s="45" t="s">
        <v>1378</v>
      </c>
      <c r="L17" s="45">
        <v>41590</v>
      </c>
      <c r="M17" s="6">
        <f t="shared" si="0"/>
        <v>41590</v>
      </c>
    </row>
    <row r="18" spans="1:13">
      <c r="A18" s="17">
        <v>12</v>
      </c>
      <c r="B18" s="4" t="s">
        <v>593</v>
      </c>
      <c r="C18" s="45" t="s">
        <v>1378</v>
      </c>
      <c r="D18" s="45" t="s">
        <v>1378</v>
      </c>
      <c r="E18" s="45" t="s">
        <v>1378</v>
      </c>
      <c r="F18" s="45" t="s">
        <v>1378</v>
      </c>
      <c r="G18" s="45" t="s">
        <v>1378</v>
      </c>
      <c r="H18" s="45" t="s">
        <v>1378</v>
      </c>
      <c r="I18" s="45" t="s">
        <v>1378</v>
      </c>
      <c r="J18" s="45" t="s">
        <v>1378</v>
      </c>
      <c r="K18" s="45" t="s">
        <v>1378</v>
      </c>
      <c r="L18" s="45">
        <v>71994</v>
      </c>
      <c r="M18" s="6">
        <f t="shared" si="0"/>
        <v>71994</v>
      </c>
    </row>
    <row r="19" spans="1:13">
      <c r="A19" s="17">
        <v>13</v>
      </c>
      <c r="B19" s="4" t="s">
        <v>1293</v>
      </c>
      <c r="C19" s="45" t="s">
        <v>1378</v>
      </c>
      <c r="D19" s="45" t="s">
        <v>1378</v>
      </c>
      <c r="E19" s="45" t="s">
        <v>1378</v>
      </c>
      <c r="F19" s="45">
        <v>342</v>
      </c>
      <c r="G19" s="45" t="s">
        <v>1378</v>
      </c>
      <c r="H19" s="45" t="s">
        <v>1378</v>
      </c>
      <c r="I19" s="45" t="s">
        <v>1378</v>
      </c>
      <c r="J19" s="45" t="s">
        <v>1378</v>
      </c>
      <c r="K19" s="45" t="s">
        <v>1378</v>
      </c>
      <c r="L19" s="45">
        <v>4625</v>
      </c>
      <c r="M19" s="6">
        <f t="shared" si="0"/>
        <v>4967</v>
      </c>
    </row>
    <row r="20" spans="1:13">
      <c r="A20" s="17">
        <v>14</v>
      </c>
      <c r="B20" s="4" t="s">
        <v>595</v>
      </c>
      <c r="C20" s="45">
        <v>28</v>
      </c>
      <c r="D20" s="45" t="s">
        <v>1378</v>
      </c>
      <c r="E20" s="45" t="s">
        <v>1378</v>
      </c>
      <c r="F20" s="45">
        <v>24546</v>
      </c>
      <c r="G20" s="45" t="s">
        <v>1378</v>
      </c>
      <c r="H20" s="45" t="s">
        <v>1378</v>
      </c>
      <c r="I20" s="45" t="s">
        <v>1378</v>
      </c>
      <c r="J20" s="45" t="s">
        <v>1378</v>
      </c>
      <c r="K20" s="45" t="s">
        <v>1378</v>
      </c>
      <c r="L20" s="45">
        <v>38713</v>
      </c>
      <c r="M20" s="6">
        <f t="shared" si="0"/>
        <v>63287</v>
      </c>
    </row>
    <row r="21" spans="1:13">
      <c r="A21" s="17">
        <v>15</v>
      </c>
      <c r="B21" s="4" t="s">
        <v>596</v>
      </c>
      <c r="C21" s="45" t="s">
        <v>1378</v>
      </c>
      <c r="D21" s="45" t="s">
        <v>1378</v>
      </c>
      <c r="E21" s="45" t="s">
        <v>1378</v>
      </c>
      <c r="F21" s="45" t="s">
        <v>1378</v>
      </c>
      <c r="G21" s="45" t="s">
        <v>1378</v>
      </c>
      <c r="H21" s="45" t="s">
        <v>1378</v>
      </c>
      <c r="I21" s="45" t="s">
        <v>1378</v>
      </c>
      <c r="J21" s="45" t="s">
        <v>1378</v>
      </c>
      <c r="K21" s="45">
        <v>21793</v>
      </c>
      <c r="L21" s="45">
        <v>20</v>
      </c>
      <c r="M21" s="6">
        <f t="shared" si="0"/>
        <v>21813</v>
      </c>
    </row>
    <row r="22" spans="1:13">
      <c r="A22" s="17">
        <v>16</v>
      </c>
      <c r="B22" s="4" t="s">
        <v>73</v>
      </c>
      <c r="C22" s="45">
        <v>19998</v>
      </c>
      <c r="D22" s="45">
        <v>23</v>
      </c>
      <c r="E22" s="45" t="s">
        <v>1378</v>
      </c>
      <c r="F22" s="45" t="s">
        <v>1378</v>
      </c>
      <c r="G22" s="45">
        <v>26</v>
      </c>
      <c r="H22" s="45" t="s">
        <v>1378</v>
      </c>
      <c r="I22" s="45" t="s">
        <v>1378</v>
      </c>
      <c r="J22" s="45" t="s">
        <v>1378</v>
      </c>
      <c r="K22" s="45">
        <v>29464</v>
      </c>
      <c r="L22" s="45">
        <v>4176</v>
      </c>
      <c r="M22" s="6">
        <f t="shared" si="0"/>
        <v>53687</v>
      </c>
    </row>
    <row r="23" spans="1:13">
      <c r="A23" s="17">
        <v>17</v>
      </c>
      <c r="B23" s="4" t="s">
        <v>74</v>
      </c>
      <c r="C23" s="45">
        <v>344</v>
      </c>
      <c r="D23" s="45" t="s">
        <v>1378</v>
      </c>
      <c r="E23" s="45" t="s">
        <v>1378</v>
      </c>
      <c r="F23" s="45">
        <v>44</v>
      </c>
      <c r="G23" s="45" t="s">
        <v>1378</v>
      </c>
      <c r="H23" s="45" t="s">
        <v>1378</v>
      </c>
      <c r="I23" s="45" t="s">
        <v>1378</v>
      </c>
      <c r="J23" s="45">
        <v>8238</v>
      </c>
      <c r="K23" s="45">
        <v>3292</v>
      </c>
      <c r="L23" s="45">
        <v>34</v>
      </c>
      <c r="M23" s="6">
        <f t="shared" si="0"/>
        <v>11952</v>
      </c>
    </row>
    <row r="24" spans="1:13" ht="22.5">
      <c r="A24" s="195">
        <v>18</v>
      </c>
      <c r="B24" s="82" t="s">
        <v>1319</v>
      </c>
      <c r="C24" s="45" t="s">
        <v>1378</v>
      </c>
      <c r="D24" s="45" t="s">
        <v>1378</v>
      </c>
      <c r="E24" s="45" t="s">
        <v>1378</v>
      </c>
      <c r="F24" s="45">
        <v>689</v>
      </c>
      <c r="G24" s="45">
        <v>12</v>
      </c>
      <c r="H24" s="45">
        <v>409</v>
      </c>
      <c r="I24" s="45" t="s">
        <v>1378</v>
      </c>
      <c r="J24" s="45" t="s">
        <v>1378</v>
      </c>
      <c r="K24" s="45" t="s">
        <v>1378</v>
      </c>
      <c r="L24" s="45" t="s">
        <v>1378</v>
      </c>
      <c r="M24" s="6">
        <f t="shared" si="0"/>
        <v>1110</v>
      </c>
    </row>
    <row r="25" spans="1:13">
      <c r="A25" s="17">
        <v>19</v>
      </c>
      <c r="B25" s="4" t="s">
        <v>1215</v>
      </c>
      <c r="C25" s="45" t="s">
        <v>1378</v>
      </c>
      <c r="D25" s="45" t="s">
        <v>1378</v>
      </c>
      <c r="E25" s="45" t="s">
        <v>1378</v>
      </c>
      <c r="F25" s="45">
        <v>377</v>
      </c>
      <c r="G25" s="45" t="s">
        <v>1378</v>
      </c>
      <c r="H25" s="45">
        <v>2845</v>
      </c>
      <c r="I25" s="45" t="s">
        <v>1378</v>
      </c>
      <c r="J25" s="45" t="s">
        <v>1378</v>
      </c>
      <c r="K25" s="45" t="s">
        <v>1378</v>
      </c>
      <c r="L25" s="45" t="s">
        <v>1378</v>
      </c>
      <c r="M25" s="6">
        <f t="shared" si="0"/>
        <v>3222</v>
      </c>
    </row>
    <row r="26" spans="1:13">
      <c r="A26" s="17">
        <v>20</v>
      </c>
      <c r="B26" s="4" t="s">
        <v>1225</v>
      </c>
      <c r="C26" s="45">
        <v>153</v>
      </c>
      <c r="D26" s="45" t="s">
        <v>1378</v>
      </c>
      <c r="E26" s="45" t="s">
        <v>1378</v>
      </c>
      <c r="F26" s="45">
        <v>254</v>
      </c>
      <c r="G26" s="45">
        <v>4325</v>
      </c>
      <c r="H26" s="45">
        <v>336</v>
      </c>
      <c r="I26" s="45" t="s">
        <v>1378</v>
      </c>
      <c r="J26" s="45" t="s">
        <v>1378</v>
      </c>
      <c r="K26" s="45" t="s">
        <v>1378</v>
      </c>
      <c r="L26" s="45" t="s">
        <v>1378</v>
      </c>
      <c r="M26" s="6">
        <f t="shared" si="0"/>
        <v>5068</v>
      </c>
    </row>
    <row r="27" spans="1:13">
      <c r="A27" s="17">
        <v>21</v>
      </c>
      <c r="B27" s="4" t="s">
        <v>77</v>
      </c>
      <c r="C27" s="45">
        <v>20</v>
      </c>
      <c r="D27" s="45" t="s">
        <v>1378</v>
      </c>
      <c r="E27" s="45" t="s">
        <v>1378</v>
      </c>
      <c r="F27" s="45">
        <v>2898</v>
      </c>
      <c r="G27" s="45" t="s">
        <v>1378</v>
      </c>
      <c r="H27" s="45" t="s">
        <v>1378</v>
      </c>
      <c r="I27" s="45" t="s">
        <v>1378</v>
      </c>
      <c r="J27" s="45" t="s">
        <v>1378</v>
      </c>
      <c r="K27" s="45" t="s">
        <v>1378</v>
      </c>
      <c r="L27" s="45" t="s">
        <v>1378</v>
      </c>
      <c r="M27" s="6">
        <f t="shared" si="0"/>
        <v>2918</v>
      </c>
    </row>
    <row r="28" spans="1:13">
      <c r="A28" s="17">
        <v>22</v>
      </c>
      <c r="B28" s="4" t="s">
        <v>78</v>
      </c>
      <c r="C28" s="45">
        <v>451</v>
      </c>
      <c r="D28" s="45" t="s">
        <v>1378</v>
      </c>
      <c r="E28" s="45" t="s">
        <v>1378</v>
      </c>
      <c r="F28" s="45">
        <v>38259</v>
      </c>
      <c r="G28" s="45" t="s">
        <v>1378</v>
      </c>
      <c r="H28" s="45" t="s">
        <v>1378</v>
      </c>
      <c r="I28" s="45" t="s">
        <v>1378</v>
      </c>
      <c r="J28" s="45" t="s">
        <v>1378</v>
      </c>
      <c r="K28" s="45" t="s">
        <v>1378</v>
      </c>
      <c r="L28" s="45" t="s">
        <v>1378</v>
      </c>
      <c r="M28" s="6">
        <f t="shared" si="0"/>
        <v>38710</v>
      </c>
    </row>
    <row r="29" spans="1:13">
      <c r="A29" s="17">
        <v>23</v>
      </c>
      <c r="B29" s="197" t="s">
        <v>1318</v>
      </c>
      <c r="C29" s="45">
        <v>40</v>
      </c>
      <c r="D29" s="45" t="s">
        <v>1378</v>
      </c>
      <c r="E29" s="45" t="s">
        <v>1378</v>
      </c>
      <c r="F29" s="45">
        <v>14657</v>
      </c>
      <c r="G29" s="45">
        <v>23</v>
      </c>
      <c r="H29" s="45">
        <v>1</v>
      </c>
      <c r="I29" s="45" t="s">
        <v>1378</v>
      </c>
      <c r="J29" s="45" t="s">
        <v>1378</v>
      </c>
      <c r="K29" s="45">
        <v>1649</v>
      </c>
      <c r="L29" s="45" t="s">
        <v>1378</v>
      </c>
      <c r="M29" s="6">
        <f t="shared" si="0"/>
        <v>16370</v>
      </c>
    </row>
    <row r="30" spans="1:13">
      <c r="A30" s="17">
        <v>24</v>
      </c>
      <c r="B30" s="4" t="s">
        <v>1087</v>
      </c>
      <c r="C30" s="45">
        <v>478</v>
      </c>
      <c r="D30" s="45" t="s">
        <v>1378</v>
      </c>
      <c r="E30" s="45">
        <v>0</v>
      </c>
      <c r="F30" s="45">
        <v>4882</v>
      </c>
      <c r="G30" s="45">
        <v>8</v>
      </c>
      <c r="H30" s="45" t="s">
        <v>1378</v>
      </c>
      <c r="I30" s="45" t="s">
        <v>1378</v>
      </c>
      <c r="J30" s="45" t="s">
        <v>1378</v>
      </c>
      <c r="K30" s="45" t="s">
        <v>1378</v>
      </c>
      <c r="L30" s="45" t="s">
        <v>1378</v>
      </c>
      <c r="M30" s="6">
        <f t="shared" si="0"/>
        <v>5368</v>
      </c>
    </row>
    <row r="31" spans="1:13">
      <c r="A31" s="17">
        <v>25</v>
      </c>
      <c r="B31" s="4" t="s">
        <v>1088</v>
      </c>
      <c r="C31" s="45">
        <v>88023</v>
      </c>
      <c r="D31" s="45" t="s">
        <v>1378</v>
      </c>
      <c r="E31" s="45" t="s">
        <v>1378</v>
      </c>
      <c r="F31" s="45" t="s">
        <v>1378</v>
      </c>
      <c r="G31" s="45" t="s">
        <v>1378</v>
      </c>
      <c r="H31" s="45" t="s">
        <v>1378</v>
      </c>
      <c r="I31" s="45" t="s">
        <v>1378</v>
      </c>
      <c r="J31" s="45" t="s">
        <v>1378</v>
      </c>
      <c r="K31" s="45" t="s">
        <v>1378</v>
      </c>
      <c r="L31" s="45" t="s">
        <v>1378</v>
      </c>
      <c r="M31" s="6">
        <f t="shared" si="0"/>
        <v>88023</v>
      </c>
    </row>
    <row r="32" spans="1:13">
      <c r="A32" s="17">
        <v>26</v>
      </c>
      <c r="B32" s="4" t="s">
        <v>422</v>
      </c>
      <c r="C32" s="45">
        <v>34491</v>
      </c>
      <c r="D32" s="45" t="s">
        <v>1378</v>
      </c>
      <c r="E32" s="45" t="s">
        <v>1378</v>
      </c>
      <c r="F32" s="45" t="s">
        <v>1378</v>
      </c>
      <c r="G32" s="45" t="s">
        <v>1378</v>
      </c>
      <c r="H32" s="45" t="s">
        <v>1378</v>
      </c>
      <c r="I32" s="45" t="s">
        <v>1378</v>
      </c>
      <c r="J32" s="45" t="s">
        <v>1378</v>
      </c>
      <c r="K32" s="45" t="s">
        <v>1378</v>
      </c>
      <c r="L32" s="45" t="s">
        <v>1378</v>
      </c>
      <c r="M32" s="6">
        <f t="shared" si="0"/>
        <v>34491</v>
      </c>
    </row>
    <row r="33" spans="1:13">
      <c r="A33" s="17">
        <v>27</v>
      </c>
      <c r="B33" s="4" t="s">
        <v>1750</v>
      </c>
      <c r="C33" s="45">
        <v>30596</v>
      </c>
      <c r="D33" s="45" t="s">
        <v>1378</v>
      </c>
      <c r="E33" s="45" t="s">
        <v>1378</v>
      </c>
      <c r="F33" s="45" t="s">
        <v>1378</v>
      </c>
      <c r="G33" s="45" t="s">
        <v>1378</v>
      </c>
      <c r="H33" s="45" t="s">
        <v>1378</v>
      </c>
      <c r="I33" s="45" t="s">
        <v>1378</v>
      </c>
      <c r="J33" s="45" t="s">
        <v>1378</v>
      </c>
      <c r="K33" s="45" t="s">
        <v>1378</v>
      </c>
      <c r="L33" s="45" t="s">
        <v>1378</v>
      </c>
      <c r="M33" s="6">
        <f t="shared" si="0"/>
        <v>30596</v>
      </c>
    </row>
    <row r="34" spans="1:13">
      <c r="A34" s="17"/>
      <c r="B34" s="4"/>
      <c r="C34" s="3"/>
      <c r="D34" s="66"/>
      <c r="E34" s="3"/>
      <c r="F34" s="3"/>
      <c r="G34" s="3"/>
      <c r="H34" s="3"/>
      <c r="I34" s="45"/>
      <c r="J34" s="3"/>
      <c r="K34" s="3"/>
      <c r="L34" s="3"/>
      <c r="M34" s="3"/>
    </row>
    <row r="35" spans="1:13" ht="13.5" thickBot="1">
      <c r="A35" s="39"/>
      <c r="B35" s="33" t="s">
        <v>1230</v>
      </c>
      <c r="C35" s="40">
        <f t="shared" ref="C35:L35" si="1">SUM(C7:C34)</f>
        <v>226018</v>
      </c>
      <c r="D35" s="40">
        <f t="shared" si="1"/>
        <v>43539</v>
      </c>
      <c r="E35" s="40">
        <f t="shared" si="1"/>
        <v>40172</v>
      </c>
      <c r="F35" s="40">
        <f t="shared" si="1"/>
        <v>87727</v>
      </c>
      <c r="G35" s="40">
        <f t="shared" si="1"/>
        <v>4394</v>
      </c>
      <c r="H35" s="40">
        <f t="shared" si="1"/>
        <v>3591</v>
      </c>
      <c r="I35" s="40">
        <f t="shared" si="1"/>
        <v>33530</v>
      </c>
      <c r="J35" s="40">
        <f>SUM(J7:J34)</f>
        <v>8897</v>
      </c>
      <c r="K35" s="40">
        <f t="shared" si="1"/>
        <v>56412</v>
      </c>
      <c r="L35" s="40">
        <f t="shared" si="1"/>
        <v>297198</v>
      </c>
      <c r="M35" s="40">
        <f>SUM(C35:L35)</f>
        <v>801478</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F49" sqref="F49"/>
    </sheetView>
  </sheetViews>
  <sheetFormatPr defaultRowHeight="12.75"/>
  <cols>
    <col min="1" max="1" width="4.3320312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1" t="s">
        <v>1764</v>
      </c>
      <c r="B1" s="4"/>
    </row>
    <row r="2" spans="1:13">
      <c r="A2" s="41" t="s">
        <v>1679</v>
      </c>
      <c r="B2" s="4"/>
      <c r="C2" s="4"/>
      <c r="D2" s="4"/>
      <c r="E2" s="4"/>
      <c r="F2" s="4"/>
      <c r="G2" s="4"/>
      <c r="H2" s="4"/>
      <c r="I2" s="4"/>
      <c r="J2" s="4"/>
      <c r="K2" s="4"/>
      <c r="L2" s="4"/>
      <c r="M2" s="4"/>
    </row>
    <row r="3" spans="1:13">
      <c r="A3" s="9" t="s">
        <v>1632</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row>
    <row r="6" spans="1:13">
      <c r="A6" s="437"/>
      <c r="B6" s="438"/>
      <c r="C6" s="438"/>
      <c r="D6" s="438"/>
      <c r="E6" s="438"/>
      <c r="F6" s="438"/>
      <c r="G6" s="438"/>
      <c r="H6" s="438"/>
      <c r="I6" s="438"/>
      <c r="J6" s="438"/>
      <c r="K6" s="438"/>
      <c r="L6" s="438"/>
      <c r="M6" s="438"/>
    </row>
    <row r="7" spans="1:13">
      <c r="A7" s="17">
        <v>1</v>
      </c>
      <c r="B7" s="4" t="s">
        <v>401</v>
      </c>
      <c r="C7" s="45">
        <v>10712</v>
      </c>
      <c r="D7" s="45" t="s">
        <v>1378</v>
      </c>
      <c r="E7" s="45">
        <v>78</v>
      </c>
      <c r="F7" s="45">
        <v>37</v>
      </c>
      <c r="G7" s="45" t="s">
        <v>1378</v>
      </c>
      <c r="H7" s="45" t="s">
        <v>1378</v>
      </c>
      <c r="I7" s="45"/>
      <c r="J7" s="45">
        <v>602</v>
      </c>
      <c r="K7" s="45" t="s">
        <v>1378</v>
      </c>
      <c r="L7" s="45">
        <v>99</v>
      </c>
      <c r="M7" s="6">
        <f t="shared" ref="M7:M33" si="0">SUM(C7:L7)</f>
        <v>11528</v>
      </c>
    </row>
    <row r="8" spans="1:13">
      <c r="A8" s="17">
        <v>2</v>
      </c>
      <c r="B8" s="4" t="s">
        <v>402</v>
      </c>
      <c r="C8" s="45">
        <v>1923</v>
      </c>
      <c r="D8" s="45" t="s">
        <v>1378</v>
      </c>
      <c r="E8" s="45" t="s">
        <v>1378</v>
      </c>
      <c r="F8" s="45">
        <v>317</v>
      </c>
      <c r="G8" s="45" t="s">
        <v>1378</v>
      </c>
      <c r="H8" s="45" t="s">
        <v>1378</v>
      </c>
      <c r="I8" s="45" t="s">
        <v>1378</v>
      </c>
      <c r="J8" s="45" t="s">
        <v>1378</v>
      </c>
      <c r="K8" s="45" t="s">
        <v>1378</v>
      </c>
      <c r="L8" s="45">
        <v>11271</v>
      </c>
      <c r="M8" s="6">
        <f t="shared" si="0"/>
        <v>13511</v>
      </c>
    </row>
    <row r="9" spans="1:13">
      <c r="A9" s="17">
        <v>3</v>
      </c>
      <c r="B9" s="4" t="s">
        <v>207</v>
      </c>
      <c r="C9" s="45">
        <v>8530</v>
      </c>
      <c r="D9" s="45" t="s">
        <v>1378</v>
      </c>
      <c r="E9" s="45">
        <v>1743</v>
      </c>
      <c r="F9" s="45" t="s">
        <v>1378</v>
      </c>
      <c r="G9" s="45" t="s">
        <v>1378</v>
      </c>
      <c r="H9" s="45" t="s">
        <v>1378</v>
      </c>
      <c r="I9" s="45" t="s">
        <v>1378</v>
      </c>
      <c r="J9" s="45" t="s">
        <v>1378</v>
      </c>
      <c r="K9" s="45" t="s">
        <v>1378</v>
      </c>
      <c r="L9" s="45" t="s">
        <v>1378</v>
      </c>
      <c r="M9" s="6">
        <f t="shared" si="0"/>
        <v>10273</v>
      </c>
    </row>
    <row r="10" spans="1:13">
      <c r="A10" s="17">
        <v>4</v>
      </c>
      <c r="B10" s="4" t="s">
        <v>1267</v>
      </c>
      <c r="C10" s="45">
        <v>13</v>
      </c>
      <c r="D10" s="45" t="s">
        <v>1378</v>
      </c>
      <c r="E10" s="45">
        <v>38201</v>
      </c>
      <c r="F10" s="45" t="s">
        <v>1378</v>
      </c>
      <c r="G10" s="45" t="s">
        <v>1378</v>
      </c>
      <c r="H10" s="45" t="s">
        <v>1378</v>
      </c>
      <c r="I10" s="45" t="s">
        <v>1378</v>
      </c>
      <c r="J10" s="45" t="s">
        <v>1378</v>
      </c>
      <c r="K10" s="45" t="s">
        <v>1378</v>
      </c>
      <c r="L10" s="45" t="s">
        <v>1378</v>
      </c>
      <c r="M10" s="6">
        <f t="shared" si="0"/>
        <v>38214</v>
      </c>
    </row>
    <row r="11" spans="1:13">
      <c r="A11" s="17">
        <v>5</v>
      </c>
      <c r="B11" s="4" t="s">
        <v>1183</v>
      </c>
      <c r="C11" s="45">
        <v>1308</v>
      </c>
      <c r="D11" s="45">
        <v>240</v>
      </c>
      <c r="E11" s="45" t="s">
        <v>1378</v>
      </c>
      <c r="F11" s="45" t="s">
        <v>1378</v>
      </c>
      <c r="G11" s="45" t="s">
        <v>1378</v>
      </c>
      <c r="H11" s="45" t="s">
        <v>1378</v>
      </c>
      <c r="I11" s="45" t="s">
        <v>1378</v>
      </c>
      <c r="J11" s="45" t="s">
        <v>1378</v>
      </c>
      <c r="K11" s="45" t="s">
        <v>1378</v>
      </c>
      <c r="L11" s="45">
        <v>2</v>
      </c>
      <c r="M11" s="6">
        <f t="shared" si="0"/>
        <v>1550</v>
      </c>
    </row>
    <row r="12" spans="1:13">
      <c r="A12" s="17">
        <v>6</v>
      </c>
      <c r="B12" s="4" t="s">
        <v>1292</v>
      </c>
      <c r="C12" s="45" t="s">
        <v>1378</v>
      </c>
      <c r="D12" s="45">
        <v>44431</v>
      </c>
      <c r="E12" s="45">
        <v>377</v>
      </c>
      <c r="F12" s="45">
        <v>454</v>
      </c>
      <c r="G12" s="45" t="s">
        <v>1378</v>
      </c>
      <c r="H12" s="45" t="s">
        <v>1378</v>
      </c>
      <c r="I12" s="45" t="s">
        <v>1378</v>
      </c>
      <c r="J12" s="45" t="s">
        <v>1378</v>
      </c>
      <c r="K12" s="45">
        <v>200</v>
      </c>
      <c r="L12" s="45" t="s">
        <v>1378</v>
      </c>
      <c r="M12" s="6">
        <f t="shared" si="0"/>
        <v>45462</v>
      </c>
    </row>
    <row r="13" spans="1:13">
      <c r="A13" s="17">
        <v>7</v>
      </c>
      <c r="B13" s="4" t="s">
        <v>1269</v>
      </c>
      <c r="C13" s="45">
        <v>30182</v>
      </c>
      <c r="D13" s="45" t="s">
        <v>1378</v>
      </c>
      <c r="E13" s="45" t="s">
        <v>1378</v>
      </c>
      <c r="F13" s="45" t="s">
        <v>1378</v>
      </c>
      <c r="G13" s="45" t="s">
        <v>1378</v>
      </c>
      <c r="H13" s="45" t="s">
        <v>1378</v>
      </c>
      <c r="I13" s="45" t="s">
        <v>1378</v>
      </c>
      <c r="J13" s="45">
        <v>15</v>
      </c>
      <c r="K13" s="45" t="s">
        <v>1378</v>
      </c>
      <c r="L13" s="45" t="s">
        <v>1378</v>
      </c>
      <c r="M13" s="6">
        <f t="shared" si="0"/>
        <v>30197</v>
      </c>
    </row>
    <row r="14" spans="1:13">
      <c r="A14" s="17">
        <v>8</v>
      </c>
      <c r="B14" s="4" t="s">
        <v>1231</v>
      </c>
      <c r="C14" s="45" t="s">
        <v>1378</v>
      </c>
      <c r="D14" s="45" t="s">
        <v>1378</v>
      </c>
      <c r="E14" s="45">
        <v>1137</v>
      </c>
      <c r="F14" s="45" t="s">
        <v>1378</v>
      </c>
      <c r="G14" s="45" t="s">
        <v>1378</v>
      </c>
      <c r="H14" s="45" t="s">
        <v>1378</v>
      </c>
      <c r="I14" s="45" t="s">
        <v>1378</v>
      </c>
      <c r="J14" s="45" t="s">
        <v>1378</v>
      </c>
      <c r="K14" s="45" t="s">
        <v>1378</v>
      </c>
      <c r="L14" s="45">
        <v>7110</v>
      </c>
      <c r="M14" s="6">
        <f t="shared" si="0"/>
        <v>8247</v>
      </c>
    </row>
    <row r="15" spans="1:13">
      <c r="A15" s="17">
        <v>9</v>
      </c>
      <c r="B15" s="4" t="s">
        <v>1271</v>
      </c>
      <c r="C15" s="45">
        <v>51</v>
      </c>
      <c r="D15" s="45" t="s">
        <v>1378</v>
      </c>
      <c r="E15" s="45" t="s">
        <v>1378</v>
      </c>
      <c r="F15" s="45">
        <v>0</v>
      </c>
      <c r="G15" s="45">
        <v>2</v>
      </c>
      <c r="H15" s="45" t="s">
        <v>1378</v>
      </c>
      <c r="I15" s="45">
        <v>33122</v>
      </c>
      <c r="J15" s="45">
        <v>15</v>
      </c>
      <c r="K15" s="45" t="s">
        <v>1378</v>
      </c>
      <c r="L15" s="45">
        <v>25501</v>
      </c>
      <c r="M15" s="6">
        <f t="shared" si="0"/>
        <v>58691</v>
      </c>
    </row>
    <row r="16" spans="1:13">
      <c r="A16" s="17">
        <v>10</v>
      </c>
      <c r="B16" s="4" t="s">
        <v>1272</v>
      </c>
      <c r="C16" s="45" t="s">
        <v>1378</v>
      </c>
      <c r="D16" s="45" t="s">
        <v>1378</v>
      </c>
      <c r="E16" s="45" t="s">
        <v>1378</v>
      </c>
      <c r="F16" s="45" t="s">
        <v>1378</v>
      </c>
      <c r="G16" s="45" t="s">
        <v>1378</v>
      </c>
      <c r="H16" s="45" t="s">
        <v>1378</v>
      </c>
      <c r="I16" s="45">
        <v>2475</v>
      </c>
      <c r="J16" s="45" t="s">
        <v>1378</v>
      </c>
      <c r="K16" s="45" t="s">
        <v>1378</v>
      </c>
      <c r="L16" s="45">
        <v>92378</v>
      </c>
      <c r="M16" s="6">
        <f t="shared" si="0"/>
        <v>94853</v>
      </c>
    </row>
    <row r="17" spans="1:13">
      <c r="A17" s="17">
        <v>11</v>
      </c>
      <c r="B17" s="4" t="s">
        <v>1273</v>
      </c>
      <c r="C17" s="45" t="s">
        <v>1378</v>
      </c>
      <c r="D17" s="45" t="s">
        <v>1378</v>
      </c>
      <c r="E17" s="45" t="s">
        <v>1378</v>
      </c>
      <c r="F17" s="45" t="s">
        <v>1378</v>
      </c>
      <c r="G17" s="45" t="s">
        <v>1378</v>
      </c>
      <c r="H17" s="45" t="s">
        <v>1378</v>
      </c>
      <c r="I17" s="45" t="s">
        <v>1378</v>
      </c>
      <c r="J17" s="45" t="s">
        <v>1378</v>
      </c>
      <c r="K17" s="45" t="s">
        <v>1378</v>
      </c>
      <c r="L17" s="45">
        <v>41342</v>
      </c>
      <c r="M17" s="6">
        <f t="shared" si="0"/>
        <v>41342</v>
      </c>
    </row>
    <row r="18" spans="1:13">
      <c r="A18" s="17">
        <v>12</v>
      </c>
      <c r="B18" s="4" t="s">
        <v>593</v>
      </c>
      <c r="C18" s="45" t="s">
        <v>1378</v>
      </c>
      <c r="D18" s="45" t="s">
        <v>1378</v>
      </c>
      <c r="E18" s="45" t="s">
        <v>1378</v>
      </c>
      <c r="F18" s="45" t="s">
        <v>1378</v>
      </c>
      <c r="G18" s="45" t="s">
        <v>1378</v>
      </c>
      <c r="H18" s="45" t="s">
        <v>1378</v>
      </c>
      <c r="I18" s="45" t="s">
        <v>1378</v>
      </c>
      <c r="J18" s="45" t="s">
        <v>1378</v>
      </c>
      <c r="K18" s="45" t="s">
        <v>1378</v>
      </c>
      <c r="L18" s="45">
        <v>75579</v>
      </c>
      <c r="M18" s="6">
        <f t="shared" si="0"/>
        <v>75579</v>
      </c>
    </row>
    <row r="19" spans="1:13">
      <c r="A19" s="17">
        <v>13</v>
      </c>
      <c r="B19" s="4" t="s">
        <v>1293</v>
      </c>
      <c r="C19" s="45" t="s">
        <v>1378</v>
      </c>
      <c r="D19" s="45" t="s">
        <v>1378</v>
      </c>
      <c r="E19" s="45" t="s">
        <v>1378</v>
      </c>
      <c r="F19" s="45">
        <v>368</v>
      </c>
      <c r="G19" s="45" t="s">
        <v>1378</v>
      </c>
      <c r="H19" s="45" t="s">
        <v>1378</v>
      </c>
      <c r="I19" s="45" t="s">
        <v>1378</v>
      </c>
      <c r="J19" s="45" t="s">
        <v>1378</v>
      </c>
      <c r="K19" s="45" t="s">
        <v>1378</v>
      </c>
      <c r="L19" s="45">
        <v>6385</v>
      </c>
      <c r="M19" s="6">
        <f t="shared" si="0"/>
        <v>6753</v>
      </c>
    </row>
    <row r="20" spans="1:13">
      <c r="A20" s="17">
        <v>14</v>
      </c>
      <c r="B20" s="4" t="s">
        <v>595</v>
      </c>
      <c r="C20" s="45">
        <v>29</v>
      </c>
      <c r="D20" s="45" t="s">
        <v>1378</v>
      </c>
      <c r="E20" s="45" t="s">
        <v>1378</v>
      </c>
      <c r="F20" s="45">
        <v>25554</v>
      </c>
      <c r="G20" s="45" t="s">
        <v>1378</v>
      </c>
      <c r="H20" s="45" t="s">
        <v>1378</v>
      </c>
      <c r="I20" s="45" t="s">
        <v>1378</v>
      </c>
      <c r="J20" s="45" t="s">
        <v>1378</v>
      </c>
      <c r="K20" s="45" t="s">
        <v>1378</v>
      </c>
      <c r="L20" s="45">
        <v>41049</v>
      </c>
      <c r="M20" s="6">
        <f t="shared" si="0"/>
        <v>66632</v>
      </c>
    </row>
    <row r="21" spans="1:13">
      <c r="A21" s="17">
        <v>15</v>
      </c>
      <c r="B21" s="4" t="s">
        <v>596</v>
      </c>
      <c r="C21" s="45" t="s">
        <v>1378</v>
      </c>
      <c r="D21" s="45" t="s">
        <v>1378</v>
      </c>
      <c r="E21" s="45" t="s">
        <v>1378</v>
      </c>
      <c r="F21" s="45" t="s">
        <v>1378</v>
      </c>
      <c r="G21" s="45" t="s">
        <v>1378</v>
      </c>
      <c r="H21" s="45" t="s">
        <v>1378</v>
      </c>
      <c r="I21" s="45" t="s">
        <v>1378</v>
      </c>
      <c r="J21" s="45" t="s">
        <v>1378</v>
      </c>
      <c r="K21" s="45">
        <v>21048</v>
      </c>
      <c r="L21" s="45">
        <v>20</v>
      </c>
      <c r="M21" s="6">
        <f t="shared" si="0"/>
        <v>21068</v>
      </c>
    </row>
    <row r="22" spans="1:13">
      <c r="A22" s="17">
        <v>16</v>
      </c>
      <c r="B22" s="4" t="s">
        <v>73</v>
      </c>
      <c r="C22" s="45">
        <v>21547</v>
      </c>
      <c r="D22" s="45">
        <v>23</v>
      </c>
      <c r="E22" s="45" t="s">
        <v>1378</v>
      </c>
      <c r="F22" s="45">
        <v>26</v>
      </c>
      <c r="G22" s="45">
        <v>38</v>
      </c>
      <c r="H22" s="45" t="s">
        <v>1378</v>
      </c>
      <c r="I22" s="45" t="s">
        <v>1378</v>
      </c>
      <c r="J22" s="45" t="s">
        <v>1378</v>
      </c>
      <c r="K22" s="45">
        <v>28019</v>
      </c>
      <c r="L22" s="45">
        <v>4185</v>
      </c>
      <c r="M22" s="6">
        <f t="shared" si="0"/>
        <v>53838</v>
      </c>
    </row>
    <row r="23" spans="1:13">
      <c r="A23" s="17">
        <v>17</v>
      </c>
      <c r="B23" s="4" t="s">
        <v>74</v>
      </c>
      <c r="C23" s="45">
        <v>357</v>
      </c>
      <c r="D23" s="45" t="s">
        <v>1378</v>
      </c>
      <c r="E23" s="45" t="s">
        <v>1378</v>
      </c>
      <c r="F23" s="45">
        <v>45</v>
      </c>
      <c r="G23" s="45" t="s">
        <v>1378</v>
      </c>
      <c r="H23" s="45" t="s">
        <v>1378</v>
      </c>
      <c r="I23" s="45" t="s">
        <v>1378</v>
      </c>
      <c r="J23" s="45">
        <v>8593</v>
      </c>
      <c r="K23" s="45">
        <v>3322</v>
      </c>
      <c r="L23" s="45" t="s">
        <v>1229</v>
      </c>
      <c r="M23" s="6">
        <f t="shared" si="0"/>
        <v>12317</v>
      </c>
    </row>
    <row r="24" spans="1:13" ht="22.5">
      <c r="A24" s="195">
        <v>18</v>
      </c>
      <c r="B24" s="82" t="s">
        <v>1319</v>
      </c>
      <c r="C24" s="45" t="s">
        <v>1378</v>
      </c>
      <c r="D24" s="45" t="s">
        <v>1378</v>
      </c>
      <c r="E24" s="45" t="s">
        <v>1378</v>
      </c>
      <c r="F24" s="45">
        <v>678</v>
      </c>
      <c r="G24" s="45">
        <v>12</v>
      </c>
      <c r="H24" s="45">
        <v>291</v>
      </c>
      <c r="I24" s="45" t="s">
        <v>1378</v>
      </c>
      <c r="J24" s="45" t="s">
        <v>1378</v>
      </c>
      <c r="K24" s="45" t="s">
        <v>1378</v>
      </c>
      <c r="L24" s="45" t="s">
        <v>1378</v>
      </c>
      <c r="M24" s="6">
        <f t="shared" si="0"/>
        <v>981</v>
      </c>
    </row>
    <row r="25" spans="1:13">
      <c r="A25" s="17">
        <v>19</v>
      </c>
      <c r="B25" s="4" t="s">
        <v>1215</v>
      </c>
      <c r="C25" s="45" t="s">
        <v>1378</v>
      </c>
      <c r="D25" s="45" t="s">
        <v>1378</v>
      </c>
      <c r="E25" s="45" t="s">
        <v>1378</v>
      </c>
      <c r="F25" s="45">
        <v>391</v>
      </c>
      <c r="G25" s="45" t="s">
        <v>1378</v>
      </c>
      <c r="H25" s="45">
        <v>3017</v>
      </c>
      <c r="I25" s="45" t="s">
        <v>1378</v>
      </c>
      <c r="J25" s="45" t="s">
        <v>1378</v>
      </c>
      <c r="K25" s="45" t="s">
        <v>1378</v>
      </c>
      <c r="L25" s="45" t="s">
        <v>1378</v>
      </c>
      <c r="M25" s="6">
        <f t="shared" si="0"/>
        <v>3408</v>
      </c>
    </row>
    <row r="26" spans="1:13">
      <c r="A26" s="17">
        <v>20</v>
      </c>
      <c r="B26" s="4" t="s">
        <v>1225</v>
      </c>
      <c r="C26" s="45">
        <v>169</v>
      </c>
      <c r="D26" s="45" t="s">
        <v>1378</v>
      </c>
      <c r="E26" s="45" t="s">
        <v>1378</v>
      </c>
      <c r="F26" s="45">
        <v>256</v>
      </c>
      <c r="G26" s="45">
        <v>4218</v>
      </c>
      <c r="H26" s="45">
        <v>188</v>
      </c>
      <c r="I26" s="45" t="s">
        <v>1378</v>
      </c>
      <c r="J26" s="45" t="s">
        <v>1378</v>
      </c>
      <c r="K26" s="45" t="s">
        <v>1378</v>
      </c>
      <c r="L26" s="45" t="s">
        <v>1378</v>
      </c>
      <c r="M26" s="6">
        <f t="shared" si="0"/>
        <v>4831</v>
      </c>
    </row>
    <row r="27" spans="1:13">
      <c r="A27" s="17">
        <v>21</v>
      </c>
      <c r="B27" s="4" t="s">
        <v>77</v>
      </c>
      <c r="C27" s="45">
        <v>22</v>
      </c>
      <c r="D27" s="45" t="s">
        <v>1378</v>
      </c>
      <c r="E27" s="45" t="s">
        <v>1378</v>
      </c>
      <c r="F27" s="45">
        <v>2691</v>
      </c>
      <c r="G27" s="45" t="s">
        <v>1378</v>
      </c>
      <c r="H27" s="45" t="s">
        <v>1378</v>
      </c>
      <c r="I27" s="45" t="s">
        <v>1378</v>
      </c>
      <c r="J27" s="45" t="s">
        <v>1378</v>
      </c>
      <c r="K27" s="45" t="s">
        <v>1378</v>
      </c>
      <c r="L27" s="45" t="s">
        <v>1378</v>
      </c>
      <c r="M27" s="6">
        <f t="shared" si="0"/>
        <v>2713</v>
      </c>
    </row>
    <row r="28" spans="1:13">
      <c r="A28" s="17">
        <v>22</v>
      </c>
      <c r="B28" s="4" t="s">
        <v>78</v>
      </c>
      <c r="C28" s="45">
        <v>774</v>
      </c>
      <c r="D28" s="45" t="s">
        <v>1378</v>
      </c>
      <c r="E28" s="45" t="s">
        <v>1378</v>
      </c>
      <c r="F28" s="45">
        <v>42087</v>
      </c>
      <c r="G28" s="45" t="s">
        <v>1378</v>
      </c>
      <c r="H28" s="45" t="s">
        <v>1378</v>
      </c>
      <c r="I28" s="45" t="s">
        <v>1378</v>
      </c>
      <c r="J28" s="45" t="s">
        <v>1378</v>
      </c>
      <c r="K28" s="45" t="s">
        <v>1378</v>
      </c>
      <c r="L28" s="45" t="s">
        <v>1378</v>
      </c>
      <c r="M28" s="6">
        <f t="shared" si="0"/>
        <v>42861</v>
      </c>
    </row>
    <row r="29" spans="1:13">
      <c r="A29" s="17">
        <v>23</v>
      </c>
      <c r="B29" s="197" t="s">
        <v>1318</v>
      </c>
      <c r="C29" s="45">
        <v>43</v>
      </c>
      <c r="D29" s="45" t="s">
        <v>1378</v>
      </c>
      <c r="E29" s="45" t="s">
        <v>1378</v>
      </c>
      <c r="F29" s="45">
        <v>14681</v>
      </c>
      <c r="G29" s="45">
        <v>29</v>
      </c>
      <c r="H29" s="45">
        <v>1</v>
      </c>
      <c r="I29" s="45" t="s">
        <v>1378</v>
      </c>
      <c r="J29" s="45" t="s">
        <v>1378</v>
      </c>
      <c r="K29" s="45">
        <v>1632</v>
      </c>
      <c r="L29" s="45" t="s">
        <v>1378</v>
      </c>
      <c r="M29" s="6">
        <f t="shared" si="0"/>
        <v>16386</v>
      </c>
    </row>
    <row r="30" spans="1:13">
      <c r="A30" s="17">
        <v>24</v>
      </c>
      <c r="B30" s="4" t="s">
        <v>1087</v>
      </c>
      <c r="C30" s="45">
        <v>36</v>
      </c>
      <c r="D30" s="45" t="s">
        <v>1378</v>
      </c>
      <c r="E30" s="45">
        <v>0</v>
      </c>
      <c r="F30" s="45">
        <v>5838</v>
      </c>
      <c r="G30" s="45">
        <v>8</v>
      </c>
      <c r="H30" s="45" t="s">
        <v>1378</v>
      </c>
      <c r="I30" s="45" t="s">
        <v>1378</v>
      </c>
      <c r="J30" s="45" t="s">
        <v>1378</v>
      </c>
      <c r="K30" s="45" t="s">
        <v>1378</v>
      </c>
      <c r="L30" s="45" t="s">
        <v>1378</v>
      </c>
      <c r="M30" s="6">
        <f t="shared" si="0"/>
        <v>5882</v>
      </c>
    </row>
    <row r="31" spans="1:13">
      <c r="A31" s="17">
        <v>25</v>
      </c>
      <c r="B31" s="4" t="s">
        <v>1088</v>
      </c>
      <c r="C31" s="45">
        <v>85138</v>
      </c>
      <c r="D31" s="45" t="s">
        <v>1378</v>
      </c>
      <c r="E31" s="45" t="s">
        <v>1378</v>
      </c>
      <c r="F31" s="45" t="s">
        <v>1378</v>
      </c>
      <c r="G31" s="45" t="s">
        <v>1378</v>
      </c>
      <c r="H31" s="45" t="s">
        <v>1378</v>
      </c>
      <c r="I31" s="45" t="s">
        <v>1378</v>
      </c>
      <c r="J31" s="45" t="s">
        <v>1378</v>
      </c>
      <c r="K31" s="45" t="s">
        <v>1378</v>
      </c>
      <c r="L31" s="45" t="s">
        <v>1378</v>
      </c>
      <c r="M31" s="6">
        <f t="shared" si="0"/>
        <v>85138</v>
      </c>
    </row>
    <row r="32" spans="1:13">
      <c r="A32" s="17">
        <v>26</v>
      </c>
      <c r="B32" s="4" t="s">
        <v>422</v>
      </c>
      <c r="C32" s="45">
        <v>27381</v>
      </c>
      <c r="D32" s="45" t="s">
        <v>1378</v>
      </c>
      <c r="E32" s="45" t="s">
        <v>1378</v>
      </c>
      <c r="F32" s="45" t="s">
        <v>1378</v>
      </c>
      <c r="G32" s="45" t="s">
        <v>1378</v>
      </c>
      <c r="H32" s="45" t="s">
        <v>1378</v>
      </c>
      <c r="I32" s="45" t="s">
        <v>1378</v>
      </c>
      <c r="J32" s="45" t="s">
        <v>1378</v>
      </c>
      <c r="K32" s="45" t="s">
        <v>1378</v>
      </c>
      <c r="L32" s="45" t="s">
        <v>1378</v>
      </c>
      <c r="M32" s="6">
        <f t="shared" si="0"/>
        <v>27381</v>
      </c>
    </row>
    <row r="33" spans="1:13">
      <c r="A33" s="17">
        <v>27</v>
      </c>
      <c r="B33" s="4" t="s">
        <v>1750</v>
      </c>
      <c r="C33" s="45">
        <v>31452</v>
      </c>
      <c r="D33" s="45" t="s">
        <v>1378</v>
      </c>
      <c r="E33" s="45" t="s">
        <v>1378</v>
      </c>
      <c r="F33" s="45" t="s">
        <v>1378</v>
      </c>
      <c r="G33" s="45" t="s">
        <v>1378</v>
      </c>
      <c r="H33" s="45" t="s">
        <v>1378</v>
      </c>
      <c r="I33" s="45" t="s">
        <v>1378</v>
      </c>
      <c r="J33" s="45" t="s">
        <v>1378</v>
      </c>
      <c r="K33" s="45" t="s">
        <v>1378</v>
      </c>
      <c r="L33" s="45" t="s">
        <v>1378</v>
      </c>
      <c r="M33" s="6">
        <f t="shared" si="0"/>
        <v>31452</v>
      </c>
    </row>
    <row r="34" spans="1:13">
      <c r="A34" s="17"/>
      <c r="B34" s="4"/>
      <c r="C34" s="3"/>
      <c r="D34" s="66"/>
      <c r="E34" s="3"/>
      <c r="F34" s="3"/>
      <c r="G34" s="3"/>
      <c r="H34" s="3"/>
      <c r="I34" s="45"/>
      <c r="J34" s="3"/>
      <c r="K34" s="3"/>
      <c r="L34" s="3"/>
      <c r="M34" s="3"/>
    </row>
    <row r="35" spans="1:13" ht="13.5" thickBot="1">
      <c r="A35" s="39"/>
      <c r="B35" s="33" t="s">
        <v>1230</v>
      </c>
      <c r="C35" s="40">
        <f t="shared" ref="C35:L35" si="1">SUM(C7:C34)</f>
        <v>219667</v>
      </c>
      <c r="D35" s="40">
        <f t="shared" si="1"/>
        <v>44694</v>
      </c>
      <c r="E35" s="40">
        <f t="shared" si="1"/>
        <v>41536</v>
      </c>
      <c r="F35" s="40">
        <f t="shared" si="1"/>
        <v>93423</v>
      </c>
      <c r="G35" s="40">
        <f t="shared" si="1"/>
        <v>4307</v>
      </c>
      <c r="H35" s="40">
        <f t="shared" si="1"/>
        <v>3497</v>
      </c>
      <c r="I35" s="40">
        <f t="shared" si="1"/>
        <v>35597</v>
      </c>
      <c r="J35" s="40">
        <f>SUM(J7:J34)</f>
        <v>9225</v>
      </c>
      <c r="K35" s="40">
        <f t="shared" si="1"/>
        <v>54221</v>
      </c>
      <c r="L35" s="40">
        <f t="shared" si="1"/>
        <v>304921</v>
      </c>
      <c r="M35" s="40">
        <f>SUM(C35:L35)</f>
        <v>811088</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63" workbookViewId="0">
      <selection activeCell="F49" sqref="F49"/>
    </sheetView>
  </sheetViews>
  <sheetFormatPr defaultColWidth="10.6640625" defaultRowHeight="12.75"/>
  <cols>
    <col min="1" max="1" width="44" style="239" customWidth="1"/>
    <col min="2" max="12" width="9.33203125" style="239" customWidth="1"/>
    <col min="13" max="13" width="1.83203125" style="239" customWidth="1"/>
    <col min="14" max="16384" width="10.6640625" style="239"/>
  </cols>
  <sheetData>
    <row r="1" spans="1:12" ht="15.75" hidden="1">
      <c r="A1" s="237" t="s">
        <v>403</v>
      </c>
      <c r="B1" s="238"/>
      <c r="C1" s="238"/>
      <c r="D1" s="238"/>
      <c r="E1" s="238"/>
      <c r="F1" s="238"/>
      <c r="G1" s="238"/>
      <c r="H1" s="238"/>
    </row>
    <row r="2" spans="1:12" ht="15.75" hidden="1">
      <c r="A2" s="237" t="s">
        <v>956</v>
      </c>
      <c r="B2" s="238"/>
      <c r="C2" s="238"/>
      <c r="D2" s="238"/>
      <c r="E2" s="238"/>
      <c r="F2" s="238"/>
      <c r="G2" s="238"/>
      <c r="H2" s="238"/>
    </row>
    <row r="3" spans="1:12" ht="12.75" hidden="1" customHeight="1">
      <c r="A3" s="240" t="s">
        <v>957</v>
      </c>
      <c r="B3" s="241"/>
      <c r="C3" s="241"/>
      <c r="D3" s="241"/>
      <c r="E3" s="241"/>
      <c r="F3" s="241"/>
      <c r="G3" s="241"/>
      <c r="H3" s="241"/>
      <c r="I3" s="240"/>
      <c r="J3" s="240"/>
      <c r="K3" s="240"/>
      <c r="L3" s="240"/>
    </row>
    <row r="4" spans="1:12" ht="13.5" hidden="1" thickBot="1">
      <c r="A4" s="242"/>
      <c r="B4" s="242"/>
      <c r="C4" s="242"/>
      <c r="D4" s="243"/>
      <c r="E4" s="243"/>
      <c r="F4" s="243"/>
      <c r="G4" s="243"/>
      <c r="H4" s="243"/>
      <c r="I4" s="244"/>
      <c r="J4" s="244"/>
    </row>
    <row r="5" spans="1:12" s="247" customFormat="1" ht="13.5" hidden="1" thickBot="1">
      <c r="A5" s="245" t="s">
        <v>958</v>
      </c>
      <c r="B5" s="246"/>
      <c r="C5" s="245">
        <v>1995</v>
      </c>
      <c r="D5" s="245">
        <v>1996</v>
      </c>
      <c r="E5" s="245">
        <v>1997</v>
      </c>
      <c r="F5" s="245">
        <v>1998</v>
      </c>
      <c r="G5" s="245">
        <v>1999</v>
      </c>
      <c r="H5" s="245">
        <v>2000</v>
      </c>
      <c r="I5" s="245">
        <v>2001</v>
      </c>
      <c r="J5" s="245">
        <v>2002</v>
      </c>
    </row>
    <row r="6" spans="1:12" hidden="1">
      <c r="A6" s="248"/>
      <c r="B6" s="248"/>
      <c r="C6" s="248"/>
      <c r="D6" s="240"/>
      <c r="E6" s="248"/>
      <c r="F6" s="248"/>
      <c r="G6" s="240"/>
      <c r="H6" s="248"/>
      <c r="I6" s="240"/>
      <c r="J6" s="240"/>
    </row>
    <row r="7" spans="1:12" hidden="1">
      <c r="A7" s="249" t="s">
        <v>959</v>
      </c>
      <c r="B7" s="248" t="s">
        <v>204</v>
      </c>
      <c r="C7" s="250">
        <v>14419.423000000001</v>
      </c>
      <c r="D7" s="250">
        <v>14928</v>
      </c>
      <c r="E7" s="250">
        <v>15264</v>
      </c>
      <c r="F7" s="250">
        <v>24028.214594999998</v>
      </c>
      <c r="G7" s="250">
        <v>27110.002</v>
      </c>
      <c r="H7" s="250">
        <v>24812.542238000002</v>
      </c>
      <c r="I7" s="251">
        <v>23330.097737</v>
      </c>
      <c r="J7" s="251">
        <v>23264.003346000001</v>
      </c>
    </row>
    <row r="8" spans="1:12" hidden="1">
      <c r="A8" s="249" t="s">
        <v>960</v>
      </c>
      <c r="B8" s="248" t="s">
        <v>371</v>
      </c>
      <c r="C8" s="250">
        <v>2784.895</v>
      </c>
      <c r="D8" s="252">
        <v>3072</v>
      </c>
      <c r="E8" s="252">
        <v>3503</v>
      </c>
      <c r="F8" s="250">
        <v>5034</v>
      </c>
      <c r="G8" s="251">
        <v>5329</v>
      </c>
      <c r="H8" s="251">
        <v>5893</v>
      </c>
      <c r="I8" s="251">
        <v>8427.8942139999999</v>
      </c>
      <c r="J8" s="251">
        <v>8042.6282350000001</v>
      </c>
    </row>
    <row r="9" spans="1:12" hidden="1">
      <c r="A9" s="249" t="s">
        <v>961</v>
      </c>
      <c r="B9" s="248" t="s">
        <v>372</v>
      </c>
      <c r="C9" s="250">
        <v>70.245999999999995</v>
      </c>
      <c r="D9" s="252">
        <v>72</v>
      </c>
      <c r="E9" s="252">
        <v>81</v>
      </c>
      <c r="F9" s="250">
        <v>114</v>
      </c>
      <c r="G9" s="251">
        <v>124</v>
      </c>
      <c r="H9" s="251">
        <v>134</v>
      </c>
      <c r="I9" s="251">
        <v>161.65705199999999</v>
      </c>
      <c r="J9" s="251">
        <v>180.09549999999999</v>
      </c>
    </row>
    <row r="10" spans="1:12" hidden="1">
      <c r="A10" s="249" t="s">
        <v>962</v>
      </c>
      <c r="B10" s="248" t="s">
        <v>963</v>
      </c>
      <c r="C10" s="250">
        <v>1084.5150000000001</v>
      </c>
      <c r="D10" s="250">
        <v>1165</v>
      </c>
      <c r="E10" s="250">
        <v>1573</v>
      </c>
      <c r="F10" s="250">
        <v>1754.6460367700001</v>
      </c>
      <c r="G10" s="250">
        <v>1877.79</v>
      </c>
      <c r="H10" s="250">
        <v>2088.4474888</v>
      </c>
      <c r="I10" s="251">
        <v>2199.2034039</v>
      </c>
      <c r="J10" s="251">
        <v>2643.2318909999999</v>
      </c>
    </row>
    <row r="11" spans="1:12" hidden="1">
      <c r="A11" s="249" t="s">
        <v>964</v>
      </c>
      <c r="B11" s="248" t="s">
        <v>965</v>
      </c>
      <c r="C11" s="250">
        <v>302.87900000000002</v>
      </c>
      <c r="D11" s="250">
        <v>198</v>
      </c>
      <c r="E11" s="250">
        <v>222</v>
      </c>
      <c r="F11" s="250">
        <v>249.88138873000003</v>
      </c>
      <c r="G11" s="250">
        <v>271.78899999999999</v>
      </c>
      <c r="H11" s="250">
        <v>460.44848960000002</v>
      </c>
      <c r="I11" s="251">
        <v>376.87969029999999</v>
      </c>
      <c r="J11" s="251">
        <v>332.12257819999996</v>
      </c>
    </row>
    <row r="12" spans="1:12" hidden="1">
      <c r="A12" s="249" t="s">
        <v>966</v>
      </c>
      <c r="B12" s="248" t="s">
        <v>967</v>
      </c>
      <c r="C12" s="250">
        <v>3026.029</v>
      </c>
      <c r="D12" s="250">
        <v>2665</v>
      </c>
      <c r="E12" s="250">
        <v>2624</v>
      </c>
      <c r="F12" s="250">
        <v>3952.8927174999999</v>
      </c>
      <c r="G12" s="250">
        <v>4496.24</v>
      </c>
      <c r="H12" s="250">
        <v>4878.0581542</v>
      </c>
      <c r="I12" s="251">
        <v>5367.4649090000003</v>
      </c>
      <c r="J12" s="251">
        <v>5780.4875835000003</v>
      </c>
    </row>
    <row r="13" spans="1:12" hidden="1">
      <c r="A13" s="249"/>
      <c r="B13" s="248"/>
      <c r="C13" s="248"/>
      <c r="D13" s="250"/>
      <c r="E13" s="250"/>
      <c r="F13" s="250"/>
      <c r="G13" s="250"/>
      <c r="H13" s="250"/>
      <c r="I13" s="240"/>
      <c r="J13" s="240"/>
    </row>
    <row r="14" spans="1:12" ht="13.5" hidden="1" thickBot="1">
      <c r="A14" s="253"/>
      <c r="B14" s="254" t="s">
        <v>968</v>
      </c>
      <c r="C14" s="255">
        <f t="shared" ref="C14:I14" si="0">SUM(C7:C12)</f>
        <v>21687.986999999997</v>
      </c>
      <c r="D14" s="255">
        <f t="shared" si="0"/>
        <v>22100</v>
      </c>
      <c r="E14" s="256">
        <f t="shared" si="0"/>
        <v>23267</v>
      </c>
      <c r="F14" s="255">
        <f t="shared" si="0"/>
        <v>35133.634737999993</v>
      </c>
      <c r="G14" s="257">
        <f t="shared" si="0"/>
        <v>39208.820999999996</v>
      </c>
      <c r="H14" s="257">
        <f t="shared" si="0"/>
        <v>38266.496370599998</v>
      </c>
      <c r="I14" s="257">
        <f t="shared" si="0"/>
        <v>39863.197006199996</v>
      </c>
      <c r="J14" s="257">
        <v>40242.569133699995</v>
      </c>
    </row>
    <row r="15" spans="1:12" hidden="1">
      <c r="A15" s="240" t="s">
        <v>179</v>
      </c>
      <c r="B15" s="240"/>
      <c r="C15" s="240"/>
      <c r="D15" s="240"/>
      <c r="E15" s="240"/>
      <c r="F15" s="240"/>
      <c r="G15" s="240"/>
      <c r="H15" s="240"/>
      <c r="I15" s="240"/>
      <c r="J15" s="240"/>
    </row>
    <row r="16" spans="1:12" hidden="1">
      <c r="A16" s="240" t="s">
        <v>969</v>
      </c>
      <c r="B16" s="240"/>
      <c r="C16" s="240"/>
      <c r="D16" s="240"/>
      <c r="E16" s="240"/>
      <c r="F16" s="240"/>
      <c r="G16" s="240"/>
      <c r="H16" s="240"/>
      <c r="I16" s="240"/>
      <c r="J16" s="240"/>
    </row>
    <row r="17" spans="1:13">
      <c r="A17" s="237" t="s">
        <v>425</v>
      </c>
      <c r="B17" s="240"/>
      <c r="C17" s="240"/>
      <c r="D17" s="240"/>
      <c r="E17" s="240"/>
      <c r="F17" s="240"/>
      <c r="G17" s="240"/>
      <c r="H17" s="240"/>
      <c r="I17" s="240"/>
      <c r="J17" s="240"/>
    </row>
    <row r="18" spans="1:13">
      <c r="A18" s="237" t="s">
        <v>1709</v>
      </c>
      <c r="B18" s="240"/>
      <c r="C18" s="240"/>
      <c r="D18" s="240"/>
      <c r="E18" s="240"/>
      <c r="F18" s="240"/>
      <c r="G18" s="240"/>
      <c r="H18" s="240"/>
      <c r="I18" s="240"/>
      <c r="J18" s="240"/>
    </row>
    <row r="19" spans="1:13">
      <c r="A19" s="240" t="s">
        <v>1710</v>
      </c>
    </row>
    <row r="20" spans="1:13" ht="13.5" thickBot="1">
      <c r="A20" s="240"/>
      <c r="K20" s="244"/>
      <c r="L20" s="244"/>
    </row>
    <row r="21" spans="1:13" s="260" customFormat="1" ht="12" thickBot="1">
      <c r="A21" s="245" t="s">
        <v>958</v>
      </c>
      <c r="B21" s="258">
        <v>1995</v>
      </c>
      <c r="C21" s="258">
        <v>1996</v>
      </c>
      <c r="D21" s="258">
        <v>1997</v>
      </c>
      <c r="E21" s="258">
        <v>1998</v>
      </c>
      <c r="F21" s="258">
        <v>1999</v>
      </c>
      <c r="G21" s="258">
        <v>2000</v>
      </c>
      <c r="H21" s="258">
        <v>2001</v>
      </c>
      <c r="I21" s="258">
        <v>2002</v>
      </c>
      <c r="J21" s="258">
        <v>2003</v>
      </c>
      <c r="K21" s="258">
        <v>2004</v>
      </c>
      <c r="L21" s="258">
        <v>2005</v>
      </c>
      <c r="M21" s="259"/>
    </row>
    <row r="22" spans="1:13" s="266" customFormat="1" ht="11.25">
      <c r="A22" s="261"/>
      <c r="B22" s="262"/>
      <c r="C22" s="262"/>
      <c r="D22" s="263"/>
      <c r="E22" s="263"/>
      <c r="F22" s="264"/>
      <c r="G22" s="264"/>
      <c r="H22" s="265"/>
      <c r="K22" s="267"/>
      <c r="L22" s="267"/>
    </row>
    <row r="23" spans="1:13" s="266" customFormat="1" ht="11.25">
      <c r="A23" s="268" t="s">
        <v>970</v>
      </c>
      <c r="B23" s="264">
        <v>421220.66299999994</v>
      </c>
      <c r="C23" s="264">
        <v>549065.62716696982</v>
      </c>
      <c r="D23" s="264">
        <v>575292</v>
      </c>
      <c r="E23" s="264">
        <v>639692.08402827999</v>
      </c>
      <c r="F23" s="264">
        <v>672410.85001679999</v>
      </c>
      <c r="G23" s="264">
        <v>672830.89109510009</v>
      </c>
      <c r="H23" s="264">
        <v>684602.97806325997</v>
      </c>
      <c r="I23" s="264">
        <v>659388.67307572998</v>
      </c>
      <c r="J23" s="264">
        <f>SUM(J25:J105)</f>
        <v>608462.29219999991</v>
      </c>
      <c r="K23" s="264">
        <f>SUM(K25:K105)</f>
        <v>637001.30298519006</v>
      </c>
      <c r="L23" s="264">
        <f>SUM(L25:L105)</f>
        <v>682267.98333667999</v>
      </c>
    </row>
    <row r="24" spans="1:13" s="266" customFormat="1" ht="11.25">
      <c r="A24" s="261"/>
      <c r="B24" s="269"/>
      <c r="C24" s="269"/>
      <c r="D24" s="270"/>
      <c r="E24" s="269"/>
      <c r="F24" s="269"/>
      <c r="G24" s="269"/>
      <c r="H24" s="265"/>
      <c r="K24" s="267"/>
      <c r="L24" s="267"/>
    </row>
    <row r="25" spans="1:13" s="266" customFormat="1" ht="11.25">
      <c r="A25" s="261" t="s">
        <v>971</v>
      </c>
      <c r="B25" s="269">
        <v>92713.714000000007</v>
      </c>
      <c r="C25" s="269">
        <v>90151.582879489753</v>
      </c>
      <c r="D25" s="269">
        <v>109760</v>
      </c>
      <c r="E25" s="269">
        <v>114234.9129889</v>
      </c>
      <c r="F25" s="269">
        <v>136126.10627550012</v>
      </c>
      <c r="G25" s="269">
        <v>127513.98842510006</v>
      </c>
      <c r="H25" s="269">
        <v>134874.04629013999</v>
      </c>
      <c r="I25" s="269">
        <v>65102.99371694</v>
      </c>
      <c r="J25" s="269">
        <v>29725.921900000001</v>
      </c>
      <c r="K25" s="269">
        <v>45706.233964000006</v>
      </c>
      <c r="L25" s="269">
        <v>85257.172216099993</v>
      </c>
    </row>
    <row r="26" spans="1:13" s="266" customFormat="1" ht="11.25" hidden="1">
      <c r="A26" s="261" t="s">
        <v>972</v>
      </c>
      <c r="B26" s="271">
        <v>32929.904999999999</v>
      </c>
      <c r="C26" s="265">
        <v>19478.63636316975</v>
      </c>
      <c r="D26" s="265">
        <v>41765</v>
      </c>
      <c r="E26" s="269">
        <v>39831.221987000004</v>
      </c>
      <c r="F26" s="269">
        <v>61675.42708490006</v>
      </c>
      <c r="G26" s="269">
        <v>50324.031833500099</v>
      </c>
      <c r="H26" s="272">
        <v>33189.663341790001</v>
      </c>
      <c r="I26" s="267">
        <v>-17169.415420289999</v>
      </c>
      <c r="J26" s="267"/>
      <c r="K26" s="267"/>
      <c r="L26" s="267"/>
    </row>
    <row r="27" spans="1:13" s="266" customFormat="1" ht="11.25" hidden="1">
      <c r="A27" s="261" t="s">
        <v>973</v>
      </c>
      <c r="B27" s="271">
        <v>51508.792999999998</v>
      </c>
      <c r="C27" s="265">
        <v>60781.597181999998</v>
      </c>
      <c r="D27" s="265">
        <v>63318</v>
      </c>
      <c r="E27" s="269">
        <v>68322.443950000001</v>
      </c>
      <c r="F27" s="269">
        <v>68734.228786500069</v>
      </c>
      <c r="G27" s="269">
        <v>71661.414137999978</v>
      </c>
      <c r="H27" s="272">
        <v>94062.433057000002</v>
      </c>
      <c r="I27" s="267">
        <v>76517.925759999998</v>
      </c>
      <c r="J27" s="267"/>
      <c r="K27" s="267"/>
      <c r="L27" s="267"/>
    </row>
    <row r="28" spans="1:13" s="266" customFormat="1" ht="11.25" hidden="1">
      <c r="A28" s="261" t="s">
        <v>974</v>
      </c>
      <c r="B28" s="271">
        <v>1014.2760000000001</v>
      </c>
      <c r="C28" s="265">
        <v>1060.56798</v>
      </c>
      <c r="D28" s="265">
        <v>910</v>
      </c>
      <c r="E28" s="269">
        <v>802.24070299999994</v>
      </c>
      <c r="F28" s="269">
        <v>1003.752403</v>
      </c>
      <c r="G28" s="269">
        <v>903.92862400000001</v>
      </c>
      <c r="H28" s="272">
        <v>1064.6568649999999</v>
      </c>
      <c r="I28" s="267">
        <v>1176.2289060000001</v>
      </c>
      <c r="J28" s="267"/>
      <c r="K28" s="267"/>
      <c r="L28" s="267"/>
    </row>
    <row r="29" spans="1:13" s="266" customFormat="1" ht="11.25" hidden="1">
      <c r="A29" s="261" t="s">
        <v>975</v>
      </c>
      <c r="B29" s="271">
        <v>3198.902</v>
      </c>
      <c r="C29" s="265">
        <v>4997.7601233200003</v>
      </c>
      <c r="D29" s="265">
        <v>1026</v>
      </c>
      <c r="E29" s="269">
        <v>2131.5580998999999</v>
      </c>
      <c r="F29" s="269">
        <v>1695.1400320999999</v>
      </c>
      <c r="G29" s="269">
        <v>1341.9317336000001</v>
      </c>
      <c r="H29" s="272">
        <v>2856.7270213500001</v>
      </c>
      <c r="I29" s="267">
        <v>1500.8488392300001</v>
      </c>
      <c r="J29" s="267"/>
      <c r="K29" s="267"/>
      <c r="L29" s="267"/>
    </row>
    <row r="30" spans="1:13" s="266" customFormat="1" ht="11.25" hidden="1">
      <c r="A30" s="261" t="s">
        <v>976</v>
      </c>
      <c r="B30" s="271">
        <v>838.76700000000005</v>
      </c>
      <c r="C30" s="265">
        <v>1565.8463610000001</v>
      </c>
      <c r="D30" s="265">
        <v>1663</v>
      </c>
      <c r="E30" s="269">
        <v>1964.758785</v>
      </c>
      <c r="F30" s="269">
        <v>1816.5205930000002</v>
      </c>
      <c r="G30" s="269">
        <v>2083.3734810000001</v>
      </c>
      <c r="H30" s="272">
        <v>2502.6234370000002</v>
      </c>
      <c r="I30" s="267">
        <v>1928.72163</v>
      </c>
      <c r="J30" s="267"/>
      <c r="K30" s="267"/>
      <c r="L30" s="267"/>
    </row>
    <row r="31" spans="1:13" s="266" customFormat="1" ht="11.25" hidden="1">
      <c r="A31" s="261" t="s">
        <v>977</v>
      </c>
      <c r="B31" s="271">
        <v>3223.0709999999999</v>
      </c>
      <c r="C31" s="265">
        <v>2267.1748700000003</v>
      </c>
      <c r="D31" s="265">
        <v>1078</v>
      </c>
      <c r="E31" s="269">
        <v>1182.6894639999998</v>
      </c>
      <c r="F31" s="269">
        <v>1201.037376</v>
      </c>
      <c r="G31" s="269">
        <v>1199.3086149999999</v>
      </c>
      <c r="H31" s="272">
        <v>1197.9425679999999</v>
      </c>
      <c r="I31" s="267">
        <v>1148.684002</v>
      </c>
      <c r="J31" s="267"/>
      <c r="K31" s="267"/>
      <c r="L31" s="267"/>
    </row>
    <row r="32" spans="1:13" s="266" customFormat="1" ht="11.25">
      <c r="A32" s="261"/>
      <c r="B32" s="269"/>
      <c r="C32" s="269"/>
      <c r="D32" s="270"/>
      <c r="E32" s="270"/>
      <c r="F32" s="267"/>
      <c r="G32" s="267"/>
      <c r="H32" s="265"/>
      <c r="K32" s="267"/>
      <c r="L32" s="267"/>
    </row>
    <row r="33" spans="1:12" s="266" customFormat="1" ht="11.25">
      <c r="A33" s="273" t="s">
        <v>978</v>
      </c>
      <c r="B33" s="269">
        <v>118613.82</v>
      </c>
      <c r="C33" s="269">
        <v>183588.41750638996</v>
      </c>
      <c r="D33" s="269">
        <v>193408</v>
      </c>
      <c r="E33" s="269">
        <v>210857.41859000002</v>
      </c>
      <c r="F33" s="269">
        <v>232756.75212430005</v>
      </c>
      <c r="G33" s="269">
        <v>225899.85097850001</v>
      </c>
      <c r="H33" s="269">
        <v>238766.43077087999</v>
      </c>
      <c r="I33" s="269">
        <v>249824.58093955999</v>
      </c>
      <c r="J33" s="269">
        <v>259036.86900000001</v>
      </c>
      <c r="K33" s="269">
        <v>266040.31549701007</v>
      </c>
      <c r="L33" s="269">
        <v>271415.49711000005</v>
      </c>
    </row>
    <row r="34" spans="1:12" s="266" customFormat="1" ht="11.25" hidden="1">
      <c r="A34" s="261" t="s">
        <v>979</v>
      </c>
      <c r="B34" s="271">
        <v>39059.169000000002</v>
      </c>
      <c r="C34" s="265">
        <v>42228.076255009997</v>
      </c>
      <c r="D34" s="265">
        <v>43673</v>
      </c>
      <c r="E34" s="269">
        <v>53153.576719999997</v>
      </c>
      <c r="F34" s="267">
        <v>5926.3556468000006</v>
      </c>
      <c r="G34" s="267">
        <v>1403.1504562000002</v>
      </c>
      <c r="H34" s="265">
        <v>0</v>
      </c>
      <c r="I34" s="267">
        <v>0</v>
      </c>
      <c r="J34" s="267"/>
      <c r="K34" s="267"/>
      <c r="L34" s="267"/>
    </row>
    <row r="35" spans="1:12" s="266" customFormat="1" ht="11.25" hidden="1">
      <c r="A35" s="260" t="s">
        <v>892</v>
      </c>
      <c r="B35" s="274" t="s">
        <v>1499</v>
      </c>
      <c r="C35" s="274" t="s">
        <v>1499</v>
      </c>
      <c r="D35" s="274" t="s">
        <v>1499</v>
      </c>
      <c r="E35" s="274" t="s">
        <v>1499</v>
      </c>
      <c r="F35" s="265">
        <v>12730.329981600002</v>
      </c>
      <c r="G35" s="267">
        <v>14789.671833900002</v>
      </c>
      <c r="H35" s="272">
        <v>16108.84647619</v>
      </c>
      <c r="I35" s="267">
        <v>16743.412146539999</v>
      </c>
      <c r="J35" s="267"/>
      <c r="K35" s="267"/>
      <c r="L35" s="267"/>
    </row>
    <row r="36" spans="1:12" s="266" customFormat="1" ht="11.25" hidden="1">
      <c r="A36" s="261" t="s">
        <v>893</v>
      </c>
      <c r="B36" s="271">
        <v>20532.295999999998</v>
      </c>
      <c r="C36" s="265">
        <v>39137.325396119995</v>
      </c>
      <c r="D36" s="265">
        <v>31668</v>
      </c>
      <c r="E36" s="269">
        <v>59334.599314000006</v>
      </c>
      <c r="F36" s="265">
        <v>62212.792889900004</v>
      </c>
      <c r="G36" s="267">
        <v>74574.363131400009</v>
      </c>
      <c r="H36" s="272">
        <v>82546.050734499993</v>
      </c>
      <c r="I36" s="267">
        <v>86020.456113680004</v>
      </c>
      <c r="J36" s="267"/>
      <c r="K36" s="267"/>
      <c r="L36" s="267"/>
    </row>
    <row r="37" spans="1:12" s="266" customFormat="1" ht="11.25" hidden="1">
      <c r="A37" s="261" t="s">
        <v>894</v>
      </c>
      <c r="B37" s="274" t="s">
        <v>1499</v>
      </c>
      <c r="C37" s="274" t="s">
        <v>1499</v>
      </c>
      <c r="D37" s="274" t="s">
        <v>1499</v>
      </c>
      <c r="E37" s="274" t="s">
        <v>1499</v>
      </c>
      <c r="F37" s="265">
        <v>16475.988387099998</v>
      </c>
      <c r="G37" s="267">
        <v>19140.524524599998</v>
      </c>
      <c r="H37" s="272">
        <v>20836.533865820002</v>
      </c>
      <c r="I37" s="267">
        <v>21633.639472179999</v>
      </c>
      <c r="J37" s="267"/>
      <c r="K37" s="267"/>
      <c r="L37" s="267"/>
    </row>
    <row r="38" spans="1:12" s="266" customFormat="1" ht="11.25" hidden="1">
      <c r="A38" s="261" t="s">
        <v>895</v>
      </c>
      <c r="B38" s="271">
        <v>-0.54799999999999993</v>
      </c>
      <c r="C38" s="265">
        <v>0.29253250000000003</v>
      </c>
      <c r="D38" s="265">
        <v>-1</v>
      </c>
      <c r="E38" s="269">
        <v>-0.428589</v>
      </c>
      <c r="F38" s="274" t="s">
        <v>1499</v>
      </c>
      <c r="G38" s="274" t="s">
        <v>1499</v>
      </c>
      <c r="H38" s="274" t="s">
        <v>1499</v>
      </c>
      <c r="I38" s="274" t="s">
        <v>1499</v>
      </c>
      <c r="J38" s="274"/>
      <c r="K38" s="275"/>
      <c r="L38" s="275"/>
    </row>
    <row r="39" spans="1:12" s="266" customFormat="1" ht="11.25" hidden="1">
      <c r="A39" s="261" t="s">
        <v>896</v>
      </c>
      <c r="B39" s="269" t="s">
        <v>1229</v>
      </c>
      <c r="C39" s="265">
        <v>1.593762E-2</v>
      </c>
      <c r="D39" s="269" t="s">
        <v>1229</v>
      </c>
      <c r="E39" s="269" t="s">
        <v>1229</v>
      </c>
      <c r="F39" s="274" t="s">
        <v>1499</v>
      </c>
      <c r="G39" s="274" t="s">
        <v>1499</v>
      </c>
      <c r="H39" s="274" t="s">
        <v>1499</v>
      </c>
      <c r="I39" s="274" t="s">
        <v>1499</v>
      </c>
      <c r="J39" s="274"/>
      <c r="K39" s="275"/>
      <c r="L39" s="275"/>
    </row>
    <row r="40" spans="1:12" s="266" customFormat="1" ht="11.25" hidden="1">
      <c r="A40" s="260" t="s">
        <v>897</v>
      </c>
      <c r="B40" s="271">
        <v>5540.8729999999996</v>
      </c>
      <c r="C40" s="265">
        <v>6564.3150021499905</v>
      </c>
      <c r="D40" s="265">
        <v>6893</v>
      </c>
      <c r="E40" s="269">
        <v>3930.4310065999998</v>
      </c>
      <c r="F40" s="265">
        <v>3957.6478579000086</v>
      </c>
      <c r="G40" s="265">
        <v>8008.8239920999968</v>
      </c>
      <c r="H40" s="272">
        <v>10733.182296749999</v>
      </c>
      <c r="I40" s="267">
        <v>12103.922539679999</v>
      </c>
      <c r="J40" s="267"/>
      <c r="K40" s="267"/>
      <c r="L40" s="267"/>
    </row>
    <row r="41" spans="1:12" s="266" customFormat="1" ht="11.25" hidden="1">
      <c r="A41" s="276" t="s">
        <v>898</v>
      </c>
      <c r="B41" s="274" t="s">
        <v>1499</v>
      </c>
      <c r="C41" s="265">
        <v>-3.0000112019479276E-8</v>
      </c>
      <c r="D41" s="265">
        <v>0</v>
      </c>
      <c r="E41" s="269">
        <v>1.4744168199999999</v>
      </c>
      <c r="F41" s="265">
        <v>179.85554449999998</v>
      </c>
      <c r="G41" s="265">
        <v>40.9275892</v>
      </c>
      <c r="H41" s="265">
        <v>0</v>
      </c>
      <c r="I41" s="267">
        <v>0</v>
      </c>
      <c r="J41" s="267"/>
      <c r="K41" s="267"/>
      <c r="L41" s="267"/>
    </row>
    <row r="42" spans="1:12" s="266" customFormat="1" ht="11.25" hidden="1">
      <c r="A42" s="276" t="s">
        <v>899</v>
      </c>
      <c r="B42" s="271">
        <v>2180.7060000000001</v>
      </c>
      <c r="C42" s="265">
        <v>3391.1066513899996</v>
      </c>
      <c r="D42" s="265">
        <v>4182</v>
      </c>
      <c r="E42" s="269">
        <v>4843.3897591000004</v>
      </c>
      <c r="F42" s="265">
        <v>11579.119733200001</v>
      </c>
      <c r="G42" s="265">
        <v>12289.514716500002</v>
      </c>
      <c r="H42" s="272">
        <v>13076.67480572</v>
      </c>
      <c r="I42" s="267">
        <v>13619.54850185</v>
      </c>
      <c r="J42" s="267"/>
      <c r="K42" s="267"/>
      <c r="L42" s="267"/>
    </row>
    <row r="43" spans="1:12" s="266" customFormat="1" ht="11.25" hidden="1">
      <c r="A43" s="276" t="s">
        <v>900</v>
      </c>
      <c r="B43" s="271">
        <v>13352.281999999999</v>
      </c>
      <c r="C43" s="265">
        <v>35210.272427609998</v>
      </c>
      <c r="D43" s="265">
        <v>36674</v>
      </c>
      <c r="E43" s="269">
        <v>38547.259942000004</v>
      </c>
      <c r="F43" s="265">
        <v>42875.6786268</v>
      </c>
      <c r="G43" s="265">
        <v>45866.075237499994</v>
      </c>
      <c r="H43" s="272">
        <v>48977.276455129999</v>
      </c>
      <c r="I43" s="267">
        <v>50909.468846080003</v>
      </c>
      <c r="J43" s="267"/>
      <c r="K43" s="267"/>
      <c r="L43" s="267"/>
    </row>
    <row r="44" spans="1:12" s="266" customFormat="1" ht="11.25" hidden="1">
      <c r="A44" s="276" t="s">
        <v>901</v>
      </c>
      <c r="B44" s="271">
        <v>572.70000000000005</v>
      </c>
      <c r="C44" s="265">
        <v>1196.1178925700001</v>
      </c>
      <c r="D44" s="265">
        <v>1237</v>
      </c>
      <c r="E44" s="269">
        <v>1312.0120205999999</v>
      </c>
      <c r="F44" s="265">
        <v>116.63477689999999</v>
      </c>
      <c r="G44" s="265">
        <v>-2.9074929000000003</v>
      </c>
      <c r="H44" s="269" t="s">
        <v>1229</v>
      </c>
      <c r="I44" s="269" t="s">
        <v>1229</v>
      </c>
      <c r="J44" s="269"/>
      <c r="K44" s="269"/>
      <c r="L44" s="269"/>
    </row>
    <row r="45" spans="1:12" s="266" customFormat="1" ht="11.25" hidden="1">
      <c r="A45" s="276" t="s">
        <v>902</v>
      </c>
      <c r="B45" s="271">
        <v>673.8</v>
      </c>
      <c r="C45" s="265">
        <v>1727.1875000499999</v>
      </c>
      <c r="D45" s="265">
        <v>1819</v>
      </c>
      <c r="E45" s="269">
        <v>1929.4862355</v>
      </c>
      <c r="F45" s="265">
        <v>171.59098799999998</v>
      </c>
      <c r="G45" s="265">
        <v>-4.2297911000000008</v>
      </c>
      <c r="H45" s="269" t="s">
        <v>1229</v>
      </c>
      <c r="I45" s="269" t="s">
        <v>1229</v>
      </c>
      <c r="J45" s="269"/>
      <c r="K45" s="269"/>
      <c r="L45" s="269"/>
    </row>
    <row r="46" spans="1:12" s="266" customFormat="1" ht="11.25" hidden="1">
      <c r="A46" s="276" t="s">
        <v>903</v>
      </c>
      <c r="B46" s="277" t="s">
        <v>1499</v>
      </c>
      <c r="C46" s="269" t="s">
        <v>1229</v>
      </c>
      <c r="D46" s="269" t="s">
        <v>1229</v>
      </c>
      <c r="E46" s="269" t="s">
        <v>1229</v>
      </c>
      <c r="F46" s="269" t="s">
        <v>1229</v>
      </c>
      <c r="G46" s="269" t="s">
        <v>1229</v>
      </c>
      <c r="H46" s="269" t="s">
        <v>1229</v>
      </c>
      <c r="I46" s="269" t="s">
        <v>1229</v>
      </c>
      <c r="J46" s="269"/>
      <c r="K46" s="269"/>
      <c r="L46" s="269"/>
    </row>
    <row r="47" spans="1:12" s="266" customFormat="1" ht="11.25" hidden="1">
      <c r="A47" s="276" t="s">
        <v>904</v>
      </c>
      <c r="B47" s="271">
        <v>20289.5</v>
      </c>
      <c r="C47" s="265">
        <v>29440.25</v>
      </c>
      <c r="D47" s="265">
        <v>38461</v>
      </c>
      <c r="E47" s="269">
        <v>2630</v>
      </c>
      <c r="F47" s="265">
        <v>57.762163000000001</v>
      </c>
      <c r="G47" s="275" t="s">
        <v>1499</v>
      </c>
      <c r="H47" s="275" t="s">
        <v>1499</v>
      </c>
      <c r="I47" s="275" t="s">
        <v>1499</v>
      </c>
      <c r="J47" s="275"/>
      <c r="K47" s="275"/>
      <c r="L47" s="275"/>
    </row>
    <row r="48" spans="1:12" s="266" customFormat="1" ht="11.25" hidden="1">
      <c r="A48" s="276" t="s">
        <v>905</v>
      </c>
      <c r="B48" s="269" t="s">
        <v>1229</v>
      </c>
      <c r="C48" s="269" t="s">
        <v>1229</v>
      </c>
      <c r="D48" s="269" t="s">
        <v>1229</v>
      </c>
      <c r="E48" s="269" t="s">
        <v>1229</v>
      </c>
      <c r="F48" s="269" t="s">
        <v>1229</v>
      </c>
      <c r="G48" s="269" t="s">
        <v>1229</v>
      </c>
      <c r="H48" s="269" t="s">
        <v>1229</v>
      </c>
      <c r="I48" s="269" t="s">
        <v>1229</v>
      </c>
      <c r="J48" s="269"/>
      <c r="K48" s="269"/>
      <c r="L48" s="269"/>
    </row>
    <row r="49" spans="1:12" s="266" customFormat="1" ht="11.25" hidden="1">
      <c r="A49" s="276" t="s">
        <v>809</v>
      </c>
      <c r="B49" s="269"/>
      <c r="C49" s="269"/>
      <c r="D49" s="265"/>
      <c r="E49" s="265"/>
      <c r="F49" s="265"/>
      <c r="G49" s="265"/>
      <c r="H49" s="265"/>
      <c r="K49" s="267"/>
      <c r="L49" s="267"/>
    </row>
    <row r="50" spans="1:12" s="266" customFormat="1" ht="11.25" hidden="1">
      <c r="A50" s="276" t="s">
        <v>946</v>
      </c>
      <c r="B50" s="271">
        <v>293.84899999999999</v>
      </c>
      <c r="C50" s="269" t="s">
        <v>1499</v>
      </c>
      <c r="D50" s="275" t="s">
        <v>1499</v>
      </c>
      <c r="E50" s="275" t="s">
        <v>1499</v>
      </c>
      <c r="F50" s="275" t="s">
        <v>1499</v>
      </c>
      <c r="G50" s="275" t="s">
        <v>1499</v>
      </c>
      <c r="H50" s="275" t="s">
        <v>1499</v>
      </c>
      <c r="I50" s="275" t="s">
        <v>1499</v>
      </c>
      <c r="J50" s="275"/>
      <c r="K50" s="275"/>
      <c r="L50" s="275"/>
    </row>
    <row r="51" spans="1:12" s="266" customFormat="1" ht="11.25" hidden="1">
      <c r="A51" s="261" t="s">
        <v>947</v>
      </c>
      <c r="B51" s="271">
        <v>8929.7639999999992</v>
      </c>
      <c r="C51" s="265">
        <v>10553.0554534</v>
      </c>
      <c r="D51" s="265">
        <v>18470</v>
      </c>
      <c r="E51" s="269">
        <v>33579.869079000004</v>
      </c>
      <c r="F51" s="265">
        <v>63827.8703351</v>
      </c>
      <c r="G51" s="265">
        <v>31385.955346900002</v>
      </c>
      <c r="H51" s="272">
        <v>27123.582173800001</v>
      </c>
      <c r="I51" s="267">
        <v>26598.857404629998</v>
      </c>
      <c r="J51" s="267"/>
      <c r="K51" s="267"/>
      <c r="L51" s="267"/>
    </row>
    <row r="52" spans="1:12" s="266" customFormat="1" ht="11.25" hidden="1">
      <c r="A52" s="261" t="s">
        <v>948</v>
      </c>
      <c r="B52" s="271">
        <v>7748.4290000000001</v>
      </c>
      <c r="C52" s="265">
        <v>13581.689149</v>
      </c>
      <c r="D52" s="265">
        <v>10595</v>
      </c>
      <c r="E52" s="269">
        <v>12154.588839</v>
      </c>
      <c r="F52" s="265">
        <v>13460.206569200001</v>
      </c>
      <c r="G52" s="265">
        <v>17034.4142207</v>
      </c>
      <c r="H52" s="272">
        <v>19364.283963000002</v>
      </c>
      <c r="I52" s="267">
        <v>22195.275914999998</v>
      </c>
      <c r="J52" s="267"/>
      <c r="K52" s="267"/>
      <c r="L52" s="267"/>
    </row>
    <row r="53" spans="1:12" s="266" customFormat="1" ht="11.25" hidden="1">
      <c r="A53" s="261" t="s">
        <v>949</v>
      </c>
      <c r="B53" s="271">
        <v>-559</v>
      </c>
      <c r="C53" s="265">
        <v>558.7133089999877</v>
      </c>
      <c r="D53" s="265">
        <v>-263</v>
      </c>
      <c r="E53" s="269">
        <v>-558.84015269999998</v>
      </c>
      <c r="F53" s="265">
        <v>-815.08137569997189</v>
      </c>
      <c r="G53" s="265">
        <v>1373.567213500007</v>
      </c>
      <c r="H53" s="272">
        <v>-2.9999999999999997E-8</v>
      </c>
      <c r="I53" s="267">
        <v>-8.0000000000000002E-8</v>
      </c>
      <c r="J53" s="267"/>
      <c r="K53" s="267"/>
      <c r="L53" s="267"/>
    </row>
    <row r="54" spans="1:12" s="266" customFormat="1" ht="11.25">
      <c r="A54" s="261"/>
      <c r="B54" s="269"/>
      <c r="C54" s="269"/>
      <c r="D54" s="270"/>
      <c r="E54" s="270"/>
      <c r="F54" s="267"/>
      <c r="G54" s="267"/>
      <c r="H54" s="265"/>
      <c r="K54" s="267"/>
      <c r="L54" s="267"/>
    </row>
    <row r="55" spans="1:12" s="266" customFormat="1" ht="11.25">
      <c r="A55" s="261" t="s">
        <v>950</v>
      </c>
      <c r="B55" s="269">
        <v>21687.994999999999</v>
      </c>
      <c r="C55" s="269">
        <v>22100.116028969998</v>
      </c>
      <c r="D55" s="269">
        <v>23267</v>
      </c>
      <c r="E55" s="269">
        <v>35132.877154029993</v>
      </c>
      <c r="F55" s="269">
        <v>39209.059126499997</v>
      </c>
      <c r="G55" s="269">
        <v>38266.441498599997</v>
      </c>
      <c r="H55" s="269">
        <v>39863.197006309994</v>
      </c>
      <c r="I55" s="269">
        <v>40242.56913371</v>
      </c>
      <c r="J55" s="269">
        <v>36132.859900000003</v>
      </c>
      <c r="K55" s="269">
        <v>37126.061220000003</v>
      </c>
      <c r="L55" s="269">
        <v>37780.342944100004</v>
      </c>
    </row>
    <row r="56" spans="1:12" s="266" customFormat="1" ht="11.25" hidden="1">
      <c r="A56" s="261" t="s">
        <v>951</v>
      </c>
      <c r="B56" s="271">
        <v>8.0000000000000002E-3</v>
      </c>
      <c r="C56" s="269" t="s">
        <v>1229</v>
      </c>
      <c r="D56" s="270" t="s">
        <v>1499</v>
      </c>
      <c r="E56" s="270" t="s">
        <v>1499</v>
      </c>
      <c r="F56" s="270" t="s">
        <v>1499</v>
      </c>
      <c r="G56" s="270" t="s">
        <v>1499</v>
      </c>
      <c r="H56" s="275" t="s">
        <v>1499</v>
      </c>
      <c r="I56" s="275" t="s">
        <v>1499</v>
      </c>
      <c r="J56" s="275"/>
      <c r="K56" s="275"/>
      <c r="L56" s="275"/>
    </row>
    <row r="57" spans="1:12" s="266" customFormat="1" ht="11.25" hidden="1">
      <c r="A57" s="278" t="s">
        <v>952</v>
      </c>
      <c r="B57" s="271">
        <v>14419.423000000001</v>
      </c>
      <c r="C57" s="265">
        <v>14928.287119000001</v>
      </c>
      <c r="D57" s="279">
        <v>15264</v>
      </c>
      <c r="E57" s="269">
        <v>24028.214594999998</v>
      </c>
      <c r="F57" s="265">
        <v>27110.002089999998</v>
      </c>
      <c r="G57" s="265">
        <v>24812.542238000002</v>
      </c>
      <c r="H57" s="272">
        <v>23330.097737</v>
      </c>
      <c r="I57" s="267">
        <v>23264.003346000001</v>
      </c>
      <c r="J57" s="267"/>
      <c r="K57" s="267"/>
      <c r="L57" s="267"/>
    </row>
    <row r="58" spans="1:12" s="266" customFormat="1" ht="11.25" hidden="1">
      <c r="A58" s="261" t="s">
        <v>953</v>
      </c>
      <c r="B58" s="271">
        <v>2784.895</v>
      </c>
      <c r="C58" s="265">
        <v>3072.0724829999999</v>
      </c>
      <c r="D58" s="279">
        <v>3503</v>
      </c>
      <c r="E58" s="269">
        <v>5033.5766569999996</v>
      </c>
      <c r="F58" s="265">
        <v>5328.7970310000001</v>
      </c>
      <c r="G58" s="265">
        <v>5893.0640270000004</v>
      </c>
      <c r="H58" s="272">
        <v>8427.8942139999999</v>
      </c>
      <c r="I58" s="267">
        <v>8042.6282350000001</v>
      </c>
      <c r="J58" s="267"/>
      <c r="K58" s="267"/>
      <c r="L58" s="267"/>
    </row>
    <row r="59" spans="1:12" s="266" customFormat="1" ht="11.25" hidden="1">
      <c r="A59" s="261" t="s">
        <v>954</v>
      </c>
      <c r="B59" s="271">
        <v>70.245999999999995</v>
      </c>
      <c r="C59" s="265">
        <v>71.658967000000004</v>
      </c>
      <c r="D59" s="279">
        <v>81</v>
      </c>
      <c r="E59" s="269">
        <v>113.66575900000001</v>
      </c>
      <c r="F59" s="265">
        <v>124.44090200000001</v>
      </c>
      <c r="G59" s="265">
        <v>133.881101</v>
      </c>
      <c r="H59" s="272">
        <v>161.65705199999999</v>
      </c>
      <c r="I59" s="267">
        <v>180.09549999999999</v>
      </c>
      <c r="J59" s="267"/>
      <c r="K59" s="267"/>
      <c r="L59" s="267"/>
    </row>
    <row r="60" spans="1:12" s="266" customFormat="1" ht="11.25" hidden="1">
      <c r="A60" s="261" t="s">
        <v>955</v>
      </c>
      <c r="B60" s="271">
        <v>1084.5150000000001</v>
      </c>
      <c r="C60" s="265">
        <v>1165.0686399399997</v>
      </c>
      <c r="D60" s="279">
        <v>1573</v>
      </c>
      <c r="E60" s="269">
        <v>1754.6460367999998</v>
      </c>
      <c r="F60" s="265">
        <v>1877.7903503000002</v>
      </c>
      <c r="G60" s="265">
        <v>2088.4474888</v>
      </c>
      <c r="H60" s="272">
        <v>2199.2034039300001</v>
      </c>
      <c r="I60" s="267">
        <v>2643.2318909999999</v>
      </c>
      <c r="J60" s="267"/>
      <c r="K60" s="267"/>
      <c r="L60" s="267"/>
    </row>
    <row r="61" spans="1:12" s="266" customFormat="1" ht="11.25" hidden="1">
      <c r="A61" s="261" t="s">
        <v>100</v>
      </c>
      <c r="B61" s="271">
        <v>302.87900000000002</v>
      </c>
      <c r="C61" s="265">
        <v>197.88282711000002</v>
      </c>
      <c r="D61" s="279">
        <v>222</v>
      </c>
      <c r="E61" s="269">
        <v>249.88138873</v>
      </c>
      <c r="F61" s="265">
        <v>271.78867439999993</v>
      </c>
      <c r="G61" s="265">
        <v>460.44848960000002</v>
      </c>
      <c r="H61" s="272">
        <v>376.87969036999999</v>
      </c>
      <c r="I61" s="267">
        <v>332.12257820999997</v>
      </c>
      <c r="J61" s="267"/>
      <c r="K61" s="267"/>
      <c r="L61" s="267"/>
    </row>
    <row r="62" spans="1:12" s="266" customFormat="1" ht="11.25" hidden="1">
      <c r="A62" s="261" t="s">
        <v>101</v>
      </c>
      <c r="B62" s="271">
        <v>3026.029</v>
      </c>
      <c r="C62" s="265">
        <v>2665.14599292</v>
      </c>
      <c r="D62" s="279">
        <v>2624</v>
      </c>
      <c r="E62" s="269">
        <v>3952.8927174999999</v>
      </c>
      <c r="F62" s="265">
        <v>4496.2400788000004</v>
      </c>
      <c r="G62" s="265">
        <v>4878.0581542</v>
      </c>
      <c r="H62" s="272">
        <v>5367.4649090100002</v>
      </c>
      <c r="I62" s="267">
        <v>5780.4875835000003</v>
      </c>
      <c r="J62" s="267"/>
      <c r="K62" s="267"/>
      <c r="L62" s="267"/>
    </row>
    <row r="63" spans="1:12" s="266" customFormat="1" ht="11.25">
      <c r="A63" s="261"/>
      <c r="B63" s="269"/>
      <c r="C63" s="269"/>
      <c r="D63" s="270"/>
      <c r="E63" s="270"/>
      <c r="F63" s="267"/>
      <c r="G63" s="267"/>
      <c r="H63" s="265"/>
      <c r="K63" s="267"/>
      <c r="L63" s="267"/>
    </row>
    <row r="64" spans="1:12" s="266" customFormat="1" ht="12.75" customHeight="1">
      <c r="A64" s="261" t="s">
        <v>102</v>
      </c>
      <c r="B64" s="269">
        <v>188205.13399999999</v>
      </c>
      <c r="C64" s="269">
        <v>232259.45957612008</v>
      </c>
      <c r="D64" s="269">
        <v>228196</v>
      </c>
      <c r="E64" s="269">
        <v>243130.42824735001</v>
      </c>
      <c r="F64" s="269">
        <v>252290.71316719995</v>
      </c>
      <c r="G64" s="269">
        <v>265491.95259899995</v>
      </c>
      <c r="H64" s="269">
        <v>271515.49223099998</v>
      </c>
      <c r="I64" s="269">
        <v>290124.87035587005</v>
      </c>
      <c r="J64" s="269">
        <v>298365.46909999999</v>
      </c>
      <c r="K64" s="269">
        <v>308875.94694443</v>
      </c>
      <c r="L64" s="269">
        <v>335883.5635448799</v>
      </c>
    </row>
    <row r="65" spans="1:12" s="266" customFormat="1" ht="6.75" hidden="1" customHeight="1">
      <c r="A65" s="261" t="s">
        <v>1193</v>
      </c>
      <c r="B65" s="271">
        <v>115742.019</v>
      </c>
      <c r="C65" s="265">
        <v>153846.47670582007</v>
      </c>
      <c r="D65" s="279">
        <v>150283</v>
      </c>
      <c r="E65" s="269">
        <v>162607.36456000002</v>
      </c>
      <c r="F65" s="265">
        <v>170597.47647119995</v>
      </c>
      <c r="G65" s="265">
        <v>182877.23826550003</v>
      </c>
      <c r="H65" s="272">
        <v>184786.70630264</v>
      </c>
      <c r="I65" s="267">
        <v>198316.46801827001</v>
      </c>
      <c r="J65" s="267"/>
      <c r="K65" s="267"/>
      <c r="L65" s="267"/>
    </row>
    <row r="66" spans="1:12" s="266" customFormat="1" ht="11.25" hidden="1">
      <c r="A66" s="261" t="s">
        <v>1194</v>
      </c>
      <c r="B66" s="271">
        <v>1711.3579999999999</v>
      </c>
      <c r="C66" s="265">
        <v>-1.6243179999999999</v>
      </c>
      <c r="D66" s="280" t="s">
        <v>1499</v>
      </c>
      <c r="E66" s="270" t="s">
        <v>1499</v>
      </c>
      <c r="F66" s="270" t="s">
        <v>1499</v>
      </c>
      <c r="G66" s="270" t="s">
        <v>1499</v>
      </c>
      <c r="H66" s="270" t="s">
        <v>1499</v>
      </c>
      <c r="I66" s="270" t="s">
        <v>1499</v>
      </c>
      <c r="J66" s="270"/>
      <c r="K66" s="269"/>
      <c r="L66" s="269"/>
    </row>
    <row r="67" spans="1:12" s="266" customFormat="1" ht="11.25" hidden="1">
      <c r="A67" s="261" t="s">
        <v>1195</v>
      </c>
      <c r="B67" s="271">
        <v>-0.42699999999999999</v>
      </c>
      <c r="C67" s="269" t="s">
        <v>1499</v>
      </c>
      <c r="D67" s="270" t="s">
        <v>1499</v>
      </c>
      <c r="E67" s="270" t="s">
        <v>1499</v>
      </c>
      <c r="F67" s="270" t="s">
        <v>1499</v>
      </c>
      <c r="G67" s="270" t="s">
        <v>1499</v>
      </c>
      <c r="H67" s="270" t="s">
        <v>1499</v>
      </c>
      <c r="I67" s="270" t="s">
        <v>1499</v>
      </c>
      <c r="J67" s="270"/>
      <c r="K67" s="269"/>
      <c r="L67" s="269"/>
    </row>
    <row r="68" spans="1:12" s="266" customFormat="1" ht="11.25" hidden="1">
      <c r="A68" s="261" t="s">
        <v>1196</v>
      </c>
      <c r="B68" s="271">
        <v>1752.221</v>
      </c>
      <c r="C68" s="265">
        <v>1400.407322</v>
      </c>
      <c r="D68" s="279">
        <v>207</v>
      </c>
      <c r="E68" s="269">
        <v>269.91015911</v>
      </c>
      <c r="F68" s="265">
        <v>229.69805499999998</v>
      </c>
      <c r="G68" s="265">
        <v>258.41608300000001</v>
      </c>
      <c r="H68" s="272">
        <v>-22.63879558</v>
      </c>
      <c r="I68" s="267">
        <v>15.212427849999999</v>
      </c>
      <c r="J68" s="267"/>
      <c r="K68" s="267"/>
      <c r="L68" s="267"/>
    </row>
    <row r="69" spans="1:12" s="266" customFormat="1" ht="11.25" hidden="1">
      <c r="A69" s="261" t="s">
        <v>1197</v>
      </c>
      <c r="B69" s="271">
        <v>7245.7469999999994</v>
      </c>
      <c r="C69" s="265">
        <v>7083.9522980000002</v>
      </c>
      <c r="D69" s="279">
        <v>7695</v>
      </c>
      <c r="E69" s="269">
        <v>7506.5483119999999</v>
      </c>
      <c r="F69" s="265">
        <v>7395.6370600000009</v>
      </c>
      <c r="G69" s="265">
        <v>7791.7554400000008</v>
      </c>
      <c r="H69" s="272">
        <v>8042.6599919999999</v>
      </c>
      <c r="I69" s="267">
        <v>8366.4071800000002</v>
      </c>
      <c r="J69" s="267"/>
      <c r="K69" s="267"/>
      <c r="L69" s="267"/>
    </row>
    <row r="70" spans="1:12" s="266" customFormat="1" ht="11.25" hidden="1">
      <c r="A70" s="261" t="s">
        <v>1198</v>
      </c>
      <c r="B70" s="271">
        <v>5483.1849999999995</v>
      </c>
      <c r="C70" s="265">
        <v>4906.6920580000005</v>
      </c>
      <c r="D70" s="279">
        <v>4686</v>
      </c>
      <c r="E70" s="269">
        <v>9962.0700730999997</v>
      </c>
      <c r="F70" s="265">
        <v>10598.661040999999</v>
      </c>
      <c r="G70" s="265">
        <v>10895.068922</v>
      </c>
      <c r="H70" s="272">
        <v>11003.929843</v>
      </c>
      <c r="I70" s="267">
        <v>11084.919714</v>
      </c>
      <c r="J70" s="267"/>
      <c r="K70" s="267"/>
      <c r="L70" s="267"/>
    </row>
    <row r="71" spans="1:12" s="266" customFormat="1" ht="11.25" hidden="1">
      <c r="A71" s="261" t="s">
        <v>1199</v>
      </c>
      <c r="B71" s="271">
        <v>2901.1059999999998</v>
      </c>
      <c r="C71" s="265">
        <v>3232.6637910000004</v>
      </c>
      <c r="D71" s="279">
        <v>3094</v>
      </c>
      <c r="E71" s="270" t="s">
        <v>1499</v>
      </c>
      <c r="F71" s="270" t="s">
        <v>1499</v>
      </c>
      <c r="G71" s="270" t="s">
        <v>1499</v>
      </c>
      <c r="H71" s="270" t="s">
        <v>1499</v>
      </c>
      <c r="I71" s="270" t="s">
        <v>1499</v>
      </c>
      <c r="J71" s="270"/>
      <c r="K71" s="269"/>
      <c r="L71" s="269"/>
    </row>
    <row r="72" spans="1:12" s="266" customFormat="1" ht="11.25" hidden="1">
      <c r="A72" s="261" t="s">
        <v>1200</v>
      </c>
      <c r="B72" s="271">
        <v>3162.1320000000001</v>
      </c>
      <c r="C72" s="265">
        <v>3406.478865</v>
      </c>
      <c r="D72" s="279">
        <v>2079</v>
      </c>
      <c r="E72" s="270" t="s">
        <v>1499</v>
      </c>
      <c r="F72" s="270" t="s">
        <v>1499</v>
      </c>
      <c r="G72" s="270" t="s">
        <v>1499</v>
      </c>
      <c r="H72" s="270" t="s">
        <v>1499</v>
      </c>
      <c r="I72" s="270" t="s">
        <v>1499</v>
      </c>
      <c r="J72" s="270"/>
      <c r="K72" s="269"/>
      <c r="L72" s="269"/>
    </row>
    <row r="73" spans="1:12" s="266" customFormat="1" ht="11.25" hidden="1">
      <c r="A73" s="261" t="s">
        <v>1201</v>
      </c>
      <c r="B73" s="271">
        <v>38679.667000000001</v>
      </c>
      <c r="C73" s="265">
        <v>45635.716142999998</v>
      </c>
      <c r="D73" s="279">
        <v>46945</v>
      </c>
      <c r="E73" s="269">
        <v>49810.648828000005</v>
      </c>
      <c r="F73" s="265">
        <v>50487.715014000001</v>
      </c>
      <c r="G73" s="265">
        <v>49388.484737999999</v>
      </c>
      <c r="H73" s="272">
        <v>51929.830894999999</v>
      </c>
      <c r="I73" s="267">
        <v>56507.243993999997</v>
      </c>
      <c r="J73" s="267"/>
      <c r="K73" s="267"/>
      <c r="L73" s="267"/>
    </row>
    <row r="74" spans="1:12" s="266" customFormat="1" ht="11.25" hidden="1">
      <c r="A74" s="276" t="s">
        <v>1202</v>
      </c>
      <c r="B74" s="271">
        <v>133.45500000000001</v>
      </c>
      <c r="C74" s="265">
        <v>973.57568400000014</v>
      </c>
      <c r="D74" s="279">
        <v>1478</v>
      </c>
      <c r="E74" s="269">
        <v>1537.2182539999999</v>
      </c>
      <c r="F74" s="265">
        <v>1552.7111179999999</v>
      </c>
      <c r="G74" s="265">
        <v>1725.8064820000002</v>
      </c>
      <c r="H74" s="272">
        <v>1840.7060939999999</v>
      </c>
      <c r="I74" s="267">
        <v>1796.3938760000001</v>
      </c>
      <c r="J74" s="267"/>
      <c r="K74" s="267"/>
      <c r="L74" s="267"/>
    </row>
    <row r="75" spans="1:12" s="266" customFormat="1" ht="11.25" hidden="1">
      <c r="A75" s="276" t="s">
        <v>1246</v>
      </c>
      <c r="B75" s="271">
        <v>0</v>
      </c>
      <c r="C75" s="269" t="s">
        <v>1499</v>
      </c>
      <c r="D75" s="270" t="s">
        <v>1499</v>
      </c>
      <c r="E75" s="270" t="s">
        <v>1499</v>
      </c>
      <c r="F75" s="270" t="s">
        <v>1499</v>
      </c>
      <c r="G75" s="270" t="s">
        <v>1499</v>
      </c>
      <c r="H75" s="270" t="s">
        <v>1499</v>
      </c>
      <c r="I75" s="270" t="s">
        <v>1499</v>
      </c>
      <c r="J75" s="270"/>
      <c r="K75" s="269"/>
      <c r="L75" s="269"/>
    </row>
    <row r="76" spans="1:12" s="266" customFormat="1" ht="11.25" hidden="1">
      <c r="A76" s="261" t="s">
        <v>1247</v>
      </c>
      <c r="B76" s="271">
        <v>907.625</v>
      </c>
      <c r="C76" s="265">
        <v>1423.430104</v>
      </c>
      <c r="D76" s="279">
        <v>194</v>
      </c>
      <c r="E76" s="269">
        <v>-0.38139699999999999</v>
      </c>
      <c r="F76" s="270" t="s">
        <v>1499</v>
      </c>
      <c r="G76" s="270" t="s">
        <v>1499</v>
      </c>
      <c r="H76" s="270" t="s">
        <v>1499</v>
      </c>
      <c r="I76" s="270" t="s">
        <v>1499</v>
      </c>
      <c r="J76" s="270"/>
      <c r="K76" s="269"/>
      <c r="L76" s="269"/>
    </row>
    <row r="77" spans="1:12" s="266" customFormat="1" ht="11.25" hidden="1">
      <c r="A77" s="261" t="s">
        <v>1248</v>
      </c>
      <c r="B77" s="271">
        <v>68.537000000000006</v>
      </c>
      <c r="C77" s="265">
        <v>64.058868000000004</v>
      </c>
      <c r="D77" s="279">
        <v>58</v>
      </c>
      <c r="E77" s="269">
        <v>58.384205999999999</v>
      </c>
      <c r="F77" s="265">
        <v>65.151261000000005</v>
      </c>
      <c r="G77" s="265">
        <v>56.195802</v>
      </c>
      <c r="H77" s="272">
        <v>54.258138000000002</v>
      </c>
      <c r="I77" s="267">
        <v>60.097436999999999</v>
      </c>
      <c r="J77" s="267"/>
      <c r="K77" s="267"/>
      <c r="L77" s="267"/>
    </row>
    <row r="78" spans="1:12" s="266" customFormat="1" ht="11.25" hidden="1">
      <c r="A78" s="276" t="s">
        <v>1249</v>
      </c>
      <c r="B78" s="269" t="s">
        <v>1499</v>
      </c>
      <c r="C78" s="269" t="s">
        <v>1499</v>
      </c>
      <c r="D78" s="269" t="s">
        <v>1499</v>
      </c>
      <c r="E78" s="269">
        <v>0</v>
      </c>
      <c r="F78" s="265">
        <v>0</v>
      </c>
      <c r="G78" s="265">
        <v>816.28374900000006</v>
      </c>
      <c r="H78" s="272">
        <v>944.9932</v>
      </c>
      <c r="I78" s="267">
        <v>906.57369700000004</v>
      </c>
      <c r="J78" s="267"/>
      <c r="K78" s="267"/>
      <c r="L78" s="267"/>
    </row>
    <row r="79" spans="1:12" s="266" customFormat="1" ht="11.25" hidden="1">
      <c r="A79" s="276" t="s">
        <v>1274</v>
      </c>
      <c r="B79" s="269" t="s">
        <v>1499</v>
      </c>
      <c r="C79" s="269" t="s">
        <v>1499</v>
      </c>
      <c r="D79" s="269" t="s">
        <v>1499</v>
      </c>
      <c r="E79" s="269" t="s">
        <v>1499</v>
      </c>
      <c r="F79" s="269" t="s">
        <v>1499</v>
      </c>
      <c r="G79" s="269" t="s">
        <v>1499</v>
      </c>
      <c r="H79" s="272">
        <v>427.54586301000001</v>
      </c>
      <c r="I79" s="267">
        <v>365.89754529999999</v>
      </c>
      <c r="J79" s="267"/>
      <c r="K79" s="267"/>
      <c r="L79" s="267"/>
    </row>
    <row r="80" spans="1:12" s="266" customFormat="1" ht="11.25" hidden="1">
      <c r="A80" s="261" t="s">
        <v>1275</v>
      </c>
      <c r="B80" s="271">
        <v>214.501</v>
      </c>
      <c r="C80" s="265">
        <v>39.338527999999997</v>
      </c>
      <c r="D80" s="279">
        <v>90</v>
      </c>
      <c r="E80" s="269">
        <v>115</v>
      </c>
      <c r="F80" s="265">
        <v>122.2</v>
      </c>
      <c r="G80" s="265">
        <v>50</v>
      </c>
      <c r="H80" s="272">
        <v>80</v>
      </c>
      <c r="I80" s="267">
        <v>80</v>
      </c>
      <c r="J80" s="267"/>
      <c r="K80" s="267"/>
      <c r="L80" s="267"/>
    </row>
    <row r="81" spans="1:12" s="266" customFormat="1" ht="11.25" hidden="1">
      <c r="A81" s="261" t="s">
        <v>1276</v>
      </c>
      <c r="B81" s="271">
        <v>0</v>
      </c>
      <c r="C81" s="269" t="s">
        <v>1499</v>
      </c>
      <c r="D81" s="270" t="s">
        <v>1499</v>
      </c>
      <c r="E81" s="270" t="s">
        <v>1499</v>
      </c>
      <c r="F81" s="270" t="s">
        <v>1499</v>
      </c>
      <c r="G81" s="270" t="s">
        <v>1499</v>
      </c>
      <c r="H81" s="270" t="s">
        <v>1499</v>
      </c>
      <c r="I81" s="270" t="s">
        <v>1499</v>
      </c>
      <c r="J81" s="270"/>
      <c r="K81" s="269"/>
      <c r="L81" s="269"/>
    </row>
    <row r="82" spans="1:12" s="266" customFormat="1" ht="11.25" hidden="1">
      <c r="A82" s="261" t="s">
        <v>1277</v>
      </c>
      <c r="B82" s="271">
        <v>1071.52</v>
      </c>
      <c r="C82" s="265">
        <v>1103.39411</v>
      </c>
      <c r="D82" s="279">
        <v>1163</v>
      </c>
      <c r="E82" s="269">
        <v>1191.8417339999999</v>
      </c>
      <c r="F82" s="265">
        <v>1037.3938310000001</v>
      </c>
      <c r="G82" s="265">
        <v>1090.6713580000001</v>
      </c>
      <c r="H82" s="272">
        <v>955.48148600000002</v>
      </c>
      <c r="I82" s="267">
        <v>822.99816499999997</v>
      </c>
      <c r="J82" s="267"/>
      <c r="K82" s="267"/>
      <c r="L82" s="267"/>
    </row>
    <row r="83" spans="1:12" s="266" customFormat="1" ht="11.25" hidden="1">
      <c r="A83" s="261" t="s">
        <v>1278</v>
      </c>
      <c r="B83" s="271">
        <v>56.863</v>
      </c>
      <c r="C83" s="265">
        <v>48.09778</v>
      </c>
      <c r="D83" s="279">
        <v>44</v>
      </c>
      <c r="E83" s="269">
        <v>62.586970999999998</v>
      </c>
      <c r="F83" s="265">
        <v>102.932515</v>
      </c>
      <c r="G83" s="265">
        <v>96.216608000000008</v>
      </c>
      <c r="H83" s="272">
        <v>39.584167000000001</v>
      </c>
      <c r="I83" s="267">
        <v>35.793170000000003</v>
      </c>
      <c r="J83" s="267"/>
      <c r="K83" s="267"/>
      <c r="L83" s="267"/>
    </row>
    <row r="84" spans="1:12" s="266" customFormat="1" ht="11.25" hidden="1">
      <c r="A84" s="261" t="s">
        <v>1279</v>
      </c>
      <c r="B84" s="271">
        <v>4049.08</v>
      </c>
      <c r="C84" s="265">
        <v>5471.1090178999993</v>
      </c>
      <c r="D84" s="279">
        <v>6242</v>
      </c>
      <c r="E84" s="269">
        <v>6103.1434363999997</v>
      </c>
      <c r="F84" s="265">
        <v>6420.7590040000005</v>
      </c>
      <c r="G84" s="265">
        <v>6867.5240970000004</v>
      </c>
      <c r="H84" s="272">
        <v>7017.2165594400003</v>
      </c>
      <c r="I84" s="267">
        <v>7429.3431215800001</v>
      </c>
      <c r="J84" s="267"/>
      <c r="K84" s="267"/>
      <c r="L84" s="267"/>
    </row>
    <row r="85" spans="1:12" s="266" customFormat="1" ht="11.25" hidden="1">
      <c r="A85" s="261" t="s">
        <v>597</v>
      </c>
      <c r="B85" s="269" t="s">
        <v>1229</v>
      </c>
      <c r="C85" s="269" t="s">
        <v>1499</v>
      </c>
      <c r="D85" s="270" t="s">
        <v>1499</v>
      </c>
      <c r="E85" s="270" t="s">
        <v>1499</v>
      </c>
      <c r="F85" s="270" t="s">
        <v>1499</v>
      </c>
      <c r="G85" s="270" t="s">
        <v>1499</v>
      </c>
      <c r="H85" s="272">
        <v>645.95971798000005</v>
      </c>
      <c r="I85" s="267">
        <v>743.44969187000004</v>
      </c>
      <c r="J85" s="267"/>
      <c r="K85" s="267"/>
      <c r="L85" s="267"/>
    </row>
    <row r="86" spans="1:12" s="266" customFormat="1" ht="11.25" hidden="1">
      <c r="A86" s="261" t="s">
        <v>598</v>
      </c>
      <c r="B86" s="271">
        <v>4446.723</v>
      </c>
      <c r="C86" s="265">
        <v>3179.2153062000002</v>
      </c>
      <c r="D86" s="279">
        <v>3467</v>
      </c>
      <c r="E86" s="269">
        <v>3356.4814381000001</v>
      </c>
      <c r="F86" s="265">
        <v>3142.6462246999999</v>
      </c>
      <c r="G86" s="265">
        <v>3448.9870890000002</v>
      </c>
      <c r="H86" s="272">
        <v>3337.52062402</v>
      </c>
      <c r="I86" s="267">
        <v>3217.2472887099998</v>
      </c>
      <c r="J86" s="267"/>
      <c r="K86" s="267"/>
      <c r="L86" s="267"/>
    </row>
    <row r="87" spans="1:12" s="266" customFormat="1" ht="11.25" hidden="1">
      <c r="A87" s="261" t="s">
        <v>599</v>
      </c>
      <c r="B87" s="271">
        <v>46.440999999999995</v>
      </c>
      <c r="C87" s="265">
        <v>0.9673759999999999</v>
      </c>
      <c r="D87" s="279">
        <v>-2</v>
      </c>
      <c r="E87" s="269">
        <v>6.2928270399999997</v>
      </c>
      <c r="F87" s="265">
        <v>15.564176999999999</v>
      </c>
      <c r="G87" s="265">
        <v>8.9017219000000001</v>
      </c>
      <c r="H87" s="272">
        <v>7.8019304900000002</v>
      </c>
      <c r="I87" s="267">
        <v>4.8352822199999999</v>
      </c>
      <c r="J87" s="267"/>
      <c r="K87" s="267"/>
      <c r="L87" s="267"/>
    </row>
    <row r="88" spans="1:12" s="266" customFormat="1" ht="11.25" hidden="1">
      <c r="A88" s="261" t="s">
        <v>600</v>
      </c>
      <c r="B88" s="271">
        <v>384.84100000000001</v>
      </c>
      <c r="C88" s="265">
        <v>254.70444420000001</v>
      </c>
      <c r="D88" s="279">
        <v>343</v>
      </c>
      <c r="E88" s="269">
        <v>403.13908459999999</v>
      </c>
      <c r="F88" s="265">
        <v>371.64347930000002</v>
      </c>
      <c r="G88" s="265">
        <v>348.55607760000004</v>
      </c>
      <c r="H88" s="272">
        <v>297.85928000000001</v>
      </c>
      <c r="I88" s="267">
        <v>254.01255807000001</v>
      </c>
      <c r="J88" s="267"/>
      <c r="K88" s="267"/>
      <c r="L88" s="267"/>
    </row>
    <row r="89" spans="1:12" s="266" customFormat="1" ht="11.25" hidden="1">
      <c r="A89" s="261" t="s">
        <v>601</v>
      </c>
      <c r="B89" s="271">
        <v>148.54</v>
      </c>
      <c r="C89" s="265">
        <v>190.80549299999998</v>
      </c>
      <c r="D89" s="279">
        <v>130</v>
      </c>
      <c r="E89" s="269">
        <v>140.17976099999998</v>
      </c>
      <c r="F89" s="265">
        <v>150.52391600000001</v>
      </c>
      <c r="G89" s="265">
        <v>-228.15383399999999</v>
      </c>
      <c r="H89" s="272">
        <v>126.07693399999999</v>
      </c>
      <c r="I89" s="267">
        <v>117.977189</v>
      </c>
      <c r="J89" s="267"/>
      <c r="K89" s="267"/>
      <c r="L89" s="267"/>
    </row>
    <row r="90" spans="1:12" s="266" customFormat="1" ht="11.25">
      <c r="A90" s="276"/>
      <c r="B90" s="269"/>
      <c r="C90" s="269"/>
      <c r="D90" s="270"/>
      <c r="E90" s="269"/>
      <c r="F90" s="267"/>
      <c r="G90" s="267"/>
      <c r="K90" s="267"/>
      <c r="L90" s="267"/>
    </row>
    <row r="91" spans="1:12" s="266" customFormat="1" ht="12" customHeight="1">
      <c r="A91" s="276" t="s">
        <v>602</v>
      </c>
      <c r="B91" s="269" t="s">
        <v>1499</v>
      </c>
      <c r="C91" s="269">
        <f t="shared" ref="C91:H91" si="1">SUM(C92)</f>
        <v>20966.051176000001</v>
      </c>
      <c r="D91" s="269">
        <f t="shared" si="1"/>
        <v>20661</v>
      </c>
      <c r="E91" s="269">
        <f t="shared" si="1"/>
        <v>21265.151404</v>
      </c>
      <c r="F91" s="269">
        <f t="shared" si="1"/>
        <v>20524.788805</v>
      </c>
      <c r="G91" s="269">
        <f t="shared" si="1"/>
        <v>19196.070204</v>
      </c>
      <c r="H91" s="269">
        <f t="shared" si="1"/>
        <v>20873.947541000001</v>
      </c>
      <c r="I91" s="269">
        <v>23704.508009000001</v>
      </c>
      <c r="J91" s="269">
        <v>-1814.7924</v>
      </c>
      <c r="K91" s="269">
        <v>-5775.7424959999989</v>
      </c>
      <c r="L91" s="269">
        <v>-32713.905389</v>
      </c>
    </row>
    <row r="92" spans="1:12" s="266" customFormat="1" ht="11.25" hidden="1">
      <c r="A92" s="276" t="s">
        <v>603</v>
      </c>
      <c r="B92" s="267">
        <v>0</v>
      </c>
      <c r="C92" s="265">
        <v>20966.051176000001</v>
      </c>
      <c r="D92" s="279">
        <v>20661</v>
      </c>
      <c r="E92" s="269">
        <v>21265.151404</v>
      </c>
      <c r="F92" s="265">
        <v>20524.788805</v>
      </c>
      <c r="G92" s="265">
        <v>19196.070204</v>
      </c>
      <c r="H92" s="272">
        <v>20873.947541000001</v>
      </c>
      <c r="I92" s="267">
        <v>23704.508009000001</v>
      </c>
      <c r="J92" s="267"/>
      <c r="K92" s="267"/>
      <c r="L92" s="267"/>
    </row>
    <row r="93" spans="1:12" s="266" customFormat="1" ht="11.25">
      <c r="A93" s="276"/>
      <c r="B93" s="267"/>
      <c r="C93" s="265"/>
      <c r="D93" s="279"/>
      <c r="E93" s="269"/>
      <c r="F93" s="269"/>
      <c r="G93" s="269"/>
      <c r="H93" s="265"/>
      <c r="K93" s="267"/>
      <c r="L93" s="267"/>
    </row>
    <row r="94" spans="1:12" s="266" customFormat="1" ht="11.25">
      <c r="A94" s="276" t="s">
        <v>604</v>
      </c>
      <c r="B94" s="269" t="s">
        <v>1499</v>
      </c>
      <c r="C94" s="270" t="s">
        <v>1499</v>
      </c>
      <c r="D94" s="280" t="s">
        <v>1499</v>
      </c>
      <c r="E94" s="269">
        <v>15071.295643999958</v>
      </c>
      <c r="F94" s="269">
        <v>-8496.5694817000422</v>
      </c>
      <c r="G94" s="269">
        <v>-3537.4126101000561</v>
      </c>
      <c r="H94" s="269">
        <v>-19650.397105069998</v>
      </c>
      <c r="I94" s="269">
        <v>-4196.4059048500003</v>
      </c>
      <c r="J94" s="269">
        <v>-4424.5340999999999</v>
      </c>
      <c r="K94" s="269">
        <v>-5458.1025432500001</v>
      </c>
      <c r="L94" s="269">
        <v>334.50895760000003</v>
      </c>
    </row>
    <row r="95" spans="1:12" s="266" customFormat="1" ht="11.25" hidden="1">
      <c r="A95" s="276" t="s">
        <v>605</v>
      </c>
      <c r="B95" s="269" t="s">
        <v>1499</v>
      </c>
      <c r="C95" s="270" t="s">
        <v>1499</v>
      </c>
      <c r="D95" s="280" t="s">
        <v>1499</v>
      </c>
      <c r="E95" s="269">
        <v>-14.122816</v>
      </c>
      <c r="F95" s="265">
        <v>-220.11144000000002</v>
      </c>
      <c r="G95" s="265">
        <v>-254.28445700000003</v>
      </c>
      <c r="H95" s="272">
        <v>-157.633849</v>
      </c>
      <c r="I95" s="267">
        <v>-310.18811799999997</v>
      </c>
      <c r="J95" s="267"/>
      <c r="K95" s="267"/>
      <c r="L95" s="267"/>
    </row>
    <row r="96" spans="1:12" s="266" customFormat="1" ht="11.25" hidden="1">
      <c r="A96" s="276" t="s">
        <v>606</v>
      </c>
      <c r="B96" s="269" t="s">
        <v>1499</v>
      </c>
      <c r="C96" s="270" t="s">
        <v>1499</v>
      </c>
      <c r="D96" s="280" t="s">
        <v>1499</v>
      </c>
      <c r="E96" s="269">
        <v>-591.31388800000002</v>
      </c>
      <c r="F96" s="265">
        <v>-714.55185600000004</v>
      </c>
      <c r="G96" s="265">
        <v>-2211.3933629999997</v>
      </c>
      <c r="H96" s="272">
        <v>-2266.0221799999999</v>
      </c>
      <c r="I96" s="267">
        <v>-2663.985193</v>
      </c>
      <c r="J96" s="267"/>
      <c r="K96" s="267"/>
      <c r="L96" s="267"/>
    </row>
    <row r="97" spans="1:12" s="266" customFormat="1" ht="11.25" hidden="1">
      <c r="A97" s="276" t="s">
        <v>607</v>
      </c>
      <c r="B97" s="269" t="s">
        <v>1499</v>
      </c>
      <c r="C97" s="270" t="s">
        <v>1499</v>
      </c>
      <c r="D97" s="280" t="s">
        <v>1499</v>
      </c>
      <c r="E97" s="269">
        <v>-74.443699999999993</v>
      </c>
      <c r="F97" s="265">
        <v>-81.521906000000001</v>
      </c>
      <c r="G97" s="265">
        <v>-353.94987400000002</v>
      </c>
      <c r="H97" s="272">
        <v>464.970618</v>
      </c>
      <c r="I97" s="267">
        <v>-1137.9778839999999</v>
      </c>
      <c r="J97" s="267"/>
      <c r="K97" s="267"/>
      <c r="L97" s="267"/>
    </row>
    <row r="98" spans="1:12" s="266" customFormat="1" ht="11.25" hidden="1">
      <c r="A98" s="276" t="s">
        <v>608</v>
      </c>
      <c r="B98" s="269" t="s">
        <v>1499</v>
      </c>
      <c r="C98" s="270" t="s">
        <v>1499</v>
      </c>
      <c r="D98" s="270" t="s">
        <v>1499</v>
      </c>
      <c r="E98" s="269">
        <v>-236.92888300000001</v>
      </c>
      <c r="F98" s="265">
        <v>-485.42589400000003</v>
      </c>
      <c r="G98" s="265">
        <v>-525.02169299999991</v>
      </c>
      <c r="H98" s="272">
        <v>-630.62607700000001</v>
      </c>
      <c r="I98" s="267">
        <v>-876.14868300000001</v>
      </c>
      <c r="J98" s="267"/>
      <c r="K98" s="267"/>
      <c r="L98" s="267"/>
    </row>
    <row r="99" spans="1:12" s="266" customFormat="1" ht="11.25" hidden="1">
      <c r="A99" s="276" t="s">
        <v>609</v>
      </c>
      <c r="B99" s="269" t="s">
        <v>1499</v>
      </c>
      <c r="C99" s="270" t="s">
        <v>1499</v>
      </c>
      <c r="D99" s="270" t="s">
        <v>1499</v>
      </c>
      <c r="E99" s="269">
        <v>-338.74751299999997</v>
      </c>
      <c r="F99" s="265">
        <v>-1372.2854150000001</v>
      </c>
      <c r="G99" s="265">
        <v>-928.53872999999999</v>
      </c>
      <c r="H99" s="272">
        <v>-890.20456799999999</v>
      </c>
      <c r="I99" s="267">
        <v>-1385.3013120000001</v>
      </c>
      <c r="J99" s="267"/>
      <c r="K99" s="267"/>
      <c r="L99" s="267"/>
    </row>
    <row r="100" spans="1:12" s="266" customFormat="1" ht="11.25" hidden="1">
      <c r="A100" s="276" t="s">
        <v>610</v>
      </c>
      <c r="B100" s="269" t="s">
        <v>1499</v>
      </c>
      <c r="C100" s="270" t="s">
        <v>1499</v>
      </c>
      <c r="D100" s="270" t="s">
        <v>1499</v>
      </c>
      <c r="E100" s="269">
        <v>-24.71189</v>
      </c>
      <c r="F100" s="265">
        <v>-434.165907</v>
      </c>
      <c r="G100" s="265">
        <v>-1023.0493010000001</v>
      </c>
      <c r="H100" s="272">
        <v>-1838.7239870000001</v>
      </c>
      <c r="I100" s="267">
        <v>-1189.4733779999999</v>
      </c>
      <c r="J100" s="267"/>
      <c r="K100" s="267"/>
      <c r="L100" s="267"/>
    </row>
    <row r="101" spans="1:12" s="266" customFormat="1" ht="11.25" hidden="1">
      <c r="A101" s="276" t="s">
        <v>611</v>
      </c>
      <c r="B101" s="269" t="s">
        <v>1499</v>
      </c>
      <c r="C101" s="270" t="s">
        <v>1499</v>
      </c>
      <c r="D101" s="270" t="s">
        <v>1499</v>
      </c>
      <c r="E101" s="269">
        <v>16351.564334000001</v>
      </c>
      <c r="F101" s="265">
        <v>-5175.6952337000002</v>
      </c>
      <c r="G101" s="265">
        <v>2965.5544039000001</v>
      </c>
      <c r="H101" s="272">
        <v>-14332.15706207</v>
      </c>
      <c r="I101" s="267">
        <v>3366.6686631500002</v>
      </c>
      <c r="J101" s="267"/>
      <c r="K101" s="267"/>
      <c r="L101" s="267"/>
    </row>
    <row r="102" spans="1:12" s="266" customFormat="1" ht="11.25" hidden="1">
      <c r="A102" s="276" t="s">
        <v>612</v>
      </c>
      <c r="B102" s="269" t="s">
        <v>1499</v>
      </c>
      <c r="C102" s="270" t="s">
        <v>1499</v>
      </c>
      <c r="D102" s="270" t="s">
        <v>1499</v>
      </c>
      <c r="E102" s="269">
        <v>-4.1443850000000001E-11</v>
      </c>
      <c r="F102" s="265">
        <v>-12.811830000042916</v>
      </c>
      <c r="G102" s="265">
        <v>-1206.7295960000565</v>
      </c>
      <c r="H102" s="272">
        <v>0</v>
      </c>
      <c r="I102" s="269" t="s">
        <v>1229</v>
      </c>
      <c r="J102" s="269"/>
      <c r="K102" s="269"/>
      <c r="L102" s="269"/>
    </row>
    <row r="103" spans="1:12" s="266" customFormat="1" ht="11.25" hidden="1">
      <c r="A103" s="260" t="s">
        <v>613</v>
      </c>
      <c r="B103" s="269" t="s">
        <v>1499</v>
      </c>
      <c r="C103" s="270" t="s">
        <v>1499</v>
      </c>
      <c r="D103" s="270" t="s">
        <v>1499</v>
      </c>
      <c r="E103" s="269">
        <v>0</v>
      </c>
      <c r="F103" s="265">
        <v>-4.6566128730773927E-13</v>
      </c>
      <c r="G103" s="265">
        <v>3.4651748137548566E-13</v>
      </c>
      <c r="H103" s="272">
        <v>0</v>
      </c>
      <c r="I103" s="269" t="s">
        <v>1229</v>
      </c>
      <c r="J103" s="269"/>
      <c r="K103" s="269"/>
      <c r="L103" s="269"/>
    </row>
    <row r="104" spans="1:12" s="266" customFormat="1" ht="11.25">
      <c r="A104" s="276"/>
      <c r="B104" s="269"/>
      <c r="C104" s="269"/>
      <c r="D104" s="270"/>
      <c r="E104" s="270"/>
      <c r="F104" s="269"/>
      <c r="G104" s="269"/>
      <c r="H104" s="265"/>
      <c r="K104" s="267"/>
      <c r="L104" s="267"/>
    </row>
    <row r="105" spans="1:12" s="281" customFormat="1" ht="11.25">
      <c r="A105" s="276" t="s">
        <v>614</v>
      </c>
      <c r="B105" s="269" t="s">
        <v>1499</v>
      </c>
      <c r="C105" s="269" t="s">
        <v>1499</v>
      </c>
      <c r="D105" s="269" t="s">
        <v>1499</v>
      </c>
      <c r="E105" s="269" t="s">
        <v>1499</v>
      </c>
      <c r="F105" s="269" t="s">
        <v>1499</v>
      </c>
      <c r="G105" s="269" t="s">
        <v>1499</v>
      </c>
      <c r="H105" s="269">
        <f>SUM(H106:H109)</f>
        <v>-1639.7386710000001</v>
      </c>
      <c r="I105" s="269">
        <v>-5414.4431745000002</v>
      </c>
      <c r="J105" s="269">
        <v>-8559.5012000000006</v>
      </c>
      <c r="K105" s="269">
        <v>-9513.4096009999994</v>
      </c>
      <c r="L105" s="269">
        <v>-15689.196047000001</v>
      </c>
    </row>
    <row r="106" spans="1:12" s="266" customFormat="1" ht="11.25" hidden="1">
      <c r="A106" s="276" t="s">
        <v>615</v>
      </c>
      <c r="B106" s="269" t="s">
        <v>1499</v>
      </c>
      <c r="C106" s="269" t="s">
        <v>1499</v>
      </c>
      <c r="D106" s="269" t="s">
        <v>1499</v>
      </c>
      <c r="E106" s="269" t="s">
        <v>1499</v>
      </c>
      <c r="F106" s="269" t="s">
        <v>1499</v>
      </c>
      <c r="G106" s="269" t="s">
        <v>1499</v>
      </c>
      <c r="H106" s="272">
        <v>-1402.5092999999999</v>
      </c>
      <c r="I106" s="267">
        <v>-3987.2887675000002</v>
      </c>
      <c r="J106" s="267"/>
      <c r="K106" s="267"/>
      <c r="L106" s="267"/>
    </row>
    <row r="107" spans="1:12" s="266" customFormat="1" ht="11.25" hidden="1">
      <c r="A107" s="276" t="s">
        <v>616</v>
      </c>
      <c r="B107" s="269" t="s">
        <v>1499</v>
      </c>
      <c r="C107" s="269" t="s">
        <v>1499</v>
      </c>
      <c r="D107" s="269" t="s">
        <v>1499</v>
      </c>
      <c r="E107" s="269" t="s">
        <v>1499</v>
      </c>
      <c r="F107" s="269" t="s">
        <v>1499</v>
      </c>
      <c r="G107" s="269" t="s">
        <v>1499</v>
      </c>
      <c r="H107" s="269" t="s">
        <v>1499</v>
      </c>
      <c r="I107" s="269" t="s">
        <v>1499</v>
      </c>
      <c r="J107" s="269"/>
      <c r="K107" s="269"/>
      <c r="L107" s="269"/>
    </row>
    <row r="108" spans="1:12" s="266" customFormat="1" ht="11.25" hidden="1">
      <c r="A108" s="276" t="s">
        <v>617</v>
      </c>
      <c r="B108" s="269" t="s">
        <v>1499</v>
      </c>
      <c r="C108" s="269" t="s">
        <v>1499</v>
      </c>
      <c r="D108" s="269" t="s">
        <v>1499</v>
      </c>
      <c r="E108" s="269" t="s">
        <v>1499</v>
      </c>
      <c r="F108" s="269" t="s">
        <v>1499</v>
      </c>
      <c r="G108" s="269" t="s">
        <v>1499</v>
      </c>
      <c r="H108" s="272">
        <v>-30.923064</v>
      </c>
      <c r="I108" s="267">
        <v>-36.837336000000001</v>
      </c>
      <c r="J108" s="267"/>
      <c r="K108" s="267"/>
      <c r="L108" s="267"/>
    </row>
    <row r="109" spans="1:12" s="266" customFormat="1" ht="11.25" hidden="1">
      <c r="A109" s="276" t="s">
        <v>618</v>
      </c>
      <c r="B109" s="269" t="s">
        <v>1499</v>
      </c>
      <c r="C109" s="269" t="s">
        <v>1499</v>
      </c>
      <c r="D109" s="269" t="s">
        <v>1499</v>
      </c>
      <c r="E109" s="269" t="s">
        <v>1499</v>
      </c>
      <c r="F109" s="269" t="s">
        <v>1499</v>
      </c>
      <c r="G109" s="269" t="s">
        <v>1499</v>
      </c>
      <c r="H109" s="272">
        <v>-206.306307</v>
      </c>
      <c r="I109" s="267">
        <v>-1390.3170709999999</v>
      </c>
      <c r="J109" s="267"/>
      <c r="K109" s="267"/>
      <c r="L109" s="267"/>
    </row>
    <row r="110" spans="1:12" s="266" customFormat="1" ht="11.25">
      <c r="A110" s="276"/>
      <c r="B110" s="269"/>
      <c r="C110" s="269"/>
      <c r="D110" s="270"/>
      <c r="E110" s="270"/>
      <c r="F110" s="269"/>
      <c r="G110" s="269"/>
      <c r="H110" s="265"/>
      <c r="K110" s="267"/>
      <c r="L110" s="267"/>
    </row>
    <row r="111" spans="1:12" s="266" customFormat="1" ht="11.25">
      <c r="A111" s="282" t="s">
        <v>619</v>
      </c>
      <c r="B111" s="283">
        <v>27856.386000000002</v>
      </c>
      <c r="C111" s="283">
        <v>32780.57479038</v>
      </c>
      <c r="D111" s="264">
        <v>38947</v>
      </c>
      <c r="E111" s="264">
        <v>37452.526401000003</v>
      </c>
      <c r="F111" s="264">
        <v>34131.004560900001</v>
      </c>
      <c r="G111" s="264">
        <v>45542.267219499998</v>
      </c>
      <c r="H111" s="264">
        <v>50814</v>
      </c>
      <c r="I111" s="264">
        <v>49113.327302329992</v>
      </c>
      <c r="J111" s="264">
        <f>SUM(J113:J220)</f>
        <v>29242.224499999997</v>
      </c>
      <c r="K111" s="264">
        <f>SUM(K113:K220)</f>
        <v>35082.361071380001</v>
      </c>
      <c r="L111" s="264">
        <f>SUM(L113:L220)</f>
        <v>33184.560894159993</v>
      </c>
    </row>
    <row r="112" spans="1:12" s="266" customFormat="1" ht="11.25">
      <c r="A112" s="261"/>
      <c r="B112" s="269"/>
      <c r="C112" s="269"/>
      <c r="D112" s="270"/>
      <c r="E112" s="270"/>
      <c r="F112" s="269"/>
      <c r="G112" s="269"/>
      <c r="K112" s="267"/>
      <c r="L112" s="267"/>
    </row>
    <row r="113" spans="1:12" s="266" customFormat="1" ht="11.25">
      <c r="A113" s="261" t="s">
        <v>620</v>
      </c>
      <c r="B113" s="269">
        <v>8738.2819999999992</v>
      </c>
      <c r="C113" s="269">
        <v>14639.371859480001</v>
      </c>
      <c r="D113" s="269">
        <v>13000</v>
      </c>
      <c r="E113" s="269">
        <v>13865.342244029998</v>
      </c>
      <c r="F113" s="269">
        <v>10312.499518199998</v>
      </c>
      <c r="G113" s="269">
        <v>13713.3322795</v>
      </c>
      <c r="H113" s="269">
        <v>32489</v>
      </c>
      <c r="I113" s="269">
        <v>31297.000224129999</v>
      </c>
      <c r="J113" s="269">
        <v>11351.3516</v>
      </c>
      <c r="K113" s="269">
        <v>10269.377595</v>
      </c>
      <c r="L113" s="269">
        <v>10853.21196219</v>
      </c>
    </row>
    <row r="114" spans="1:12" s="266" customFormat="1" ht="11.25" hidden="1">
      <c r="A114" s="261" t="s">
        <v>621</v>
      </c>
      <c r="B114" s="269" t="s">
        <v>1229</v>
      </c>
      <c r="C114" s="269" t="s">
        <v>1229</v>
      </c>
      <c r="D114" s="269" t="s">
        <v>1229</v>
      </c>
      <c r="E114" s="269" t="s">
        <v>1229</v>
      </c>
      <c r="F114" s="269" t="s">
        <v>1229</v>
      </c>
      <c r="G114" s="269" t="s">
        <v>1229</v>
      </c>
      <c r="H114" s="269" t="s">
        <v>1229</v>
      </c>
      <c r="I114" s="269" t="s">
        <v>1229</v>
      </c>
      <c r="J114" s="269"/>
      <c r="K114" s="269"/>
      <c r="L114" s="269"/>
    </row>
    <row r="115" spans="1:12" s="266" customFormat="1" ht="11.25" hidden="1">
      <c r="A115" s="261" t="s">
        <v>622</v>
      </c>
      <c r="B115" s="271">
        <v>65.180000000000007</v>
      </c>
      <c r="C115" s="265">
        <v>81.757000000000005</v>
      </c>
      <c r="D115" s="279">
        <v>38</v>
      </c>
      <c r="E115" s="269">
        <v>12.015000000000001</v>
      </c>
      <c r="F115" s="265">
        <v>129.33000000000001</v>
      </c>
      <c r="G115" s="269" t="s">
        <v>1229</v>
      </c>
      <c r="H115" s="270">
        <v>52</v>
      </c>
      <c r="I115" s="267">
        <v>4.319</v>
      </c>
      <c r="J115" s="267"/>
      <c r="K115" s="267"/>
      <c r="L115" s="267"/>
    </row>
    <row r="116" spans="1:12" s="266" customFormat="1" ht="11.25" hidden="1">
      <c r="A116" s="261" t="s">
        <v>623</v>
      </c>
      <c r="B116" s="267"/>
      <c r="C116" s="267"/>
      <c r="D116" s="279"/>
      <c r="F116" s="267"/>
      <c r="G116" s="267"/>
      <c r="H116" s="265"/>
      <c r="K116" s="267"/>
      <c r="L116" s="267"/>
    </row>
    <row r="117" spans="1:12" s="266" customFormat="1" ht="11.25" hidden="1">
      <c r="A117" s="261" t="s">
        <v>624</v>
      </c>
      <c r="B117" s="271">
        <v>335</v>
      </c>
      <c r="C117" s="265">
        <v>346</v>
      </c>
      <c r="D117" s="279">
        <v>366</v>
      </c>
      <c r="E117" s="269">
        <v>421</v>
      </c>
      <c r="F117" s="265">
        <v>302.39999999999998</v>
      </c>
      <c r="G117" s="265">
        <v>961.74020650000011</v>
      </c>
      <c r="H117" s="272">
        <v>495</v>
      </c>
      <c r="I117" s="267">
        <v>474</v>
      </c>
      <c r="J117" s="267"/>
      <c r="K117" s="267"/>
      <c r="L117" s="267"/>
    </row>
    <row r="118" spans="1:12" s="266" customFormat="1" ht="11.25" hidden="1">
      <c r="A118" s="261" t="s">
        <v>625</v>
      </c>
      <c r="B118" s="271">
        <v>39.524000000000001</v>
      </c>
      <c r="C118" s="265">
        <v>73.221999999999994</v>
      </c>
      <c r="D118" s="279">
        <v>45</v>
      </c>
      <c r="E118" s="269">
        <v>310.50799999999998</v>
      </c>
      <c r="F118" s="265">
        <v>119.999</v>
      </c>
      <c r="G118" s="275" t="s">
        <v>1229</v>
      </c>
      <c r="H118" s="265">
        <v>17</v>
      </c>
      <c r="I118" s="275" t="s">
        <v>1229</v>
      </c>
      <c r="J118" s="275"/>
      <c r="K118" s="275"/>
      <c r="L118" s="275"/>
    </row>
    <row r="119" spans="1:12" s="266" customFormat="1" ht="11.25" hidden="1">
      <c r="A119" s="261" t="s">
        <v>626</v>
      </c>
      <c r="B119" s="269"/>
      <c r="C119" s="269"/>
      <c r="D119" s="270"/>
      <c r="F119" s="269"/>
      <c r="G119" s="269"/>
      <c r="H119" s="265"/>
      <c r="K119" s="267"/>
      <c r="L119" s="267"/>
    </row>
    <row r="120" spans="1:12" s="266" customFormat="1" ht="11.25" hidden="1">
      <c r="A120" s="261" t="s">
        <v>627</v>
      </c>
      <c r="B120" s="271">
        <v>503.86200000000002</v>
      </c>
      <c r="C120" s="265">
        <v>424.43618125</v>
      </c>
      <c r="D120" s="279">
        <v>141</v>
      </c>
      <c r="E120" s="269">
        <v>37.427017630000002</v>
      </c>
      <c r="F120" s="265">
        <v>8.7779159</v>
      </c>
      <c r="G120" s="265">
        <v>8.0047053000000012</v>
      </c>
      <c r="H120" s="266">
        <v>61</v>
      </c>
      <c r="I120" s="267">
        <v>29.218240000000002</v>
      </c>
      <c r="J120" s="267"/>
      <c r="K120" s="267"/>
      <c r="L120" s="267"/>
    </row>
    <row r="121" spans="1:12" s="266" customFormat="1" ht="11.25" hidden="1">
      <c r="A121" s="261" t="s">
        <v>628</v>
      </c>
      <c r="B121" s="269"/>
      <c r="C121" s="269"/>
      <c r="D121" s="270"/>
      <c r="F121" s="267"/>
      <c r="G121" s="267"/>
      <c r="H121" s="265"/>
      <c r="K121" s="267"/>
      <c r="L121" s="267"/>
    </row>
    <row r="122" spans="1:12" s="266" customFormat="1" ht="11.25" hidden="1">
      <c r="A122" s="261" t="s">
        <v>629</v>
      </c>
      <c r="B122" s="280" t="s">
        <v>1229</v>
      </c>
      <c r="C122" s="265">
        <v>3815.8680679999998</v>
      </c>
      <c r="D122" s="280" t="s">
        <v>1229</v>
      </c>
      <c r="E122" s="269" t="s">
        <v>1499</v>
      </c>
      <c r="F122" s="269" t="s">
        <v>1499</v>
      </c>
      <c r="G122" s="269" t="s">
        <v>1499</v>
      </c>
      <c r="H122" s="269" t="s">
        <v>1499</v>
      </c>
      <c r="I122" s="269" t="s">
        <v>1499</v>
      </c>
      <c r="J122" s="269"/>
      <c r="K122" s="269"/>
      <c r="L122" s="269"/>
    </row>
    <row r="123" spans="1:12" s="266" customFormat="1" ht="11.25" hidden="1">
      <c r="A123" s="261" t="s">
        <v>1110</v>
      </c>
      <c r="B123" s="277" t="s">
        <v>1499</v>
      </c>
      <c r="C123" s="275" t="s">
        <v>1499</v>
      </c>
      <c r="D123" s="280">
        <v>168</v>
      </c>
      <c r="E123" s="269">
        <v>258</v>
      </c>
      <c r="F123" s="265">
        <v>133.94759070000001</v>
      </c>
      <c r="G123" s="265">
        <v>121.1004669</v>
      </c>
      <c r="H123" s="265">
        <v>103</v>
      </c>
      <c r="I123" s="267">
        <v>192.67620313</v>
      </c>
      <c r="J123" s="267"/>
      <c r="K123" s="267"/>
      <c r="L123" s="267"/>
    </row>
    <row r="124" spans="1:12" s="266" customFormat="1" ht="11.25" hidden="1">
      <c r="A124" s="261" t="s">
        <v>1111</v>
      </c>
      <c r="B124" s="271">
        <v>6200</v>
      </c>
      <c r="C124" s="265">
        <v>8100</v>
      </c>
      <c r="D124" s="279">
        <v>8100</v>
      </c>
      <c r="E124" s="269">
        <v>9300</v>
      </c>
      <c r="F124" s="265">
        <v>7600</v>
      </c>
      <c r="G124" s="265">
        <v>9760</v>
      </c>
      <c r="H124" s="265">
        <v>28200</v>
      </c>
      <c r="I124" s="267">
        <v>27300</v>
      </c>
      <c r="J124" s="267"/>
      <c r="K124" s="267"/>
      <c r="L124" s="267"/>
    </row>
    <row r="125" spans="1:12" s="266" customFormat="1" ht="11.25" hidden="1">
      <c r="A125" s="261" t="s">
        <v>1112</v>
      </c>
      <c r="B125" s="271">
        <v>1016.481</v>
      </c>
      <c r="C125" s="265">
        <v>1128.14569364</v>
      </c>
      <c r="D125" s="279">
        <v>1394</v>
      </c>
      <c r="E125" s="270" t="s">
        <v>1499</v>
      </c>
      <c r="F125" s="270" t="s">
        <v>1499</v>
      </c>
      <c r="G125" s="270" t="s">
        <v>1499</v>
      </c>
      <c r="H125" s="270" t="s">
        <v>1499</v>
      </c>
      <c r="I125" s="270" t="s">
        <v>1499</v>
      </c>
      <c r="J125" s="270"/>
      <c r="K125" s="269"/>
      <c r="L125" s="269"/>
    </row>
    <row r="126" spans="1:12" s="266" customFormat="1" ht="11.25" hidden="1">
      <c r="A126" s="261" t="s">
        <v>1113</v>
      </c>
      <c r="B126" s="271">
        <v>578.23500000000001</v>
      </c>
      <c r="C126" s="265">
        <v>669.94291658999998</v>
      </c>
      <c r="D126" s="279">
        <v>223</v>
      </c>
      <c r="E126" s="270" t="s">
        <v>1499</v>
      </c>
      <c r="F126" s="270" t="s">
        <v>1499</v>
      </c>
      <c r="G126" s="270" t="s">
        <v>1499</v>
      </c>
      <c r="H126" s="270" t="s">
        <v>1499</v>
      </c>
      <c r="I126" s="270" t="s">
        <v>1499</v>
      </c>
      <c r="J126" s="270"/>
      <c r="K126" s="269"/>
      <c r="L126" s="269"/>
    </row>
    <row r="127" spans="1:12" s="266" customFormat="1" ht="11.25" hidden="1">
      <c r="A127" s="261" t="s">
        <v>1114</v>
      </c>
      <c r="B127" s="277" t="s">
        <v>1499</v>
      </c>
      <c r="C127" s="275" t="s">
        <v>1499</v>
      </c>
      <c r="D127" s="280">
        <v>2525</v>
      </c>
      <c r="E127" s="269">
        <v>3526.3922264000003</v>
      </c>
      <c r="F127" s="265">
        <v>2018.0450116000002</v>
      </c>
      <c r="G127" s="265">
        <v>2862.4869008000001</v>
      </c>
      <c r="H127" s="265">
        <v>3561</v>
      </c>
      <c r="I127" s="267">
        <v>3296.7867809999998</v>
      </c>
      <c r="J127" s="267"/>
      <c r="K127" s="267"/>
      <c r="L127" s="267"/>
    </row>
    <row r="128" spans="1:12" s="266" customFormat="1" ht="11.25">
      <c r="A128" s="261"/>
      <c r="B128" s="269"/>
      <c r="C128" s="269"/>
      <c r="D128" s="270"/>
      <c r="E128" s="270"/>
      <c r="F128" s="267"/>
      <c r="G128" s="267"/>
      <c r="H128" s="265"/>
      <c r="K128" s="267"/>
      <c r="L128" s="267"/>
    </row>
    <row r="129" spans="1:12" s="266" customFormat="1" ht="11.25">
      <c r="A129" s="276" t="s">
        <v>1115</v>
      </c>
      <c r="B129" s="267">
        <v>403.1</v>
      </c>
      <c r="C129" s="267">
        <v>338.10226912999997</v>
      </c>
      <c r="D129" s="269">
        <v>1101</v>
      </c>
      <c r="E129" s="269">
        <v>256.27721045999999</v>
      </c>
      <c r="F129" s="267">
        <v>95.59</v>
      </c>
      <c r="G129" s="267">
        <v>114.455</v>
      </c>
      <c r="H129" s="267">
        <v>99</v>
      </c>
      <c r="I129" s="267">
        <v>228.43407999999999</v>
      </c>
      <c r="J129" s="267">
        <v>388.42070000000001</v>
      </c>
      <c r="K129" s="267">
        <v>446.889949</v>
      </c>
      <c r="L129" s="267">
        <v>322.76077500000002</v>
      </c>
    </row>
    <row r="130" spans="1:12" s="266" customFormat="1" ht="11.25" hidden="1">
      <c r="A130" s="276" t="s">
        <v>1116</v>
      </c>
      <c r="B130" s="271">
        <v>403.1</v>
      </c>
      <c r="C130" s="279">
        <v>84.4</v>
      </c>
      <c r="D130" s="280" t="s">
        <v>1499</v>
      </c>
      <c r="E130" s="270" t="s">
        <v>1499</v>
      </c>
      <c r="F130" s="270" t="s">
        <v>1499</v>
      </c>
      <c r="G130" s="270" t="s">
        <v>1499</v>
      </c>
      <c r="H130" s="270" t="s">
        <v>1499</v>
      </c>
      <c r="I130" s="270" t="s">
        <v>1499</v>
      </c>
      <c r="J130" s="270"/>
      <c r="K130" s="269"/>
      <c r="L130" s="269"/>
    </row>
    <row r="131" spans="1:12" s="266" customFormat="1" ht="11.25" hidden="1">
      <c r="A131" s="276" t="s">
        <v>1117</v>
      </c>
      <c r="B131" s="269" t="s">
        <v>1229</v>
      </c>
      <c r="C131" s="279">
        <v>253.70226912999999</v>
      </c>
      <c r="D131" s="279">
        <v>1101</v>
      </c>
      <c r="E131" s="269">
        <v>256.27721045999999</v>
      </c>
      <c r="F131" s="265">
        <v>95.59</v>
      </c>
      <c r="G131" s="265">
        <v>114.455</v>
      </c>
      <c r="H131" s="265">
        <v>99</v>
      </c>
      <c r="I131" s="267">
        <v>228.43407999999999</v>
      </c>
      <c r="J131" s="267"/>
      <c r="K131" s="267"/>
      <c r="L131" s="267"/>
    </row>
    <row r="132" spans="1:12" s="266" customFormat="1" ht="11.25">
      <c r="A132" s="273"/>
      <c r="B132" s="269"/>
      <c r="C132" s="269"/>
      <c r="D132" s="270"/>
      <c r="E132" s="270"/>
      <c r="F132" s="267"/>
      <c r="G132" s="267"/>
      <c r="H132" s="265"/>
      <c r="K132" s="267"/>
      <c r="L132" s="267"/>
    </row>
    <row r="133" spans="1:12" s="266" customFormat="1" ht="11.25">
      <c r="A133" s="261" t="s">
        <v>1118</v>
      </c>
      <c r="B133" s="269">
        <v>2927.5760000000005</v>
      </c>
      <c r="C133" s="269">
        <v>818.96587325000007</v>
      </c>
      <c r="D133" s="269">
        <v>1412</v>
      </c>
      <c r="E133" s="269">
        <v>1652.2319960299999</v>
      </c>
      <c r="F133" s="269">
        <v>2215.3927733000005</v>
      </c>
      <c r="G133" s="269">
        <v>3107.6763369</v>
      </c>
      <c r="H133" s="269">
        <v>4323</v>
      </c>
      <c r="I133" s="269">
        <v>4722.6886052399996</v>
      </c>
      <c r="J133" s="269">
        <v>4775.1980999999996</v>
      </c>
      <c r="K133" s="269">
        <v>4577.8386449499994</v>
      </c>
      <c r="L133" s="269">
        <v>5754.8135995700013</v>
      </c>
    </row>
    <row r="134" spans="1:12" s="266" customFormat="1" ht="11.25" hidden="1">
      <c r="A134" s="276" t="s">
        <v>1119</v>
      </c>
      <c r="B134" s="271">
        <v>6.6520000000000001</v>
      </c>
      <c r="C134" s="265">
        <v>6.9958376700000002</v>
      </c>
      <c r="D134" s="279">
        <v>4</v>
      </c>
      <c r="E134" s="269">
        <v>2.68850356</v>
      </c>
      <c r="F134" s="265">
        <v>1.3260380999999999</v>
      </c>
      <c r="G134" s="265">
        <v>0.88891169999999997</v>
      </c>
      <c r="H134" s="265">
        <v>1</v>
      </c>
      <c r="I134" s="267">
        <v>1.6140210399999999</v>
      </c>
      <c r="J134" s="267"/>
      <c r="K134" s="267"/>
      <c r="L134" s="267"/>
    </row>
    <row r="135" spans="1:12" s="266" customFormat="1" ht="11.25" hidden="1">
      <c r="A135" s="261" t="s">
        <v>1120</v>
      </c>
      <c r="B135" s="271">
        <v>0.10700000000000001</v>
      </c>
      <c r="C135" s="265">
        <v>4.1503929999999994E-2</v>
      </c>
      <c r="D135" s="269" t="s">
        <v>1229</v>
      </c>
      <c r="E135" s="269">
        <v>2.2651000000000001E-2</v>
      </c>
      <c r="F135" s="265">
        <v>1.8653000000000003E-2</v>
      </c>
      <c r="G135" s="265">
        <v>1.6421999999999999E-2</v>
      </c>
      <c r="H135" s="265">
        <v>0</v>
      </c>
      <c r="I135" s="267">
        <v>9.835E-3</v>
      </c>
      <c r="J135" s="267"/>
      <c r="K135" s="267"/>
      <c r="L135" s="267"/>
    </row>
    <row r="136" spans="1:12" s="266" customFormat="1" ht="11.25" hidden="1">
      <c r="A136" s="261" t="s">
        <v>1121</v>
      </c>
      <c r="B136" s="271"/>
      <c r="C136" s="265"/>
      <c r="D136" s="279"/>
      <c r="F136" s="267"/>
      <c r="G136" s="267"/>
      <c r="H136" s="265"/>
      <c r="K136" s="267"/>
      <c r="L136" s="267"/>
    </row>
    <row r="137" spans="1:12" s="266" customFormat="1" ht="11.25" hidden="1">
      <c r="A137" s="261" t="s">
        <v>1122</v>
      </c>
      <c r="B137" s="271">
        <v>0.23199999999999998</v>
      </c>
      <c r="C137" s="265">
        <v>3.1532400000000002E-2</v>
      </c>
      <c r="D137" s="280" t="s">
        <v>1229</v>
      </c>
      <c r="E137" s="280" t="s">
        <v>1499</v>
      </c>
      <c r="F137" s="280" t="s">
        <v>1499</v>
      </c>
      <c r="G137" s="280" t="s">
        <v>1499</v>
      </c>
      <c r="H137" s="280" t="s">
        <v>1499</v>
      </c>
      <c r="I137" s="280" t="s">
        <v>1499</v>
      </c>
      <c r="J137" s="280"/>
      <c r="K137" s="269"/>
      <c r="L137" s="269"/>
    </row>
    <row r="138" spans="1:12" s="266" customFormat="1" ht="11.25" hidden="1">
      <c r="A138" s="261" t="s">
        <v>1123</v>
      </c>
      <c r="B138" s="271">
        <v>9.0000000000000011E-3</v>
      </c>
      <c r="C138" s="265">
        <v>5.3745200000000007E-3</v>
      </c>
      <c r="D138" s="280" t="s">
        <v>1229</v>
      </c>
      <c r="E138" s="269">
        <v>2.21996E-3</v>
      </c>
      <c r="F138" s="265">
        <v>8.7110000000000009E-4</v>
      </c>
      <c r="G138" s="265">
        <v>2.2169999999999999E-4</v>
      </c>
      <c r="H138" s="265">
        <v>0</v>
      </c>
      <c r="I138" s="280" t="s">
        <v>1229</v>
      </c>
      <c r="J138" s="280"/>
      <c r="K138" s="269"/>
      <c r="L138" s="269"/>
    </row>
    <row r="139" spans="1:12" s="266" customFormat="1" ht="11.25" hidden="1">
      <c r="A139" s="261" t="s">
        <v>1124</v>
      </c>
      <c r="B139" s="271">
        <v>83.768000000000001</v>
      </c>
      <c r="C139" s="265">
        <v>79.274719290000007</v>
      </c>
      <c r="D139" s="279">
        <v>60</v>
      </c>
      <c r="E139" s="269">
        <v>56.122541620000007</v>
      </c>
      <c r="F139" s="265">
        <v>50.790959799999996</v>
      </c>
      <c r="G139" s="265">
        <v>-0.30956419999999996</v>
      </c>
      <c r="H139" s="265">
        <v>17</v>
      </c>
      <c r="I139" s="267">
        <v>5.3884212500000004</v>
      </c>
      <c r="J139" s="267"/>
      <c r="K139" s="267"/>
      <c r="L139" s="267"/>
    </row>
    <row r="140" spans="1:12" s="266" customFormat="1" ht="11.25" hidden="1">
      <c r="A140" s="261" t="s">
        <v>1125</v>
      </c>
      <c r="B140" s="271">
        <v>1.6890000000000001</v>
      </c>
      <c r="C140" s="265">
        <v>1.2702064399999999</v>
      </c>
      <c r="D140" s="279">
        <v>2</v>
      </c>
      <c r="E140" s="269">
        <v>0.89474878000000002</v>
      </c>
      <c r="F140" s="265">
        <v>0.29191700000000004</v>
      </c>
      <c r="G140" s="265">
        <v>0.17101940000000002</v>
      </c>
      <c r="H140" s="265">
        <v>0</v>
      </c>
      <c r="I140" s="267">
        <v>9.9263000000000004E-2</v>
      </c>
      <c r="J140" s="267"/>
      <c r="K140" s="267"/>
      <c r="L140" s="267"/>
    </row>
    <row r="141" spans="1:12" s="266" customFormat="1" ht="11.25" hidden="1">
      <c r="A141" s="261" t="s">
        <v>1126</v>
      </c>
      <c r="B141" s="277" t="s">
        <v>1499</v>
      </c>
      <c r="C141" s="275" t="s">
        <v>1499</v>
      </c>
      <c r="D141" s="279">
        <v>24</v>
      </c>
      <c r="E141" s="269">
        <v>25.39223801</v>
      </c>
      <c r="F141" s="265">
        <v>7.8033403999999997</v>
      </c>
      <c r="G141" s="265">
        <v>5.6467791000000007</v>
      </c>
      <c r="H141" s="265">
        <v>8</v>
      </c>
      <c r="I141" s="267">
        <v>5.2101201899999996</v>
      </c>
      <c r="J141" s="267"/>
      <c r="K141" s="267"/>
      <c r="L141" s="267"/>
    </row>
    <row r="142" spans="1:12" s="266" customFormat="1" ht="11.25" hidden="1">
      <c r="A142" s="261" t="s">
        <v>103</v>
      </c>
      <c r="B142" s="271">
        <v>1897.7670000000001</v>
      </c>
      <c r="C142" s="265">
        <v>-37.216162869999998</v>
      </c>
      <c r="D142" s="280" t="s">
        <v>1229</v>
      </c>
      <c r="E142" s="280" t="s">
        <v>1499</v>
      </c>
      <c r="F142" s="280" t="s">
        <v>1499</v>
      </c>
      <c r="G142" s="280" t="s">
        <v>1499</v>
      </c>
      <c r="H142" s="280" t="s">
        <v>1499</v>
      </c>
      <c r="I142" s="280" t="s">
        <v>1499</v>
      </c>
      <c r="J142" s="280"/>
      <c r="K142" s="269"/>
      <c r="L142" s="269"/>
    </row>
    <row r="143" spans="1:12" s="266" customFormat="1" ht="11.25" hidden="1">
      <c r="A143" s="261" t="s">
        <v>104</v>
      </c>
      <c r="B143" s="269"/>
      <c r="C143" s="269"/>
      <c r="D143" s="270"/>
      <c r="F143" s="269"/>
      <c r="G143" s="269"/>
      <c r="H143" s="265"/>
      <c r="I143" s="280"/>
      <c r="J143" s="280"/>
      <c r="K143" s="269"/>
      <c r="L143" s="269"/>
    </row>
    <row r="144" spans="1:12" s="266" customFormat="1" ht="11.25" hidden="1">
      <c r="A144" s="276" t="s">
        <v>906</v>
      </c>
      <c r="B144" s="271">
        <v>6.5000000000000002E-2</v>
      </c>
      <c r="C144" s="269" t="s">
        <v>1229</v>
      </c>
      <c r="D144" s="270" t="s">
        <v>1229</v>
      </c>
      <c r="E144" s="270" t="s">
        <v>1499</v>
      </c>
      <c r="F144" s="270" t="s">
        <v>1499</v>
      </c>
      <c r="G144" s="270" t="s">
        <v>1499</v>
      </c>
      <c r="H144" s="270" t="s">
        <v>1499</v>
      </c>
      <c r="I144" s="270" t="s">
        <v>1499</v>
      </c>
      <c r="J144" s="270"/>
      <c r="K144" s="269"/>
      <c r="L144" s="269"/>
    </row>
    <row r="145" spans="1:12" s="266" customFormat="1" ht="11.25" hidden="1">
      <c r="A145" s="261" t="s">
        <v>907</v>
      </c>
      <c r="B145" s="271">
        <v>2.5860000000000003</v>
      </c>
      <c r="C145" s="265">
        <v>0</v>
      </c>
      <c r="D145" s="280" t="s">
        <v>1229</v>
      </c>
      <c r="E145" s="280" t="s">
        <v>1499</v>
      </c>
      <c r="F145" s="280" t="s">
        <v>1499</v>
      </c>
      <c r="G145" s="280" t="s">
        <v>1499</v>
      </c>
      <c r="H145" s="280" t="s">
        <v>1499</v>
      </c>
      <c r="I145" s="280" t="s">
        <v>1499</v>
      </c>
      <c r="J145" s="280"/>
      <c r="K145" s="269"/>
      <c r="L145" s="269"/>
    </row>
    <row r="146" spans="1:12" s="266" customFormat="1" ht="11.25" hidden="1">
      <c r="A146" s="276" t="s">
        <v>908</v>
      </c>
      <c r="B146" s="269"/>
      <c r="C146" s="269"/>
      <c r="D146" s="280"/>
      <c r="F146" s="267"/>
      <c r="G146" s="267"/>
      <c r="H146" s="265"/>
      <c r="K146" s="267"/>
      <c r="L146" s="267"/>
    </row>
    <row r="147" spans="1:12" s="266" customFormat="1" ht="11.25" hidden="1">
      <c r="A147" s="276" t="s">
        <v>909</v>
      </c>
      <c r="B147" s="271">
        <v>7.0000000000000007E-2</v>
      </c>
      <c r="C147" s="265">
        <v>3.1712000000000004E-2</v>
      </c>
      <c r="D147" s="280" t="s">
        <v>1229</v>
      </c>
      <c r="E147" s="269">
        <v>3.4862999999999998E-2</v>
      </c>
      <c r="F147" s="265">
        <v>4.2332000000000002E-2</v>
      </c>
      <c r="G147" s="265">
        <v>5.0527000000000002E-2</v>
      </c>
      <c r="H147" s="265">
        <v>0</v>
      </c>
      <c r="I147" s="265">
        <v>0</v>
      </c>
      <c r="J147" s="265"/>
      <c r="K147" s="265"/>
      <c r="L147" s="265"/>
    </row>
    <row r="148" spans="1:12" s="266" customFormat="1" ht="11.25" hidden="1">
      <c r="A148" s="261" t="s">
        <v>1286</v>
      </c>
      <c r="B148" s="271">
        <v>42.612000000000002</v>
      </c>
      <c r="C148" s="265">
        <v>46.110979999999998</v>
      </c>
      <c r="D148" s="279">
        <v>44</v>
      </c>
      <c r="E148" s="269">
        <v>39.049607999999999</v>
      </c>
      <c r="F148" s="265">
        <v>39.696964000000001</v>
      </c>
      <c r="G148" s="265">
        <v>27.983990000000002</v>
      </c>
      <c r="H148" s="265">
        <v>22</v>
      </c>
      <c r="I148" s="267">
        <v>31.577950000000001</v>
      </c>
      <c r="J148" s="267"/>
      <c r="K148" s="267"/>
      <c r="L148" s="267"/>
    </row>
    <row r="149" spans="1:12" s="266" customFormat="1" ht="11.25" hidden="1">
      <c r="A149" s="261" t="s">
        <v>1287</v>
      </c>
      <c r="B149" s="277" t="s">
        <v>1499</v>
      </c>
      <c r="C149" s="275" t="s">
        <v>1499</v>
      </c>
      <c r="D149" s="280">
        <v>1179</v>
      </c>
      <c r="E149" s="269">
        <v>1438</v>
      </c>
      <c r="F149" s="265">
        <v>1654.4366940000002</v>
      </c>
      <c r="G149" s="265">
        <v>2008.5824810000001</v>
      </c>
      <c r="H149" s="265">
        <v>2438</v>
      </c>
      <c r="I149" s="267">
        <v>2930.1098619999998</v>
      </c>
      <c r="J149" s="267"/>
      <c r="K149" s="267"/>
      <c r="L149" s="267"/>
    </row>
    <row r="150" spans="1:12" s="266" customFormat="1" ht="11.25" hidden="1">
      <c r="A150" s="261" t="s">
        <v>1288</v>
      </c>
      <c r="B150" s="271">
        <v>77.917000000000002</v>
      </c>
      <c r="C150" s="280" t="s">
        <v>1229</v>
      </c>
      <c r="D150" s="280" t="s">
        <v>1229</v>
      </c>
      <c r="E150" s="269" t="s">
        <v>1499</v>
      </c>
      <c r="F150" s="269" t="s">
        <v>1499</v>
      </c>
      <c r="G150" s="269" t="s">
        <v>1499</v>
      </c>
      <c r="H150" s="269" t="s">
        <v>1499</v>
      </c>
      <c r="I150" s="269" t="s">
        <v>1499</v>
      </c>
      <c r="J150" s="269"/>
      <c r="K150" s="269"/>
      <c r="L150" s="269"/>
    </row>
    <row r="151" spans="1:12" s="266" customFormat="1" ht="11.25" hidden="1">
      <c r="A151" s="261" t="s">
        <v>54</v>
      </c>
      <c r="B151" s="271">
        <v>4.2460000000000004</v>
      </c>
      <c r="C151" s="265">
        <v>6.7732449600000004</v>
      </c>
      <c r="D151" s="279">
        <v>2</v>
      </c>
      <c r="E151" s="269">
        <v>4.0005441300000006</v>
      </c>
      <c r="F151" s="265">
        <v>1.9492287000000001</v>
      </c>
      <c r="G151" s="280" t="s">
        <v>1229</v>
      </c>
      <c r="H151" s="269" t="s">
        <v>1499</v>
      </c>
      <c r="I151" s="269" t="s">
        <v>1499</v>
      </c>
      <c r="J151" s="269"/>
      <c r="K151" s="269"/>
      <c r="L151" s="269"/>
    </row>
    <row r="152" spans="1:12" s="266" customFormat="1" ht="11.25" hidden="1">
      <c r="A152" s="261" t="s">
        <v>79</v>
      </c>
      <c r="B152" s="271">
        <v>468.67199999999997</v>
      </c>
      <c r="C152" s="265">
        <v>265.40232164999998</v>
      </c>
      <c r="D152" s="279">
        <v>34</v>
      </c>
      <c r="E152" s="280" t="s">
        <v>1229</v>
      </c>
      <c r="F152" s="280" t="s">
        <v>1229</v>
      </c>
      <c r="G152" s="280" t="s">
        <v>1499</v>
      </c>
      <c r="H152" s="269" t="s">
        <v>1499</v>
      </c>
      <c r="I152" s="269" t="s">
        <v>1499</v>
      </c>
      <c r="J152" s="269"/>
      <c r="K152" s="269"/>
      <c r="L152" s="269"/>
    </row>
    <row r="153" spans="1:12" s="266" customFormat="1" ht="11.25" hidden="1">
      <c r="A153" s="276" t="s">
        <v>80</v>
      </c>
      <c r="B153" s="280" t="s">
        <v>1229</v>
      </c>
      <c r="C153" s="265">
        <v>0.22561</v>
      </c>
      <c r="D153" s="280" t="s">
        <v>1229</v>
      </c>
      <c r="E153" s="280" t="s">
        <v>1229</v>
      </c>
      <c r="F153" s="280" t="s">
        <v>1229</v>
      </c>
      <c r="G153" s="280" t="s">
        <v>1229</v>
      </c>
      <c r="H153" s="269" t="s">
        <v>1499</v>
      </c>
      <c r="I153" s="269" t="s">
        <v>1499</v>
      </c>
      <c r="J153" s="269"/>
      <c r="K153" s="269"/>
      <c r="L153" s="269"/>
    </row>
    <row r="154" spans="1:12" s="266" customFormat="1" ht="11.25" hidden="1">
      <c r="A154" s="276" t="s">
        <v>81</v>
      </c>
      <c r="B154" s="271">
        <v>1.2E-2</v>
      </c>
      <c r="C154" s="265">
        <v>2.8551590000000002E-2</v>
      </c>
      <c r="D154" s="280" t="s">
        <v>1229</v>
      </c>
      <c r="E154" s="269">
        <v>2.419E-4</v>
      </c>
      <c r="F154" s="280" t="s">
        <v>1229</v>
      </c>
      <c r="G154" s="280" t="s">
        <v>1499</v>
      </c>
      <c r="H154" s="269" t="s">
        <v>1499</v>
      </c>
      <c r="I154" s="269" t="s">
        <v>1499</v>
      </c>
      <c r="J154" s="269"/>
      <c r="K154" s="269"/>
      <c r="L154" s="269"/>
    </row>
    <row r="155" spans="1:12" s="266" customFormat="1" ht="11.25" hidden="1">
      <c r="A155" s="261" t="s">
        <v>82</v>
      </c>
      <c r="B155" s="271">
        <v>4.3470000000000004</v>
      </c>
      <c r="C155" s="269" t="s">
        <v>1229</v>
      </c>
      <c r="D155" s="270" t="s">
        <v>1229</v>
      </c>
      <c r="E155" s="270" t="s">
        <v>1499</v>
      </c>
      <c r="F155" s="270" t="s">
        <v>1499</v>
      </c>
      <c r="G155" s="270" t="s">
        <v>1499</v>
      </c>
      <c r="H155" s="269" t="s">
        <v>1499</v>
      </c>
      <c r="I155" s="269" t="s">
        <v>1499</v>
      </c>
      <c r="J155" s="269"/>
      <c r="K155" s="269"/>
      <c r="L155" s="269"/>
    </row>
    <row r="156" spans="1:12" s="266" customFormat="1" ht="11.25" hidden="1">
      <c r="A156" s="261" t="s">
        <v>83</v>
      </c>
      <c r="B156" s="271" t="s">
        <v>84</v>
      </c>
      <c r="C156" s="269"/>
      <c r="D156" s="270"/>
      <c r="F156" s="267"/>
      <c r="G156" s="269"/>
      <c r="H156" s="265"/>
      <c r="K156" s="267"/>
      <c r="L156" s="267"/>
    </row>
    <row r="157" spans="1:12" s="266" customFormat="1" ht="11.25" hidden="1">
      <c r="A157" s="261" t="s">
        <v>85</v>
      </c>
      <c r="B157" s="271">
        <v>5.0000000000000001E-3</v>
      </c>
      <c r="C157" s="269" t="s">
        <v>1229</v>
      </c>
      <c r="D157" s="270" t="s">
        <v>1229</v>
      </c>
      <c r="E157" s="270" t="s">
        <v>1499</v>
      </c>
      <c r="F157" s="270" t="s">
        <v>1499</v>
      </c>
      <c r="G157" s="270" t="s">
        <v>1499</v>
      </c>
      <c r="H157" s="270" t="s">
        <v>1499</v>
      </c>
      <c r="I157" s="270" t="s">
        <v>1499</v>
      </c>
      <c r="J157" s="270"/>
      <c r="K157" s="269"/>
      <c r="L157" s="269"/>
    </row>
    <row r="158" spans="1:12" s="266" customFormat="1" ht="11.25" hidden="1">
      <c r="A158" s="261" t="s">
        <v>86</v>
      </c>
      <c r="B158" s="271" t="s">
        <v>84</v>
      </c>
      <c r="C158" s="269"/>
      <c r="D158" s="270"/>
      <c r="E158" s="270"/>
      <c r="F158" s="269"/>
      <c r="G158" s="265"/>
      <c r="H158" s="265"/>
      <c r="K158" s="267"/>
      <c r="L158" s="267"/>
    </row>
    <row r="159" spans="1:12" s="266" customFormat="1" ht="11.25" hidden="1">
      <c r="A159" s="261" t="s">
        <v>87</v>
      </c>
      <c r="B159" s="271">
        <v>1.103</v>
      </c>
      <c r="C159" s="265">
        <v>0.47208050000000001</v>
      </c>
      <c r="D159" s="279">
        <v>2</v>
      </c>
      <c r="E159" s="269">
        <v>1.2811884600000001</v>
      </c>
      <c r="F159" s="265">
        <v>1.2631995</v>
      </c>
      <c r="G159" s="284">
        <v>3.3235300000000002E-2</v>
      </c>
      <c r="H159" s="265">
        <v>0</v>
      </c>
      <c r="I159" s="267">
        <v>0.16628799999999999</v>
      </c>
      <c r="J159" s="267"/>
      <c r="K159" s="267"/>
      <c r="L159" s="267"/>
    </row>
    <row r="160" spans="1:12" s="266" customFormat="1" ht="11.25" hidden="1">
      <c r="A160" s="261" t="s">
        <v>88</v>
      </c>
      <c r="B160" s="271">
        <v>4.8719999999999999</v>
      </c>
      <c r="C160" s="265">
        <v>3.4512675499999985</v>
      </c>
      <c r="D160" s="279">
        <v>2</v>
      </c>
      <c r="E160" s="269">
        <v>1.77858893</v>
      </c>
      <c r="F160" s="265">
        <v>1.3003188999999999</v>
      </c>
      <c r="G160" s="280">
        <v>1.2568577000000001</v>
      </c>
      <c r="H160" s="265">
        <v>1</v>
      </c>
      <c r="I160" s="267">
        <v>0.84028009000000004</v>
      </c>
      <c r="J160" s="267"/>
      <c r="K160" s="267"/>
      <c r="L160" s="267"/>
    </row>
    <row r="161" spans="1:12" s="266" customFormat="1" ht="11.25" hidden="1">
      <c r="A161" s="261" t="s">
        <v>89</v>
      </c>
      <c r="B161" s="271">
        <v>240.96600000000001</v>
      </c>
      <c r="C161" s="265">
        <v>377.27504864000008</v>
      </c>
      <c r="D161" s="279">
        <v>37</v>
      </c>
      <c r="E161" s="269">
        <v>60.371185799999999</v>
      </c>
      <c r="F161" s="265">
        <v>16.099736200000006</v>
      </c>
      <c r="G161" s="280">
        <v>26.434374199999997</v>
      </c>
      <c r="H161" s="265">
        <v>42</v>
      </c>
      <c r="I161" s="267">
        <v>55.821426250000002</v>
      </c>
      <c r="J161" s="267"/>
      <c r="K161" s="267"/>
      <c r="L161" s="267"/>
    </row>
    <row r="162" spans="1:12" s="266" customFormat="1" ht="11.25" hidden="1">
      <c r="A162" s="276" t="s">
        <v>670</v>
      </c>
      <c r="B162" s="271">
        <v>89.879000000000005</v>
      </c>
      <c r="C162" s="265">
        <v>68.79204498</v>
      </c>
      <c r="D162" s="279">
        <v>23</v>
      </c>
      <c r="E162" s="269">
        <v>2.4372838799999998</v>
      </c>
      <c r="F162" s="265">
        <v>1.1850606000000001</v>
      </c>
      <c r="G162" s="280" t="s">
        <v>1229</v>
      </c>
      <c r="H162" s="265">
        <v>0</v>
      </c>
      <c r="I162" s="267">
        <v>0.14867164999999999</v>
      </c>
      <c r="J162" s="267"/>
      <c r="K162" s="267"/>
      <c r="L162" s="267"/>
    </row>
    <row r="163" spans="1:12" s="266" customFormat="1" ht="11.25" hidden="1">
      <c r="A163" s="276" t="s">
        <v>671</v>
      </c>
      <c r="B163" s="277" t="s">
        <v>1499</v>
      </c>
      <c r="C163" s="275" t="s">
        <v>1499</v>
      </c>
      <c r="D163" s="280" t="s">
        <v>1499</v>
      </c>
      <c r="E163" s="269">
        <v>20.155588999999999</v>
      </c>
      <c r="F163" s="265">
        <v>439.18746000000004</v>
      </c>
      <c r="G163" s="280">
        <v>1036.9210820000001</v>
      </c>
      <c r="H163" s="265">
        <v>1794</v>
      </c>
      <c r="I163" s="267">
        <v>1691.70246677</v>
      </c>
      <c r="J163" s="267"/>
      <c r="K163" s="267"/>
      <c r="L163" s="267"/>
    </row>
    <row r="164" spans="1:12" s="266" customFormat="1" ht="11.25">
      <c r="A164" s="261"/>
      <c r="B164" s="269"/>
      <c r="C164" s="269"/>
      <c r="D164" s="270"/>
      <c r="E164" s="270"/>
      <c r="F164" s="267"/>
      <c r="G164" s="267"/>
      <c r="H164" s="265"/>
      <c r="K164" s="267"/>
      <c r="L164" s="267"/>
    </row>
    <row r="165" spans="1:12" s="266" customFormat="1" ht="11.25">
      <c r="A165" s="261" t="s">
        <v>672</v>
      </c>
      <c r="B165" s="267">
        <v>5658.7729999999992</v>
      </c>
      <c r="C165" s="267">
        <v>6412.7286182000007</v>
      </c>
      <c r="D165" s="267">
        <v>13054</v>
      </c>
      <c r="E165" s="267">
        <v>8922.8556435999999</v>
      </c>
      <c r="F165" s="267">
        <v>7971.544206300001</v>
      </c>
      <c r="G165" s="267">
        <v>16827.206687400001</v>
      </c>
      <c r="H165" s="267">
        <v>4991</v>
      </c>
      <c r="I165" s="267">
        <v>4200.6890833099997</v>
      </c>
      <c r="J165" s="267">
        <v>4515.9336000000003</v>
      </c>
      <c r="K165" s="267">
        <v>7597.2004467999996</v>
      </c>
      <c r="L165" s="267">
        <v>12143.444007</v>
      </c>
    </row>
    <row r="166" spans="1:12" s="266" customFormat="1" ht="11.25" hidden="1">
      <c r="A166" s="261" t="s">
        <v>673</v>
      </c>
      <c r="B166" s="271">
        <v>5658.7729999999992</v>
      </c>
      <c r="C166" s="265">
        <v>6412.7286182000007</v>
      </c>
      <c r="D166" s="279">
        <v>13054</v>
      </c>
      <c r="E166" s="269">
        <v>8922.8556435999999</v>
      </c>
      <c r="F166" s="265">
        <v>7971.544206300001</v>
      </c>
      <c r="G166" s="265">
        <v>16827.206687400001</v>
      </c>
      <c r="H166" s="265">
        <v>4991</v>
      </c>
      <c r="I166" s="267">
        <v>4200.6890833099997</v>
      </c>
      <c r="J166" s="267"/>
      <c r="K166" s="267"/>
      <c r="L166" s="267"/>
    </row>
    <row r="167" spans="1:12" s="266" customFormat="1" ht="11.25">
      <c r="A167" s="261"/>
      <c r="B167" s="269"/>
      <c r="C167" s="269"/>
      <c r="D167" s="270"/>
      <c r="E167" s="269"/>
      <c r="F167" s="267"/>
      <c r="G167" s="267"/>
      <c r="H167" s="265"/>
      <c r="K167" s="267"/>
      <c r="L167" s="267"/>
    </row>
    <row r="168" spans="1:12" s="266" customFormat="1" ht="11.25">
      <c r="A168" s="261" t="s">
        <v>674</v>
      </c>
      <c r="B168" s="269">
        <v>4434.2559999999994</v>
      </c>
      <c r="C168" s="269">
        <v>5509.5858996500001</v>
      </c>
      <c r="D168" s="269">
        <v>6037</v>
      </c>
      <c r="E168" s="269">
        <v>7546.3097733600016</v>
      </c>
      <c r="F168" s="269">
        <v>7694.0671667999986</v>
      </c>
      <c r="G168" s="269">
        <v>7432.2805790999992</v>
      </c>
      <c r="H168" s="269">
        <v>5833</v>
      </c>
      <c r="I168" s="269">
        <v>5841.9747288900007</v>
      </c>
      <c r="J168" s="269">
        <v>6220.9452000000001</v>
      </c>
      <c r="K168" s="269">
        <v>6676.7754582899997</v>
      </c>
      <c r="L168" s="269">
        <v>6658.6047850199993</v>
      </c>
    </row>
    <row r="169" spans="1:12" s="266" customFormat="1" ht="11.25" hidden="1">
      <c r="A169" s="261" t="s">
        <v>675</v>
      </c>
      <c r="B169" s="271">
        <v>523.96600000000001</v>
      </c>
      <c r="C169" s="265">
        <v>537.11880900999995</v>
      </c>
      <c r="D169" s="279">
        <v>582</v>
      </c>
      <c r="E169" s="269">
        <v>625.28059338000003</v>
      </c>
      <c r="F169" s="265">
        <v>652.80214839999996</v>
      </c>
      <c r="G169" s="265">
        <v>573.4962058000001</v>
      </c>
      <c r="H169" s="265">
        <v>441</v>
      </c>
      <c r="I169" s="285">
        <v>485.57518500999998</v>
      </c>
      <c r="J169" s="285"/>
      <c r="K169" s="267"/>
      <c r="L169" s="267"/>
    </row>
    <row r="170" spans="1:12" s="266" customFormat="1" ht="11.25" hidden="1">
      <c r="A170" s="261" t="s">
        <v>1262</v>
      </c>
      <c r="B170" s="270" t="s">
        <v>1229</v>
      </c>
      <c r="C170" s="265">
        <v>281.20438399999995</v>
      </c>
      <c r="D170" s="279">
        <v>276</v>
      </c>
      <c r="E170" s="269">
        <v>344.33190259999998</v>
      </c>
      <c r="F170" s="265">
        <v>425.5169745</v>
      </c>
      <c r="G170" s="265">
        <v>450.48601500000001</v>
      </c>
      <c r="H170" s="265">
        <v>525</v>
      </c>
      <c r="I170" s="285">
        <v>397.55932899999999</v>
      </c>
      <c r="J170" s="285"/>
      <c r="K170" s="267"/>
      <c r="L170" s="267"/>
    </row>
    <row r="171" spans="1:12" s="266" customFormat="1" ht="11.25" hidden="1">
      <c r="A171" s="276" t="s">
        <v>1263</v>
      </c>
      <c r="B171" s="271">
        <v>6.9269999999999996</v>
      </c>
      <c r="C171" s="270" t="s">
        <v>1229</v>
      </c>
      <c r="D171" s="279">
        <v>5</v>
      </c>
      <c r="E171" s="269">
        <v>4.4640000000000004</v>
      </c>
      <c r="F171" s="265">
        <v>4.8070000000000004</v>
      </c>
      <c r="G171" s="265">
        <v>5.0460000000000003</v>
      </c>
      <c r="H171" s="265">
        <v>6</v>
      </c>
      <c r="I171" s="285">
        <v>6.0629999999999997</v>
      </c>
      <c r="J171" s="285"/>
      <c r="K171" s="267"/>
      <c r="L171" s="267"/>
    </row>
    <row r="172" spans="1:12" s="266" customFormat="1" ht="11.25" hidden="1">
      <c r="A172" s="261" t="s">
        <v>1264</v>
      </c>
      <c r="B172" s="271">
        <v>9.609</v>
      </c>
      <c r="C172" s="265">
        <v>10.544456</v>
      </c>
      <c r="D172" s="279">
        <v>11</v>
      </c>
      <c r="E172" s="269">
        <v>8.7751599999999996</v>
      </c>
      <c r="F172" s="265">
        <v>6.8545060000000007</v>
      </c>
      <c r="G172" s="265">
        <v>7.9335940000000003</v>
      </c>
      <c r="H172" s="265">
        <v>8</v>
      </c>
      <c r="I172" s="285">
        <v>9.4252409999999998</v>
      </c>
      <c r="J172" s="285"/>
      <c r="K172" s="267"/>
      <c r="L172" s="267"/>
    </row>
    <row r="173" spans="1:12" s="266" customFormat="1" ht="11.25" hidden="1">
      <c r="A173" s="261" t="s">
        <v>1265</v>
      </c>
      <c r="B173" s="277" t="s">
        <v>1499</v>
      </c>
      <c r="C173" s="275" t="s">
        <v>1499</v>
      </c>
      <c r="D173" s="280" t="s">
        <v>1499</v>
      </c>
      <c r="E173" s="269">
        <v>2.1624509999999999</v>
      </c>
      <c r="F173" s="265">
        <v>12.832746</v>
      </c>
      <c r="G173" s="265">
        <v>5.7086800000000002</v>
      </c>
      <c r="H173" s="265">
        <v>0</v>
      </c>
      <c r="I173" s="270" t="s">
        <v>1229</v>
      </c>
      <c r="J173" s="270"/>
      <c r="K173" s="269"/>
      <c r="L173" s="269"/>
    </row>
    <row r="174" spans="1:12" s="266" customFormat="1" ht="11.25" hidden="1">
      <c r="A174" s="261" t="s">
        <v>1015</v>
      </c>
      <c r="B174" s="271">
        <v>339.065</v>
      </c>
      <c r="C174" s="265">
        <v>206.87452400000001</v>
      </c>
      <c r="D174" s="279">
        <v>371</v>
      </c>
      <c r="E174" s="269">
        <v>323.12210444000004</v>
      </c>
      <c r="F174" s="265">
        <v>232.89760899999999</v>
      </c>
      <c r="G174" s="265">
        <v>166.89884500000002</v>
      </c>
      <c r="H174" s="280" t="s">
        <v>1229</v>
      </c>
      <c r="I174" s="280" t="s">
        <v>1229</v>
      </c>
      <c r="J174" s="280"/>
      <c r="K174" s="269"/>
      <c r="L174" s="269"/>
    </row>
    <row r="175" spans="1:12" s="266" customFormat="1" ht="11.25" hidden="1">
      <c r="A175" s="261" t="s">
        <v>1016</v>
      </c>
      <c r="B175" s="271">
        <v>605.69799999999998</v>
      </c>
      <c r="C175" s="265">
        <v>1228.1064389999999</v>
      </c>
      <c r="D175" s="279">
        <v>1719</v>
      </c>
      <c r="E175" s="269">
        <v>2491.5037670000002</v>
      </c>
      <c r="F175" s="265">
        <v>2530.3261050000001</v>
      </c>
      <c r="G175" s="265">
        <v>2586.2633310000001</v>
      </c>
      <c r="H175" s="265">
        <v>2646</v>
      </c>
      <c r="I175" s="285">
        <v>2816.9471210000002</v>
      </c>
      <c r="J175" s="285"/>
      <c r="K175" s="267"/>
      <c r="L175" s="267"/>
    </row>
    <row r="176" spans="1:12" s="266" customFormat="1" ht="11.25" hidden="1">
      <c r="A176" s="261" t="s">
        <v>1017</v>
      </c>
      <c r="B176" s="277" t="s">
        <v>1229</v>
      </c>
      <c r="C176" s="265">
        <v>64.342749999999995</v>
      </c>
      <c r="D176" s="279">
        <v>64</v>
      </c>
      <c r="E176" s="269">
        <v>66.012172000000007</v>
      </c>
      <c r="F176" s="265">
        <v>65.814954</v>
      </c>
      <c r="G176" s="265">
        <v>65.975825999999998</v>
      </c>
      <c r="H176" s="265">
        <v>66</v>
      </c>
      <c r="I176" s="285">
        <v>65.959833000000003</v>
      </c>
      <c r="J176" s="285"/>
      <c r="K176" s="267"/>
      <c r="L176" s="267"/>
    </row>
    <row r="177" spans="1:12" s="266" customFormat="1" ht="11.25" hidden="1">
      <c r="A177" s="261" t="s">
        <v>1018</v>
      </c>
      <c r="B177" s="271">
        <v>5.64</v>
      </c>
      <c r="C177" s="265">
        <v>4.0979999999999999</v>
      </c>
      <c r="D177" s="279">
        <v>15</v>
      </c>
      <c r="E177" s="269">
        <v>14.7623</v>
      </c>
      <c r="F177" s="265">
        <v>15.59811</v>
      </c>
      <c r="G177" s="265">
        <v>17.384113000000003</v>
      </c>
      <c r="H177" s="265">
        <v>20</v>
      </c>
      <c r="I177" s="285">
        <v>19.442215999999998</v>
      </c>
      <c r="J177" s="285"/>
      <c r="K177" s="267"/>
      <c r="L177" s="267"/>
    </row>
    <row r="178" spans="1:12" s="266" customFormat="1" ht="11.25" hidden="1">
      <c r="A178" s="261" t="s">
        <v>1423</v>
      </c>
      <c r="B178" s="271">
        <v>9.4320000000000004</v>
      </c>
      <c r="C178" s="265">
        <v>5.7768839999999999</v>
      </c>
      <c r="D178" s="279">
        <v>33</v>
      </c>
      <c r="E178" s="269">
        <v>-3.6104726399999998</v>
      </c>
      <c r="F178" s="265">
        <v>10.110761500000001</v>
      </c>
      <c r="G178" s="265">
        <v>8.7978381999999993</v>
      </c>
      <c r="H178" s="265">
        <v>9</v>
      </c>
      <c r="I178" s="285">
        <v>7.7237539999999996</v>
      </c>
      <c r="J178" s="285"/>
      <c r="K178" s="267"/>
      <c r="L178" s="267"/>
    </row>
    <row r="179" spans="1:12" s="266" customFormat="1" ht="11.25" hidden="1">
      <c r="A179" s="276" t="s">
        <v>105</v>
      </c>
      <c r="B179" s="271">
        <v>35.374000000000002</v>
      </c>
      <c r="C179" s="265">
        <v>64.425991999999994</v>
      </c>
      <c r="D179" s="279">
        <v>53</v>
      </c>
      <c r="E179" s="269">
        <v>55.935330999999998</v>
      </c>
      <c r="F179" s="265">
        <v>66.31711</v>
      </c>
      <c r="G179" s="265">
        <v>79.472026</v>
      </c>
      <c r="H179" s="265">
        <v>200</v>
      </c>
      <c r="I179" s="285">
        <v>90.66046034</v>
      </c>
      <c r="J179" s="285"/>
      <c r="K179" s="267"/>
      <c r="L179" s="267"/>
    </row>
    <row r="180" spans="1:12" s="266" customFormat="1" ht="11.25" hidden="1">
      <c r="A180" s="261" t="s">
        <v>106</v>
      </c>
      <c r="B180" s="271">
        <v>3.59</v>
      </c>
      <c r="C180" s="265">
        <v>1.4411830000000001</v>
      </c>
      <c r="D180" s="279">
        <v>1</v>
      </c>
      <c r="E180" s="269">
        <v>1.1702750000000002</v>
      </c>
      <c r="F180" s="265">
        <v>1.0355924999999999</v>
      </c>
      <c r="G180" s="265">
        <v>1.0749300000000002</v>
      </c>
      <c r="H180" s="265">
        <v>1</v>
      </c>
      <c r="I180" s="285">
        <v>1.2726949999999999</v>
      </c>
      <c r="J180" s="285"/>
      <c r="K180" s="267"/>
      <c r="L180" s="267"/>
    </row>
    <row r="181" spans="1:12" s="266" customFormat="1" ht="11.25" hidden="1">
      <c r="A181" s="261" t="s">
        <v>107</v>
      </c>
      <c r="B181" s="271">
        <v>814.21</v>
      </c>
      <c r="C181" s="265">
        <v>823.51275291000002</v>
      </c>
      <c r="D181" s="279">
        <v>798</v>
      </c>
      <c r="E181" s="269">
        <v>786.89397210000004</v>
      </c>
      <c r="F181" s="265">
        <v>753.30421290000004</v>
      </c>
      <c r="G181" s="265">
        <v>769.0997059</v>
      </c>
      <c r="H181" s="265">
        <v>780</v>
      </c>
      <c r="I181" s="285">
        <v>836.30854108999995</v>
      </c>
      <c r="J181" s="285"/>
      <c r="K181" s="267"/>
      <c r="L181" s="267"/>
    </row>
    <row r="182" spans="1:12" s="266" customFormat="1" ht="11.25" hidden="1">
      <c r="A182" s="261" t="s">
        <v>108</v>
      </c>
      <c r="B182" s="277" t="s">
        <v>1499</v>
      </c>
      <c r="C182" s="275" t="s">
        <v>1499</v>
      </c>
      <c r="D182" s="280" t="s">
        <v>1499</v>
      </c>
      <c r="E182" s="269">
        <v>530.16660243000001</v>
      </c>
      <c r="F182" s="265">
        <v>599.77729050000005</v>
      </c>
      <c r="G182" s="265">
        <v>564.99201229999994</v>
      </c>
      <c r="H182" s="280" t="s">
        <v>1229</v>
      </c>
      <c r="I182" s="280" t="s">
        <v>1499</v>
      </c>
      <c r="J182" s="280"/>
      <c r="K182" s="269"/>
      <c r="L182" s="269"/>
    </row>
    <row r="183" spans="1:12" s="266" customFormat="1" ht="11.25" hidden="1">
      <c r="A183" s="261" t="s">
        <v>109</v>
      </c>
      <c r="B183" s="271">
        <v>646.28099999999995</v>
      </c>
      <c r="C183" s="265">
        <v>568.17349712000009</v>
      </c>
      <c r="D183" s="279">
        <v>577</v>
      </c>
      <c r="E183" s="269">
        <v>562.21008288999997</v>
      </c>
      <c r="F183" s="265">
        <v>579.42692</v>
      </c>
      <c r="G183" s="265">
        <v>561.78474899999992</v>
      </c>
      <c r="H183" s="265">
        <v>22</v>
      </c>
      <c r="I183" s="285">
        <v>20.773935000000002</v>
      </c>
      <c r="J183" s="285"/>
      <c r="K183" s="267"/>
      <c r="L183" s="267"/>
    </row>
    <row r="184" spans="1:12" s="266" customFormat="1" ht="11.25" hidden="1">
      <c r="A184" s="261" t="s">
        <v>110</v>
      </c>
      <c r="B184" s="271">
        <v>182.63299999999998</v>
      </c>
      <c r="C184" s="265">
        <v>263.01555322000002</v>
      </c>
      <c r="D184" s="279">
        <v>12</v>
      </c>
      <c r="E184" s="269">
        <v>3.1389645799999997</v>
      </c>
      <c r="F184" s="265">
        <v>6.1966858</v>
      </c>
      <c r="G184" s="265">
        <v>4.4329372999999999</v>
      </c>
      <c r="H184" s="265">
        <v>3</v>
      </c>
      <c r="I184" s="285">
        <v>2.130172E-2</v>
      </c>
      <c r="J184" s="285"/>
      <c r="K184" s="267"/>
      <c r="L184" s="267"/>
    </row>
    <row r="185" spans="1:12" s="266" customFormat="1" ht="11.25" hidden="1">
      <c r="A185" s="261" t="s">
        <v>111</v>
      </c>
      <c r="B185" s="271">
        <v>20.454999999999998</v>
      </c>
      <c r="C185" s="265">
        <v>20.8385262</v>
      </c>
      <c r="D185" s="279">
        <v>24</v>
      </c>
      <c r="E185" s="269">
        <v>24.002582999999998</v>
      </c>
      <c r="F185" s="265">
        <v>23.524883000000003</v>
      </c>
      <c r="G185" s="265">
        <v>23.564332000000004</v>
      </c>
      <c r="H185" s="265">
        <v>24</v>
      </c>
      <c r="I185" s="285">
        <v>30.202901000000001</v>
      </c>
      <c r="J185" s="285"/>
      <c r="K185" s="267"/>
      <c r="L185" s="267"/>
    </row>
    <row r="186" spans="1:12" s="266" customFormat="1" ht="11.25" hidden="1">
      <c r="A186" s="261" t="s">
        <v>112</v>
      </c>
      <c r="B186" s="271">
        <v>59.510999999999996</v>
      </c>
      <c r="C186" s="265">
        <v>134.61166180000001</v>
      </c>
      <c r="D186" s="279">
        <v>62</v>
      </c>
      <c r="E186" s="269">
        <v>70.581044269999992</v>
      </c>
      <c r="F186" s="265">
        <v>87.216732000000007</v>
      </c>
      <c r="G186" s="265">
        <v>131.6002421</v>
      </c>
      <c r="H186" s="265">
        <v>118</v>
      </c>
      <c r="I186" s="285">
        <v>112.33872346</v>
      </c>
      <c r="J186" s="285"/>
      <c r="K186" s="267"/>
      <c r="L186" s="267"/>
    </row>
    <row r="187" spans="1:12" s="266" customFormat="1" ht="11.25" hidden="1">
      <c r="A187" s="261" t="s">
        <v>113</v>
      </c>
      <c r="B187" s="271">
        <v>332.25400000000002</v>
      </c>
      <c r="C187" s="265">
        <v>400.89264250000002</v>
      </c>
      <c r="D187" s="279">
        <v>427</v>
      </c>
      <c r="E187" s="269">
        <v>389.21098678999999</v>
      </c>
      <c r="F187" s="265">
        <v>398.880878</v>
      </c>
      <c r="G187" s="265">
        <v>434.08068430000003</v>
      </c>
      <c r="H187" s="280" t="s">
        <v>1229</v>
      </c>
      <c r="I187" s="280" t="s">
        <v>1229</v>
      </c>
      <c r="J187" s="280"/>
      <c r="K187" s="269"/>
      <c r="L187" s="269"/>
    </row>
    <row r="188" spans="1:12" s="266" customFormat="1" ht="11.25" hidden="1">
      <c r="A188" s="261" t="s">
        <v>114</v>
      </c>
      <c r="B188" s="271">
        <v>36.942</v>
      </c>
      <c r="C188" s="265">
        <v>26.420651699999993</v>
      </c>
      <c r="D188" s="279">
        <v>26</v>
      </c>
      <c r="E188" s="269">
        <v>24.416492429999998</v>
      </c>
      <c r="F188" s="265">
        <v>16.303154500000002</v>
      </c>
      <c r="G188" s="265">
        <v>8.6778385999999994</v>
      </c>
      <c r="H188" s="265">
        <v>8</v>
      </c>
      <c r="I188" s="285">
        <v>10.9864426</v>
      </c>
      <c r="J188" s="285"/>
      <c r="K188" s="267"/>
      <c r="L188" s="267"/>
    </row>
    <row r="189" spans="1:12" s="266" customFormat="1" ht="11.25" hidden="1">
      <c r="A189" s="261" t="s">
        <v>115</v>
      </c>
      <c r="B189" s="271">
        <v>69.165999999999997</v>
      </c>
      <c r="C189" s="265">
        <v>45.490137000000004</v>
      </c>
      <c r="D189" s="279">
        <v>61</v>
      </c>
      <c r="E189" s="269">
        <v>66.712102360000003</v>
      </c>
      <c r="F189" s="265">
        <v>49.978277800000001</v>
      </c>
      <c r="G189" s="265">
        <v>39.214089700000002</v>
      </c>
      <c r="H189" s="265">
        <v>21</v>
      </c>
      <c r="I189" s="285">
        <v>21.015163000000001</v>
      </c>
      <c r="J189" s="285"/>
      <c r="K189" s="267"/>
      <c r="L189" s="267"/>
    </row>
    <row r="190" spans="1:12" s="266" customFormat="1" ht="11.25" hidden="1">
      <c r="A190" s="276" t="s">
        <v>116</v>
      </c>
      <c r="B190" s="271">
        <v>6.9550000000000001</v>
      </c>
      <c r="C190" s="265">
        <v>7.9864620899999998</v>
      </c>
      <c r="D190" s="279">
        <v>8</v>
      </c>
      <c r="E190" s="269">
        <v>5.85747778</v>
      </c>
      <c r="F190" s="265">
        <v>5.7982475000000004</v>
      </c>
      <c r="G190" s="265">
        <v>5.0901527000000009</v>
      </c>
      <c r="H190" s="265">
        <v>2</v>
      </c>
      <c r="I190" s="285">
        <v>2.0860328199999998</v>
      </c>
      <c r="J190" s="285"/>
      <c r="K190" s="267"/>
      <c r="L190" s="267"/>
    </row>
    <row r="191" spans="1:12" s="266" customFormat="1" ht="11.25" hidden="1">
      <c r="A191" s="261" t="s">
        <v>117</v>
      </c>
      <c r="B191" s="277" t="s">
        <v>1499</v>
      </c>
      <c r="C191" s="269" t="s">
        <v>1499</v>
      </c>
      <c r="D191" s="270">
        <v>56</v>
      </c>
      <c r="E191" s="269">
        <v>58.584092579999997</v>
      </c>
      <c r="F191" s="265">
        <v>62.360337300000005</v>
      </c>
      <c r="G191" s="265">
        <v>55.898961200000002</v>
      </c>
      <c r="H191" s="265">
        <v>63</v>
      </c>
      <c r="I191" s="285">
        <v>64.355268199999998</v>
      </c>
      <c r="J191" s="285"/>
      <c r="K191" s="267"/>
      <c r="L191" s="267"/>
    </row>
    <row r="192" spans="1:12" s="266" customFormat="1" ht="11.25" hidden="1">
      <c r="A192" s="276" t="s">
        <v>118</v>
      </c>
      <c r="B192" s="271">
        <v>20.701000000000001</v>
      </c>
      <c r="C192" s="265">
        <v>39.761850000000003</v>
      </c>
      <c r="D192" s="279">
        <v>27</v>
      </c>
      <c r="E192" s="269">
        <v>22.575279500000001</v>
      </c>
      <c r="F192" s="265">
        <v>22.471927999999998</v>
      </c>
      <c r="G192" s="265">
        <v>4.6484680000000003</v>
      </c>
      <c r="H192" s="265">
        <v>4</v>
      </c>
      <c r="I192" s="285">
        <v>4.0013620000000003</v>
      </c>
      <c r="J192" s="285"/>
      <c r="K192" s="267"/>
      <c r="L192" s="267"/>
    </row>
    <row r="193" spans="1:12" s="266" customFormat="1" ht="11.25" hidden="1">
      <c r="A193" s="261" t="s">
        <v>119</v>
      </c>
      <c r="B193" s="271">
        <v>4.6530000000000005</v>
      </c>
      <c r="C193" s="265">
        <v>1.8707213999999999</v>
      </c>
      <c r="D193" s="279">
        <v>2</v>
      </c>
      <c r="E193" s="269">
        <v>1.2338750000000001</v>
      </c>
      <c r="F193" s="269" t="s">
        <v>1229</v>
      </c>
      <c r="G193" s="269" t="s">
        <v>1229</v>
      </c>
      <c r="H193" s="280" t="s">
        <v>1229</v>
      </c>
      <c r="I193" s="280" t="s">
        <v>1229</v>
      </c>
      <c r="J193" s="280"/>
      <c r="K193" s="269"/>
      <c r="L193" s="269"/>
    </row>
    <row r="194" spans="1:12" s="266" customFormat="1" ht="11.25" hidden="1">
      <c r="A194" s="261" t="s">
        <v>120</v>
      </c>
      <c r="B194" s="271">
        <v>152.227</v>
      </c>
      <c r="C194" s="265">
        <v>131.68735599999999</v>
      </c>
      <c r="D194" s="279">
        <v>116</v>
      </c>
      <c r="E194" s="269">
        <v>118.04282499999999</v>
      </c>
      <c r="F194" s="265">
        <v>121.4567495</v>
      </c>
      <c r="G194" s="265">
        <v>106.69439370000001</v>
      </c>
      <c r="H194" s="265">
        <v>125</v>
      </c>
      <c r="I194" s="285">
        <v>128.15982500000001</v>
      </c>
      <c r="J194" s="285"/>
      <c r="K194" s="267"/>
      <c r="L194" s="267"/>
    </row>
    <row r="195" spans="1:12" s="266" customFormat="1" ht="11.25" hidden="1">
      <c r="A195" s="276" t="s">
        <v>121</v>
      </c>
      <c r="B195" s="271">
        <v>130.559</v>
      </c>
      <c r="C195" s="265">
        <v>144.63425605</v>
      </c>
      <c r="D195" s="279">
        <v>126</v>
      </c>
      <c r="E195" s="269">
        <v>117.72800332</v>
      </c>
      <c r="F195" s="265">
        <v>120.52119620000001</v>
      </c>
      <c r="G195" s="275" t="s">
        <v>1229</v>
      </c>
      <c r="H195" s="280" t="s">
        <v>1229</v>
      </c>
      <c r="I195" s="280" t="s">
        <v>1229</v>
      </c>
      <c r="J195" s="280"/>
      <c r="K195" s="269"/>
      <c r="L195" s="269"/>
    </row>
    <row r="196" spans="1:12" s="266" customFormat="1" ht="11.25" hidden="1">
      <c r="A196" s="276" t="s">
        <v>353</v>
      </c>
      <c r="B196" s="271">
        <v>80.734999999999999</v>
      </c>
      <c r="C196" s="265">
        <v>72.821124999999995</v>
      </c>
      <c r="D196" s="279">
        <v>103</v>
      </c>
      <c r="E196" s="269">
        <v>109.63325295</v>
      </c>
      <c r="F196" s="265">
        <v>116.84731150000002</v>
      </c>
      <c r="G196" s="265">
        <v>131.26487800000001</v>
      </c>
      <c r="H196" s="265">
        <v>135</v>
      </c>
      <c r="I196" s="285">
        <v>138.91132200000001</v>
      </c>
      <c r="J196" s="285"/>
      <c r="K196" s="267"/>
      <c r="L196" s="267"/>
    </row>
    <row r="197" spans="1:12" s="266" customFormat="1" ht="11.25" hidden="1">
      <c r="A197" s="261" t="s">
        <v>354</v>
      </c>
      <c r="B197" s="271">
        <v>6.4719999999999995</v>
      </c>
      <c r="C197" s="265">
        <v>5.0599999999999996</v>
      </c>
      <c r="D197" s="279">
        <v>8</v>
      </c>
      <c r="E197" s="269">
        <v>0.37573899999999999</v>
      </c>
      <c r="F197" s="269" t="s">
        <v>1229</v>
      </c>
      <c r="G197" s="269" t="s">
        <v>1229</v>
      </c>
      <c r="H197" s="280" t="s">
        <v>1229</v>
      </c>
      <c r="I197" s="280" t="s">
        <v>1229</v>
      </c>
      <c r="J197" s="280"/>
      <c r="K197" s="269"/>
      <c r="L197" s="269"/>
    </row>
    <row r="198" spans="1:12" s="266" customFormat="1" ht="11.25" hidden="1">
      <c r="A198" s="261" t="s">
        <v>355</v>
      </c>
      <c r="B198" s="271">
        <v>162.834</v>
      </c>
      <c r="C198" s="265">
        <v>165.39400000000001</v>
      </c>
      <c r="D198" s="279">
        <v>164</v>
      </c>
      <c r="E198" s="269">
        <v>195.18600000000001</v>
      </c>
      <c r="F198" s="265">
        <v>178.10599999999999</v>
      </c>
      <c r="G198" s="265">
        <v>192.012</v>
      </c>
      <c r="H198" s="265">
        <v>193</v>
      </c>
      <c r="I198" s="285">
        <v>212.09200000000001</v>
      </c>
      <c r="J198" s="285"/>
      <c r="K198" s="267"/>
      <c r="L198" s="267"/>
    </row>
    <row r="199" spans="1:12" s="266" customFormat="1" ht="11.25" hidden="1">
      <c r="A199" s="261" t="s">
        <v>875</v>
      </c>
      <c r="B199" s="271">
        <v>168.36699999999999</v>
      </c>
      <c r="C199" s="265">
        <v>247.13063564999996</v>
      </c>
      <c r="D199" s="279">
        <v>284</v>
      </c>
      <c r="E199" s="269">
        <v>387.93805366999999</v>
      </c>
      <c r="F199" s="265">
        <v>385.68682480000007</v>
      </c>
      <c r="G199" s="265">
        <v>306.40756240000007</v>
      </c>
      <c r="H199" s="265">
        <v>305</v>
      </c>
      <c r="I199" s="285">
        <v>302.10067665000003</v>
      </c>
      <c r="J199" s="285"/>
      <c r="K199" s="267"/>
      <c r="L199" s="267"/>
    </row>
    <row r="200" spans="1:12" s="266" customFormat="1" ht="11.25" hidden="1">
      <c r="A200" s="261" t="s">
        <v>876</v>
      </c>
      <c r="B200" s="277" t="s">
        <v>1499</v>
      </c>
      <c r="C200" s="265">
        <v>6.3506499999999999</v>
      </c>
      <c r="D200" s="279">
        <v>6</v>
      </c>
      <c r="E200" s="269">
        <v>6.0183</v>
      </c>
      <c r="F200" s="265">
        <v>5.9148000000000005</v>
      </c>
      <c r="G200" s="265">
        <v>7.9305008000000008</v>
      </c>
      <c r="H200" s="265">
        <v>8</v>
      </c>
      <c r="I200" s="285">
        <v>7.9923999999999999</v>
      </c>
      <c r="J200" s="285"/>
      <c r="K200" s="267"/>
      <c r="L200" s="267"/>
    </row>
    <row r="201" spans="1:12" s="266" customFormat="1" ht="11.25" hidden="1">
      <c r="A201" s="261" t="s">
        <v>1481</v>
      </c>
      <c r="B201" s="277" t="s">
        <v>1499</v>
      </c>
      <c r="C201" s="275" t="s">
        <v>1499</v>
      </c>
      <c r="D201" s="280">
        <v>20</v>
      </c>
      <c r="E201" s="269">
        <v>100.02157534</v>
      </c>
      <c r="F201" s="265">
        <v>100</v>
      </c>
      <c r="G201" s="265">
        <v>100</v>
      </c>
      <c r="H201" s="265">
        <v>100</v>
      </c>
      <c r="I201" s="285">
        <v>50</v>
      </c>
      <c r="J201" s="285"/>
      <c r="K201" s="267"/>
      <c r="L201" s="267"/>
    </row>
    <row r="202" spans="1:12" s="266" customFormat="1" ht="11.25" hidden="1">
      <c r="A202" s="261" t="s">
        <v>1482</v>
      </c>
      <c r="B202" s="277" t="s">
        <v>1499</v>
      </c>
      <c r="C202" s="275" t="s">
        <v>1499</v>
      </c>
      <c r="D202" s="280" t="s">
        <v>1499</v>
      </c>
      <c r="E202" s="269">
        <v>31.871921590000003</v>
      </c>
      <c r="F202" s="265">
        <v>25.602686600000002</v>
      </c>
      <c r="G202" s="265">
        <v>5.8194720999999996</v>
      </c>
      <c r="H202" s="265">
        <v>0</v>
      </c>
      <c r="I202" s="280" t="s">
        <v>1229</v>
      </c>
      <c r="J202" s="280"/>
      <c r="K202" s="269"/>
      <c r="L202" s="269"/>
    </row>
    <row r="203" spans="1:12" s="266" customFormat="1" ht="11.25" hidden="1">
      <c r="A203" s="261" t="s">
        <v>1483</v>
      </c>
      <c r="B203" s="277" t="s">
        <v>1499</v>
      </c>
      <c r="C203" s="275" t="s">
        <v>1499</v>
      </c>
      <c r="D203" s="280" t="s">
        <v>1499</v>
      </c>
      <c r="E203" s="269">
        <v>9.6299999999999999E-4</v>
      </c>
      <c r="F203" s="265">
        <v>9.7784340000000007</v>
      </c>
      <c r="G203" s="265">
        <v>10.530194999999999</v>
      </c>
      <c r="H203" s="265">
        <v>0</v>
      </c>
      <c r="I203" s="280" t="s">
        <v>1229</v>
      </c>
      <c r="J203" s="280"/>
      <c r="K203" s="269"/>
      <c r="L203" s="269"/>
    </row>
    <row r="204" spans="1:12" s="266" customFormat="1" ht="11.25">
      <c r="A204" s="261"/>
      <c r="B204" s="269"/>
      <c r="C204" s="269"/>
      <c r="D204" s="270"/>
      <c r="F204" s="267"/>
      <c r="G204" s="267"/>
      <c r="H204" s="265"/>
      <c r="I204" s="285"/>
      <c r="J204" s="285"/>
      <c r="K204" s="267"/>
      <c r="L204" s="267"/>
    </row>
    <row r="205" spans="1:12" s="266" customFormat="1" ht="11.25">
      <c r="A205" s="261" t="s">
        <v>1484</v>
      </c>
      <c r="B205" s="269">
        <v>1613.6779999999999</v>
      </c>
      <c r="C205" s="269">
        <v>2106.8391126199999</v>
      </c>
      <c r="D205" s="269">
        <v>1356</v>
      </c>
      <c r="E205" s="269">
        <v>1674.8437467900001</v>
      </c>
      <c r="F205" s="269">
        <v>1932.7771965999998</v>
      </c>
      <c r="G205" s="269">
        <v>769.66016289999993</v>
      </c>
      <c r="H205" s="269">
        <v>370</v>
      </c>
      <c r="I205" s="269">
        <v>211.57924990999999</v>
      </c>
      <c r="J205" s="269">
        <v>115.7915</v>
      </c>
      <c r="K205" s="269">
        <v>393.29487080000001</v>
      </c>
      <c r="L205" s="269">
        <v>139.12983495</v>
      </c>
    </row>
    <row r="206" spans="1:12" s="266" customFormat="1" ht="11.25" hidden="1">
      <c r="A206" s="276" t="s">
        <v>1485</v>
      </c>
      <c r="B206" s="271">
        <v>90.391000000000005</v>
      </c>
      <c r="C206" s="269" t="s">
        <v>1499</v>
      </c>
      <c r="D206" s="270" t="s">
        <v>1499</v>
      </c>
      <c r="E206" s="270" t="s">
        <v>1499</v>
      </c>
      <c r="F206" s="270" t="s">
        <v>1499</v>
      </c>
      <c r="G206" s="270" t="s">
        <v>1499</v>
      </c>
      <c r="H206" s="270" t="s">
        <v>1499</v>
      </c>
      <c r="I206" s="270" t="s">
        <v>1499</v>
      </c>
      <c r="J206" s="270"/>
      <c r="K206" s="269"/>
      <c r="L206" s="269"/>
    </row>
    <row r="207" spans="1:12" s="266" customFormat="1" ht="11.25" hidden="1">
      <c r="A207" s="276" t="s">
        <v>1486</v>
      </c>
      <c r="B207" s="271">
        <v>71.707999999999998</v>
      </c>
      <c r="C207" s="265">
        <v>54.856323999999994</v>
      </c>
      <c r="D207" s="279">
        <v>57</v>
      </c>
      <c r="E207" s="269">
        <v>53.97825168</v>
      </c>
      <c r="F207" s="265">
        <v>45.090687000000003</v>
      </c>
      <c r="G207" s="265">
        <v>44.2424459</v>
      </c>
      <c r="H207" s="265">
        <v>40</v>
      </c>
      <c r="I207" s="267">
        <v>45.637213559999999</v>
      </c>
      <c r="J207" s="267"/>
      <c r="K207" s="267"/>
      <c r="L207" s="267"/>
    </row>
    <row r="208" spans="1:12" s="266" customFormat="1" ht="11.25" hidden="1">
      <c r="A208" s="261" t="s">
        <v>1487</v>
      </c>
      <c r="B208" s="271">
        <v>904.36699999999996</v>
      </c>
      <c r="C208" s="265">
        <v>1326.7159821199998</v>
      </c>
      <c r="D208" s="279">
        <v>380</v>
      </c>
      <c r="E208" s="269">
        <v>687.26937436999992</v>
      </c>
      <c r="F208" s="265">
        <v>1620</v>
      </c>
      <c r="G208" s="265">
        <v>230.52060530000003</v>
      </c>
      <c r="H208" s="265">
        <v>179</v>
      </c>
      <c r="I208" s="267">
        <v>137.56181229000001</v>
      </c>
      <c r="J208" s="267"/>
      <c r="K208" s="267"/>
      <c r="L208" s="267"/>
    </row>
    <row r="209" spans="1:12" s="266" customFormat="1" ht="11.25" hidden="1">
      <c r="A209" s="261" t="s">
        <v>1488</v>
      </c>
      <c r="B209" s="271">
        <v>547.21199999999999</v>
      </c>
      <c r="C209" s="265">
        <v>725.26680649999992</v>
      </c>
      <c r="D209" s="279">
        <v>918</v>
      </c>
      <c r="E209" s="269">
        <v>875.7877704</v>
      </c>
      <c r="F209" s="270" t="s">
        <v>1229</v>
      </c>
      <c r="G209" s="270" t="s">
        <v>1499</v>
      </c>
      <c r="H209" s="270" t="s">
        <v>1499</v>
      </c>
      <c r="I209" s="270" t="s">
        <v>1499</v>
      </c>
      <c r="J209" s="270"/>
      <c r="K209" s="269"/>
      <c r="L209" s="269"/>
    </row>
    <row r="210" spans="1:12" s="266" customFormat="1" ht="11.25" hidden="1">
      <c r="A210" s="261" t="s">
        <v>1489</v>
      </c>
      <c r="B210" s="277" t="s">
        <v>1499</v>
      </c>
      <c r="C210" s="275" t="s">
        <v>1499</v>
      </c>
      <c r="D210" s="279">
        <v>1</v>
      </c>
      <c r="E210" s="269">
        <v>57.808350339999997</v>
      </c>
      <c r="F210" s="265">
        <v>267.68650959999997</v>
      </c>
      <c r="G210" s="265">
        <v>494.89711169999998</v>
      </c>
      <c r="H210" s="265">
        <v>151</v>
      </c>
      <c r="I210" s="267">
        <v>28.38022406</v>
      </c>
      <c r="J210" s="267"/>
      <c r="K210" s="267"/>
      <c r="L210" s="267"/>
    </row>
    <row r="211" spans="1:12" s="266" customFormat="1" ht="11.25">
      <c r="A211" s="261"/>
      <c r="B211" s="269"/>
      <c r="C211" s="269"/>
      <c r="D211" s="270"/>
      <c r="E211" s="269"/>
      <c r="F211" s="267"/>
      <c r="G211" s="267"/>
      <c r="H211" s="265"/>
      <c r="K211" s="267"/>
      <c r="L211" s="267"/>
    </row>
    <row r="212" spans="1:12" s="266" customFormat="1" ht="11.25">
      <c r="A212" s="261" t="s">
        <v>1490</v>
      </c>
      <c r="B212" s="269">
        <v>1117.846</v>
      </c>
      <c r="C212" s="269">
        <v>1331.67629627</v>
      </c>
      <c r="D212" s="269">
        <v>1343</v>
      </c>
      <c r="E212" s="269">
        <v>1304.8735279900002</v>
      </c>
      <c r="F212" s="269">
        <v>2575.8852742000004</v>
      </c>
      <c r="G212" s="269">
        <v>2219.6522170000003</v>
      </c>
      <c r="H212" s="269">
        <v>2408</v>
      </c>
      <c r="I212" s="269">
        <v>2264.34306462</v>
      </c>
      <c r="J212" s="269">
        <v>1609.0227</v>
      </c>
      <c r="K212" s="269">
        <v>1908.28658114</v>
      </c>
      <c r="L212" s="269">
        <v>2091.0640584299999</v>
      </c>
    </row>
    <row r="213" spans="1:12" s="266" customFormat="1" ht="11.25" hidden="1">
      <c r="A213" s="261" t="s">
        <v>1491</v>
      </c>
      <c r="B213" s="271">
        <v>748.21500000000003</v>
      </c>
      <c r="C213" s="265">
        <v>988.5363049</v>
      </c>
      <c r="D213" s="279">
        <v>974</v>
      </c>
      <c r="E213" s="269">
        <v>918.04819640000005</v>
      </c>
      <c r="F213" s="265">
        <v>629.51261600000009</v>
      </c>
      <c r="G213" s="265">
        <v>370.57587400000006</v>
      </c>
      <c r="H213" s="265">
        <v>110</v>
      </c>
      <c r="I213" s="267">
        <v>184.23425700000001</v>
      </c>
      <c r="J213" s="267"/>
      <c r="K213" s="267"/>
      <c r="L213" s="267"/>
    </row>
    <row r="214" spans="1:12" s="266" customFormat="1" ht="11.25" hidden="1">
      <c r="A214" s="261" t="s">
        <v>842</v>
      </c>
      <c r="B214" s="271">
        <v>366.108</v>
      </c>
      <c r="C214" s="265">
        <v>332.80667352</v>
      </c>
      <c r="D214" s="279">
        <v>351</v>
      </c>
      <c r="E214" s="269">
        <v>330.51146649999998</v>
      </c>
      <c r="F214" s="265">
        <v>340.48074340000005</v>
      </c>
      <c r="G214" s="265">
        <v>354.19076590000003</v>
      </c>
      <c r="H214" s="265">
        <v>372</v>
      </c>
      <c r="I214" s="267">
        <v>406.93848086999998</v>
      </c>
      <c r="J214" s="267"/>
      <c r="K214" s="267"/>
      <c r="L214" s="267"/>
    </row>
    <row r="215" spans="1:12" s="266" customFormat="1" ht="11.25" hidden="1">
      <c r="A215" s="261" t="s">
        <v>843</v>
      </c>
      <c r="B215" s="271">
        <v>0.56800000000000006</v>
      </c>
      <c r="C215" s="265">
        <v>0.69983000000000006</v>
      </c>
      <c r="D215" s="279">
        <v>8</v>
      </c>
      <c r="E215" s="269">
        <v>9.1765920000000012</v>
      </c>
      <c r="F215" s="265">
        <v>3.211001</v>
      </c>
      <c r="G215" s="265">
        <v>2.1030640000000003</v>
      </c>
      <c r="H215" s="265">
        <v>5</v>
      </c>
      <c r="I215" s="267">
        <v>0.95296000000000003</v>
      </c>
      <c r="J215" s="267"/>
      <c r="K215" s="267"/>
      <c r="L215" s="267"/>
    </row>
    <row r="216" spans="1:12" s="266" customFormat="1" ht="11.25" hidden="1">
      <c r="A216" s="261" t="s">
        <v>844</v>
      </c>
      <c r="B216" s="271">
        <v>2.9550000000000001</v>
      </c>
      <c r="C216" s="265">
        <v>9.6334878499999999</v>
      </c>
      <c r="D216" s="279">
        <v>10</v>
      </c>
      <c r="E216" s="269">
        <v>6.8878290900000003</v>
      </c>
      <c r="F216" s="265">
        <v>8.5786008000000002</v>
      </c>
      <c r="G216" s="265">
        <v>13.402906100000001</v>
      </c>
      <c r="H216" s="265">
        <v>12</v>
      </c>
      <c r="I216" s="267">
        <v>24.52344575</v>
      </c>
      <c r="J216" s="267"/>
      <c r="K216" s="267"/>
      <c r="L216" s="267"/>
    </row>
    <row r="217" spans="1:12" s="266" customFormat="1" ht="11.25" hidden="1">
      <c r="A217" s="261" t="s">
        <v>845</v>
      </c>
      <c r="B217" s="277" t="s">
        <v>1499</v>
      </c>
      <c r="C217" s="275" t="s">
        <v>1499</v>
      </c>
      <c r="D217" s="280" t="s">
        <v>1499</v>
      </c>
      <c r="E217" s="269">
        <v>40.249444000000004</v>
      </c>
      <c r="F217" s="265">
        <v>1469.6763130000002</v>
      </c>
      <c r="G217" s="265">
        <v>1182.6891070000001</v>
      </c>
      <c r="H217" s="265">
        <v>1632</v>
      </c>
      <c r="I217" s="267">
        <v>1389.7499210000001</v>
      </c>
      <c r="J217" s="267"/>
      <c r="K217" s="267"/>
      <c r="L217" s="267"/>
    </row>
    <row r="218" spans="1:12" s="266" customFormat="1" ht="11.25" hidden="1">
      <c r="A218" s="260" t="s">
        <v>846</v>
      </c>
      <c r="B218" s="277" t="s">
        <v>1499</v>
      </c>
      <c r="C218" s="275" t="s">
        <v>1499</v>
      </c>
      <c r="D218" s="280" t="s">
        <v>1499</v>
      </c>
      <c r="E218" s="280" t="s">
        <v>1229</v>
      </c>
      <c r="F218" s="265">
        <v>124.426</v>
      </c>
      <c r="G218" s="265">
        <v>296.69049999999999</v>
      </c>
      <c r="H218" s="265">
        <v>277</v>
      </c>
      <c r="I218" s="267">
        <v>257.94400000000002</v>
      </c>
      <c r="J218" s="267"/>
      <c r="K218" s="267"/>
      <c r="L218" s="267"/>
    </row>
    <row r="219" spans="1:12" s="266" customFormat="1" ht="11.25">
      <c r="A219" s="261"/>
      <c r="B219" s="269"/>
      <c r="C219" s="269"/>
      <c r="D219" s="270"/>
      <c r="F219" s="267"/>
      <c r="G219" s="267"/>
      <c r="H219" s="265"/>
      <c r="K219" s="267"/>
      <c r="L219" s="267"/>
    </row>
    <row r="220" spans="1:12" s="266" customFormat="1" ht="11.25">
      <c r="A220" s="276" t="s">
        <v>847</v>
      </c>
      <c r="B220" s="267">
        <v>2962.875</v>
      </c>
      <c r="C220" s="267">
        <v>1623.3048617800005</v>
      </c>
      <c r="D220" s="267">
        <v>1643</v>
      </c>
      <c r="E220" s="267">
        <v>2229.5736683700002</v>
      </c>
      <c r="F220" s="267">
        <v>1333.2484255000008</v>
      </c>
      <c r="G220" s="267">
        <v>1358.0039567000001</v>
      </c>
      <c r="H220" s="267">
        <v>301</v>
      </c>
      <c r="I220" s="267">
        <v>346.61826623000002</v>
      </c>
      <c r="J220" s="267">
        <v>265.56110000000001</v>
      </c>
      <c r="K220" s="267">
        <v>3212.6975253999999</v>
      </c>
      <c r="L220" s="267">
        <v>-4778.4681280000004</v>
      </c>
    </row>
    <row r="221" spans="1:12" s="266" customFormat="1" ht="11.25" hidden="1">
      <c r="A221" s="276" t="s">
        <v>848</v>
      </c>
      <c r="B221" s="271">
        <v>2867.2570000000001</v>
      </c>
      <c r="C221" s="265">
        <v>1385.2816115800003</v>
      </c>
      <c r="D221" s="279">
        <v>1406</v>
      </c>
      <c r="E221" s="269">
        <v>2040.8475297</v>
      </c>
      <c r="F221" s="265">
        <v>1075.9718934000009</v>
      </c>
      <c r="G221" s="265">
        <v>1244.3179133000001</v>
      </c>
      <c r="H221" s="265">
        <v>301</v>
      </c>
      <c r="I221" s="267">
        <v>346.61826623000002</v>
      </c>
      <c r="J221" s="267"/>
      <c r="K221" s="267"/>
      <c r="L221" s="267"/>
    </row>
    <row r="222" spans="1:12" s="266" customFormat="1" ht="11.25" hidden="1">
      <c r="A222" s="276" t="s">
        <v>849</v>
      </c>
      <c r="B222" s="271">
        <v>95.617999999999995</v>
      </c>
      <c r="C222" s="265">
        <v>238.02325020000001</v>
      </c>
      <c r="D222" s="279">
        <v>237</v>
      </c>
      <c r="E222" s="269">
        <v>188.72613866999998</v>
      </c>
      <c r="F222" s="265">
        <v>257.2765321</v>
      </c>
      <c r="G222" s="265">
        <v>113.6860434</v>
      </c>
      <c r="H222" s="280" t="s">
        <v>1229</v>
      </c>
      <c r="I222" s="280" t="s">
        <v>1229</v>
      </c>
      <c r="J222" s="280"/>
      <c r="K222" s="269"/>
      <c r="L222" s="269"/>
    </row>
    <row r="223" spans="1:12" s="266" customFormat="1" ht="11.25">
      <c r="A223" s="261"/>
      <c r="B223" s="269"/>
      <c r="C223" s="269"/>
      <c r="D223" s="270"/>
      <c r="F223" s="267"/>
      <c r="G223" s="267"/>
      <c r="H223" s="265"/>
      <c r="K223" s="267"/>
      <c r="L223" s="267"/>
    </row>
    <row r="224" spans="1:12" s="266" customFormat="1" ht="11.25">
      <c r="A224" s="282" t="s">
        <v>850</v>
      </c>
      <c r="B224" s="264">
        <v>6802.7730000000001</v>
      </c>
      <c r="C224" s="264">
        <v>7143.9006671799998</v>
      </c>
      <c r="D224" s="264">
        <v>15802</v>
      </c>
      <c r="E224" s="264">
        <v>11227.411459999999</v>
      </c>
      <c r="F224" s="264">
        <v>1019.8226849000001</v>
      </c>
      <c r="G224" s="264">
        <v>61516.767334200005</v>
      </c>
      <c r="H224" s="264">
        <v>188</v>
      </c>
      <c r="I224" s="264">
        <v>93.439601980000006</v>
      </c>
      <c r="J224" s="264">
        <f>SUM(J226:J233)</f>
        <v>2.7795000000000001</v>
      </c>
      <c r="K224" s="264">
        <f>SUM(K226:K233)</f>
        <v>136.2216875</v>
      </c>
      <c r="L224" s="264">
        <f>SUM(L226:L233)</f>
        <v>6688.7784847000003</v>
      </c>
    </row>
    <row r="225" spans="1:12" s="266" customFormat="1" ht="11.25">
      <c r="A225" s="261"/>
      <c r="B225" s="269"/>
      <c r="C225" s="269"/>
      <c r="D225" s="270"/>
      <c r="E225" s="269"/>
      <c r="F225" s="267"/>
      <c r="G225" s="267"/>
      <c r="H225" s="265"/>
      <c r="K225" s="267"/>
      <c r="L225" s="267"/>
    </row>
    <row r="226" spans="1:12" s="281" customFormat="1" ht="11.25">
      <c r="A226" s="276" t="s">
        <v>851</v>
      </c>
      <c r="B226" s="269" t="s">
        <v>1229</v>
      </c>
      <c r="C226" s="269">
        <f>SUM(C227:C228)</f>
        <v>28.225000000000001</v>
      </c>
      <c r="D226" s="269">
        <f>SUM(D227:D228)</f>
        <v>34</v>
      </c>
      <c r="E226" s="269">
        <f>SUM(E227:E228)</f>
        <v>67.507689999999997</v>
      </c>
      <c r="F226" s="269" t="s">
        <v>1229</v>
      </c>
      <c r="G226" s="269" t="s">
        <v>1229</v>
      </c>
      <c r="H226" s="269" t="s">
        <v>1229</v>
      </c>
      <c r="I226" s="270" t="s">
        <v>1229</v>
      </c>
      <c r="J226" s="270" t="s">
        <v>1229</v>
      </c>
      <c r="K226" s="269" t="s">
        <v>1229</v>
      </c>
      <c r="L226" s="269">
        <v>180.95263700000001</v>
      </c>
    </row>
    <row r="227" spans="1:12" s="266" customFormat="1" ht="11.25" hidden="1">
      <c r="A227" s="276" t="s">
        <v>852</v>
      </c>
      <c r="B227" s="269" t="s">
        <v>1229</v>
      </c>
      <c r="C227" s="269" t="s">
        <v>1229</v>
      </c>
      <c r="D227" s="270" t="s">
        <v>1229</v>
      </c>
      <c r="E227" s="270" t="s">
        <v>1499</v>
      </c>
      <c r="F227" s="270" t="s">
        <v>1499</v>
      </c>
      <c r="G227" s="270" t="s">
        <v>1499</v>
      </c>
      <c r="H227" s="270" t="s">
        <v>1499</v>
      </c>
      <c r="I227" s="270" t="s">
        <v>1499</v>
      </c>
      <c r="J227" s="270" t="s">
        <v>1499</v>
      </c>
      <c r="K227" s="269"/>
      <c r="L227" s="269"/>
    </row>
    <row r="228" spans="1:12" s="266" customFormat="1" ht="11.25" hidden="1">
      <c r="A228" s="260" t="s">
        <v>853</v>
      </c>
      <c r="B228" s="269" t="s">
        <v>1229</v>
      </c>
      <c r="C228" s="265">
        <v>28.225000000000001</v>
      </c>
      <c r="D228" s="270">
        <v>34</v>
      </c>
      <c r="E228" s="269">
        <v>67.507689999999997</v>
      </c>
      <c r="F228" s="270" t="s">
        <v>1229</v>
      </c>
      <c r="G228" s="270" t="s">
        <v>1229</v>
      </c>
      <c r="H228" s="270" t="s">
        <v>1229</v>
      </c>
      <c r="I228" s="270" t="s">
        <v>1229</v>
      </c>
      <c r="J228" s="270" t="s">
        <v>1229</v>
      </c>
      <c r="K228" s="269"/>
      <c r="L228" s="269"/>
    </row>
    <row r="229" spans="1:12" s="266" customFormat="1" ht="11.25">
      <c r="A229" s="273"/>
      <c r="B229" s="269"/>
      <c r="C229" s="269"/>
      <c r="D229" s="270"/>
      <c r="E229" s="269"/>
      <c r="F229" s="267"/>
      <c r="G229" s="267"/>
      <c r="H229" s="265"/>
      <c r="K229" s="283"/>
      <c r="L229" s="283"/>
    </row>
    <row r="230" spans="1:12" s="266" customFormat="1" ht="11.25">
      <c r="A230" s="261" t="s">
        <v>854</v>
      </c>
      <c r="B230" s="269" t="s">
        <v>1229</v>
      </c>
      <c r="C230" s="269" t="s">
        <v>1229</v>
      </c>
      <c r="D230" s="270" t="s">
        <v>1229</v>
      </c>
      <c r="E230" s="269" t="s">
        <v>1229</v>
      </c>
      <c r="F230" s="269" t="s">
        <v>1229</v>
      </c>
      <c r="G230" s="269" t="s">
        <v>1229</v>
      </c>
      <c r="H230" s="269" t="s">
        <v>1229</v>
      </c>
      <c r="I230" s="269" t="s">
        <v>1229</v>
      </c>
      <c r="J230" s="269" t="s">
        <v>1229</v>
      </c>
      <c r="K230" s="264" t="s">
        <v>1229</v>
      </c>
      <c r="L230" s="264" t="s">
        <v>1229</v>
      </c>
    </row>
    <row r="231" spans="1:12" s="266" customFormat="1" ht="11.25" hidden="1">
      <c r="A231" s="261" t="s">
        <v>855</v>
      </c>
      <c r="B231" s="269" t="s">
        <v>1229</v>
      </c>
      <c r="C231" s="269" t="s">
        <v>1229</v>
      </c>
      <c r="D231" s="270" t="s">
        <v>1229</v>
      </c>
      <c r="E231" s="269" t="s">
        <v>1229</v>
      </c>
      <c r="F231" s="269" t="s">
        <v>1229</v>
      </c>
      <c r="G231" s="269" t="s">
        <v>1229</v>
      </c>
      <c r="H231" s="269" t="s">
        <v>1229</v>
      </c>
      <c r="I231" s="269" t="s">
        <v>1229</v>
      </c>
      <c r="J231" s="269"/>
      <c r="K231" s="269"/>
      <c r="L231" s="269"/>
    </row>
    <row r="232" spans="1:12" s="266" customFormat="1" ht="11.25">
      <c r="A232" s="261"/>
      <c r="B232" s="269"/>
      <c r="C232" s="269"/>
      <c r="D232" s="270"/>
      <c r="E232" s="269"/>
      <c r="F232" s="267"/>
      <c r="G232" s="267"/>
      <c r="H232" s="265"/>
      <c r="K232" s="267"/>
      <c r="L232" s="267"/>
    </row>
    <row r="233" spans="1:12" s="266" customFormat="1" ht="11.25">
      <c r="A233" s="261" t="s">
        <v>570</v>
      </c>
      <c r="B233" s="269">
        <v>6802.7730000000001</v>
      </c>
      <c r="C233" s="269">
        <v>7115.6756671799994</v>
      </c>
      <c r="D233" s="269">
        <v>15768</v>
      </c>
      <c r="E233" s="269">
        <v>11159.903769999999</v>
      </c>
      <c r="F233" s="269">
        <v>1019.8226849000001</v>
      </c>
      <c r="G233" s="269">
        <v>61516.767334200005</v>
      </c>
      <c r="H233" s="269">
        <v>188</v>
      </c>
      <c r="I233" s="269">
        <v>93.439601980000006</v>
      </c>
      <c r="J233" s="269">
        <v>2.7795000000000001</v>
      </c>
      <c r="K233" s="269">
        <v>136.2216875</v>
      </c>
      <c r="L233" s="269">
        <v>6507.8258476999999</v>
      </c>
    </row>
    <row r="234" spans="1:12" s="266" customFormat="1" ht="11.25" hidden="1">
      <c r="A234" s="261" t="s">
        <v>571</v>
      </c>
      <c r="B234" s="271">
        <v>24.134</v>
      </c>
      <c r="C234" s="265">
        <v>23.472000000000001</v>
      </c>
      <c r="D234" s="279">
        <v>22</v>
      </c>
      <c r="E234" s="270" t="s">
        <v>1229</v>
      </c>
      <c r="F234" s="270" t="s">
        <v>1229</v>
      </c>
      <c r="G234" s="270" t="s">
        <v>1229</v>
      </c>
      <c r="H234" s="270" t="s">
        <v>1229</v>
      </c>
      <c r="I234" s="270" t="s">
        <v>1229</v>
      </c>
      <c r="J234" s="270"/>
      <c r="K234" s="269"/>
      <c r="L234" s="269"/>
    </row>
    <row r="235" spans="1:12" s="266" customFormat="1" ht="11.25" hidden="1">
      <c r="A235" s="261" t="s">
        <v>572</v>
      </c>
      <c r="B235" s="271">
        <v>6778.6390000000001</v>
      </c>
      <c r="C235" s="265">
        <v>7092.2036671799997</v>
      </c>
      <c r="D235" s="279">
        <v>15746</v>
      </c>
      <c r="E235" s="269">
        <v>11159.903769999999</v>
      </c>
      <c r="F235" s="265">
        <v>1019.8226849000001</v>
      </c>
      <c r="G235" s="265">
        <v>61516.767334200005</v>
      </c>
      <c r="H235" s="265">
        <v>188</v>
      </c>
      <c r="I235" s="267">
        <v>93.439601980000006</v>
      </c>
      <c r="J235" s="267"/>
      <c r="K235" s="267"/>
      <c r="L235" s="267"/>
    </row>
    <row r="236" spans="1:12" s="266" customFormat="1" ht="11.25">
      <c r="A236" s="261"/>
      <c r="B236" s="269"/>
      <c r="C236" s="269"/>
      <c r="D236" s="270"/>
      <c r="E236" s="269"/>
      <c r="F236" s="267"/>
      <c r="G236" s="267"/>
      <c r="H236" s="265"/>
      <c r="K236" s="267"/>
      <c r="L236" s="267"/>
    </row>
    <row r="237" spans="1:12" s="266" customFormat="1" ht="11.25">
      <c r="A237" s="282" t="s">
        <v>573</v>
      </c>
      <c r="B237" s="283">
        <v>4693.1979999999994</v>
      </c>
      <c r="C237" s="283">
        <v>4061.90419849</v>
      </c>
      <c r="D237" s="283">
        <v>3163</v>
      </c>
      <c r="E237" s="264">
        <v>2888.6517576000001</v>
      </c>
      <c r="F237" s="264">
        <v>3051.4900159000003</v>
      </c>
      <c r="G237" s="264">
        <v>2460.5989939999999</v>
      </c>
      <c r="H237" s="264">
        <v>2590</v>
      </c>
      <c r="I237" s="264">
        <v>2719.83307341</v>
      </c>
      <c r="J237" s="264">
        <f>SUM(J239:J266)</f>
        <v>2523.8083000000001</v>
      </c>
      <c r="K237" s="264">
        <f>SUM(K239:K266)</f>
        <v>2391.2516220000002</v>
      </c>
      <c r="L237" s="264">
        <f>SUM(L239:L276)</f>
        <v>2303.45483362</v>
      </c>
    </row>
    <row r="238" spans="1:12" s="266" customFormat="1" ht="11.25">
      <c r="A238" s="261"/>
      <c r="B238" s="269"/>
      <c r="C238" s="269"/>
      <c r="D238" s="270"/>
      <c r="E238" s="269"/>
      <c r="F238" s="267"/>
      <c r="G238" s="267"/>
      <c r="H238" s="265"/>
      <c r="K238" s="267"/>
      <c r="L238" s="267"/>
    </row>
    <row r="239" spans="1:12" s="266" customFormat="1" ht="11.25">
      <c r="A239" s="261" t="s">
        <v>574</v>
      </c>
      <c r="B239" s="269">
        <v>271.17700000000002</v>
      </c>
      <c r="C239" s="269">
        <v>136.94245575000002</v>
      </c>
      <c r="D239" s="269">
        <v>261</v>
      </c>
      <c r="E239" s="269">
        <v>186.03524385999998</v>
      </c>
      <c r="F239" s="269">
        <v>554.85520989999998</v>
      </c>
      <c r="G239" s="269">
        <v>92.118009900000004</v>
      </c>
      <c r="H239" s="269">
        <v>163</v>
      </c>
      <c r="I239" s="269">
        <v>121.21326659000002</v>
      </c>
      <c r="J239" s="269">
        <v>113.39409999999999</v>
      </c>
      <c r="K239" s="269">
        <v>110.954736</v>
      </c>
      <c r="L239" s="269">
        <v>86.913936280000001</v>
      </c>
    </row>
    <row r="240" spans="1:12" s="266" customFormat="1" ht="11.25" hidden="1">
      <c r="A240" s="261" t="s">
        <v>575</v>
      </c>
      <c r="B240" s="271">
        <v>29.914000000000001</v>
      </c>
      <c r="C240" s="265">
        <v>37.168920149999998</v>
      </c>
      <c r="D240" s="279">
        <v>27</v>
      </c>
      <c r="E240" s="269">
        <v>21.678939200000002</v>
      </c>
      <c r="F240" s="265">
        <v>19.430338200000001</v>
      </c>
      <c r="G240" s="265">
        <v>16.166751000000001</v>
      </c>
      <c r="H240" s="265">
        <v>15</v>
      </c>
      <c r="I240" s="267">
        <v>17.575061000000002</v>
      </c>
      <c r="J240" s="267"/>
      <c r="K240" s="267"/>
      <c r="L240" s="267"/>
    </row>
    <row r="241" spans="1:12" s="266" customFormat="1" ht="11.25" hidden="1">
      <c r="A241" s="261" t="s">
        <v>55</v>
      </c>
      <c r="B241" s="271">
        <v>0.313</v>
      </c>
      <c r="C241" s="265">
        <v>0.42208200000000001</v>
      </c>
      <c r="D241" s="280" t="s">
        <v>1229</v>
      </c>
      <c r="E241" s="269">
        <v>8.3311999999999997E-2</v>
      </c>
      <c r="F241" s="265">
        <v>5.0942000000000001E-2</v>
      </c>
      <c r="G241" s="265">
        <v>7.1836999999999998E-2</v>
      </c>
      <c r="H241" s="265">
        <v>0</v>
      </c>
      <c r="I241" s="267">
        <v>2.8920000000000001E-2</v>
      </c>
      <c r="J241" s="267"/>
      <c r="K241" s="267"/>
      <c r="L241" s="267"/>
    </row>
    <row r="242" spans="1:12" s="266" customFormat="1" ht="11.25" hidden="1">
      <c r="A242" s="261" t="s">
        <v>56</v>
      </c>
      <c r="B242" s="277" t="s">
        <v>1499</v>
      </c>
      <c r="C242" s="275" t="s">
        <v>1499</v>
      </c>
      <c r="D242" s="280" t="s">
        <v>1499</v>
      </c>
      <c r="E242" s="269">
        <v>19.209697690000002</v>
      </c>
      <c r="F242" s="265">
        <v>23.410177699999998</v>
      </c>
      <c r="G242" s="265">
        <v>26.5672213</v>
      </c>
      <c r="H242" s="265">
        <v>20</v>
      </c>
      <c r="I242" s="267">
        <v>18.15155901</v>
      </c>
      <c r="J242" s="267"/>
      <c r="K242" s="267"/>
      <c r="L242" s="267"/>
    </row>
    <row r="243" spans="1:12" s="266" customFormat="1" ht="11.25" hidden="1">
      <c r="A243" s="261" t="s">
        <v>57</v>
      </c>
      <c r="B243" s="269"/>
      <c r="C243" s="269"/>
      <c r="D243" s="270"/>
      <c r="F243" s="267"/>
      <c r="G243" s="267"/>
      <c r="H243" s="265"/>
      <c r="K243" s="267"/>
      <c r="L243" s="267"/>
    </row>
    <row r="244" spans="1:12" s="266" customFormat="1" ht="11.25" hidden="1">
      <c r="A244" s="261" t="s">
        <v>58</v>
      </c>
      <c r="B244" s="271">
        <v>1.252</v>
      </c>
      <c r="C244" s="265">
        <v>0.36666100000000001</v>
      </c>
      <c r="D244" s="275" t="s">
        <v>1229</v>
      </c>
      <c r="E244" s="270" t="s">
        <v>1499</v>
      </c>
      <c r="F244" s="270" t="s">
        <v>1499</v>
      </c>
      <c r="G244" s="270" t="s">
        <v>1499</v>
      </c>
      <c r="H244" s="270" t="s">
        <v>1499</v>
      </c>
      <c r="I244" s="270" t="s">
        <v>1499</v>
      </c>
      <c r="J244" s="270"/>
      <c r="K244" s="269"/>
      <c r="L244" s="269"/>
    </row>
    <row r="245" spans="1:12" s="266" customFormat="1" ht="11.25" hidden="1">
      <c r="A245" s="261" t="s">
        <v>59</v>
      </c>
      <c r="B245" s="271">
        <v>2.5999999999999999E-2</v>
      </c>
      <c r="C245" s="265">
        <v>1.301505E-2</v>
      </c>
      <c r="D245" s="275" t="s">
        <v>1229</v>
      </c>
      <c r="E245" s="269">
        <v>1.5878900000000001E-2</v>
      </c>
      <c r="F245" s="265">
        <v>7.8807000000000009E-3</v>
      </c>
      <c r="G245" s="265">
        <v>2.0350000000000004E-3</v>
      </c>
      <c r="H245" s="265">
        <v>0</v>
      </c>
      <c r="I245" s="275" t="s">
        <v>1229</v>
      </c>
      <c r="J245" s="275"/>
      <c r="K245" s="275"/>
      <c r="L245" s="275"/>
    </row>
    <row r="246" spans="1:12" s="266" customFormat="1" ht="11.25" hidden="1">
      <c r="A246" s="261" t="s">
        <v>60</v>
      </c>
      <c r="B246" s="271">
        <v>233.262</v>
      </c>
      <c r="C246" s="265">
        <v>91.865792630000016</v>
      </c>
      <c r="D246" s="265">
        <v>181</v>
      </c>
      <c r="E246" s="269">
        <v>88.800246109999989</v>
      </c>
      <c r="F246" s="265">
        <v>472.01692250000002</v>
      </c>
      <c r="G246" s="265">
        <v>6.5623867000000002</v>
      </c>
      <c r="H246" s="265">
        <v>80</v>
      </c>
      <c r="I246" s="267">
        <v>44.302718300000002</v>
      </c>
      <c r="J246" s="267"/>
      <c r="K246" s="267"/>
      <c r="L246" s="267"/>
    </row>
    <row r="247" spans="1:12" s="266" customFormat="1" ht="11.25" hidden="1">
      <c r="A247" s="261" t="s">
        <v>61</v>
      </c>
      <c r="B247" s="271"/>
      <c r="C247" s="265"/>
      <c r="D247" s="265"/>
      <c r="H247" s="265"/>
      <c r="K247" s="267"/>
      <c r="L247" s="267"/>
    </row>
    <row r="248" spans="1:12" s="266" customFormat="1" ht="11.25" hidden="1">
      <c r="A248" s="261" t="s">
        <v>578</v>
      </c>
      <c r="B248" s="271">
        <v>3.3650000000000002</v>
      </c>
      <c r="C248" s="265">
        <v>2.6184830000000003</v>
      </c>
      <c r="D248" s="265">
        <v>4</v>
      </c>
      <c r="E248" s="269">
        <v>2.7343099999999998</v>
      </c>
      <c r="F248" s="265">
        <v>6.3302779999999998</v>
      </c>
      <c r="G248" s="265">
        <v>1.5961859999999999</v>
      </c>
      <c r="H248" s="265">
        <v>2</v>
      </c>
      <c r="I248" s="267">
        <v>1.313755</v>
      </c>
      <c r="J248" s="267"/>
      <c r="K248" s="267"/>
      <c r="L248" s="267"/>
    </row>
    <row r="249" spans="1:12" s="266" customFormat="1" ht="11.25" hidden="1">
      <c r="A249" s="261" t="s">
        <v>579</v>
      </c>
      <c r="B249" s="271">
        <v>3.0449999999999999</v>
      </c>
      <c r="C249" s="265">
        <v>4.4875019200000006</v>
      </c>
      <c r="D249" s="265">
        <v>2</v>
      </c>
      <c r="E249" s="269">
        <v>1.7558246899999999</v>
      </c>
      <c r="F249" s="265">
        <v>3.2572885</v>
      </c>
      <c r="G249" s="265">
        <v>3.2483958000000004</v>
      </c>
      <c r="H249" s="265">
        <v>6</v>
      </c>
      <c r="I249" s="267">
        <v>8.5150000000000003E-2</v>
      </c>
      <c r="J249" s="267"/>
      <c r="K249" s="267"/>
      <c r="L249" s="267"/>
    </row>
    <row r="250" spans="1:12" s="266" customFormat="1" ht="11.25" hidden="1">
      <c r="A250" s="261" t="s">
        <v>580</v>
      </c>
      <c r="B250" s="277" t="s">
        <v>1499</v>
      </c>
      <c r="C250" s="275" t="s">
        <v>1499</v>
      </c>
      <c r="D250" s="280">
        <v>48</v>
      </c>
      <c r="E250" s="269">
        <v>51.757035270000003</v>
      </c>
      <c r="F250" s="265">
        <v>30.351382300000001</v>
      </c>
      <c r="G250" s="265">
        <v>37.903197100000007</v>
      </c>
      <c r="H250" s="265">
        <v>40</v>
      </c>
      <c r="I250" s="267">
        <v>39.756103279999998</v>
      </c>
      <c r="J250" s="267"/>
      <c r="K250" s="267"/>
      <c r="L250" s="267"/>
    </row>
    <row r="251" spans="1:12" s="266" customFormat="1" ht="11.25">
      <c r="A251" s="261"/>
      <c r="B251" s="269"/>
      <c r="C251" s="269"/>
      <c r="D251" s="270"/>
      <c r="F251" s="267"/>
      <c r="G251" s="267"/>
      <c r="H251" s="265"/>
      <c r="K251" s="267"/>
      <c r="L251" s="267"/>
    </row>
    <row r="252" spans="1:12" s="266" customFormat="1" ht="11.25">
      <c r="A252" s="261" t="s">
        <v>581</v>
      </c>
      <c r="B252" s="269">
        <f>SUM(B253:B256)</f>
        <v>1401.0729999999999</v>
      </c>
      <c r="C252" s="269">
        <f>SUM(C253:C256)</f>
        <v>2.5799999999999999E-6</v>
      </c>
      <c r="D252" s="270" t="s">
        <v>1229</v>
      </c>
      <c r="E252" s="270" t="s">
        <v>1229</v>
      </c>
      <c r="F252" s="270" t="s">
        <v>1229</v>
      </c>
      <c r="G252" s="270" t="s">
        <v>1229</v>
      </c>
      <c r="H252" s="270" t="s">
        <v>1229</v>
      </c>
      <c r="I252" s="270" t="s">
        <v>1229</v>
      </c>
      <c r="J252" s="270" t="s">
        <v>1229</v>
      </c>
      <c r="K252" s="269" t="s">
        <v>1229</v>
      </c>
      <c r="L252" s="269" t="s">
        <v>1229</v>
      </c>
    </row>
    <row r="253" spans="1:12" s="266" customFormat="1" ht="11.25" hidden="1">
      <c r="A253" s="261" t="s">
        <v>582</v>
      </c>
      <c r="B253" s="271">
        <v>1396.26</v>
      </c>
      <c r="C253" s="267">
        <v>2.5799999999999999E-6</v>
      </c>
      <c r="D253" s="280" t="s">
        <v>1229</v>
      </c>
      <c r="E253" s="270" t="s">
        <v>1499</v>
      </c>
      <c r="F253" s="269" t="s">
        <v>1499</v>
      </c>
      <c r="G253" s="269" t="s">
        <v>1499</v>
      </c>
      <c r="H253" s="269" t="s">
        <v>1499</v>
      </c>
      <c r="I253" s="269" t="s">
        <v>1499</v>
      </c>
      <c r="J253" s="269"/>
      <c r="K253" s="269"/>
      <c r="L253" s="269"/>
    </row>
    <row r="254" spans="1:12" s="266" customFormat="1" ht="11.25" hidden="1">
      <c r="A254" s="261" t="s">
        <v>583</v>
      </c>
      <c r="B254" s="271" t="s">
        <v>84</v>
      </c>
      <c r="C254" s="269"/>
      <c r="D254" s="270"/>
      <c r="E254" s="270"/>
      <c r="F254" s="269"/>
      <c r="G254" s="269"/>
      <c r="H254" s="269" t="s">
        <v>1499</v>
      </c>
      <c r="I254" s="269" t="s">
        <v>1499</v>
      </c>
      <c r="J254" s="269"/>
      <c r="K254" s="269"/>
      <c r="L254" s="269"/>
    </row>
    <row r="255" spans="1:12" s="266" customFormat="1" ht="11.25" hidden="1">
      <c r="A255" s="276" t="s">
        <v>584</v>
      </c>
      <c r="B255" s="271">
        <v>0.34</v>
      </c>
      <c r="C255" s="269" t="s">
        <v>1229</v>
      </c>
      <c r="D255" s="270" t="s">
        <v>1229</v>
      </c>
      <c r="E255" s="270" t="s">
        <v>1499</v>
      </c>
      <c r="F255" s="269" t="s">
        <v>1499</v>
      </c>
      <c r="G255" s="269" t="s">
        <v>1499</v>
      </c>
      <c r="H255" s="269" t="s">
        <v>1499</v>
      </c>
      <c r="I255" s="269" t="s">
        <v>1499</v>
      </c>
      <c r="J255" s="269"/>
      <c r="K255" s="269"/>
      <c r="L255" s="269"/>
    </row>
    <row r="256" spans="1:12" s="266" customFormat="1" ht="11.25" hidden="1">
      <c r="A256" s="276" t="s">
        <v>585</v>
      </c>
      <c r="B256" s="271">
        <v>4.4729999999999999</v>
      </c>
      <c r="C256" s="269" t="s">
        <v>1229</v>
      </c>
      <c r="D256" s="270" t="s">
        <v>1229</v>
      </c>
      <c r="E256" s="270" t="s">
        <v>1499</v>
      </c>
      <c r="F256" s="269" t="s">
        <v>1499</v>
      </c>
      <c r="G256" s="269" t="s">
        <v>1499</v>
      </c>
      <c r="H256" s="269" t="s">
        <v>1499</v>
      </c>
      <c r="I256" s="269" t="s">
        <v>1499</v>
      </c>
      <c r="J256" s="269"/>
      <c r="K256" s="269"/>
      <c r="L256" s="269"/>
    </row>
    <row r="257" spans="1:12" s="266" customFormat="1" ht="11.25">
      <c r="A257" s="261"/>
      <c r="B257" s="269"/>
      <c r="C257" s="269"/>
      <c r="D257" s="270"/>
      <c r="F257" s="267"/>
      <c r="G257" s="267"/>
      <c r="H257" s="265"/>
      <c r="K257" s="267"/>
      <c r="L257" s="267"/>
    </row>
    <row r="258" spans="1:12" s="266" customFormat="1" ht="11.25">
      <c r="A258" s="261" t="s">
        <v>586</v>
      </c>
      <c r="B258" s="269">
        <v>2612.462</v>
      </c>
      <c r="C258" s="269">
        <v>2588.586781</v>
      </c>
      <c r="D258" s="269">
        <v>2485</v>
      </c>
      <c r="E258" s="269">
        <v>2464.4841579999998</v>
      </c>
      <c r="F258" s="269">
        <v>2360.9266400000006</v>
      </c>
      <c r="G258" s="269">
        <v>2243.345828</v>
      </c>
      <c r="H258" s="269">
        <v>2315</v>
      </c>
      <c r="I258" s="269">
        <v>2323.2489090000004</v>
      </c>
      <c r="J258" s="269">
        <v>2245.3566000000001</v>
      </c>
      <c r="K258" s="269">
        <v>2199.456263</v>
      </c>
      <c r="L258" s="269">
        <v>2117.7439949</v>
      </c>
    </row>
    <row r="259" spans="1:12" s="266" customFormat="1" ht="11.25" hidden="1">
      <c r="A259" s="261" t="s">
        <v>587</v>
      </c>
      <c r="B259" s="271">
        <v>7.0000000000000007E-2</v>
      </c>
      <c r="C259" s="265">
        <v>3.3064999999999997E-2</v>
      </c>
      <c r="D259" s="270" t="s">
        <v>1229</v>
      </c>
      <c r="E259" s="269">
        <v>3.4134999999999999E-2</v>
      </c>
      <c r="F259" s="265">
        <v>2.6057000000000004E-2</v>
      </c>
      <c r="G259" s="265">
        <v>2.1412000000000004E-2</v>
      </c>
      <c r="H259" s="265">
        <v>0</v>
      </c>
      <c r="I259" s="267">
        <v>9.9360000000000004E-3</v>
      </c>
      <c r="J259" s="267"/>
      <c r="K259" s="267"/>
      <c r="L259" s="267"/>
    </row>
    <row r="260" spans="1:12" s="266" customFormat="1" ht="11.25" hidden="1">
      <c r="A260" s="261" t="s">
        <v>588</v>
      </c>
      <c r="B260" s="271">
        <v>1.976</v>
      </c>
      <c r="C260" s="265">
        <v>1.6824030000000001</v>
      </c>
      <c r="D260" s="279">
        <v>1</v>
      </c>
      <c r="E260" s="269">
        <v>0.92167999999999994</v>
      </c>
      <c r="F260" s="265">
        <v>0.92113800000000001</v>
      </c>
      <c r="G260" s="265">
        <v>0.73675100000000004</v>
      </c>
      <c r="H260" s="265">
        <v>1</v>
      </c>
      <c r="I260" s="267">
        <v>0.461258</v>
      </c>
      <c r="J260" s="267"/>
      <c r="K260" s="267"/>
      <c r="L260" s="267"/>
    </row>
    <row r="261" spans="1:12" s="266" customFormat="1" ht="11.25" hidden="1">
      <c r="A261" s="261" t="s">
        <v>589</v>
      </c>
      <c r="B261" s="271">
        <v>2610.4160000000002</v>
      </c>
      <c r="C261" s="265">
        <v>2586.8713130000001</v>
      </c>
      <c r="D261" s="279">
        <v>2484</v>
      </c>
      <c r="E261" s="269">
        <v>2463.5283429999999</v>
      </c>
      <c r="F261" s="265">
        <v>2359.9794450000004</v>
      </c>
      <c r="G261" s="265">
        <v>2242.587665</v>
      </c>
      <c r="H261" s="265">
        <v>2314</v>
      </c>
      <c r="I261" s="267">
        <v>2322.7777150000002</v>
      </c>
      <c r="J261" s="267"/>
      <c r="K261" s="267"/>
      <c r="L261" s="267"/>
    </row>
    <row r="262" spans="1:12" s="266" customFormat="1" ht="11.25">
      <c r="A262" s="261"/>
      <c r="B262" s="269"/>
      <c r="C262" s="269"/>
      <c r="D262" s="270"/>
      <c r="F262" s="267"/>
      <c r="G262" s="267"/>
      <c r="H262" s="265"/>
      <c r="K262" s="267"/>
      <c r="L262" s="267"/>
    </row>
    <row r="263" spans="1:12" s="266" customFormat="1" ht="11.25">
      <c r="A263" s="261" t="s">
        <v>590</v>
      </c>
      <c r="B263" s="267">
        <f>SUM(B264)</f>
        <v>132.834</v>
      </c>
      <c r="C263" s="270" t="s">
        <v>1229</v>
      </c>
      <c r="D263" s="270" t="s">
        <v>1229</v>
      </c>
      <c r="E263" s="270" t="s">
        <v>1229</v>
      </c>
      <c r="F263" s="270" t="s">
        <v>1229</v>
      </c>
      <c r="G263" s="270" t="s">
        <v>1229</v>
      </c>
      <c r="H263" s="270" t="s">
        <v>1229</v>
      </c>
      <c r="I263" s="270" t="s">
        <v>1229</v>
      </c>
      <c r="J263" s="270" t="s">
        <v>1229</v>
      </c>
      <c r="K263" s="269" t="s">
        <v>1229</v>
      </c>
      <c r="L263" s="269" t="s">
        <v>1229</v>
      </c>
    </row>
    <row r="264" spans="1:12" s="266" customFormat="1" ht="11.25" hidden="1">
      <c r="A264" s="261" t="s">
        <v>591</v>
      </c>
      <c r="B264" s="271">
        <v>132.834</v>
      </c>
      <c r="C264" s="280" t="s">
        <v>1229</v>
      </c>
      <c r="D264" s="280" t="s">
        <v>1229</v>
      </c>
      <c r="E264" s="270" t="s">
        <v>1499</v>
      </c>
      <c r="F264" s="270" t="s">
        <v>1499</v>
      </c>
      <c r="G264" s="270" t="s">
        <v>1499</v>
      </c>
      <c r="H264" s="270" t="s">
        <v>1499</v>
      </c>
      <c r="I264" s="270" t="s">
        <v>1499</v>
      </c>
      <c r="J264" s="270"/>
      <c r="K264" s="269"/>
      <c r="L264" s="269"/>
    </row>
    <row r="265" spans="1:12" s="266" customFormat="1" ht="11.25">
      <c r="A265" s="261"/>
      <c r="B265" s="269"/>
      <c r="C265" s="269"/>
      <c r="D265" s="270"/>
      <c r="F265" s="267"/>
      <c r="G265" s="267"/>
      <c r="H265" s="265"/>
      <c r="K265" s="267"/>
      <c r="L265" s="267"/>
    </row>
    <row r="266" spans="1:12" s="266" customFormat="1" ht="11.25">
      <c r="A266" s="261" t="s">
        <v>592</v>
      </c>
      <c r="B266" s="269">
        <v>275.65199999999999</v>
      </c>
      <c r="C266" s="269">
        <v>1336.3749591599999</v>
      </c>
      <c r="D266" s="269">
        <v>417</v>
      </c>
      <c r="E266" s="269">
        <v>238.13235573</v>
      </c>
      <c r="F266" s="269">
        <v>135.70816600000001</v>
      </c>
      <c r="G266" s="269">
        <v>125.13515609999999</v>
      </c>
      <c r="H266" s="269">
        <v>112</v>
      </c>
      <c r="I266" s="269">
        <v>275.37089781999998</v>
      </c>
      <c r="J266" s="269">
        <v>165.05760000000001</v>
      </c>
      <c r="K266" s="269">
        <v>80.840622999999994</v>
      </c>
      <c r="L266" s="269">
        <v>98.796902439999997</v>
      </c>
    </row>
    <row r="267" spans="1:12" s="266" customFormat="1" ht="11.25" hidden="1">
      <c r="A267" s="276" t="s">
        <v>1566</v>
      </c>
      <c r="B267" s="271">
        <v>8.5000000000000006E-2</v>
      </c>
      <c r="C267" s="265">
        <v>0.22556143000000001</v>
      </c>
      <c r="D267" s="280" t="s">
        <v>1229</v>
      </c>
      <c r="E267" s="269">
        <v>1.5913399999999998E-2</v>
      </c>
      <c r="F267" s="280" t="s">
        <v>1229</v>
      </c>
      <c r="G267" s="280" t="s">
        <v>1229</v>
      </c>
      <c r="H267" s="280" t="s">
        <v>1229</v>
      </c>
      <c r="I267" s="280" t="s">
        <v>1229</v>
      </c>
      <c r="J267" s="280"/>
      <c r="K267" s="269"/>
      <c r="L267" s="269"/>
    </row>
    <row r="268" spans="1:12" s="266" customFormat="1" ht="11.25" hidden="1">
      <c r="A268" s="261" t="s">
        <v>1567</v>
      </c>
      <c r="B268" s="271">
        <v>8.3759999999999994</v>
      </c>
      <c r="C268" s="269" t="s">
        <v>1229</v>
      </c>
      <c r="D268" s="270" t="s">
        <v>1229</v>
      </c>
      <c r="E268" s="270" t="s">
        <v>1499</v>
      </c>
      <c r="F268" s="270" t="s">
        <v>1499</v>
      </c>
      <c r="G268" s="270" t="s">
        <v>1499</v>
      </c>
      <c r="H268" s="270" t="s">
        <v>1499</v>
      </c>
      <c r="I268" s="270" t="s">
        <v>1499</v>
      </c>
      <c r="J268" s="270"/>
      <c r="K268" s="269"/>
      <c r="L268" s="269"/>
    </row>
    <row r="269" spans="1:12" s="266" customFormat="1" ht="11.25" hidden="1">
      <c r="A269" s="276" t="s">
        <v>1280</v>
      </c>
      <c r="B269" s="271">
        <v>1.962</v>
      </c>
      <c r="C269" s="265">
        <v>1.5529337000000001</v>
      </c>
      <c r="D269" s="279">
        <v>1</v>
      </c>
      <c r="E269" s="269">
        <v>0.52593034000000005</v>
      </c>
      <c r="F269" s="265">
        <v>0.22870219999999999</v>
      </c>
      <c r="G269" s="265">
        <v>0.13540140000000001</v>
      </c>
      <c r="H269" s="265">
        <v>0</v>
      </c>
      <c r="I269" s="267">
        <v>0.10166907</v>
      </c>
      <c r="J269" s="267"/>
      <c r="K269" s="267"/>
      <c r="L269" s="267"/>
    </row>
    <row r="270" spans="1:12" s="266" customFormat="1" ht="11.25" hidden="1">
      <c r="A270" s="276" t="s">
        <v>1281</v>
      </c>
      <c r="B270" s="269" t="s">
        <v>1229</v>
      </c>
      <c r="C270" s="269" t="s">
        <v>1229</v>
      </c>
      <c r="D270" s="270">
        <v>7</v>
      </c>
      <c r="E270" s="269">
        <v>58.225725149999995</v>
      </c>
      <c r="F270" s="265">
        <v>57.234248800000003</v>
      </c>
      <c r="G270" s="265">
        <v>59.683865600000004</v>
      </c>
      <c r="H270" s="265">
        <v>62</v>
      </c>
      <c r="I270" s="267">
        <v>63.968841779999998</v>
      </c>
      <c r="J270" s="267"/>
      <c r="K270" s="267"/>
      <c r="L270" s="267"/>
    </row>
    <row r="271" spans="1:12" s="266" customFormat="1" ht="11.25" hidden="1">
      <c r="A271" s="276" t="s">
        <v>421</v>
      </c>
      <c r="B271" s="269" t="s">
        <v>1229</v>
      </c>
      <c r="C271" s="265">
        <v>0.36759500000000001</v>
      </c>
      <c r="D271" s="270" t="s">
        <v>1229</v>
      </c>
      <c r="E271" s="270" t="s">
        <v>1229</v>
      </c>
      <c r="F271" s="270" t="s">
        <v>1229</v>
      </c>
      <c r="G271" s="270" t="s">
        <v>1229</v>
      </c>
      <c r="H271" s="270" t="s">
        <v>1229</v>
      </c>
      <c r="I271" s="270" t="s">
        <v>1229</v>
      </c>
      <c r="J271" s="270"/>
      <c r="K271" s="269"/>
      <c r="L271" s="269"/>
    </row>
    <row r="272" spans="1:12" s="266" customFormat="1" ht="11.25" hidden="1">
      <c r="A272" s="261" t="s">
        <v>1547</v>
      </c>
      <c r="B272" s="267"/>
      <c r="C272" s="265"/>
      <c r="D272" s="265"/>
      <c r="E272" s="269"/>
      <c r="F272" s="269"/>
      <c r="G272" s="269"/>
      <c r="H272" s="265"/>
      <c r="K272" s="267"/>
      <c r="L272" s="267"/>
    </row>
    <row r="273" spans="1:12" s="266" customFormat="1" ht="11.25" hidden="1">
      <c r="A273" s="261" t="s">
        <v>1548</v>
      </c>
      <c r="B273" s="271">
        <v>8.5000000000000006E-2</v>
      </c>
      <c r="C273" s="269" t="s">
        <v>1229</v>
      </c>
      <c r="D273" s="275" t="s">
        <v>1229</v>
      </c>
      <c r="E273" s="270" t="s">
        <v>1499</v>
      </c>
      <c r="F273" s="270" t="s">
        <v>1499</v>
      </c>
      <c r="G273" s="270" t="s">
        <v>1499</v>
      </c>
      <c r="H273" s="270" t="s">
        <v>1499</v>
      </c>
      <c r="I273" s="270" t="s">
        <v>1499</v>
      </c>
      <c r="J273" s="270"/>
      <c r="K273" s="269"/>
      <c r="L273" s="269"/>
    </row>
    <row r="274" spans="1:12" s="266" customFormat="1" ht="11.25" hidden="1">
      <c r="A274" s="276" t="s">
        <v>1549</v>
      </c>
      <c r="B274" s="271">
        <v>110.877</v>
      </c>
      <c r="C274" s="265">
        <v>92.521999010000002</v>
      </c>
      <c r="D274" s="265">
        <v>47</v>
      </c>
      <c r="E274" s="269">
        <v>27.264418539999998</v>
      </c>
      <c r="F274" s="265">
        <v>22.898686900000001</v>
      </c>
      <c r="G274" s="265">
        <v>21.184045400000002</v>
      </c>
      <c r="H274" s="265">
        <v>11</v>
      </c>
      <c r="I274" s="267">
        <v>156.81142886999999</v>
      </c>
      <c r="J274" s="267"/>
      <c r="K274" s="267"/>
      <c r="L274" s="267"/>
    </row>
    <row r="275" spans="1:12" s="266" customFormat="1" ht="11.25" hidden="1">
      <c r="A275" s="261" t="s">
        <v>1550</v>
      </c>
      <c r="B275" s="271">
        <v>154.267</v>
      </c>
      <c r="C275" s="265">
        <v>1241.70687002</v>
      </c>
      <c r="D275" s="279">
        <v>362</v>
      </c>
      <c r="E275" s="269">
        <v>152.10036830000001</v>
      </c>
      <c r="F275" s="265">
        <v>55.346528099999993</v>
      </c>
      <c r="G275" s="265">
        <v>44.131843699999997</v>
      </c>
      <c r="H275" s="265">
        <v>39</v>
      </c>
      <c r="I275" s="267">
        <v>54.488958099999998</v>
      </c>
      <c r="J275" s="267"/>
      <c r="K275" s="267"/>
      <c r="L275" s="267"/>
    </row>
    <row r="276" spans="1:12" s="266" customFormat="1" ht="11.25">
      <c r="A276" s="261"/>
      <c r="B276" s="269"/>
      <c r="C276" s="269"/>
      <c r="D276" s="270"/>
      <c r="E276" s="270"/>
      <c r="F276" s="267"/>
      <c r="G276" s="267"/>
      <c r="H276" s="265"/>
      <c r="K276" s="267"/>
      <c r="L276" s="267"/>
    </row>
    <row r="277" spans="1:12" s="266" customFormat="1" ht="11.25">
      <c r="A277" s="286" t="s">
        <v>1551</v>
      </c>
      <c r="B277" s="264">
        <v>-644.0930000000003</v>
      </c>
      <c r="C277" s="264">
        <v>-2967.7873787800013</v>
      </c>
      <c r="D277" s="264">
        <v>6839</v>
      </c>
      <c r="E277" s="264">
        <v>5164.9695400000001</v>
      </c>
      <c r="F277" s="264">
        <v>5194.3223734000003</v>
      </c>
      <c r="G277" s="264">
        <v>8619.3048919000012</v>
      </c>
      <c r="H277" s="264">
        <v>8447</v>
      </c>
      <c r="I277" s="264">
        <v>9865.3830414500007</v>
      </c>
      <c r="J277" s="264">
        <f>SUM(J279:J285)</f>
        <v>9484.1605999999992</v>
      </c>
      <c r="K277" s="264">
        <f>SUM(K279:K285)</f>
        <v>8251.909470999999</v>
      </c>
      <c r="L277" s="264">
        <f>SUM(L279:L285)</f>
        <v>8787.9721711000002</v>
      </c>
    </row>
    <row r="278" spans="1:12" s="266" customFormat="1" ht="11.25">
      <c r="A278" s="273"/>
      <c r="B278" s="269"/>
      <c r="C278" s="269"/>
      <c r="D278" s="270"/>
      <c r="E278" s="269"/>
      <c r="F278" s="269"/>
      <c r="G278" s="269"/>
      <c r="H278" s="265"/>
      <c r="K278" s="267"/>
      <c r="L278" s="267"/>
    </row>
    <row r="279" spans="1:12" s="266" customFormat="1" ht="11.25">
      <c r="A279" s="276" t="s">
        <v>214</v>
      </c>
      <c r="B279" s="267">
        <v>1673.1909999999998</v>
      </c>
      <c r="C279" s="267">
        <v>964.81471002000001</v>
      </c>
      <c r="D279" s="267">
        <v>2608</v>
      </c>
      <c r="E279" s="269">
        <v>1187.6075016999998</v>
      </c>
      <c r="F279" s="269">
        <v>1166.4488820000001</v>
      </c>
      <c r="G279" s="269">
        <v>1214.792895</v>
      </c>
      <c r="H279" s="269">
        <v>940</v>
      </c>
      <c r="I279" s="269">
        <v>1689.748607</v>
      </c>
      <c r="J279" s="269">
        <v>524.00160000000005</v>
      </c>
      <c r="K279" s="269">
        <v>585.21994100000006</v>
      </c>
      <c r="L279" s="269">
        <v>1246.307411</v>
      </c>
    </row>
    <row r="280" spans="1:12" s="266" customFormat="1" ht="11.25" hidden="1">
      <c r="A280" s="261" t="s">
        <v>215</v>
      </c>
      <c r="B280" s="269" t="s">
        <v>1229</v>
      </c>
      <c r="C280" s="269" t="s">
        <v>1229</v>
      </c>
      <c r="D280" s="275" t="s">
        <v>1229</v>
      </c>
      <c r="E280" s="270" t="s">
        <v>1229</v>
      </c>
      <c r="F280" s="270" t="s">
        <v>1229</v>
      </c>
      <c r="G280" s="270" t="s">
        <v>1229</v>
      </c>
      <c r="H280" s="270" t="s">
        <v>1229</v>
      </c>
      <c r="I280" s="270" t="s">
        <v>1229</v>
      </c>
      <c r="J280" s="270"/>
      <c r="K280" s="269"/>
      <c r="L280" s="269"/>
    </row>
    <row r="281" spans="1:12" s="266" customFormat="1" ht="11.25" hidden="1">
      <c r="A281" s="261" t="s">
        <v>216</v>
      </c>
      <c r="B281" s="271">
        <v>524.20000000000005</v>
      </c>
      <c r="C281" s="265">
        <v>500</v>
      </c>
      <c r="D281" s="265">
        <v>809</v>
      </c>
      <c r="E281" s="269">
        <v>435.047348</v>
      </c>
      <c r="F281" s="265">
        <v>451.23432500000001</v>
      </c>
      <c r="G281" s="265">
        <v>577.73536000000001</v>
      </c>
      <c r="H281" s="265">
        <v>391</v>
      </c>
      <c r="I281" s="267">
        <v>981.62906699999996</v>
      </c>
      <c r="J281" s="267"/>
      <c r="K281" s="267"/>
      <c r="L281" s="267"/>
    </row>
    <row r="282" spans="1:12" s="266" customFormat="1" ht="11.25" hidden="1">
      <c r="A282" s="261" t="s">
        <v>217</v>
      </c>
      <c r="B282" s="271">
        <v>1136.7169999999999</v>
      </c>
      <c r="C282" s="265">
        <v>463.19461902</v>
      </c>
      <c r="D282" s="265">
        <v>1798</v>
      </c>
      <c r="E282" s="269">
        <v>752.56015368999999</v>
      </c>
      <c r="F282" s="265">
        <v>715.21455700000001</v>
      </c>
      <c r="G282" s="265">
        <v>637.05753500000003</v>
      </c>
      <c r="H282" s="265">
        <v>549</v>
      </c>
      <c r="I282" s="267">
        <v>708.11954000000003</v>
      </c>
      <c r="J282" s="267"/>
      <c r="K282" s="267"/>
      <c r="L282" s="267"/>
    </row>
    <row r="283" spans="1:12" s="266" customFormat="1" ht="11.25" hidden="1">
      <c r="A283" s="276" t="s">
        <v>218</v>
      </c>
      <c r="B283" s="271">
        <v>12.274000000000001</v>
      </c>
      <c r="C283" s="265">
        <v>1.6200909999999999</v>
      </c>
      <c r="D283" s="265">
        <v>1</v>
      </c>
      <c r="E283" s="269" t="s">
        <v>1229</v>
      </c>
      <c r="F283" s="269" t="s">
        <v>1229</v>
      </c>
      <c r="G283" s="269" t="s">
        <v>1499</v>
      </c>
      <c r="H283" s="269" t="s">
        <v>1499</v>
      </c>
      <c r="I283" s="269" t="s">
        <v>1499</v>
      </c>
      <c r="J283" s="269"/>
      <c r="K283" s="269"/>
      <c r="L283" s="269"/>
    </row>
    <row r="284" spans="1:12" s="266" customFormat="1" ht="11.25">
      <c r="A284" s="261"/>
      <c r="B284" s="269"/>
      <c r="C284" s="269"/>
      <c r="D284" s="265"/>
      <c r="E284" s="269"/>
      <c r="F284" s="267"/>
      <c r="G284" s="267"/>
      <c r="H284" s="265"/>
      <c r="K284" s="267"/>
      <c r="L284" s="267"/>
    </row>
    <row r="285" spans="1:12" s="266" customFormat="1" ht="11.25">
      <c r="A285" s="273" t="s">
        <v>67</v>
      </c>
      <c r="B285" s="267">
        <v>-2317.2840000000001</v>
      </c>
      <c r="C285" s="267">
        <v>-3932.6020888000012</v>
      </c>
      <c r="D285" s="267">
        <v>4231</v>
      </c>
      <c r="E285" s="267">
        <v>3977.3620383000002</v>
      </c>
      <c r="F285" s="267">
        <v>4027.8734914000001</v>
      </c>
      <c r="G285" s="267">
        <v>7404.5119969000007</v>
      </c>
      <c r="H285" s="267">
        <v>7507</v>
      </c>
      <c r="I285" s="267">
        <v>8175.6344344500003</v>
      </c>
      <c r="J285" s="267">
        <v>8960.1589999999997</v>
      </c>
      <c r="K285" s="267">
        <v>7666.6895299999996</v>
      </c>
      <c r="L285" s="267">
        <v>7541.6647601000004</v>
      </c>
    </row>
    <row r="286" spans="1:12" s="266" customFormat="1" ht="11.25" hidden="1">
      <c r="A286" s="276" t="s">
        <v>68</v>
      </c>
      <c r="B286" s="271">
        <v>-2317.2840000000001</v>
      </c>
      <c r="C286" s="265">
        <v>-3932.6020888000012</v>
      </c>
      <c r="D286" s="265">
        <v>4231</v>
      </c>
      <c r="E286" s="269">
        <v>3977.3620383000002</v>
      </c>
      <c r="F286" s="265">
        <v>4027.8734914000001</v>
      </c>
      <c r="G286" s="265">
        <v>7404.5119969000007</v>
      </c>
      <c r="H286" s="265">
        <v>7507</v>
      </c>
      <c r="I286" s="267">
        <v>8175.6344344500003</v>
      </c>
      <c r="J286" s="267"/>
      <c r="K286" s="267"/>
      <c r="L286" s="267"/>
    </row>
    <row r="287" spans="1:12" s="266" customFormat="1" ht="11.25">
      <c r="A287" s="276"/>
      <c r="B287" s="269"/>
      <c r="C287" s="269"/>
      <c r="D287" s="265"/>
      <c r="E287" s="269"/>
      <c r="F287" s="267"/>
      <c r="G287" s="267"/>
      <c r="H287" s="265"/>
      <c r="K287" s="267"/>
      <c r="L287" s="267"/>
    </row>
    <row r="288" spans="1:12" s="266" customFormat="1" ht="11.25">
      <c r="A288" s="268" t="s">
        <v>69</v>
      </c>
      <c r="B288" s="283">
        <v>1130.0039999999999</v>
      </c>
      <c r="C288" s="283">
        <v>6771.3551717399996</v>
      </c>
      <c r="D288" s="283">
        <v>8228</v>
      </c>
      <c r="E288" s="283">
        <v>9612.7953597300002</v>
      </c>
      <c r="F288" s="283">
        <v>9295.8780880000013</v>
      </c>
      <c r="G288" s="283">
        <v>9030.6495528000014</v>
      </c>
      <c r="H288" s="283">
        <v>8485</v>
      </c>
      <c r="I288" s="283">
        <v>9306.9084435100012</v>
      </c>
      <c r="J288" s="283">
        <f>SUM(J290:J324)</f>
        <v>12016.1729</v>
      </c>
      <c r="K288" s="283">
        <f>SUM(K290:K319)</f>
        <v>11554.678536939999</v>
      </c>
      <c r="L288" s="283">
        <f>SUM(L290:L319)</f>
        <v>12592.36415197</v>
      </c>
    </row>
    <row r="289" spans="1:13" s="266" customFormat="1" ht="11.25">
      <c r="A289" s="273"/>
      <c r="B289" s="269"/>
      <c r="C289" s="269"/>
      <c r="D289" s="265"/>
      <c r="E289" s="270"/>
      <c r="F289" s="267"/>
      <c r="G289" s="267"/>
      <c r="H289" s="265"/>
      <c r="K289" s="267"/>
      <c r="L289" s="267"/>
    </row>
    <row r="290" spans="1:13" s="266" customFormat="1" ht="11.25">
      <c r="A290" s="273" t="s">
        <v>70</v>
      </c>
      <c r="B290" s="267">
        <v>804.495</v>
      </c>
      <c r="C290" s="267">
        <v>5635.9085309000002</v>
      </c>
      <c r="D290" s="267">
        <v>6634</v>
      </c>
      <c r="E290" s="269">
        <v>7245.9189639999995</v>
      </c>
      <c r="F290" s="267">
        <v>7137.7815563000013</v>
      </c>
      <c r="G290" s="267">
        <v>7226.6031084000006</v>
      </c>
      <c r="H290" s="267">
        <v>7084</v>
      </c>
      <c r="I290" s="267">
        <v>7640.9375454000001</v>
      </c>
      <c r="J290" s="267">
        <v>8162.6008000000002</v>
      </c>
      <c r="K290" s="267">
        <v>8034.6295897400005</v>
      </c>
      <c r="L290" s="267">
        <v>8946.3148178100018</v>
      </c>
      <c r="M290" s="267"/>
    </row>
    <row r="291" spans="1:13" s="266" customFormat="1" ht="11.25" hidden="1">
      <c r="A291" s="276" t="s">
        <v>71</v>
      </c>
      <c r="B291" s="271">
        <v>187.411</v>
      </c>
      <c r="C291" s="265">
        <v>3598.81708647</v>
      </c>
      <c r="D291" s="265">
        <v>3728</v>
      </c>
      <c r="E291" s="269">
        <v>3636.1493475000002</v>
      </c>
      <c r="F291" s="265">
        <v>3673.7618345000005</v>
      </c>
      <c r="G291" s="265">
        <v>3244.7783484000001</v>
      </c>
      <c r="H291" s="265">
        <v>3484</v>
      </c>
      <c r="I291" s="267">
        <v>4086.8321891000001</v>
      </c>
      <c r="J291" s="267"/>
      <c r="K291" s="267"/>
      <c r="L291" s="267"/>
      <c r="M291" s="267"/>
    </row>
    <row r="292" spans="1:13" s="266" customFormat="1" ht="11.25" hidden="1">
      <c r="A292" s="276" t="s">
        <v>72</v>
      </c>
      <c r="B292" s="271">
        <v>0</v>
      </c>
      <c r="C292" s="265">
        <v>372.89058288999996</v>
      </c>
      <c r="D292" s="265">
        <v>715</v>
      </c>
      <c r="E292" s="269">
        <v>880.52117090000002</v>
      </c>
      <c r="F292" s="265">
        <v>1049.9371025</v>
      </c>
      <c r="G292" s="265">
        <v>1499.0839058000001</v>
      </c>
      <c r="H292" s="265">
        <v>959</v>
      </c>
      <c r="I292" s="267">
        <v>315.13558205999999</v>
      </c>
      <c r="J292" s="267"/>
      <c r="K292" s="267"/>
      <c r="L292" s="267"/>
      <c r="M292" s="267"/>
    </row>
    <row r="293" spans="1:13" s="266" customFormat="1" ht="11.25" hidden="1">
      <c r="A293" s="276" t="s">
        <v>155</v>
      </c>
      <c r="B293" s="271">
        <v>249.56800000000001</v>
      </c>
      <c r="C293" s="265">
        <v>321.3306455</v>
      </c>
      <c r="D293" s="265">
        <v>356</v>
      </c>
      <c r="E293" s="269">
        <v>332.45599446999995</v>
      </c>
      <c r="F293" s="265">
        <v>373.35436019999997</v>
      </c>
      <c r="G293" s="265">
        <v>349.63104019999997</v>
      </c>
      <c r="H293" s="265">
        <v>328</v>
      </c>
      <c r="I293" s="267">
        <v>259.92817043000002</v>
      </c>
      <c r="J293" s="267"/>
      <c r="K293" s="267"/>
      <c r="L293" s="267"/>
      <c r="M293" s="267"/>
    </row>
    <row r="294" spans="1:13" s="266" customFormat="1" ht="11.25" hidden="1">
      <c r="A294" s="276" t="s">
        <v>156</v>
      </c>
      <c r="B294" s="271">
        <v>263.17599999999999</v>
      </c>
      <c r="C294" s="265">
        <v>301.93149854000001</v>
      </c>
      <c r="D294" s="265">
        <v>766</v>
      </c>
      <c r="E294" s="269">
        <v>553.60738600000002</v>
      </c>
      <c r="F294" s="265">
        <v>775.86755320000009</v>
      </c>
      <c r="G294" s="265">
        <v>710.69946279999999</v>
      </c>
      <c r="H294" s="265">
        <v>628</v>
      </c>
      <c r="I294" s="267">
        <v>400.82739559999999</v>
      </c>
      <c r="J294" s="267"/>
      <c r="K294" s="267"/>
      <c r="L294" s="267"/>
      <c r="M294" s="267"/>
    </row>
    <row r="295" spans="1:13" s="266" customFormat="1" ht="11.25" hidden="1">
      <c r="A295" s="276" t="s">
        <v>157</v>
      </c>
      <c r="B295" s="277" t="s">
        <v>1229</v>
      </c>
      <c r="C295" s="265">
        <v>760.76576073000001</v>
      </c>
      <c r="D295" s="265">
        <v>731</v>
      </c>
      <c r="E295" s="269">
        <v>666.29626086000007</v>
      </c>
      <c r="F295" s="265">
        <v>662.848973</v>
      </c>
      <c r="G295" s="265">
        <v>657.53142009999999</v>
      </c>
      <c r="H295" s="265">
        <v>945</v>
      </c>
      <c r="I295" s="267">
        <v>1163.42666876</v>
      </c>
      <c r="J295" s="267"/>
      <c r="K295" s="267"/>
      <c r="L295" s="267"/>
      <c r="M295" s="267"/>
    </row>
    <row r="296" spans="1:13" s="266" customFormat="1" ht="11.25" hidden="1">
      <c r="A296" s="276" t="s">
        <v>158</v>
      </c>
      <c r="B296" s="277" t="s">
        <v>1499</v>
      </c>
      <c r="C296" s="275" t="s">
        <v>1499</v>
      </c>
      <c r="D296" s="275">
        <v>20</v>
      </c>
      <c r="E296" s="269">
        <v>412.85862121000002</v>
      </c>
      <c r="F296" s="265">
        <v>207.86078040000001</v>
      </c>
      <c r="G296" s="265">
        <v>-58.231670000000001</v>
      </c>
      <c r="H296" s="265">
        <v>-12</v>
      </c>
      <c r="I296" s="267">
        <v>55.17815315</v>
      </c>
      <c r="J296" s="267"/>
      <c r="K296" s="267"/>
      <c r="L296" s="267"/>
      <c r="M296" s="267"/>
    </row>
    <row r="297" spans="1:13" s="266" customFormat="1" ht="11.25" hidden="1">
      <c r="A297" s="276" t="s">
        <v>159</v>
      </c>
      <c r="B297" s="275" t="s">
        <v>1499</v>
      </c>
      <c r="C297" s="275" t="s">
        <v>1499</v>
      </c>
      <c r="D297" s="275" t="s">
        <v>1499</v>
      </c>
      <c r="E297" s="275" t="s">
        <v>1499</v>
      </c>
      <c r="F297" s="275" t="s">
        <v>1499</v>
      </c>
      <c r="G297" s="275" t="s">
        <v>1499</v>
      </c>
      <c r="H297" s="265">
        <v>404</v>
      </c>
      <c r="I297" s="267">
        <v>1179.7385975</v>
      </c>
      <c r="J297" s="267"/>
      <c r="K297" s="267"/>
      <c r="L297" s="267"/>
      <c r="M297" s="267"/>
    </row>
    <row r="298" spans="1:13" s="266" customFormat="1" ht="11.25" hidden="1">
      <c r="A298" s="276" t="s">
        <v>160</v>
      </c>
      <c r="B298" s="277" t="s">
        <v>1229</v>
      </c>
      <c r="C298" s="275" t="s">
        <v>1229</v>
      </c>
      <c r="D298" s="265">
        <v>88</v>
      </c>
      <c r="E298" s="269">
        <v>220.23712024</v>
      </c>
      <c r="F298" s="265">
        <v>29.290891999999999</v>
      </c>
      <c r="G298" s="265">
        <v>397.68939780000005</v>
      </c>
      <c r="H298" s="265">
        <v>266</v>
      </c>
      <c r="I298" s="275">
        <v>73.349707879999997</v>
      </c>
      <c r="J298" s="275"/>
      <c r="K298" s="275"/>
      <c r="L298" s="275"/>
      <c r="M298" s="267"/>
    </row>
    <row r="299" spans="1:13" s="266" customFormat="1" ht="11.25" hidden="1">
      <c r="A299" s="276" t="s">
        <v>161</v>
      </c>
      <c r="B299" s="271"/>
      <c r="C299" s="265"/>
      <c r="D299" s="265"/>
      <c r="H299" s="265"/>
      <c r="K299" s="267"/>
      <c r="L299" s="267"/>
      <c r="M299" s="267"/>
    </row>
    <row r="300" spans="1:13" s="266" customFormat="1" ht="11.25" hidden="1">
      <c r="A300" s="276" t="s">
        <v>162</v>
      </c>
      <c r="B300" s="271">
        <v>104.34</v>
      </c>
      <c r="C300" s="265">
        <v>280.17295676999998</v>
      </c>
      <c r="D300" s="265">
        <v>229</v>
      </c>
      <c r="E300" s="269">
        <v>543.79306279000002</v>
      </c>
      <c r="F300" s="265">
        <v>364.86006050000003</v>
      </c>
      <c r="G300" s="265">
        <v>425.4212033</v>
      </c>
      <c r="H300" s="265">
        <v>0</v>
      </c>
      <c r="I300" s="275" t="s">
        <v>1229</v>
      </c>
      <c r="J300" s="275"/>
      <c r="K300" s="275"/>
      <c r="L300" s="275"/>
      <c r="M300" s="267"/>
    </row>
    <row r="301" spans="1:13" s="266" customFormat="1" ht="11.25" hidden="1">
      <c r="A301" s="276" t="s">
        <v>163</v>
      </c>
      <c r="B301" s="271"/>
      <c r="C301" s="265"/>
      <c r="D301" s="265"/>
      <c r="E301" s="269"/>
      <c r="F301" s="265"/>
      <c r="G301" s="265"/>
      <c r="H301" s="265"/>
      <c r="K301" s="267"/>
      <c r="L301" s="267"/>
      <c r="M301" s="267"/>
    </row>
    <row r="302" spans="1:13" s="266" customFormat="1" ht="11.25" hidden="1">
      <c r="A302" s="276" t="s">
        <v>164</v>
      </c>
      <c r="B302" s="275" t="s">
        <v>1499</v>
      </c>
      <c r="C302" s="275" t="s">
        <v>1499</v>
      </c>
      <c r="D302" s="275" t="s">
        <v>1499</v>
      </c>
      <c r="E302" s="275" t="s">
        <v>1499</v>
      </c>
      <c r="F302" s="275" t="s">
        <v>1499</v>
      </c>
      <c r="G302" s="275" t="s">
        <v>1499</v>
      </c>
      <c r="H302" s="265">
        <v>82</v>
      </c>
      <c r="I302" s="267">
        <v>106.52108092</v>
      </c>
      <c r="J302" s="267"/>
      <c r="K302" s="267"/>
      <c r="L302" s="267"/>
      <c r="M302" s="267"/>
    </row>
    <row r="303" spans="1:13" s="266" customFormat="1" ht="11.25">
      <c r="A303" s="276"/>
      <c r="B303" s="267"/>
      <c r="C303" s="267"/>
      <c r="D303" s="265"/>
      <c r="F303" s="267"/>
      <c r="G303" s="267"/>
      <c r="H303" s="265"/>
      <c r="K303" s="267"/>
      <c r="L303" s="267"/>
      <c r="M303" s="267"/>
    </row>
    <row r="304" spans="1:13" s="266" customFormat="1" ht="11.25">
      <c r="A304" s="276" t="s">
        <v>165</v>
      </c>
      <c r="B304" s="267">
        <v>3.11</v>
      </c>
      <c r="C304" s="267">
        <v>107.50740275999999</v>
      </c>
      <c r="D304" s="267">
        <v>176</v>
      </c>
      <c r="E304" s="267">
        <v>5.3940656000000002</v>
      </c>
      <c r="F304" s="267">
        <v>1.6580875000000002</v>
      </c>
      <c r="G304" s="267">
        <v>90.690286099999994</v>
      </c>
      <c r="H304" s="267">
        <v>40</v>
      </c>
      <c r="I304" s="267">
        <v>32.49470041</v>
      </c>
      <c r="J304" s="267">
        <v>33.677999999999997</v>
      </c>
      <c r="K304" s="267">
        <v>25.435487269999999</v>
      </c>
      <c r="L304" s="267">
        <v>109.23982727000001</v>
      </c>
      <c r="M304" s="267"/>
    </row>
    <row r="305" spans="1:13" s="266" customFormat="1" ht="11.25" hidden="1">
      <c r="A305" s="276" t="s">
        <v>166</v>
      </c>
      <c r="B305" s="271">
        <v>3.11</v>
      </c>
      <c r="C305" s="265">
        <v>107.50740275999999</v>
      </c>
      <c r="D305" s="265">
        <v>176</v>
      </c>
      <c r="E305" s="269">
        <v>5.3940656000000002</v>
      </c>
      <c r="F305" s="265">
        <v>1.6580875000000002</v>
      </c>
      <c r="G305" s="265">
        <v>90.690286099999994</v>
      </c>
      <c r="H305" s="275" t="s">
        <v>1229</v>
      </c>
      <c r="I305" s="275" t="s">
        <v>1229</v>
      </c>
      <c r="J305" s="275"/>
      <c r="K305" s="275"/>
      <c r="L305" s="275"/>
      <c r="M305" s="267"/>
    </row>
    <row r="306" spans="1:13" s="266" customFormat="1" ht="11.25" hidden="1">
      <c r="A306" s="276" t="s">
        <v>337</v>
      </c>
      <c r="B306" s="275" t="s">
        <v>1499</v>
      </c>
      <c r="C306" s="275" t="s">
        <v>1499</v>
      </c>
      <c r="D306" s="275" t="s">
        <v>1499</v>
      </c>
      <c r="E306" s="275" t="s">
        <v>1499</v>
      </c>
      <c r="F306" s="275" t="s">
        <v>1499</v>
      </c>
      <c r="G306" s="275" t="s">
        <v>1499</v>
      </c>
      <c r="H306" s="265">
        <v>40</v>
      </c>
      <c r="I306" s="267">
        <v>32.49470041</v>
      </c>
      <c r="J306" s="267"/>
      <c r="K306" s="267"/>
      <c r="L306" s="267"/>
      <c r="M306" s="267"/>
    </row>
    <row r="307" spans="1:13" s="266" customFormat="1" ht="11.25">
      <c r="A307" s="276"/>
      <c r="B307" s="267"/>
      <c r="C307" s="267"/>
      <c r="D307" s="265"/>
      <c r="E307" s="269"/>
      <c r="F307" s="267"/>
      <c r="G307" s="267"/>
      <c r="H307" s="265"/>
      <c r="K307" s="267"/>
      <c r="L307" s="267"/>
      <c r="M307" s="267"/>
    </row>
    <row r="308" spans="1:13" s="266" customFormat="1" ht="11.25">
      <c r="A308" s="276" t="s">
        <v>338</v>
      </c>
      <c r="B308" s="267">
        <v>320.75</v>
      </c>
      <c r="C308" s="267">
        <v>199.00266031000001</v>
      </c>
      <c r="D308" s="267">
        <v>612</v>
      </c>
      <c r="E308" s="267">
        <v>451.26481804999997</v>
      </c>
      <c r="F308" s="267">
        <v>922.55919100000006</v>
      </c>
      <c r="G308" s="267">
        <v>796.56442970000001</v>
      </c>
      <c r="H308" s="267">
        <v>252</v>
      </c>
      <c r="I308" s="267">
        <v>1302.96119905</v>
      </c>
      <c r="J308" s="267">
        <v>1639.8602000000001</v>
      </c>
      <c r="K308" s="267">
        <v>1458.3974815399999</v>
      </c>
      <c r="L308" s="267">
        <v>1380.6381789</v>
      </c>
      <c r="M308" s="267"/>
    </row>
    <row r="309" spans="1:13" s="266" customFormat="1" ht="11.25" hidden="1">
      <c r="A309" s="276" t="s">
        <v>339</v>
      </c>
      <c r="B309" s="271">
        <v>320.75</v>
      </c>
      <c r="C309" s="265">
        <v>199.00266031000001</v>
      </c>
      <c r="D309" s="265">
        <v>612</v>
      </c>
      <c r="E309" s="269">
        <v>451.26481804999997</v>
      </c>
      <c r="F309" s="265">
        <v>922.55919100000006</v>
      </c>
      <c r="G309" s="265">
        <v>796.56442970000001</v>
      </c>
      <c r="H309" s="265">
        <v>252</v>
      </c>
      <c r="I309" s="267">
        <v>1302.96119905</v>
      </c>
      <c r="J309" s="267"/>
      <c r="K309" s="267"/>
      <c r="L309" s="267"/>
      <c r="M309" s="267"/>
    </row>
    <row r="310" spans="1:13" s="266" customFormat="1" ht="11.25" hidden="1">
      <c r="A310" s="276" t="s">
        <v>340</v>
      </c>
      <c r="B310" s="271"/>
      <c r="C310" s="265"/>
      <c r="D310" s="265"/>
      <c r="E310" s="269"/>
      <c r="F310" s="265"/>
      <c r="G310" s="265"/>
      <c r="H310" s="265"/>
      <c r="K310" s="267"/>
      <c r="L310" s="267"/>
      <c r="M310" s="267"/>
    </row>
    <row r="311" spans="1:13" s="266" customFormat="1" ht="11.25">
      <c r="A311" s="276"/>
      <c r="B311" s="267"/>
      <c r="C311" s="267"/>
      <c r="D311" s="265"/>
      <c r="E311" s="269"/>
      <c r="F311" s="267"/>
      <c r="G311" s="267"/>
      <c r="H311" s="265"/>
      <c r="K311" s="267"/>
      <c r="L311" s="267"/>
      <c r="M311" s="267"/>
    </row>
    <row r="312" spans="1:13" s="266" customFormat="1" ht="11.25">
      <c r="A312" s="261" t="s">
        <v>341</v>
      </c>
      <c r="B312" s="269" t="s">
        <v>1229</v>
      </c>
      <c r="C312" s="269">
        <f>SUM(C313)</f>
        <v>791.97463387000005</v>
      </c>
      <c r="D312" s="269">
        <f>SUM(D313)</f>
        <v>668</v>
      </c>
      <c r="E312" s="269">
        <f>SUM(E313)</f>
        <v>1670.6775057999998</v>
      </c>
      <c r="F312" s="269">
        <f>SUM(F313)</f>
        <v>1111.9583525999999</v>
      </c>
      <c r="G312" s="269">
        <f>SUM(G313)</f>
        <v>695.91698860000008</v>
      </c>
      <c r="H312" s="269">
        <f>SUM(H313:H314)</f>
        <v>1039</v>
      </c>
      <c r="I312" s="269">
        <v>210.76003889</v>
      </c>
      <c r="J312" s="269">
        <v>2072.2003</v>
      </c>
      <c r="K312" s="269">
        <v>1914.56615083</v>
      </c>
      <c r="L312" s="269">
        <v>1848.4246934999999</v>
      </c>
      <c r="M312" s="267"/>
    </row>
    <row r="313" spans="1:13" s="266" customFormat="1" ht="11.25" hidden="1">
      <c r="A313" s="261" t="s">
        <v>342</v>
      </c>
      <c r="B313" s="277" t="s">
        <v>1229</v>
      </c>
      <c r="C313" s="265">
        <v>791.97463387000005</v>
      </c>
      <c r="D313" s="265">
        <v>668</v>
      </c>
      <c r="E313" s="269">
        <v>1670.6775057999998</v>
      </c>
      <c r="F313" s="265">
        <v>1111.9583525999999</v>
      </c>
      <c r="G313" s="265">
        <v>695.91698860000008</v>
      </c>
      <c r="H313" s="265">
        <v>410</v>
      </c>
      <c r="I313" s="267">
        <v>1.9638440399999999</v>
      </c>
      <c r="J313" s="267"/>
      <c r="K313" s="267"/>
      <c r="L313" s="267"/>
      <c r="M313" s="267"/>
    </row>
    <row r="314" spans="1:13" s="266" customFormat="1" ht="11.25" hidden="1">
      <c r="A314" s="261" t="s">
        <v>343</v>
      </c>
      <c r="B314" s="275" t="s">
        <v>1499</v>
      </c>
      <c r="C314" s="275" t="s">
        <v>1499</v>
      </c>
      <c r="D314" s="275" t="s">
        <v>1499</v>
      </c>
      <c r="E314" s="269" t="s">
        <v>1499</v>
      </c>
      <c r="F314" s="275" t="s">
        <v>1499</v>
      </c>
      <c r="G314" s="275" t="s">
        <v>1499</v>
      </c>
      <c r="H314" s="265">
        <v>629</v>
      </c>
      <c r="I314" s="267">
        <v>208.79619485000001</v>
      </c>
      <c r="J314" s="267"/>
      <c r="K314" s="267"/>
      <c r="L314" s="267"/>
      <c r="M314" s="267"/>
    </row>
    <row r="315" spans="1:13" s="266" customFormat="1" ht="11.25">
      <c r="A315" s="261"/>
      <c r="B315" s="269"/>
      <c r="C315" s="269"/>
      <c r="D315" s="265"/>
      <c r="F315" s="267"/>
      <c r="G315" s="267"/>
      <c r="H315" s="265"/>
      <c r="K315" s="267"/>
      <c r="L315" s="267"/>
      <c r="M315" s="267"/>
    </row>
    <row r="316" spans="1:13" s="266" customFormat="1" ht="11.25">
      <c r="A316" s="261" t="s">
        <v>344</v>
      </c>
      <c r="B316" s="269" t="s">
        <v>1499</v>
      </c>
      <c r="C316" s="269">
        <v>36.294765949999999</v>
      </c>
      <c r="D316" s="269">
        <v>94</v>
      </c>
      <c r="E316" s="269">
        <v>144.60370574999999</v>
      </c>
      <c r="F316" s="269">
        <v>91.228794000000008</v>
      </c>
      <c r="G316" s="269">
        <v>196.14972560000001</v>
      </c>
      <c r="H316" s="269">
        <v>29</v>
      </c>
      <c r="I316" s="269">
        <v>91.071804650000004</v>
      </c>
      <c r="J316" s="269">
        <v>68.803700000000006</v>
      </c>
      <c r="K316" s="269">
        <v>90.951559610000004</v>
      </c>
      <c r="L316" s="269">
        <v>300.36572983999997</v>
      </c>
      <c r="M316" s="267"/>
    </row>
    <row r="317" spans="1:13" s="266" customFormat="1" ht="11.25" hidden="1">
      <c r="A317" s="261" t="s">
        <v>345</v>
      </c>
      <c r="B317" s="269" t="s">
        <v>1499</v>
      </c>
      <c r="C317" s="265">
        <v>36.294765949999999</v>
      </c>
      <c r="D317" s="265">
        <v>94</v>
      </c>
      <c r="E317" s="265">
        <v>144.60370574999999</v>
      </c>
      <c r="F317" s="265">
        <v>91.228794000000008</v>
      </c>
      <c r="G317" s="265">
        <v>196.14972560000001</v>
      </c>
      <c r="H317" s="265">
        <v>29</v>
      </c>
      <c r="I317" s="267">
        <v>91.071804650000004</v>
      </c>
      <c r="J317" s="267"/>
      <c r="K317" s="267"/>
      <c r="L317" s="267"/>
      <c r="M317" s="267"/>
    </row>
    <row r="318" spans="1:13" s="266" customFormat="1" ht="11.25">
      <c r="A318" s="261"/>
      <c r="B318" s="269"/>
      <c r="C318" s="269"/>
      <c r="D318" s="265"/>
      <c r="F318" s="267"/>
      <c r="G318" s="267"/>
      <c r="H318" s="265"/>
      <c r="K318" s="267"/>
      <c r="L318" s="267"/>
      <c r="M318" s="267"/>
    </row>
    <row r="319" spans="1:13" s="266" customFormat="1" ht="11.25">
      <c r="A319" s="276" t="s">
        <v>346</v>
      </c>
      <c r="B319" s="269">
        <v>1.649</v>
      </c>
      <c r="C319" s="269">
        <v>0.66717795000000002</v>
      </c>
      <c r="D319" s="269">
        <v>44</v>
      </c>
      <c r="E319" s="269">
        <v>94.936300529999997</v>
      </c>
      <c r="F319" s="269">
        <v>30.692106600000002</v>
      </c>
      <c r="G319" s="269">
        <v>24.725014399999999</v>
      </c>
      <c r="H319" s="269">
        <v>41</v>
      </c>
      <c r="I319" s="269">
        <v>28.683155110000001</v>
      </c>
      <c r="J319" s="269">
        <v>39.029899999999998</v>
      </c>
      <c r="K319" s="269">
        <v>30.698267950000002</v>
      </c>
      <c r="L319" s="269">
        <v>7.3809046499999997</v>
      </c>
      <c r="M319" s="267"/>
    </row>
    <row r="320" spans="1:13" s="266" customFormat="1" ht="11.25" hidden="1">
      <c r="A320" s="276" t="s">
        <v>347</v>
      </c>
      <c r="B320" s="271">
        <v>1.649</v>
      </c>
      <c r="C320" s="265">
        <v>0.66717795000000002</v>
      </c>
      <c r="D320" s="265">
        <v>44</v>
      </c>
      <c r="E320" s="269">
        <v>94.936300529999997</v>
      </c>
      <c r="F320" s="265">
        <v>30.692106600000002</v>
      </c>
      <c r="G320" s="265">
        <v>24.725014399999999</v>
      </c>
      <c r="H320" s="265">
        <v>41</v>
      </c>
      <c r="I320" s="267">
        <v>28.683155110000001</v>
      </c>
      <c r="J320" s="267"/>
      <c r="K320" s="267"/>
      <c r="L320" s="267"/>
    </row>
    <row r="321" spans="1:12" s="266" customFormat="1" ht="11.25">
      <c r="A321" s="276"/>
      <c r="B321" s="269"/>
      <c r="C321" s="269"/>
      <c r="D321" s="265"/>
      <c r="E321" s="269"/>
      <c r="F321" s="267"/>
      <c r="G321" s="267"/>
      <c r="H321" s="265"/>
      <c r="K321" s="267"/>
      <c r="L321" s="267"/>
    </row>
    <row r="322" spans="1:12" s="266" customFormat="1" ht="11.25">
      <c r="A322" s="286" t="s">
        <v>348</v>
      </c>
      <c r="B322" s="269">
        <f>SUM(B324)</f>
        <v>4531.0680000000002</v>
      </c>
      <c r="C322" s="269">
        <f>SUM(C324)</f>
        <v>3622.1976</v>
      </c>
      <c r="D322" s="269">
        <f>SUM(D324)</f>
        <v>657</v>
      </c>
      <c r="E322" s="269">
        <f>SUM(E324)</f>
        <v>275.08056668</v>
      </c>
      <c r="F322" s="269" t="s">
        <v>1229</v>
      </c>
      <c r="G322" s="269" t="s">
        <v>1229</v>
      </c>
      <c r="H322" s="269" t="s">
        <v>1229</v>
      </c>
      <c r="I322" s="269" t="s">
        <v>1229</v>
      </c>
      <c r="J322" s="269" t="s">
        <v>1229</v>
      </c>
      <c r="K322" s="264" t="s">
        <v>1229</v>
      </c>
      <c r="L322" s="264" t="s">
        <v>1229</v>
      </c>
    </row>
    <row r="323" spans="1:12" s="266" customFormat="1" ht="11.25">
      <c r="A323" s="276"/>
      <c r="B323" s="269"/>
      <c r="C323" s="269"/>
      <c r="D323" s="265"/>
      <c r="E323" s="269"/>
      <c r="F323" s="269"/>
      <c r="G323" s="269"/>
      <c r="H323" s="269"/>
      <c r="K323" s="267"/>
      <c r="L323" s="267"/>
    </row>
    <row r="324" spans="1:12" s="266" customFormat="1" ht="11.25">
      <c r="A324" s="276" t="s">
        <v>349</v>
      </c>
      <c r="B324" s="267">
        <v>4531.0680000000002</v>
      </c>
      <c r="C324" s="267">
        <v>3622.1976</v>
      </c>
      <c r="D324" s="267">
        <v>657</v>
      </c>
      <c r="E324" s="267">
        <v>275.08056668</v>
      </c>
      <c r="F324" s="269" t="s">
        <v>1229</v>
      </c>
      <c r="G324" s="269" t="s">
        <v>1229</v>
      </c>
      <c r="H324" s="269" t="s">
        <v>1229</v>
      </c>
      <c r="I324" s="269" t="s">
        <v>1229</v>
      </c>
      <c r="J324" s="269" t="s">
        <v>1229</v>
      </c>
      <c r="K324" s="264" t="s">
        <v>1229</v>
      </c>
      <c r="L324" s="264" t="s">
        <v>1229</v>
      </c>
    </row>
    <row r="325" spans="1:12" s="266" customFormat="1" ht="11.25" hidden="1">
      <c r="A325" s="261" t="s">
        <v>202</v>
      </c>
      <c r="B325" s="271">
        <v>4531.0680000000002</v>
      </c>
      <c r="C325" s="265">
        <v>3622.1976</v>
      </c>
      <c r="D325" s="265">
        <v>657</v>
      </c>
      <c r="E325" s="265">
        <v>275.08056668</v>
      </c>
      <c r="F325" s="277" t="s">
        <v>1229</v>
      </c>
      <c r="G325" s="277" t="s">
        <v>1499</v>
      </c>
      <c r="H325" s="277" t="s">
        <v>1499</v>
      </c>
      <c r="I325" s="277" t="s">
        <v>1499</v>
      </c>
      <c r="J325" s="277"/>
      <c r="K325" s="269"/>
      <c r="L325" s="269"/>
    </row>
    <row r="326" spans="1:12" s="266" customFormat="1" ht="11.25">
      <c r="A326" s="261"/>
      <c r="B326" s="269"/>
      <c r="C326" s="269"/>
      <c r="D326" s="270"/>
      <c r="E326" s="269"/>
      <c r="F326" s="269"/>
      <c r="G326" s="269"/>
      <c r="H326" s="265"/>
      <c r="K326" s="267"/>
      <c r="L326" s="267"/>
    </row>
    <row r="327" spans="1:12" s="266" customFormat="1" ht="12" thickBot="1">
      <c r="A327" s="287" t="s">
        <v>203</v>
      </c>
      <c r="B327" s="288">
        <v>465589.99899999995</v>
      </c>
      <c r="C327" s="288">
        <v>600477.77221597976</v>
      </c>
      <c r="D327" s="288">
        <v>648928</v>
      </c>
      <c r="E327" s="288">
        <v>706313.51911328989</v>
      </c>
      <c r="F327" s="288">
        <v>725103.36773990002</v>
      </c>
      <c r="G327" s="288">
        <v>800000.47908750013</v>
      </c>
      <c r="H327" s="288">
        <v>755126.97806325997</v>
      </c>
      <c r="I327" s="288">
        <v>730487.56453840993</v>
      </c>
      <c r="J327" s="288">
        <f>J288+J277+J237+J224+J111+J23</f>
        <v>661731.43799999985</v>
      </c>
      <c r="K327" s="288">
        <f>K288+K277+K237+K224+K111+K23</f>
        <v>694417.72537401004</v>
      </c>
      <c r="L327" s="288">
        <f>L288+L277+L237+L224+L111+L23</f>
        <v>745825.11387222994</v>
      </c>
    </row>
    <row r="328" spans="1:12" s="266" customFormat="1" ht="11.25">
      <c r="A328" s="233" t="s">
        <v>179</v>
      </c>
      <c r="B328" s="269"/>
      <c r="C328" s="269"/>
      <c r="D328" s="270"/>
      <c r="E328" s="269"/>
      <c r="F328" s="267"/>
      <c r="G328" s="267"/>
      <c r="H328" s="265"/>
    </row>
    <row r="329" spans="1:12" s="266" customFormat="1" ht="11.25">
      <c r="A329" s="289"/>
      <c r="B329" s="269"/>
      <c r="C329" s="269"/>
      <c r="D329" s="270"/>
      <c r="E329" s="269"/>
      <c r="F329" s="267"/>
      <c r="G329" s="267"/>
      <c r="H329" s="265"/>
    </row>
    <row r="330" spans="1:12" s="266" customFormat="1" ht="11.25">
      <c r="A330" s="261"/>
      <c r="B330" s="269"/>
      <c r="C330" s="269"/>
      <c r="D330" s="270"/>
      <c r="F330" s="267"/>
      <c r="G330" s="267"/>
      <c r="H330" s="265"/>
    </row>
    <row r="331" spans="1:12" s="266" customFormat="1" ht="11.25">
      <c r="A331" s="261"/>
      <c r="B331" s="269"/>
      <c r="C331" s="269"/>
      <c r="D331" s="270"/>
      <c r="E331" s="269"/>
      <c r="F331" s="267"/>
      <c r="G331" s="267"/>
      <c r="H331" s="265"/>
    </row>
    <row r="332" spans="1:12" s="266" customFormat="1" ht="11.25">
      <c r="A332" s="261"/>
      <c r="B332" s="269"/>
      <c r="C332" s="269"/>
      <c r="D332" s="270"/>
      <c r="E332" s="269"/>
      <c r="F332" s="267"/>
      <c r="G332" s="267"/>
      <c r="H332" s="265"/>
    </row>
    <row r="333" spans="1:12" s="266" customFormat="1" ht="11.25">
      <c r="A333" s="261"/>
      <c r="B333" s="269"/>
      <c r="C333" s="269"/>
      <c r="D333" s="270"/>
      <c r="F333" s="267"/>
      <c r="G333" s="267"/>
      <c r="H333" s="265"/>
    </row>
    <row r="334" spans="1:12" s="266" customFormat="1" ht="11.25">
      <c r="A334" s="261"/>
      <c r="B334" s="269"/>
      <c r="C334" s="269"/>
      <c r="D334" s="270"/>
      <c r="E334" s="269"/>
      <c r="F334" s="267"/>
      <c r="G334" s="267"/>
      <c r="H334" s="265"/>
    </row>
  </sheetData>
  <phoneticPr fontId="18" type="noConversion"/>
  <pageMargins left="0.75" right="0.75" top="0.98" bottom="0.6" header="0.5" footer="0.5"/>
  <pageSetup paperSize="9" scale="9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F49" sqref="F49"/>
    </sheetView>
  </sheetViews>
  <sheetFormatPr defaultRowHeight="12.75"/>
  <cols>
    <col min="1" max="1" width="6"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1" t="s">
        <v>1761</v>
      </c>
      <c r="B1" s="4"/>
    </row>
    <row r="2" spans="1:13">
      <c r="A2" s="41" t="s">
        <v>1762</v>
      </c>
      <c r="B2" s="4"/>
      <c r="C2" s="4"/>
      <c r="D2" s="4"/>
      <c r="E2" s="4"/>
      <c r="F2" s="4"/>
      <c r="G2" s="4"/>
      <c r="H2" s="4"/>
      <c r="I2" s="4"/>
      <c r="J2" s="4"/>
      <c r="K2" s="4"/>
      <c r="L2" s="4"/>
    </row>
    <row r="3" spans="1:13">
      <c r="A3" s="9" t="s">
        <v>1763</v>
      </c>
      <c r="B3" s="4"/>
      <c r="C3" s="4"/>
      <c r="D3" s="4"/>
      <c r="E3" s="4"/>
      <c r="F3" s="4"/>
      <c r="G3" s="4"/>
      <c r="H3" s="4"/>
      <c r="I3" s="4"/>
      <c r="J3" s="4"/>
      <c r="K3" s="4"/>
      <c r="L3" s="4"/>
    </row>
    <row r="4" spans="1:13" ht="13.5" thickBot="1"/>
    <row r="5" spans="1:13" ht="57" thickBot="1">
      <c r="A5" s="746" t="s">
        <v>1226</v>
      </c>
      <c r="B5" s="746"/>
      <c r="C5" s="439" t="s">
        <v>462</v>
      </c>
      <c r="D5" s="439" t="s">
        <v>544</v>
      </c>
      <c r="E5" s="439" t="s">
        <v>1728</v>
      </c>
      <c r="F5" s="439" t="s">
        <v>1729</v>
      </c>
      <c r="G5" s="439" t="s">
        <v>1730</v>
      </c>
      <c r="H5" s="439" t="s">
        <v>1732</v>
      </c>
      <c r="I5" s="439" t="s">
        <v>546</v>
      </c>
      <c r="J5" s="439" t="s">
        <v>1733</v>
      </c>
      <c r="K5" s="439" t="s">
        <v>465</v>
      </c>
      <c r="L5" s="439" t="s">
        <v>466</v>
      </c>
      <c r="M5" s="440" t="s">
        <v>998</v>
      </c>
    </row>
    <row r="6" spans="1:13">
      <c r="A6" s="437"/>
      <c r="B6" s="438"/>
      <c r="C6" s="438"/>
      <c r="D6" s="438"/>
      <c r="E6" s="438"/>
      <c r="F6" s="438"/>
      <c r="G6" s="438"/>
      <c r="H6" s="438"/>
      <c r="I6" s="438"/>
      <c r="J6" s="438"/>
      <c r="K6" s="438"/>
      <c r="L6" s="438"/>
      <c r="M6" s="438"/>
    </row>
    <row r="7" spans="1:13">
      <c r="A7" s="17">
        <v>1</v>
      </c>
      <c r="B7" s="4" t="s">
        <v>401</v>
      </c>
      <c r="C7" s="45">
        <v>11005</v>
      </c>
      <c r="D7" s="449" t="s">
        <v>1378</v>
      </c>
      <c r="E7" s="45">
        <v>83</v>
      </c>
      <c r="F7" s="45">
        <v>39</v>
      </c>
      <c r="G7" s="449" t="s">
        <v>1378</v>
      </c>
      <c r="H7" s="449" t="s">
        <v>1378</v>
      </c>
      <c r="I7" s="449" t="s">
        <v>1378</v>
      </c>
      <c r="J7" s="45">
        <v>588</v>
      </c>
      <c r="K7" s="449" t="s">
        <v>1378</v>
      </c>
      <c r="L7" s="45">
        <v>108</v>
      </c>
      <c r="M7" s="6">
        <f t="shared" ref="M7:M33" si="0">SUM(C7:L7)</f>
        <v>11823</v>
      </c>
    </row>
    <row r="8" spans="1:13">
      <c r="A8" s="17">
        <v>2</v>
      </c>
      <c r="B8" s="4" t="s">
        <v>402</v>
      </c>
      <c r="C8" s="45">
        <v>4356</v>
      </c>
      <c r="D8" s="449" t="s">
        <v>1378</v>
      </c>
      <c r="E8" s="449" t="s">
        <v>1378</v>
      </c>
      <c r="F8" s="45">
        <v>344</v>
      </c>
      <c r="G8" s="449" t="s">
        <v>1378</v>
      </c>
      <c r="H8" s="449" t="s">
        <v>1378</v>
      </c>
      <c r="I8" s="449" t="s">
        <v>1378</v>
      </c>
      <c r="J8" s="449" t="s">
        <v>1378</v>
      </c>
      <c r="K8" s="449" t="s">
        <v>1378</v>
      </c>
      <c r="L8" s="45">
        <v>11351</v>
      </c>
      <c r="M8" s="6">
        <f t="shared" si="0"/>
        <v>16051</v>
      </c>
    </row>
    <row r="9" spans="1:13">
      <c r="A9" s="17">
        <v>3</v>
      </c>
      <c r="B9" s="4" t="s">
        <v>207</v>
      </c>
      <c r="C9" s="45">
        <v>8594</v>
      </c>
      <c r="D9" s="449" t="s">
        <v>1378</v>
      </c>
      <c r="E9" s="45">
        <v>1794</v>
      </c>
      <c r="F9" s="449" t="s">
        <v>1378</v>
      </c>
      <c r="G9" s="449" t="s">
        <v>1378</v>
      </c>
      <c r="H9" s="449" t="s">
        <v>1378</v>
      </c>
      <c r="I9" s="449" t="s">
        <v>1378</v>
      </c>
      <c r="J9" s="449" t="s">
        <v>1378</v>
      </c>
      <c r="K9" s="449" t="s">
        <v>1378</v>
      </c>
      <c r="L9" s="449" t="s">
        <v>1378</v>
      </c>
      <c r="M9" s="6">
        <f t="shared" si="0"/>
        <v>10388</v>
      </c>
    </row>
    <row r="10" spans="1:13">
      <c r="A10" s="17">
        <v>4</v>
      </c>
      <c r="B10" s="4" t="s">
        <v>1267</v>
      </c>
      <c r="C10" s="45">
        <v>38</v>
      </c>
      <c r="D10" s="449" t="s">
        <v>1378</v>
      </c>
      <c r="E10" s="45">
        <v>39260</v>
      </c>
      <c r="F10" s="449" t="s">
        <v>1378</v>
      </c>
      <c r="G10" s="449" t="s">
        <v>1378</v>
      </c>
      <c r="H10" s="449" t="s">
        <v>1378</v>
      </c>
      <c r="I10" s="449" t="s">
        <v>1378</v>
      </c>
      <c r="J10" s="449" t="s">
        <v>1378</v>
      </c>
      <c r="K10" s="449" t="s">
        <v>1378</v>
      </c>
      <c r="L10" s="449" t="s">
        <v>1378</v>
      </c>
      <c r="M10" s="6">
        <f t="shared" si="0"/>
        <v>39298</v>
      </c>
    </row>
    <row r="11" spans="1:13">
      <c r="A11" s="17">
        <v>5</v>
      </c>
      <c r="B11" s="4" t="s">
        <v>1183</v>
      </c>
      <c r="C11" s="45">
        <v>1574</v>
      </c>
      <c r="D11" s="45">
        <v>250</v>
      </c>
      <c r="E11" s="449" t="s">
        <v>1378</v>
      </c>
      <c r="F11" s="449" t="s">
        <v>1378</v>
      </c>
      <c r="G11" s="449" t="s">
        <v>1378</v>
      </c>
      <c r="H11" s="449" t="s">
        <v>1378</v>
      </c>
      <c r="I11" s="449" t="s">
        <v>1378</v>
      </c>
      <c r="J11" s="449" t="s">
        <v>1378</v>
      </c>
      <c r="K11" s="449" t="s">
        <v>1378</v>
      </c>
      <c r="L11" s="45">
        <v>3</v>
      </c>
      <c r="M11" s="6">
        <f t="shared" si="0"/>
        <v>1827</v>
      </c>
    </row>
    <row r="12" spans="1:13">
      <c r="A12" s="17">
        <v>6</v>
      </c>
      <c r="B12" s="4" t="s">
        <v>1292</v>
      </c>
      <c r="C12" s="449" t="s">
        <v>1378</v>
      </c>
      <c r="D12" s="45">
        <v>44464</v>
      </c>
      <c r="E12" s="45">
        <v>270</v>
      </c>
      <c r="F12" s="45">
        <v>482</v>
      </c>
      <c r="G12" s="449" t="s">
        <v>1378</v>
      </c>
      <c r="H12" s="449" t="s">
        <v>1378</v>
      </c>
      <c r="I12" s="449" t="s">
        <v>1378</v>
      </c>
      <c r="J12" s="449" t="s">
        <v>1378</v>
      </c>
      <c r="K12" s="45">
        <v>195</v>
      </c>
      <c r="L12" s="449" t="s">
        <v>1378</v>
      </c>
      <c r="M12" s="6">
        <f t="shared" si="0"/>
        <v>45411</v>
      </c>
    </row>
    <row r="13" spans="1:13">
      <c r="A13" s="17">
        <v>7</v>
      </c>
      <c r="B13" s="4" t="s">
        <v>1269</v>
      </c>
      <c r="C13" s="45">
        <v>30761</v>
      </c>
      <c r="D13" s="449" t="s">
        <v>1378</v>
      </c>
      <c r="E13" s="449" t="s">
        <v>1378</v>
      </c>
      <c r="F13" s="449" t="s">
        <v>1378</v>
      </c>
      <c r="G13" s="449" t="s">
        <v>1378</v>
      </c>
      <c r="H13" s="449" t="s">
        <v>1378</v>
      </c>
      <c r="I13" s="449" t="s">
        <v>1378</v>
      </c>
      <c r="J13" s="45">
        <v>14</v>
      </c>
      <c r="K13" s="449" t="s">
        <v>1378</v>
      </c>
      <c r="L13" s="449" t="s">
        <v>1378</v>
      </c>
      <c r="M13" s="6">
        <f t="shared" si="0"/>
        <v>30775</v>
      </c>
    </row>
    <row r="14" spans="1:13">
      <c r="A14" s="17">
        <v>8</v>
      </c>
      <c r="B14" s="4" t="s">
        <v>1231</v>
      </c>
      <c r="C14" s="449" t="s">
        <v>1378</v>
      </c>
      <c r="D14" s="449" t="s">
        <v>1378</v>
      </c>
      <c r="E14" s="45">
        <v>1187</v>
      </c>
      <c r="F14" s="449" t="s">
        <v>1378</v>
      </c>
      <c r="G14" s="449" t="s">
        <v>1378</v>
      </c>
      <c r="H14" s="449" t="s">
        <v>1378</v>
      </c>
      <c r="I14" s="449" t="s">
        <v>1378</v>
      </c>
      <c r="J14" s="449" t="s">
        <v>1378</v>
      </c>
      <c r="K14" s="449" t="s">
        <v>1378</v>
      </c>
      <c r="L14" s="45">
        <v>8683</v>
      </c>
      <c r="M14" s="6">
        <f t="shared" si="0"/>
        <v>9870</v>
      </c>
    </row>
    <row r="15" spans="1:13">
      <c r="A15" s="17">
        <v>9</v>
      </c>
      <c r="B15" s="4" t="s">
        <v>1271</v>
      </c>
      <c r="C15" s="45">
        <v>48</v>
      </c>
      <c r="D15" s="449" t="s">
        <v>1378</v>
      </c>
      <c r="E15" s="45">
        <v>198</v>
      </c>
      <c r="F15" s="45">
        <v>0</v>
      </c>
      <c r="G15" s="45">
        <v>1</v>
      </c>
      <c r="H15" s="449" t="s">
        <v>1378</v>
      </c>
      <c r="I15" s="45">
        <v>32267</v>
      </c>
      <c r="J15" s="45">
        <v>9</v>
      </c>
      <c r="K15" s="449" t="s">
        <v>1378</v>
      </c>
      <c r="L15" s="45">
        <v>26471</v>
      </c>
      <c r="M15" s="6">
        <f t="shared" si="0"/>
        <v>58994</v>
      </c>
    </row>
    <row r="16" spans="1:13">
      <c r="A16" s="17">
        <v>10</v>
      </c>
      <c r="B16" s="4" t="s">
        <v>1751</v>
      </c>
      <c r="C16" s="449" t="s">
        <v>1378</v>
      </c>
      <c r="D16" s="449" t="s">
        <v>1378</v>
      </c>
      <c r="E16" s="449" t="s">
        <v>1378</v>
      </c>
      <c r="F16" s="449" t="s">
        <v>1378</v>
      </c>
      <c r="G16" s="449" t="s">
        <v>1378</v>
      </c>
      <c r="H16" s="449" t="s">
        <v>1378</v>
      </c>
      <c r="I16" s="45">
        <v>3300</v>
      </c>
      <c r="J16" s="449" t="s">
        <v>1378</v>
      </c>
      <c r="K16" s="449" t="s">
        <v>1378</v>
      </c>
      <c r="L16" s="45">
        <v>93094</v>
      </c>
      <c r="M16" s="6">
        <f t="shared" si="0"/>
        <v>96394</v>
      </c>
    </row>
    <row r="17" spans="1:13">
      <c r="A17" s="17">
        <v>11</v>
      </c>
      <c r="B17" s="4" t="s">
        <v>1273</v>
      </c>
      <c r="C17" s="449" t="s">
        <v>1378</v>
      </c>
      <c r="D17" s="449" t="s">
        <v>1378</v>
      </c>
      <c r="E17" s="449" t="s">
        <v>1378</v>
      </c>
      <c r="F17" s="449" t="s">
        <v>1378</v>
      </c>
      <c r="G17" s="449" t="s">
        <v>1378</v>
      </c>
      <c r="H17" s="449" t="s">
        <v>1378</v>
      </c>
      <c r="I17" s="449" t="s">
        <v>1378</v>
      </c>
      <c r="J17" s="449" t="s">
        <v>1378</v>
      </c>
      <c r="K17" s="449" t="s">
        <v>1378</v>
      </c>
      <c r="L17" s="45">
        <v>39985</v>
      </c>
      <c r="M17" s="6">
        <f t="shared" si="0"/>
        <v>39985</v>
      </c>
    </row>
    <row r="18" spans="1:13">
      <c r="A18" s="17">
        <v>12</v>
      </c>
      <c r="B18" s="4" t="s">
        <v>593</v>
      </c>
      <c r="C18" s="449" t="s">
        <v>1378</v>
      </c>
      <c r="D18" s="449" t="s">
        <v>1378</v>
      </c>
      <c r="E18" s="449" t="s">
        <v>1378</v>
      </c>
      <c r="F18" s="449" t="s">
        <v>1378</v>
      </c>
      <c r="G18" s="449" t="s">
        <v>1378</v>
      </c>
      <c r="H18" s="449" t="s">
        <v>1378</v>
      </c>
      <c r="I18" s="449" t="s">
        <v>1378</v>
      </c>
      <c r="J18" s="449" t="s">
        <v>1378</v>
      </c>
      <c r="K18" s="449" t="s">
        <v>1378</v>
      </c>
      <c r="L18" s="45">
        <v>78533</v>
      </c>
      <c r="M18" s="6">
        <f t="shared" si="0"/>
        <v>78533</v>
      </c>
    </row>
    <row r="19" spans="1:13">
      <c r="A19" s="17">
        <v>13</v>
      </c>
      <c r="B19" s="4" t="s">
        <v>1293</v>
      </c>
      <c r="C19" s="449" t="s">
        <v>1378</v>
      </c>
      <c r="D19" s="449" t="s">
        <v>1378</v>
      </c>
      <c r="E19" s="449" t="s">
        <v>1378</v>
      </c>
      <c r="F19" s="45">
        <v>385</v>
      </c>
      <c r="G19" s="449" t="s">
        <v>1378</v>
      </c>
      <c r="H19" s="449" t="s">
        <v>1378</v>
      </c>
      <c r="I19" s="449" t="s">
        <v>1378</v>
      </c>
      <c r="J19" s="449" t="s">
        <v>1378</v>
      </c>
      <c r="K19" s="449" t="s">
        <v>1378</v>
      </c>
      <c r="L19" s="45">
        <v>8451</v>
      </c>
      <c r="M19" s="6">
        <f t="shared" si="0"/>
        <v>8836</v>
      </c>
    </row>
    <row r="20" spans="1:13">
      <c r="A20" s="17">
        <v>14</v>
      </c>
      <c r="B20" s="4" t="s">
        <v>595</v>
      </c>
      <c r="C20" s="45">
        <v>27</v>
      </c>
      <c r="D20" s="449" t="s">
        <v>1378</v>
      </c>
      <c r="E20" s="449" t="s">
        <v>1378</v>
      </c>
      <c r="F20" s="45">
        <v>28250</v>
      </c>
      <c r="G20" s="449" t="s">
        <v>1378</v>
      </c>
      <c r="H20" s="449" t="s">
        <v>1378</v>
      </c>
      <c r="I20" s="449" t="s">
        <v>1378</v>
      </c>
      <c r="J20" s="449" t="s">
        <v>1378</v>
      </c>
      <c r="K20" s="449" t="s">
        <v>1378</v>
      </c>
      <c r="L20" s="45">
        <v>41444</v>
      </c>
      <c r="M20" s="6">
        <f t="shared" si="0"/>
        <v>69721</v>
      </c>
    </row>
    <row r="21" spans="1:13">
      <c r="A21" s="17">
        <v>15</v>
      </c>
      <c r="B21" s="4" t="s">
        <v>596</v>
      </c>
      <c r="C21" s="449" t="s">
        <v>1378</v>
      </c>
      <c r="D21" s="449" t="s">
        <v>1378</v>
      </c>
      <c r="E21" s="449" t="s">
        <v>1378</v>
      </c>
      <c r="F21" s="449" t="s">
        <v>1378</v>
      </c>
      <c r="G21" s="449" t="s">
        <v>1378</v>
      </c>
      <c r="H21" s="449" t="s">
        <v>1378</v>
      </c>
      <c r="I21" s="449" t="s">
        <v>1378</v>
      </c>
      <c r="J21" s="449" t="s">
        <v>1378</v>
      </c>
      <c r="K21" s="45">
        <v>20544</v>
      </c>
      <c r="L21" s="45">
        <v>23</v>
      </c>
      <c r="M21" s="6">
        <f t="shared" si="0"/>
        <v>20567</v>
      </c>
    </row>
    <row r="22" spans="1:13">
      <c r="A22" s="17">
        <v>16</v>
      </c>
      <c r="B22" s="4" t="s">
        <v>73</v>
      </c>
      <c r="C22" s="45">
        <v>22116</v>
      </c>
      <c r="D22" s="45">
        <v>23</v>
      </c>
      <c r="E22" s="449" t="s">
        <v>1378</v>
      </c>
      <c r="F22" s="45">
        <v>26</v>
      </c>
      <c r="G22" s="45">
        <v>32</v>
      </c>
      <c r="H22" s="449" t="s">
        <v>1378</v>
      </c>
      <c r="I22" s="449" t="s">
        <v>1378</v>
      </c>
      <c r="J22" s="449" t="s">
        <v>1378</v>
      </c>
      <c r="K22" s="45">
        <v>30077</v>
      </c>
      <c r="L22" s="45">
        <v>4210</v>
      </c>
      <c r="M22" s="6">
        <f t="shared" si="0"/>
        <v>56484</v>
      </c>
    </row>
    <row r="23" spans="1:13">
      <c r="A23" s="17">
        <v>17</v>
      </c>
      <c r="B23" s="4" t="s">
        <v>74</v>
      </c>
      <c r="C23" s="45">
        <v>362</v>
      </c>
      <c r="D23" s="449" t="s">
        <v>1378</v>
      </c>
      <c r="E23" s="449" t="s">
        <v>1378</v>
      </c>
      <c r="F23" s="45">
        <v>46</v>
      </c>
      <c r="G23" s="449" t="s">
        <v>1378</v>
      </c>
      <c r="H23" s="449" t="s">
        <v>1378</v>
      </c>
      <c r="I23" s="449" t="s">
        <v>1378</v>
      </c>
      <c r="J23" s="45">
        <v>8759</v>
      </c>
      <c r="K23" s="45">
        <v>3563</v>
      </c>
      <c r="L23" s="449" t="s">
        <v>1378</v>
      </c>
      <c r="M23" s="6">
        <f t="shared" si="0"/>
        <v>12730</v>
      </c>
    </row>
    <row r="24" spans="1:13" ht="22.5">
      <c r="A24" s="195">
        <v>18</v>
      </c>
      <c r="B24" s="82" t="s">
        <v>1203</v>
      </c>
      <c r="C24" s="449" t="s">
        <v>1378</v>
      </c>
      <c r="D24" s="449" t="s">
        <v>1378</v>
      </c>
      <c r="E24" s="449" t="s">
        <v>1378</v>
      </c>
      <c r="F24" s="45">
        <v>689</v>
      </c>
      <c r="G24" s="45">
        <v>13</v>
      </c>
      <c r="H24" s="45">
        <v>297</v>
      </c>
      <c r="I24" s="449" t="s">
        <v>1378</v>
      </c>
      <c r="J24" s="449" t="s">
        <v>1378</v>
      </c>
      <c r="K24" s="449" t="s">
        <v>1378</v>
      </c>
      <c r="L24" s="449" t="s">
        <v>1378</v>
      </c>
      <c r="M24" s="6">
        <f t="shared" si="0"/>
        <v>999</v>
      </c>
    </row>
    <row r="25" spans="1:13">
      <c r="A25" s="17">
        <v>19</v>
      </c>
      <c r="B25" s="4" t="s">
        <v>1215</v>
      </c>
      <c r="C25" s="449" t="s">
        <v>1378</v>
      </c>
      <c r="D25" s="449" t="s">
        <v>1378</v>
      </c>
      <c r="E25" s="449" t="s">
        <v>1378</v>
      </c>
      <c r="F25" s="45">
        <v>360</v>
      </c>
      <c r="G25" s="45"/>
      <c r="H25" s="45">
        <v>2910</v>
      </c>
      <c r="I25" s="449" t="s">
        <v>1378</v>
      </c>
      <c r="J25" s="449" t="s">
        <v>1378</v>
      </c>
      <c r="K25" s="449" t="s">
        <v>1378</v>
      </c>
      <c r="L25" s="449" t="s">
        <v>1378</v>
      </c>
      <c r="M25" s="6">
        <f t="shared" si="0"/>
        <v>3270</v>
      </c>
    </row>
    <row r="26" spans="1:13">
      <c r="A26" s="17">
        <v>20</v>
      </c>
      <c r="B26" s="4" t="s">
        <v>1225</v>
      </c>
      <c r="C26" s="45">
        <v>165</v>
      </c>
      <c r="D26" s="449" t="s">
        <v>1378</v>
      </c>
      <c r="E26" s="449" t="s">
        <v>1378</v>
      </c>
      <c r="F26" s="45">
        <v>240</v>
      </c>
      <c r="G26" s="45">
        <v>4197</v>
      </c>
      <c r="H26" s="45">
        <v>205</v>
      </c>
      <c r="I26" s="449" t="s">
        <v>1378</v>
      </c>
      <c r="J26" s="449" t="s">
        <v>1378</v>
      </c>
      <c r="K26" s="449" t="s">
        <v>1378</v>
      </c>
      <c r="L26" s="449" t="s">
        <v>1378</v>
      </c>
      <c r="M26" s="6">
        <f t="shared" si="0"/>
        <v>4807</v>
      </c>
    </row>
    <row r="27" spans="1:13">
      <c r="A27" s="17">
        <v>21</v>
      </c>
      <c r="B27" s="4" t="s">
        <v>77</v>
      </c>
      <c r="C27" s="45">
        <v>21</v>
      </c>
      <c r="D27" s="449" t="s">
        <v>1378</v>
      </c>
      <c r="E27" s="449" t="s">
        <v>1378</v>
      </c>
      <c r="F27" s="45">
        <v>2592</v>
      </c>
      <c r="G27" s="449" t="s">
        <v>1378</v>
      </c>
      <c r="H27" s="449" t="s">
        <v>1378</v>
      </c>
      <c r="I27" s="449" t="s">
        <v>1378</v>
      </c>
      <c r="J27" s="449" t="s">
        <v>1378</v>
      </c>
      <c r="K27" s="449" t="s">
        <v>1378</v>
      </c>
      <c r="L27" s="449" t="s">
        <v>1378</v>
      </c>
      <c r="M27" s="6">
        <f t="shared" si="0"/>
        <v>2613</v>
      </c>
    </row>
    <row r="28" spans="1:13">
      <c r="A28" s="17">
        <v>22</v>
      </c>
      <c r="B28" s="4" t="s">
        <v>78</v>
      </c>
      <c r="C28" s="45">
        <v>1395</v>
      </c>
      <c r="D28" s="449" t="s">
        <v>1378</v>
      </c>
      <c r="E28" s="449" t="s">
        <v>1378</v>
      </c>
      <c r="F28" s="45">
        <v>42260</v>
      </c>
      <c r="G28" s="449" t="s">
        <v>1378</v>
      </c>
      <c r="H28" s="449" t="s">
        <v>1378</v>
      </c>
      <c r="I28" s="449" t="s">
        <v>1378</v>
      </c>
      <c r="J28" s="449" t="s">
        <v>1378</v>
      </c>
      <c r="K28" s="449" t="s">
        <v>1378</v>
      </c>
      <c r="L28" s="449" t="s">
        <v>1378</v>
      </c>
      <c r="M28" s="6">
        <f t="shared" si="0"/>
        <v>43655</v>
      </c>
    </row>
    <row r="29" spans="1:13">
      <c r="A29" s="17">
        <v>23</v>
      </c>
      <c r="B29" s="197" t="s">
        <v>1318</v>
      </c>
      <c r="C29" s="45">
        <v>43</v>
      </c>
      <c r="D29" s="449" t="s">
        <v>1378</v>
      </c>
      <c r="E29" s="449" t="s">
        <v>1378</v>
      </c>
      <c r="F29" s="45">
        <v>14299</v>
      </c>
      <c r="G29" s="45">
        <v>29</v>
      </c>
      <c r="H29" s="45">
        <v>1</v>
      </c>
      <c r="I29" s="449" t="s">
        <v>1378</v>
      </c>
      <c r="J29" s="449" t="s">
        <v>1378</v>
      </c>
      <c r="K29" s="45">
        <v>1634</v>
      </c>
      <c r="L29" s="449" t="s">
        <v>1378</v>
      </c>
      <c r="M29" s="6">
        <f t="shared" si="0"/>
        <v>16006</v>
      </c>
    </row>
    <row r="30" spans="1:13">
      <c r="A30" s="17">
        <v>24</v>
      </c>
      <c r="B30" s="4" t="s">
        <v>1087</v>
      </c>
      <c r="C30" s="45">
        <v>35</v>
      </c>
      <c r="D30" s="449" t="s">
        <v>1378</v>
      </c>
      <c r="E30" s="45">
        <v>9</v>
      </c>
      <c r="F30" s="45">
        <v>5192</v>
      </c>
      <c r="G30" s="45">
        <v>12</v>
      </c>
      <c r="H30" s="449" t="s">
        <v>1378</v>
      </c>
      <c r="I30" s="449" t="s">
        <v>1378</v>
      </c>
      <c r="J30" s="449" t="s">
        <v>1378</v>
      </c>
      <c r="K30" s="449" t="s">
        <v>1378</v>
      </c>
      <c r="L30" s="449" t="s">
        <v>1378</v>
      </c>
      <c r="M30" s="6">
        <f t="shared" si="0"/>
        <v>5248</v>
      </c>
    </row>
    <row r="31" spans="1:13">
      <c r="A31" s="17">
        <v>25</v>
      </c>
      <c r="B31" s="4" t="s">
        <v>1088</v>
      </c>
      <c r="C31" s="45">
        <v>88915</v>
      </c>
      <c r="D31" s="449" t="s">
        <v>1378</v>
      </c>
      <c r="E31" s="449" t="s">
        <v>1378</v>
      </c>
      <c r="F31" s="449" t="s">
        <v>1378</v>
      </c>
      <c r="G31" s="449" t="s">
        <v>1378</v>
      </c>
      <c r="H31" s="449" t="s">
        <v>1378</v>
      </c>
      <c r="I31" s="449" t="s">
        <v>1378</v>
      </c>
      <c r="J31" s="449" t="s">
        <v>1378</v>
      </c>
      <c r="K31" s="449" t="s">
        <v>1378</v>
      </c>
      <c r="L31" s="449" t="s">
        <v>1378</v>
      </c>
      <c r="M31" s="6">
        <f t="shared" si="0"/>
        <v>88915</v>
      </c>
    </row>
    <row r="32" spans="1:13">
      <c r="A32" s="17">
        <v>26</v>
      </c>
      <c r="B32" s="4" t="s">
        <v>422</v>
      </c>
      <c r="C32" s="45">
        <v>16774</v>
      </c>
      <c r="D32" s="449" t="s">
        <v>1378</v>
      </c>
      <c r="E32" s="449" t="s">
        <v>1378</v>
      </c>
      <c r="F32" s="449" t="s">
        <v>1378</v>
      </c>
      <c r="G32" s="449" t="s">
        <v>1378</v>
      </c>
      <c r="H32" s="449" t="s">
        <v>1378</v>
      </c>
      <c r="I32" s="449" t="s">
        <v>1378</v>
      </c>
      <c r="J32" s="449" t="s">
        <v>1378</v>
      </c>
      <c r="K32" s="449" t="s">
        <v>1378</v>
      </c>
      <c r="L32" s="449" t="s">
        <v>1378</v>
      </c>
      <c r="M32" s="6">
        <f t="shared" si="0"/>
        <v>16774</v>
      </c>
    </row>
    <row r="33" spans="1:13">
      <c r="A33" s="17">
        <v>27</v>
      </c>
      <c r="B33" s="4" t="s">
        <v>1750</v>
      </c>
      <c r="C33" s="45">
        <v>37412</v>
      </c>
      <c r="D33" s="449" t="s">
        <v>1378</v>
      </c>
      <c r="E33" s="449" t="s">
        <v>1378</v>
      </c>
      <c r="F33" s="449" t="s">
        <v>1378</v>
      </c>
      <c r="G33" s="449" t="s">
        <v>1378</v>
      </c>
      <c r="H33" s="449" t="s">
        <v>1378</v>
      </c>
      <c r="I33" s="449" t="s">
        <v>1378</v>
      </c>
      <c r="J33" s="449" t="s">
        <v>1378</v>
      </c>
      <c r="K33" s="449" t="s">
        <v>1378</v>
      </c>
      <c r="L33" s="449" t="s">
        <v>1378</v>
      </c>
      <c r="M33" s="6">
        <f t="shared" si="0"/>
        <v>37412</v>
      </c>
    </row>
    <row r="34" spans="1:13">
      <c r="A34" s="17"/>
      <c r="B34" s="4"/>
      <c r="C34" s="45"/>
      <c r="D34" s="66"/>
      <c r="E34" s="45"/>
      <c r="F34" s="45"/>
      <c r="G34" s="45"/>
      <c r="H34" s="45"/>
      <c r="I34" s="449"/>
      <c r="J34" s="45"/>
      <c r="K34" s="45"/>
      <c r="L34" s="45"/>
      <c r="M34" s="3"/>
    </row>
    <row r="35" spans="1:13" ht="13.5" thickBot="1">
      <c r="A35" s="39"/>
      <c r="B35" s="33" t="s">
        <v>1230</v>
      </c>
      <c r="C35" s="50">
        <f>SUM(C7:C34)</f>
        <v>223641</v>
      </c>
      <c r="D35" s="50">
        <f t="shared" ref="D35:L35" si="1">SUM(D7:D34)</f>
        <v>44737</v>
      </c>
      <c r="E35" s="50">
        <f t="shared" si="1"/>
        <v>42801</v>
      </c>
      <c r="F35" s="50">
        <f t="shared" si="1"/>
        <v>95204</v>
      </c>
      <c r="G35" s="50">
        <f t="shared" si="1"/>
        <v>4284</v>
      </c>
      <c r="H35" s="50">
        <f t="shared" si="1"/>
        <v>3413</v>
      </c>
      <c r="I35" s="50">
        <f t="shared" si="1"/>
        <v>35567</v>
      </c>
      <c r="J35" s="50">
        <f>SUM(J7:J34)</f>
        <v>9370</v>
      </c>
      <c r="K35" s="50">
        <f t="shared" si="1"/>
        <v>56013</v>
      </c>
      <c r="L35" s="50">
        <f t="shared" si="1"/>
        <v>312356</v>
      </c>
      <c r="M35" s="40">
        <f>SUM(C35:L35)</f>
        <v>827386</v>
      </c>
    </row>
    <row r="36" spans="1:13">
      <c r="A36" s="42" t="s">
        <v>179</v>
      </c>
    </row>
    <row r="37" spans="1:13">
      <c r="A37" s="42" t="s">
        <v>539</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election activeCell="F49" sqref="F49"/>
    </sheetView>
  </sheetViews>
  <sheetFormatPr defaultRowHeight="12.75"/>
  <cols>
    <col min="1" max="1" width="6" style="675" customWidth="1"/>
    <col min="2" max="2" width="48.6640625" style="675" bestFit="1" customWidth="1"/>
    <col min="3" max="5" width="9.33203125" style="675"/>
    <col min="6" max="6" width="10.1640625" style="675" customWidth="1"/>
    <col min="7" max="7" width="9.33203125" style="675"/>
    <col min="8" max="8" width="9.83203125" style="675" bestFit="1" customWidth="1"/>
    <col min="9" max="10" width="9.33203125" style="675"/>
    <col min="11" max="11" width="8.83203125" style="675" bestFit="1" customWidth="1"/>
    <col min="12" max="12" width="7.6640625" style="675" bestFit="1" customWidth="1"/>
    <col min="13" max="13" width="8.1640625" style="675" bestFit="1" customWidth="1"/>
    <col min="14" max="17" width="9.33203125" style="675"/>
    <col min="18" max="18" width="11.6640625" style="675" bestFit="1" customWidth="1"/>
    <col min="19" max="19" width="40.83203125" style="675" bestFit="1" customWidth="1"/>
    <col min="20" max="16384" width="9.33203125" style="675"/>
  </cols>
  <sheetData>
    <row r="1" spans="1:13">
      <c r="A1" s="41" t="s">
        <v>2050</v>
      </c>
      <c r="B1" s="4"/>
    </row>
    <row r="2" spans="1:13">
      <c r="A2" s="41" t="s">
        <v>2060</v>
      </c>
      <c r="B2" s="4"/>
      <c r="C2" s="4"/>
      <c r="D2" s="4"/>
      <c r="E2" s="4"/>
      <c r="F2" s="4"/>
      <c r="G2" s="4"/>
      <c r="H2" s="4"/>
      <c r="I2" s="4"/>
      <c r="J2" s="4"/>
      <c r="K2" s="4"/>
      <c r="L2" s="4"/>
    </row>
    <row r="3" spans="1:13">
      <c r="A3" s="9" t="s">
        <v>1763</v>
      </c>
      <c r="B3" s="4"/>
      <c r="C3" s="4"/>
      <c r="D3" s="4"/>
      <c r="E3" s="4"/>
      <c r="F3" s="4"/>
      <c r="G3" s="4"/>
      <c r="H3" s="4"/>
      <c r="I3" s="4"/>
      <c r="J3" s="4"/>
      <c r="K3" s="4"/>
      <c r="L3" s="4"/>
    </row>
    <row r="4" spans="1:13" ht="13.5" thickBot="1"/>
    <row r="5" spans="1:13" ht="57" thickBot="1">
      <c r="A5" s="746" t="s">
        <v>1226</v>
      </c>
      <c r="B5" s="746"/>
      <c r="C5" s="734" t="s">
        <v>462</v>
      </c>
      <c r="D5" s="734" t="s">
        <v>544</v>
      </c>
      <c r="E5" s="734" t="s">
        <v>1728</v>
      </c>
      <c r="F5" s="734" t="s">
        <v>1729</v>
      </c>
      <c r="G5" s="734" t="s">
        <v>1730</v>
      </c>
      <c r="H5" s="734" t="s">
        <v>1732</v>
      </c>
      <c r="I5" s="734" t="s">
        <v>546</v>
      </c>
      <c r="J5" s="734" t="s">
        <v>1733</v>
      </c>
      <c r="K5" s="734" t="s">
        <v>465</v>
      </c>
      <c r="L5" s="734" t="s">
        <v>466</v>
      </c>
      <c r="M5" s="440" t="s">
        <v>998</v>
      </c>
    </row>
    <row r="6" spans="1:13">
      <c r="A6" s="437"/>
      <c r="B6" s="438"/>
      <c r="M6" s="438"/>
    </row>
    <row r="7" spans="1:13">
      <c r="A7" s="17">
        <v>1</v>
      </c>
      <c r="B7" s="4" t="s">
        <v>401</v>
      </c>
      <c r="C7" s="45">
        <v>12071</v>
      </c>
      <c r="D7" s="45" t="s">
        <v>1229</v>
      </c>
      <c r="E7" s="45">
        <v>85</v>
      </c>
      <c r="F7" s="45">
        <v>42</v>
      </c>
      <c r="G7" s="45" t="s">
        <v>1229</v>
      </c>
      <c r="H7" s="45" t="s">
        <v>1229</v>
      </c>
      <c r="I7" s="45" t="s">
        <v>1229</v>
      </c>
      <c r="J7" s="45">
        <v>591</v>
      </c>
      <c r="K7" s="45" t="s">
        <v>1229</v>
      </c>
      <c r="L7" s="45">
        <v>113</v>
      </c>
      <c r="M7" s="6">
        <f t="shared" ref="M7:M33" si="0">SUM(C7:L7)</f>
        <v>12902</v>
      </c>
    </row>
    <row r="8" spans="1:13">
      <c r="A8" s="17">
        <v>2</v>
      </c>
      <c r="B8" s="4" t="s">
        <v>402</v>
      </c>
      <c r="C8" s="45">
        <v>1847</v>
      </c>
      <c r="D8" s="45" t="s">
        <v>1229</v>
      </c>
      <c r="E8" s="45" t="s">
        <v>1229</v>
      </c>
      <c r="F8" s="45">
        <v>418</v>
      </c>
      <c r="G8" s="45" t="s">
        <v>1229</v>
      </c>
      <c r="H8" s="45" t="s">
        <v>1229</v>
      </c>
      <c r="I8" s="45" t="s">
        <v>1229</v>
      </c>
      <c r="J8" s="45" t="s">
        <v>1229</v>
      </c>
      <c r="K8" s="45" t="s">
        <v>1229</v>
      </c>
      <c r="L8" s="45">
        <v>11857</v>
      </c>
      <c r="M8" s="6">
        <f t="shared" si="0"/>
        <v>14122</v>
      </c>
    </row>
    <row r="9" spans="1:13">
      <c r="A9" s="17">
        <v>3</v>
      </c>
      <c r="B9" s="4" t="s">
        <v>207</v>
      </c>
      <c r="C9" s="45">
        <v>8621</v>
      </c>
      <c r="D9" s="45" t="s">
        <v>1229</v>
      </c>
      <c r="E9" s="45">
        <v>1763</v>
      </c>
      <c r="F9" s="45" t="s">
        <v>1229</v>
      </c>
      <c r="G9" s="45" t="s">
        <v>1229</v>
      </c>
      <c r="H9" s="45" t="s">
        <v>1229</v>
      </c>
      <c r="I9" s="45" t="s">
        <v>1229</v>
      </c>
      <c r="J9" s="45" t="s">
        <v>1229</v>
      </c>
      <c r="K9" s="45" t="s">
        <v>1229</v>
      </c>
      <c r="L9" s="45" t="s">
        <v>1229</v>
      </c>
      <c r="M9" s="6">
        <f t="shared" si="0"/>
        <v>10384</v>
      </c>
    </row>
    <row r="10" spans="1:13">
      <c r="A10" s="17">
        <v>4</v>
      </c>
      <c r="B10" s="4" t="s">
        <v>1267</v>
      </c>
      <c r="C10" s="45">
        <v>12</v>
      </c>
      <c r="D10" s="45" t="s">
        <v>1229</v>
      </c>
      <c r="E10" s="45">
        <v>40182</v>
      </c>
      <c r="F10" s="45" t="s">
        <v>1229</v>
      </c>
      <c r="G10" s="45" t="s">
        <v>1229</v>
      </c>
      <c r="H10" s="45" t="s">
        <v>1229</v>
      </c>
      <c r="I10" s="45" t="s">
        <v>1229</v>
      </c>
      <c r="J10" s="45" t="s">
        <v>1229</v>
      </c>
      <c r="K10" s="45" t="s">
        <v>1229</v>
      </c>
      <c r="L10" s="45" t="s">
        <v>1229</v>
      </c>
      <c r="M10" s="6">
        <f t="shared" si="0"/>
        <v>40194</v>
      </c>
    </row>
    <row r="11" spans="1:13">
      <c r="A11" s="17">
        <v>5</v>
      </c>
      <c r="B11" s="4" t="s">
        <v>1183</v>
      </c>
      <c r="C11" s="45">
        <v>1405</v>
      </c>
      <c r="D11" s="45">
        <v>256</v>
      </c>
      <c r="E11" s="45"/>
      <c r="F11" s="45" t="s">
        <v>1229</v>
      </c>
      <c r="G11" s="45" t="s">
        <v>1229</v>
      </c>
      <c r="H11" s="45" t="s">
        <v>1229</v>
      </c>
      <c r="I11" s="45" t="s">
        <v>1229</v>
      </c>
      <c r="J11" s="45" t="s">
        <v>1229</v>
      </c>
      <c r="K11" s="45" t="s">
        <v>1229</v>
      </c>
      <c r="L11" s="45">
        <v>2</v>
      </c>
      <c r="M11" s="6">
        <f t="shared" si="0"/>
        <v>1663</v>
      </c>
    </row>
    <row r="12" spans="1:13">
      <c r="A12" s="17">
        <v>6</v>
      </c>
      <c r="B12" s="4" t="s">
        <v>1292</v>
      </c>
      <c r="C12" s="45" t="s">
        <v>1229</v>
      </c>
      <c r="D12" s="45">
        <v>46923</v>
      </c>
      <c r="E12" s="45">
        <v>382</v>
      </c>
      <c r="F12" s="45">
        <v>469</v>
      </c>
      <c r="G12" s="45" t="s">
        <v>1229</v>
      </c>
      <c r="H12" s="45" t="s">
        <v>1229</v>
      </c>
      <c r="I12" s="45" t="s">
        <v>1229</v>
      </c>
      <c r="J12" s="45" t="s">
        <v>1229</v>
      </c>
      <c r="K12" s="45">
        <v>204</v>
      </c>
      <c r="L12" s="45" t="s">
        <v>1229</v>
      </c>
      <c r="M12" s="6">
        <f t="shared" si="0"/>
        <v>47978</v>
      </c>
    </row>
    <row r="13" spans="1:13">
      <c r="A13" s="17">
        <v>7</v>
      </c>
      <c r="B13" s="4" t="s">
        <v>1269</v>
      </c>
      <c r="C13" s="45">
        <v>31013</v>
      </c>
      <c r="D13" s="45" t="s">
        <v>1229</v>
      </c>
      <c r="E13" s="45" t="s">
        <v>1229</v>
      </c>
      <c r="F13" s="45" t="s">
        <v>1229</v>
      </c>
      <c r="G13" s="45" t="s">
        <v>1229</v>
      </c>
      <c r="H13" s="45" t="s">
        <v>1229</v>
      </c>
      <c r="I13" s="45" t="s">
        <v>1229</v>
      </c>
      <c r="J13" s="45">
        <v>14</v>
      </c>
      <c r="K13" s="45" t="s">
        <v>1229</v>
      </c>
      <c r="L13" s="45" t="s">
        <v>1229</v>
      </c>
      <c r="M13" s="6">
        <f t="shared" si="0"/>
        <v>31027</v>
      </c>
    </row>
    <row r="14" spans="1:13">
      <c r="A14" s="17">
        <v>8</v>
      </c>
      <c r="B14" s="4" t="s">
        <v>1231</v>
      </c>
      <c r="C14" s="45" t="s">
        <v>1229</v>
      </c>
      <c r="D14" s="45" t="s">
        <v>1229</v>
      </c>
      <c r="E14" s="45">
        <v>1122</v>
      </c>
      <c r="F14" s="45" t="s">
        <v>1229</v>
      </c>
      <c r="G14" s="45" t="s">
        <v>1229</v>
      </c>
      <c r="H14" s="45" t="s">
        <v>1229</v>
      </c>
      <c r="I14" s="45" t="s">
        <v>1229</v>
      </c>
      <c r="J14" s="45" t="s">
        <v>1229</v>
      </c>
      <c r="K14" s="45" t="s">
        <v>1229</v>
      </c>
      <c r="L14" s="45">
        <v>11429</v>
      </c>
      <c r="M14" s="6">
        <f t="shared" si="0"/>
        <v>12551</v>
      </c>
    </row>
    <row r="15" spans="1:13">
      <c r="A15" s="17">
        <v>9</v>
      </c>
      <c r="B15" s="4" t="s">
        <v>1271</v>
      </c>
      <c r="C15" s="45">
        <v>47</v>
      </c>
      <c r="D15" s="45" t="s">
        <v>1229</v>
      </c>
      <c r="E15" s="45">
        <v>253</v>
      </c>
      <c r="F15" s="45">
        <v>0</v>
      </c>
      <c r="G15" s="45">
        <v>0</v>
      </c>
      <c r="H15" s="45" t="s">
        <v>1229</v>
      </c>
      <c r="I15" s="45">
        <v>33052</v>
      </c>
      <c r="J15" s="45">
        <v>23</v>
      </c>
      <c r="K15" s="45" t="s">
        <v>1229</v>
      </c>
      <c r="L15" s="45">
        <v>28213</v>
      </c>
      <c r="M15" s="6">
        <f t="shared" si="0"/>
        <v>61588</v>
      </c>
    </row>
    <row r="16" spans="1:13">
      <c r="A16" s="17">
        <v>10</v>
      </c>
      <c r="B16" s="4" t="s">
        <v>1751</v>
      </c>
      <c r="C16" s="45" t="s">
        <v>1229</v>
      </c>
      <c r="D16" s="45" t="s">
        <v>1229</v>
      </c>
      <c r="E16" s="45" t="s">
        <v>1229</v>
      </c>
      <c r="F16" s="45" t="s">
        <v>1229</v>
      </c>
      <c r="G16" s="45" t="s">
        <v>1229</v>
      </c>
      <c r="H16" s="45" t="s">
        <v>1229</v>
      </c>
      <c r="I16" s="45">
        <v>3056</v>
      </c>
      <c r="J16" s="45" t="s">
        <v>1229</v>
      </c>
      <c r="K16" s="45" t="s">
        <v>1229</v>
      </c>
      <c r="L16" s="45">
        <v>95981</v>
      </c>
      <c r="M16" s="6">
        <f t="shared" si="0"/>
        <v>99037</v>
      </c>
    </row>
    <row r="17" spans="1:13">
      <c r="A17" s="17">
        <v>11</v>
      </c>
      <c r="B17" s="4" t="s">
        <v>1273</v>
      </c>
      <c r="C17" s="45" t="s">
        <v>1229</v>
      </c>
      <c r="D17" s="45" t="s">
        <v>1229</v>
      </c>
      <c r="E17" s="45" t="s">
        <v>1229</v>
      </c>
      <c r="F17" s="45" t="s">
        <v>1229</v>
      </c>
      <c r="G17" s="45" t="s">
        <v>1229</v>
      </c>
      <c r="H17" s="45" t="s">
        <v>1229</v>
      </c>
      <c r="I17" s="45" t="s">
        <v>1229</v>
      </c>
      <c r="J17" s="45" t="s">
        <v>1229</v>
      </c>
      <c r="K17" s="45" t="s">
        <v>1229</v>
      </c>
      <c r="L17" s="45">
        <v>39313</v>
      </c>
      <c r="M17" s="6">
        <f t="shared" si="0"/>
        <v>39313</v>
      </c>
    </row>
    <row r="18" spans="1:13">
      <c r="A18" s="17">
        <v>12</v>
      </c>
      <c r="B18" s="4" t="s">
        <v>593</v>
      </c>
      <c r="C18" s="45" t="s">
        <v>1229</v>
      </c>
      <c r="D18" s="45" t="s">
        <v>1229</v>
      </c>
      <c r="E18" s="45" t="s">
        <v>1229</v>
      </c>
      <c r="F18" s="45" t="s">
        <v>1229</v>
      </c>
      <c r="G18" s="45" t="s">
        <v>1229</v>
      </c>
      <c r="H18" s="45" t="s">
        <v>1229</v>
      </c>
      <c r="I18" s="45" t="s">
        <v>1229</v>
      </c>
      <c r="J18" s="45" t="s">
        <v>1229</v>
      </c>
      <c r="K18" s="45" t="s">
        <v>1229</v>
      </c>
      <c r="L18" s="45">
        <v>80809</v>
      </c>
      <c r="M18" s="6">
        <f t="shared" si="0"/>
        <v>80809</v>
      </c>
    </row>
    <row r="19" spans="1:13">
      <c r="A19" s="17">
        <v>13</v>
      </c>
      <c r="B19" s="4" t="s">
        <v>1293</v>
      </c>
      <c r="C19" s="45" t="s">
        <v>1229</v>
      </c>
      <c r="D19" s="45" t="s">
        <v>1229</v>
      </c>
      <c r="E19" s="45" t="s">
        <v>1229</v>
      </c>
      <c r="F19" s="45">
        <v>413</v>
      </c>
      <c r="G19" s="45" t="s">
        <v>1229</v>
      </c>
      <c r="H19" s="45" t="s">
        <v>1229</v>
      </c>
      <c r="I19" s="45" t="s">
        <v>1229</v>
      </c>
      <c r="J19" s="45" t="s">
        <v>1229</v>
      </c>
      <c r="K19" s="45" t="s">
        <v>1229</v>
      </c>
      <c r="L19" s="45">
        <v>11812</v>
      </c>
      <c r="M19" s="6">
        <f t="shared" si="0"/>
        <v>12225</v>
      </c>
    </row>
    <row r="20" spans="1:13">
      <c r="A20" s="17">
        <v>14</v>
      </c>
      <c r="B20" s="4" t="s">
        <v>595</v>
      </c>
      <c r="C20" s="45">
        <v>27</v>
      </c>
      <c r="D20" s="45" t="s">
        <v>1229</v>
      </c>
      <c r="E20" s="45" t="s">
        <v>1229</v>
      </c>
      <c r="F20" s="45">
        <v>28185</v>
      </c>
      <c r="G20" s="45" t="s">
        <v>1229</v>
      </c>
      <c r="H20" s="45" t="s">
        <v>1229</v>
      </c>
      <c r="I20" s="45" t="s">
        <v>1229</v>
      </c>
      <c r="J20" s="45" t="s">
        <v>1229</v>
      </c>
      <c r="K20" s="45" t="s">
        <v>1229</v>
      </c>
      <c r="L20" s="45">
        <v>38689</v>
      </c>
      <c r="M20" s="6">
        <f t="shared" si="0"/>
        <v>66901</v>
      </c>
    </row>
    <row r="21" spans="1:13">
      <c r="A21" s="17">
        <v>15</v>
      </c>
      <c r="B21" s="4" t="s">
        <v>596</v>
      </c>
      <c r="C21" s="45" t="s">
        <v>1229</v>
      </c>
      <c r="D21" s="45" t="s">
        <v>1229</v>
      </c>
      <c r="E21" s="45" t="s">
        <v>1229</v>
      </c>
      <c r="F21" s="45" t="s">
        <v>1229</v>
      </c>
      <c r="G21" s="45" t="s">
        <v>1229</v>
      </c>
      <c r="H21" s="45" t="s">
        <v>1229</v>
      </c>
      <c r="I21" s="45" t="s">
        <v>1229</v>
      </c>
      <c r="J21" s="45" t="s">
        <v>1229</v>
      </c>
      <c r="K21" s="45">
        <v>19926</v>
      </c>
      <c r="L21" s="45">
        <v>27</v>
      </c>
      <c r="M21" s="6">
        <f t="shared" si="0"/>
        <v>19953</v>
      </c>
    </row>
    <row r="22" spans="1:13">
      <c r="A22" s="17">
        <v>16</v>
      </c>
      <c r="B22" s="4" t="s">
        <v>73</v>
      </c>
      <c r="C22" s="45">
        <v>23616</v>
      </c>
      <c r="D22" s="45">
        <v>24</v>
      </c>
      <c r="E22" s="45" t="s">
        <v>1229</v>
      </c>
      <c r="F22" s="45">
        <v>26</v>
      </c>
      <c r="G22" s="45">
        <v>59</v>
      </c>
      <c r="H22" s="45" t="s">
        <v>1229</v>
      </c>
      <c r="I22" s="45" t="s">
        <v>1229</v>
      </c>
      <c r="J22" s="45" t="s">
        <v>1229</v>
      </c>
      <c r="K22" s="45">
        <v>31435</v>
      </c>
      <c r="L22" s="45">
        <v>4260</v>
      </c>
      <c r="M22" s="6">
        <f t="shared" si="0"/>
        <v>59420</v>
      </c>
    </row>
    <row r="23" spans="1:13">
      <c r="A23" s="17">
        <v>17</v>
      </c>
      <c r="B23" s="4" t="s">
        <v>74</v>
      </c>
      <c r="C23" s="45">
        <v>347</v>
      </c>
      <c r="D23" s="45" t="s">
        <v>1229</v>
      </c>
      <c r="E23" s="45" t="s">
        <v>1229</v>
      </c>
      <c r="F23" s="45">
        <v>47</v>
      </c>
      <c r="G23" s="45" t="s">
        <v>1229</v>
      </c>
      <c r="H23" s="45" t="s">
        <v>1229</v>
      </c>
      <c r="I23" s="45" t="s">
        <v>1229</v>
      </c>
      <c r="J23" s="45">
        <v>8792</v>
      </c>
      <c r="K23" s="45">
        <v>3642</v>
      </c>
      <c r="L23" s="45" t="s">
        <v>1229</v>
      </c>
      <c r="M23" s="6">
        <f t="shared" si="0"/>
        <v>12828</v>
      </c>
    </row>
    <row r="24" spans="1:13" ht="22.5">
      <c r="A24" s="195">
        <v>18</v>
      </c>
      <c r="B24" s="82" t="s">
        <v>1203</v>
      </c>
      <c r="C24" s="45" t="s">
        <v>1229</v>
      </c>
      <c r="D24" s="45" t="s">
        <v>1229</v>
      </c>
      <c r="E24" s="45" t="s">
        <v>1229</v>
      </c>
      <c r="F24" s="45">
        <v>701</v>
      </c>
      <c r="G24" s="45">
        <v>14</v>
      </c>
      <c r="H24" s="45">
        <v>362</v>
      </c>
      <c r="I24" s="45" t="s">
        <v>1229</v>
      </c>
      <c r="J24" s="45" t="s">
        <v>1229</v>
      </c>
      <c r="K24" s="45" t="s">
        <v>1229</v>
      </c>
      <c r="L24" s="45" t="s">
        <v>1229</v>
      </c>
      <c r="M24" s="6">
        <f t="shared" si="0"/>
        <v>1077</v>
      </c>
    </row>
    <row r="25" spans="1:13">
      <c r="A25" s="17">
        <v>19</v>
      </c>
      <c r="B25" s="4" t="s">
        <v>1215</v>
      </c>
      <c r="C25" s="45" t="s">
        <v>1229</v>
      </c>
      <c r="D25" s="45" t="s">
        <v>1229</v>
      </c>
      <c r="E25" s="45" t="s">
        <v>1229</v>
      </c>
      <c r="F25" s="45">
        <v>369</v>
      </c>
      <c r="G25" s="45" t="s">
        <v>1229</v>
      </c>
      <c r="H25" s="45">
        <v>2510</v>
      </c>
      <c r="I25" s="45" t="s">
        <v>1229</v>
      </c>
      <c r="J25" s="45" t="s">
        <v>1229</v>
      </c>
      <c r="K25" s="45" t="s">
        <v>1229</v>
      </c>
      <c r="L25" s="45" t="s">
        <v>1229</v>
      </c>
      <c r="M25" s="6">
        <f t="shared" si="0"/>
        <v>2879</v>
      </c>
    </row>
    <row r="26" spans="1:13">
      <c r="A26" s="17">
        <v>20</v>
      </c>
      <c r="B26" s="4" t="s">
        <v>1225</v>
      </c>
      <c r="C26" s="45">
        <v>157</v>
      </c>
      <c r="D26" s="45" t="s">
        <v>1229</v>
      </c>
      <c r="E26" s="45" t="s">
        <v>1229</v>
      </c>
      <c r="F26" s="45">
        <v>239</v>
      </c>
      <c r="G26" s="45">
        <v>4476</v>
      </c>
      <c r="H26" s="45">
        <v>213</v>
      </c>
      <c r="I26" s="45" t="s">
        <v>1229</v>
      </c>
      <c r="J26" s="45" t="s">
        <v>1229</v>
      </c>
      <c r="K26" s="45" t="s">
        <v>1229</v>
      </c>
      <c r="L26" s="45" t="s">
        <v>1229</v>
      </c>
      <c r="M26" s="6">
        <f t="shared" si="0"/>
        <v>5085</v>
      </c>
    </row>
    <row r="27" spans="1:13">
      <c r="A27" s="17">
        <v>21</v>
      </c>
      <c r="B27" s="4" t="s">
        <v>77</v>
      </c>
      <c r="C27" s="45">
        <v>19</v>
      </c>
      <c r="D27" s="45" t="s">
        <v>1229</v>
      </c>
      <c r="E27" s="45" t="s">
        <v>1229</v>
      </c>
      <c r="F27" s="45">
        <v>2840</v>
      </c>
      <c r="G27" s="45" t="s">
        <v>1229</v>
      </c>
      <c r="H27" s="45" t="s">
        <v>1229</v>
      </c>
      <c r="I27" s="45" t="s">
        <v>1229</v>
      </c>
      <c r="J27" s="45" t="s">
        <v>1229</v>
      </c>
      <c r="K27" s="45" t="s">
        <v>1229</v>
      </c>
      <c r="L27" s="45" t="s">
        <v>1229</v>
      </c>
      <c r="M27" s="6">
        <f t="shared" si="0"/>
        <v>2859</v>
      </c>
    </row>
    <row r="28" spans="1:13">
      <c r="A28" s="17">
        <v>22</v>
      </c>
      <c r="B28" s="4" t="s">
        <v>78</v>
      </c>
      <c r="C28" s="45">
        <v>1395</v>
      </c>
      <c r="D28" s="45" t="s">
        <v>1229</v>
      </c>
      <c r="E28" s="45" t="s">
        <v>1229</v>
      </c>
      <c r="F28" s="45">
        <v>44567</v>
      </c>
      <c r="G28" s="45" t="s">
        <v>1229</v>
      </c>
      <c r="H28" s="45" t="s">
        <v>1229</v>
      </c>
      <c r="I28" s="45" t="s">
        <v>1229</v>
      </c>
      <c r="J28" s="45" t="s">
        <v>1229</v>
      </c>
      <c r="K28" s="45" t="s">
        <v>1229</v>
      </c>
      <c r="L28" s="45" t="s">
        <v>1229</v>
      </c>
      <c r="M28" s="6">
        <f t="shared" si="0"/>
        <v>45962</v>
      </c>
    </row>
    <row r="29" spans="1:13">
      <c r="A29" s="17">
        <v>23</v>
      </c>
      <c r="B29" s="197" t="s">
        <v>1318</v>
      </c>
      <c r="C29" s="45">
        <v>42</v>
      </c>
      <c r="D29" s="45" t="s">
        <v>1229</v>
      </c>
      <c r="E29" s="45" t="s">
        <v>1229</v>
      </c>
      <c r="F29" s="45">
        <v>14427</v>
      </c>
      <c r="G29" s="45">
        <v>27</v>
      </c>
      <c r="H29" s="45">
        <v>1</v>
      </c>
      <c r="I29" s="45" t="s">
        <v>1229</v>
      </c>
      <c r="J29" s="45" t="s">
        <v>1229</v>
      </c>
      <c r="K29" s="45">
        <v>1706</v>
      </c>
      <c r="L29" s="45" t="s">
        <v>1229</v>
      </c>
      <c r="M29" s="6">
        <f t="shared" si="0"/>
        <v>16203</v>
      </c>
    </row>
    <row r="30" spans="1:13">
      <c r="A30" s="17">
        <v>24</v>
      </c>
      <c r="B30" s="4" t="s">
        <v>1087</v>
      </c>
      <c r="C30" s="45">
        <v>33</v>
      </c>
      <c r="D30" s="45" t="s">
        <v>1229</v>
      </c>
      <c r="E30" s="45">
        <v>1</v>
      </c>
      <c r="F30" s="45">
        <v>5392</v>
      </c>
      <c r="G30" s="45">
        <v>12</v>
      </c>
      <c r="H30" s="45" t="s">
        <v>1229</v>
      </c>
      <c r="I30" s="45" t="s">
        <v>1229</v>
      </c>
      <c r="J30" s="45" t="s">
        <v>1229</v>
      </c>
      <c r="K30" s="45" t="s">
        <v>1229</v>
      </c>
      <c r="L30" s="45" t="s">
        <v>1229</v>
      </c>
      <c r="M30" s="6">
        <f t="shared" si="0"/>
        <v>5438</v>
      </c>
    </row>
    <row r="31" spans="1:13">
      <c r="A31" s="17">
        <v>25</v>
      </c>
      <c r="B31" s="4" t="s">
        <v>1088</v>
      </c>
      <c r="C31" s="45">
        <v>93599</v>
      </c>
      <c r="D31" s="45" t="s">
        <v>1229</v>
      </c>
      <c r="E31" s="45" t="s">
        <v>1229</v>
      </c>
      <c r="F31" s="45" t="s">
        <v>1229</v>
      </c>
      <c r="G31" s="45" t="s">
        <v>1229</v>
      </c>
      <c r="H31" s="45" t="s">
        <v>1229</v>
      </c>
      <c r="I31" s="45" t="s">
        <v>1229</v>
      </c>
      <c r="J31" s="45" t="s">
        <v>1229</v>
      </c>
      <c r="K31" s="45" t="s">
        <v>1229</v>
      </c>
      <c r="L31" s="45" t="s">
        <v>1229</v>
      </c>
      <c r="M31" s="6">
        <f t="shared" si="0"/>
        <v>93599</v>
      </c>
    </row>
    <row r="32" spans="1:13">
      <c r="A32" s="17">
        <v>26</v>
      </c>
      <c r="B32" s="4" t="s">
        <v>422</v>
      </c>
      <c r="C32" s="45">
        <v>3325</v>
      </c>
      <c r="D32" s="45" t="s">
        <v>1229</v>
      </c>
      <c r="E32" s="45" t="s">
        <v>1229</v>
      </c>
      <c r="F32" s="45" t="s">
        <v>1229</v>
      </c>
      <c r="G32" s="45" t="s">
        <v>1229</v>
      </c>
      <c r="H32" s="45" t="s">
        <v>1229</v>
      </c>
      <c r="I32" s="45" t="s">
        <v>1229</v>
      </c>
      <c r="J32" s="45" t="s">
        <v>1229</v>
      </c>
      <c r="K32" s="45" t="s">
        <v>1229</v>
      </c>
      <c r="L32" s="45" t="s">
        <v>1229</v>
      </c>
      <c r="M32" s="6">
        <f t="shared" si="0"/>
        <v>3325</v>
      </c>
    </row>
    <row r="33" spans="1:13">
      <c r="A33" s="17">
        <v>27</v>
      </c>
      <c r="B33" s="4" t="s">
        <v>1750</v>
      </c>
      <c r="C33" s="45">
        <v>41553</v>
      </c>
      <c r="D33" s="45" t="s">
        <v>1229</v>
      </c>
      <c r="E33" s="45" t="s">
        <v>1229</v>
      </c>
      <c r="F33" s="45" t="s">
        <v>1229</v>
      </c>
      <c r="G33" s="45" t="s">
        <v>1229</v>
      </c>
      <c r="H33" s="45" t="s">
        <v>1229</v>
      </c>
      <c r="I33" s="45" t="s">
        <v>1229</v>
      </c>
      <c r="J33" s="45" t="s">
        <v>1229</v>
      </c>
      <c r="K33" s="45" t="s">
        <v>1229</v>
      </c>
      <c r="L33" s="45" t="s">
        <v>1229</v>
      </c>
      <c r="M33" s="6">
        <f t="shared" si="0"/>
        <v>41553</v>
      </c>
    </row>
    <row r="34" spans="1:13">
      <c r="A34" s="17"/>
      <c r="B34" s="4"/>
      <c r="C34" s="45"/>
      <c r="D34" s="45"/>
      <c r="E34" s="45"/>
      <c r="F34" s="45"/>
      <c r="G34" s="45"/>
      <c r="H34" s="45"/>
      <c r="I34" s="45"/>
      <c r="J34" s="45"/>
      <c r="K34" s="45"/>
      <c r="L34" s="45"/>
      <c r="M34" s="6"/>
    </row>
    <row r="35" spans="1:13" ht="13.5" thickBot="1">
      <c r="A35" s="39"/>
      <c r="B35" s="33" t="s">
        <v>1230</v>
      </c>
      <c r="C35" s="733">
        <v>219129</v>
      </c>
      <c r="D35" s="733">
        <v>47202</v>
      </c>
      <c r="E35" s="733">
        <v>43788</v>
      </c>
      <c r="F35" s="733">
        <v>98133</v>
      </c>
      <c r="G35" s="733">
        <v>4588</v>
      </c>
      <c r="H35" s="733">
        <v>3085</v>
      </c>
      <c r="I35" s="733">
        <v>36108</v>
      </c>
      <c r="J35" s="733">
        <v>9420</v>
      </c>
      <c r="K35" s="733">
        <v>56912</v>
      </c>
      <c r="L35" s="733">
        <v>322505</v>
      </c>
      <c r="M35" s="79">
        <f>SUM(C35:L35)</f>
        <v>840870</v>
      </c>
    </row>
    <row r="36" spans="1:13">
      <c r="A36" s="42" t="s">
        <v>179</v>
      </c>
    </row>
    <row r="37" spans="1:13">
      <c r="A37" s="42" t="s">
        <v>539</v>
      </c>
    </row>
  </sheetData>
  <mergeCells count="1">
    <mergeCell ref="A5:B5"/>
  </mergeCells>
  <pageMargins left="0.7" right="0.7" top="0.75" bottom="0.75" header="0.3" footer="0.3"/>
  <pageSetup paperSize="9" scale="9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zoomScaleNormal="100" workbookViewId="0">
      <selection activeCell="F49" sqref="F49"/>
    </sheetView>
  </sheetViews>
  <sheetFormatPr defaultRowHeight="11.25"/>
  <cols>
    <col min="1" max="1" width="27.6640625" style="4" customWidth="1"/>
    <col min="2" max="9" width="8.33203125" style="4" customWidth="1"/>
    <col min="10" max="11" width="8.33203125" style="55" customWidth="1"/>
    <col min="12" max="20" width="8.33203125" style="4" customWidth="1"/>
    <col min="21" max="21" width="9.33203125" style="4"/>
    <col min="22" max="22" width="17.83203125" style="4" customWidth="1"/>
    <col min="23" max="16384" width="9.33203125" style="4"/>
  </cols>
  <sheetData>
    <row r="1" spans="1:22" ht="12.75" customHeight="1">
      <c r="A1" s="1" t="s">
        <v>1445</v>
      </c>
    </row>
    <row r="2" spans="1:22" ht="12.75" customHeight="1">
      <c r="A2" s="1" t="s">
        <v>1947</v>
      </c>
    </row>
    <row r="3" spans="1:22" ht="12.75" customHeight="1">
      <c r="A3" s="7" t="s">
        <v>1948</v>
      </c>
      <c r="V3" s="448"/>
    </row>
    <row r="4" spans="1:22" ht="13.5" customHeight="1" thickBot="1">
      <c r="A4" s="8"/>
      <c r="Q4" s="32"/>
      <c r="R4" s="32"/>
    </row>
    <row r="5" spans="1:22" ht="13.5" customHeight="1" thickBot="1">
      <c r="A5" s="29" t="s">
        <v>506</v>
      </c>
      <c r="B5" s="29">
        <v>1995</v>
      </c>
      <c r="C5" s="29">
        <v>1996</v>
      </c>
      <c r="D5" s="29">
        <v>1997</v>
      </c>
      <c r="E5" s="29">
        <v>1998</v>
      </c>
      <c r="F5" s="29">
        <v>1999</v>
      </c>
      <c r="G5" s="29">
        <v>2000</v>
      </c>
      <c r="H5" s="29">
        <v>2001</v>
      </c>
      <c r="I5" s="29">
        <v>2002</v>
      </c>
      <c r="J5" s="29">
        <v>2003</v>
      </c>
      <c r="K5" s="29">
        <v>2004</v>
      </c>
      <c r="L5" s="29">
        <v>2005</v>
      </c>
      <c r="M5" s="29">
        <v>2006</v>
      </c>
      <c r="N5" s="29">
        <v>2007</v>
      </c>
      <c r="O5" s="29">
        <v>2008</v>
      </c>
      <c r="P5" s="29">
        <v>2009</v>
      </c>
      <c r="Q5" s="44">
        <v>2010</v>
      </c>
      <c r="R5" s="29">
        <v>2011</v>
      </c>
      <c r="S5" s="29">
        <v>2012</v>
      </c>
      <c r="T5" s="29">
        <v>2013</v>
      </c>
      <c r="U5" s="29">
        <v>2014</v>
      </c>
    </row>
    <row r="6" spans="1:22" ht="12.75" customHeight="1"/>
    <row r="7" spans="1:22" ht="12.75" customHeight="1">
      <c r="A7" s="4" t="s">
        <v>540</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row>
    <row r="8" spans="1:22" ht="12.75" customHeight="1">
      <c r="A8" s="4" t="s">
        <v>541</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row>
    <row r="9" spans="1:22" ht="12.75" customHeight="1">
      <c r="A9" s="4" t="s">
        <v>542</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row>
    <row r="10" spans="1:22" ht="12.75" customHeight="1">
      <c r="A10" s="4" t="s">
        <v>1093</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row>
    <row r="11" spans="1:22" ht="12.75" customHeight="1">
      <c r="A11" s="4" t="s">
        <v>999</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row>
    <row r="12" spans="1:22" ht="12.75" customHeight="1">
      <c r="B12" s="3"/>
      <c r="C12" s="3"/>
      <c r="D12" s="3"/>
      <c r="E12" s="3"/>
      <c r="F12" s="3"/>
      <c r="G12" s="3"/>
      <c r="J12" s="63"/>
      <c r="K12" s="63"/>
      <c r="P12" s="3"/>
      <c r="Q12" s="3"/>
      <c r="R12" s="3"/>
    </row>
    <row r="13" spans="1:22" ht="12.75" customHeight="1">
      <c r="A13" s="2" t="s">
        <v>1230</v>
      </c>
      <c r="B13" s="6">
        <v>618189</v>
      </c>
      <c r="C13" s="6">
        <v>658831</v>
      </c>
      <c r="D13" s="6">
        <v>667551</v>
      </c>
      <c r="E13" s="6">
        <v>699094</v>
      </c>
      <c r="F13" s="6">
        <v>705222</v>
      </c>
      <c r="G13" s="6">
        <v>709566</v>
      </c>
      <c r="H13" s="6">
        <v>722036.16644654551</v>
      </c>
      <c r="I13" s="6">
        <v>725331.8034371289</v>
      </c>
      <c r="J13" s="6">
        <v>703470</v>
      </c>
      <c r="K13" s="6">
        <v>740728.03516283166</v>
      </c>
      <c r="L13" s="6">
        <v>724956.01</v>
      </c>
      <c r="M13" s="6">
        <f>M7+M8+M9+M10+M11</f>
        <v>765537.76428753708</v>
      </c>
      <c r="N13" s="6">
        <f>N7+N8+N9+N10+N11</f>
        <v>769172.28399999987</v>
      </c>
      <c r="O13" s="6">
        <f>O7+O8+O9+O10+O11</f>
        <v>790263</v>
      </c>
      <c r="P13" s="6">
        <v>781270</v>
      </c>
      <c r="Q13" s="6">
        <v>786389</v>
      </c>
      <c r="R13" s="6">
        <v>801478</v>
      </c>
      <c r="S13" s="6">
        <v>811088</v>
      </c>
      <c r="T13" s="6">
        <v>827388</v>
      </c>
      <c r="U13" s="6">
        <v>840871.73699999996</v>
      </c>
    </row>
    <row r="14" spans="1:22" ht="12.75" customHeight="1">
      <c r="A14" s="4" t="s">
        <v>1090</v>
      </c>
      <c r="B14" s="3">
        <v>-38529</v>
      </c>
      <c r="C14" s="3">
        <v>88489</v>
      </c>
      <c r="D14" s="53">
        <v>-1961</v>
      </c>
      <c r="E14" s="3">
        <v>386</v>
      </c>
      <c r="F14" s="3">
        <v>-44142</v>
      </c>
      <c r="G14" s="3">
        <v>-35412</v>
      </c>
      <c r="H14" s="3">
        <v>-34426</v>
      </c>
      <c r="I14" s="3">
        <v>-46285</v>
      </c>
      <c r="J14" s="3">
        <v>-7484</v>
      </c>
      <c r="K14" s="3">
        <v>-3268</v>
      </c>
      <c r="L14" s="132">
        <v>-3269.1559999999999</v>
      </c>
      <c r="M14" s="132">
        <v>-1097.5909999999999</v>
      </c>
      <c r="N14" s="3">
        <v>-4325</v>
      </c>
      <c r="O14" s="3">
        <v>3713</v>
      </c>
      <c r="P14" s="3">
        <v>-270</v>
      </c>
      <c r="Q14" s="3">
        <v>3409</v>
      </c>
      <c r="R14" s="3">
        <v>1537</v>
      </c>
      <c r="S14" s="3">
        <v>384</v>
      </c>
      <c r="T14" s="3">
        <v>-2205</v>
      </c>
      <c r="U14" s="3">
        <v>-491.42599999999999</v>
      </c>
    </row>
    <row r="15" spans="1:22" ht="12.75" customHeight="1">
      <c r="A15" s="4" t="s">
        <v>1091</v>
      </c>
      <c r="B15" s="3">
        <v>24482</v>
      </c>
      <c r="C15" s="3">
        <v>-125840</v>
      </c>
      <c r="D15" s="53">
        <v>-10435</v>
      </c>
      <c r="E15" s="3">
        <v>-2828</v>
      </c>
      <c r="F15" s="3">
        <v>-17933</v>
      </c>
      <c r="G15" s="3">
        <v>23914</v>
      </c>
      <c r="H15" s="3">
        <v>28769</v>
      </c>
      <c r="I15" s="3">
        <v>50262</v>
      </c>
      <c r="J15" s="3">
        <v>12094</v>
      </c>
      <c r="K15" s="3">
        <v>10305</v>
      </c>
      <c r="L15" s="132">
        <v>10084.423000000001</v>
      </c>
      <c r="M15" s="132">
        <v>27501.57</v>
      </c>
      <c r="N15" s="3">
        <v>-4340</v>
      </c>
      <c r="O15" s="3">
        <v>-27901</v>
      </c>
      <c r="P15" s="3">
        <v>104674</v>
      </c>
      <c r="Q15" s="3">
        <v>-9225</v>
      </c>
      <c r="R15" s="3">
        <v>1600</v>
      </c>
      <c r="S15" s="3">
        <v>1009</v>
      </c>
      <c r="T15" s="3">
        <v>96225</v>
      </c>
      <c r="U15" s="3">
        <v>22023.357</v>
      </c>
    </row>
    <row r="16" spans="1:22" ht="12.75" customHeight="1">
      <c r="B16" s="3"/>
      <c r="C16" s="3"/>
      <c r="D16" s="3"/>
      <c r="E16" s="3"/>
      <c r="F16" s="3"/>
      <c r="G16" s="3"/>
      <c r="L16" s="132"/>
      <c r="P16" s="3"/>
      <c r="Q16" s="3"/>
      <c r="R16" s="3"/>
    </row>
    <row r="17" spans="1:21" ht="12.75" customHeight="1" thickBot="1">
      <c r="A17" s="33" t="s">
        <v>1000</v>
      </c>
      <c r="B17" s="40">
        <v>604142</v>
      </c>
      <c r="C17" s="40">
        <v>621481</v>
      </c>
      <c r="D17" s="40">
        <v>655155</v>
      </c>
      <c r="E17" s="40">
        <v>696652</v>
      </c>
      <c r="F17" s="40">
        <v>643147</v>
      </c>
      <c r="G17" s="40">
        <v>698068</v>
      </c>
      <c r="H17" s="40">
        <v>716379.44012544653</v>
      </c>
      <c r="I17" s="40">
        <v>729308.8034371289</v>
      </c>
      <c r="J17" s="40">
        <v>708081</v>
      </c>
      <c r="K17" s="40">
        <v>747765.03516283166</v>
      </c>
      <c r="L17" s="133">
        <v>731771.27699999989</v>
      </c>
      <c r="M17" s="133">
        <v>791941.79399999999</v>
      </c>
      <c r="N17" s="133">
        <v>760507</v>
      </c>
      <c r="O17" s="133">
        <v>766076</v>
      </c>
      <c r="P17" s="133">
        <v>885674</v>
      </c>
      <c r="Q17" s="79">
        <v>780573</v>
      </c>
      <c r="R17" s="79">
        <v>804615</v>
      </c>
      <c r="S17" s="79">
        <v>812480</v>
      </c>
      <c r="T17" s="79">
        <v>921408</v>
      </c>
      <c r="U17" s="79">
        <f>SUM(U13:U15)</f>
        <v>862403.66799999995</v>
      </c>
    </row>
    <row r="18" spans="1:21" ht="12.75" customHeight="1">
      <c r="A18" s="46" t="s">
        <v>1001</v>
      </c>
      <c r="R18" s="3"/>
    </row>
    <row r="31" spans="1:21">
      <c r="J31" s="4"/>
      <c r="K31" s="4"/>
      <c r="O31" s="4" t="s">
        <v>189</v>
      </c>
    </row>
  </sheetData>
  <pageMargins left="0.7" right="0.7" top="0.75" bottom="0.75" header="0.3" footer="0.3"/>
  <pageSetup paperSize="9" scale="7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workbookViewId="0">
      <selection activeCell="F49" sqref="F49"/>
    </sheetView>
  </sheetViews>
  <sheetFormatPr defaultRowHeight="11.25"/>
  <cols>
    <col min="1" max="1" width="27.33203125" style="4" customWidth="1"/>
    <col min="2" max="9" width="7.33203125" style="4" customWidth="1"/>
    <col min="10" max="11" width="7.33203125" style="55" customWidth="1"/>
    <col min="12" max="20" width="7.33203125" style="4" customWidth="1"/>
    <col min="21" max="21" width="5.6640625" style="4" bestFit="1" customWidth="1"/>
    <col min="22" max="22" width="19" style="4" customWidth="1"/>
    <col min="23" max="16384" width="9.33203125" style="4"/>
  </cols>
  <sheetData>
    <row r="1" spans="1:24" ht="12.75" customHeight="1">
      <c r="A1" s="1" t="s">
        <v>1752</v>
      </c>
    </row>
    <row r="2" spans="1:24" ht="12.75" customHeight="1">
      <c r="A2" s="1" t="s">
        <v>1949</v>
      </c>
    </row>
    <row r="3" spans="1:24" ht="12.75" customHeight="1">
      <c r="A3" s="7" t="s">
        <v>1446</v>
      </c>
    </row>
    <row r="4" spans="1:24" ht="12.75" customHeight="1">
      <c r="A4" s="7" t="s">
        <v>1950</v>
      </c>
    </row>
    <row r="5" spans="1:24" ht="13.5" customHeight="1" thickBot="1">
      <c r="A5" s="8"/>
      <c r="P5" s="32"/>
      <c r="Q5" s="44"/>
      <c r="R5" s="32"/>
    </row>
    <row r="6" spans="1:24" ht="13.5" customHeight="1" thickBot="1">
      <c r="A6" s="29" t="s">
        <v>506</v>
      </c>
      <c r="B6" s="29">
        <v>1995</v>
      </c>
      <c r="C6" s="29">
        <v>1996</v>
      </c>
      <c r="D6" s="29">
        <v>1997</v>
      </c>
      <c r="E6" s="29">
        <v>1998</v>
      </c>
      <c r="F6" s="29">
        <v>1999</v>
      </c>
      <c r="G6" s="29">
        <v>2000</v>
      </c>
      <c r="H6" s="29">
        <v>2001</v>
      </c>
      <c r="I6" s="29">
        <v>2002</v>
      </c>
      <c r="J6" s="29">
        <v>2003</v>
      </c>
      <c r="K6" s="29">
        <v>2004</v>
      </c>
      <c r="L6" s="29">
        <v>2005</v>
      </c>
      <c r="M6" s="29">
        <v>2006</v>
      </c>
      <c r="N6" s="29">
        <v>2007</v>
      </c>
      <c r="O6" s="29">
        <v>2008</v>
      </c>
      <c r="P6" s="44">
        <v>2009</v>
      </c>
      <c r="Q6" s="44">
        <v>2010</v>
      </c>
      <c r="R6" s="29">
        <v>2011</v>
      </c>
      <c r="S6" s="29">
        <v>2012</v>
      </c>
      <c r="T6" s="29">
        <v>2013</v>
      </c>
      <c r="U6" s="29">
        <v>2014</v>
      </c>
      <c r="W6" s="448"/>
    </row>
    <row r="7" spans="1:24" ht="12.75" customHeight="1"/>
    <row r="8" spans="1:24" ht="12.75" customHeight="1">
      <c r="A8" s="4" t="s">
        <v>540</v>
      </c>
      <c r="B8" s="31">
        <v>58.452930176580587</v>
      </c>
      <c r="C8" s="31">
        <v>63.316900211282999</v>
      </c>
      <c r="D8" s="31">
        <v>61.187684536462385</v>
      </c>
      <c r="E8" s="31">
        <v>61.508323630298648</v>
      </c>
      <c r="F8" s="31">
        <v>65.478388365649394</v>
      </c>
      <c r="G8" s="31">
        <v>65.226349627800644</v>
      </c>
      <c r="H8" s="31">
        <v>66.7</v>
      </c>
      <c r="I8" s="31">
        <v>67.641014755190128</v>
      </c>
      <c r="J8" s="70">
        <v>68.9986779820035</v>
      </c>
      <c r="K8" s="70">
        <v>68.459373203846368</v>
      </c>
      <c r="L8" s="70">
        <v>69.820695741249196</v>
      </c>
      <c r="M8" s="70">
        <v>68.363874405601095</v>
      </c>
      <c r="N8" s="129">
        <v>66.34</v>
      </c>
      <c r="O8" s="4">
        <v>63.6</v>
      </c>
      <c r="P8" s="31">
        <v>67.099999999999994</v>
      </c>
      <c r="Q8" s="4">
        <v>67.400000000000006</v>
      </c>
      <c r="R8" s="4">
        <v>66.900000000000006</v>
      </c>
      <c r="S8" s="31">
        <v>66.731230150119345</v>
      </c>
      <c r="T8" s="450">
        <v>67.969612752098101</v>
      </c>
      <c r="U8" s="31">
        <v>69.17724777804014</v>
      </c>
      <c r="V8" s="432"/>
      <c r="W8" s="450"/>
      <c r="X8" s="433"/>
    </row>
    <row r="9" spans="1:24" ht="12.75" customHeight="1">
      <c r="A9" s="4" t="s">
        <v>541</v>
      </c>
      <c r="B9" s="31">
        <v>18.970897249870188</v>
      </c>
      <c r="C9" s="31">
        <v>16.732970974346987</v>
      </c>
      <c r="D9" s="31">
        <v>18.401140886613906</v>
      </c>
      <c r="E9" s="31">
        <v>16.685595928444531</v>
      </c>
      <c r="F9" s="31">
        <v>17.12595466392143</v>
      </c>
      <c r="G9" s="31">
        <v>17.49745619153116</v>
      </c>
      <c r="H9" s="31">
        <v>17.571086244804128</v>
      </c>
      <c r="I9" s="31">
        <v>18.753215236451489</v>
      </c>
      <c r="J9" s="70">
        <v>20.459062740415369</v>
      </c>
      <c r="K9" s="70">
        <v>19.925261768653776</v>
      </c>
      <c r="L9" s="70">
        <v>20.589740334727345</v>
      </c>
      <c r="M9" s="70">
        <v>20.282827219700604</v>
      </c>
      <c r="N9" s="129">
        <v>21.099694226631811</v>
      </c>
      <c r="O9" s="4">
        <v>21.125751806677016</v>
      </c>
      <c r="P9" s="31">
        <v>23.459239443470249</v>
      </c>
      <c r="Q9" s="129">
        <v>24.122667026115575</v>
      </c>
      <c r="R9" s="4">
        <v>24.136532755733782</v>
      </c>
      <c r="S9" s="31">
        <v>24.847488805160474</v>
      </c>
      <c r="T9" s="450">
        <v>25.193430530778787</v>
      </c>
      <c r="U9" s="31">
        <v>25.487862960483831</v>
      </c>
      <c r="V9" s="432"/>
      <c r="W9" s="450"/>
      <c r="X9" s="433"/>
    </row>
    <row r="10" spans="1:24" ht="12.75" customHeight="1">
      <c r="A10" s="4" t="s">
        <v>542</v>
      </c>
      <c r="B10" s="31">
        <v>5.3708493680735181</v>
      </c>
      <c r="C10" s="31">
        <v>3.9981421639236769</v>
      </c>
      <c r="D10" s="31">
        <v>4.4874474010225436</v>
      </c>
      <c r="E10" s="31">
        <v>4.231762824455652</v>
      </c>
      <c r="F10" s="31">
        <v>3.3040659536996864</v>
      </c>
      <c r="G10" s="31">
        <v>2.9174171253977783</v>
      </c>
      <c r="H10" s="31">
        <v>3.0010134508413411</v>
      </c>
      <c r="I10" s="31">
        <v>3.0124097164166241</v>
      </c>
      <c r="J10" s="70">
        <v>3.0036293431134236</v>
      </c>
      <c r="K10" s="70">
        <v>2.9665408836820295</v>
      </c>
      <c r="L10" s="70">
        <v>3.2801217828375551</v>
      </c>
      <c r="M10" s="70">
        <v>3.375052044891083</v>
      </c>
      <c r="N10" s="31">
        <v>3.427840621464723</v>
      </c>
      <c r="O10" s="31">
        <v>3.4911162486412755</v>
      </c>
      <c r="P10" s="31">
        <v>3.4525836138594856</v>
      </c>
      <c r="Q10" s="31">
        <v>3.4434611877836545</v>
      </c>
      <c r="R10" s="31">
        <v>3.0041997409785424</v>
      </c>
      <c r="S10" s="31">
        <v>3.1862140729489279</v>
      </c>
      <c r="T10" s="450">
        <v>3.0396354551915179</v>
      </c>
      <c r="U10" s="31">
        <v>3.4461600651943423</v>
      </c>
      <c r="V10" s="432"/>
      <c r="W10" s="450"/>
      <c r="X10" s="433"/>
    </row>
    <row r="11" spans="1:24" ht="12.75" customHeight="1">
      <c r="A11" s="4" t="s">
        <v>1093</v>
      </c>
      <c r="B11" s="31">
        <v>16.944521731253275</v>
      </c>
      <c r="C11" s="31">
        <v>15.107493260800933</v>
      </c>
      <c r="D11" s="31">
        <v>15.577985801833869</v>
      </c>
      <c r="E11" s="31">
        <v>17.127882659556512</v>
      </c>
      <c r="F11" s="31">
        <v>13.31027676391264</v>
      </c>
      <c r="G11" s="31">
        <v>13.567307339979651</v>
      </c>
      <c r="H11" s="31">
        <v>11.803187673445507</v>
      </c>
      <c r="I11" s="31">
        <v>10.044214163666213</v>
      </c>
      <c r="J11" s="70">
        <v>6.8562980653048458</v>
      </c>
      <c r="K11" s="70">
        <v>7.9947214464284944</v>
      </c>
      <c r="L11" s="70">
        <v>5.3704279243095048</v>
      </c>
      <c r="M11" s="70">
        <v>7.1782472792122975</v>
      </c>
      <c r="N11" s="129">
        <v>6.84</v>
      </c>
      <c r="O11" s="129">
        <v>5</v>
      </c>
      <c r="P11" s="31">
        <v>4.7</v>
      </c>
      <c r="Q11" s="4">
        <v>3.7</v>
      </c>
      <c r="R11" s="4">
        <v>4.9000000000000004</v>
      </c>
      <c r="S11" s="31">
        <v>3.9080839563647842</v>
      </c>
      <c r="T11" s="450">
        <v>2.8224120923726299</v>
      </c>
      <c r="U11" s="31">
        <v>0.66461479843982441</v>
      </c>
      <c r="V11" s="432"/>
      <c r="W11" s="450"/>
      <c r="X11" s="433"/>
    </row>
    <row r="12" spans="1:24" ht="12.75" customHeight="1">
      <c r="A12" s="4" t="s">
        <v>999</v>
      </c>
      <c r="B12" s="31">
        <v>0.26076209826137031</v>
      </c>
      <c r="C12" s="31">
        <v>0.84452485610899286</v>
      </c>
      <c r="D12" s="31">
        <v>0.34574137406729971</v>
      </c>
      <c r="E12" s="31">
        <v>0.44643495724466231</v>
      </c>
      <c r="F12" s="31">
        <v>0.78131425281684352</v>
      </c>
      <c r="G12" s="31">
        <v>0.79146971529075516</v>
      </c>
      <c r="H12" s="31">
        <v>0.91834660947785129</v>
      </c>
      <c r="I12" s="31">
        <v>0.54910493408674932</v>
      </c>
      <c r="J12" s="70">
        <v>0.68233186916286404</v>
      </c>
      <c r="K12" s="70">
        <v>0.65417645619185905</v>
      </c>
      <c r="L12" s="70">
        <v>0.9390183550585367</v>
      </c>
      <c r="M12" s="70">
        <v>0.799994006607331</v>
      </c>
      <c r="N12" s="129">
        <v>2.29</v>
      </c>
      <c r="O12" s="4">
        <v>6.8</v>
      </c>
      <c r="P12" s="31">
        <v>1.3</v>
      </c>
      <c r="Q12" s="4">
        <v>1.3</v>
      </c>
      <c r="R12" s="31">
        <v>1.1000000000000001</v>
      </c>
      <c r="S12" s="31">
        <v>1.3269830154064663</v>
      </c>
      <c r="T12" s="450">
        <v>0.97486457711946795</v>
      </c>
      <c r="U12" s="31">
        <v>1.2241142789176656</v>
      </c>
      <c r="W12" s="450"/>
      <c r="X12" s="433"/>
    </row>
    <row r="13" spans="1:24" ht="12.75" customHeight="1">
      <c r="H13" s="31"/>
      <c r="I13" s="31"/>
      <c r="J13" s="70"/>
      <c r="K13" s="70"/>
      <c r="L13" s="31"/>
      <c r="N13" s="129"/>
      <c r="P13" s="31"/>
      <c r="Q13" s="129"/>
      <c r="X13" s="433"/>
    </row>
    <row r="14" spans="1:24" ht="12.75" customHeight="1" thickBot="1">
      <c r="A14" s="33" t="s">
        <v>1230</v>
      </c>
      <c r="B14" s="34">
        <v>100</v>
      </c>
      <c r="C14" s="34">
        <v>100</v>
      </c>
      <c r="D14" s="34">
        <v>100</v>
      </c>
      <c r="E14" s="34">
        <v>100</v>
      </c>
      <c r="F14" s="34">
        <v>100</v>
      </c>
      <c r="G14" s="34">
        <v>100</v>
      </c>
      <c r="H14" s="34">
        <v>100</v>
      </c>
      <c r="I14" s="34">
        <v>100</v>
      </c>
      <c r="J14" s="34">
        <v>100</v>
      </c>
      <c r="K14" s="34">
        <v>100</v>
      </c>
      <c r="L14" s="34">
        <v>100</v>
      </c>
      <c r="M14" s="34">
        <f>M8+M9+M10+M11+M12</f>
        <v>99.999994956012415</v>
      </c>
      <c r="N14" s="34">
        <f>N8+N9+N10+N11+N12</f>
        <v>99.997534848096549</v>
      </c>
      <c r="O14" s="34">
        <f>O8+O9+O10+O11+O12</f>
        <v>100.01686805531828</v>
      </c>
      <c r="P14" s="198">
        <v>100</v>
      </c>
      <c r="Q14" s="198">
        <v>100</v>
      </c>
      <c r="R14" s="198">
        <v>100</v>
      </c>
      <c r="S14" s="198">
        <v>100</v>
      </c>
      <c r="T14" s="198">
        <v>100</v>
      </c>
      <c r="U14" s="198">
        <f>SUM(U8:U12)</f>
        <v>99.999999881075809</v>
      </c>
      <c r="X14" s="433"/>
    </row>
    <row r="15" spans="1:24" ht="12.75" customHeight="1">
      <c r="A15" s="46" t="s">
        <v>1001</v>
      </c>
    </row>
    <row r="16" spans="1:24">
      <c r="A16" s="55"/>
      <c r="B16" s="68"/>
      <c r="C16" s="68"/>
      <c r="D16" s="68"/>
      <c r="E16" s="68"/>
      <c r="F16" s="68"/>
      <c r="G16" s="68"/>
      <c r="H16" s="55"/>
      <c r="I16" s="55"/>
      <c r="L16" s="69"/>
    </row>
    <row r="17" spans="1:20">
      <c r="A17" s="175"/>
      <c r="B17" s="71"/>
      <c r="C17" s="71"/>
      <c r="D17" s="71"/>
      <c r="E17" s="71"/>
      <c r="F17" s="71"/>
      <c r="G17" s="71"/>
      <c r="H17" s="71"/>
      <c r="I17" s="71"/>
      <c r="J17" s="71"/>
      <c r="K17" s="71"/>
      <c r="L17" s="177"/>
    </row>
    <row r="18" spans="1:20">
      <c r="A18" s="176"/>
      <c r="B18" s="55"/>
      <c r="C18" s="55"/>
      <c r="D18" s="55"/>
      <c r="E18" s="55"/>
      <c r="F18" s="55"/>
      <c r="G18" s="55"/>
      <c r="H18" s="55"/>
      <c r="I18" s="55"/>
      <c r="L18" s="55"/>
    </row>
    <row r="24" spans="1:20">
      <c r="N24" s="3"/>
    </row>
    <row r="25" spans="1:20">
      <c r="N25" s="3"/>
    </row>
    <row r="26" spans="1:20">
      <c r="N26" s="3"/>
    </row>
    <row r="27" spans="1:20">
      <c r="N27" s="3"/>
      <c r="T27" s="192"/>
    </row>
    <row r="28" spans="1:20">
      <c r="M28" s="31"/>
      <c r="N28" s="3"/>
      <c r="T28" s="192"/>
    </row>
    <row r="29" spans="1:20">
      <c r="M29" s="31"/>
      <c r="N29" s="3"/>
      <c r="T29" s="192"/>
    </row>
    <row r="30" spans="1:20">
      <c r="M30" s="31"/>
      <c r="T30" s="192"/>
    </row>
    <row r="31" spans="1:20">
      <c r="M31" s="31"/>
      <c r="T31" s="192"/>
    </row>
    <row r="32" spans="1:20">
      <c r="M32" s="31"/>
    </row>
    <row r="33" spans="13:13" s="4" customFormat="1">
      <c r="M33" s="31"/>
    </row>
    <row r="34" spans="13:13" s="4" customFormat="1">
      <c r="M34" s="31"/>
    </row>
    <row r="35" spans="13:13" s="4" customFormat="1"/>
  </sheetData>
  <pageMargins left="0.7" right="0.7" top="0.75" bottom="0.75" header="0.3" footer="0.3"/>
  <pageSetup paperSize="9" scale="8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F49" sqref="F49"/>
    </sheetView>
  </sheetViews>
  <sheetFormatPr defaultRowHeight="12.75"/>
  <sheetData>
    <row r="2" spans="1:1">
      <c r="A2" s="1" t="s">
        <v>1793</v>
      </c>
    </row>
    <row r="3" spans="1:1">
      <c r="A3" s="1" t="s">
        <v>1790</v>
      </c>
    </row>
    <row r="4" spans="1:1">
      <c r="A4" s="7" t="s">
        <v>1791</v>
      </c>
    </row>
  </sheetData>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6"/>
  <sheetViews>
    <sheetView zoomScaleNormal="100" workbookViewId="0">
      <selection activeCell="F49" sqref="F49"/>
    </sheetView>
  </sheetViews>
  <sheetFormatPr defaultRowHeight="11.25"/>
  <cols>
    <col min="1" max="1" width="36.6640625" style="4" customWidth="1"/>
    <col min="2" max="20" width="8.33203125" style="4" customWidth="1"/>
    <col min="21" max="21" width="9.33203125" style="4"/>
    <col min="22" max="22" width="37.5" style="4" customWidth="1"/>
    <col min="23" max="23" width="12" style="4" customWidth="1"/>
    <col min="24" max="24" width="39.6640625" style="4" customWidth="1"/>
    <col min="25" max="25" width="10.83203125" style="4" customWidth="1"/>
    <col min="26" max="16384" width="9.33203125" style="4"/>
  </cols>
  <sheetData>
    <row r="1" spans="1:25" ht="12.75" customHeight="1">
      <c r="A1" s="1" t="s">
        <v>1002</v>
      </c>
    </row>
    <row r="2" spans="1:25" ht="12.75" customHeight="1">
      <c r="A2" s="1" t="s">
        <v>1951</v>
      </c>
    </row>
    <row r="3" spans="1:25" ht="12.75" customHeight="1">
      <c r="A3" s="7" t="s">
        <v>1952</v>
      </c>
      <c r="V3" s="448"/>
    </row>
    <row r="4" spans="1:25" ht="13.5" customHeight="1" thickBot="1">
      <c r="A4" s="8"/>
      <c r="P4" s="32"/>
      <c r="Q4" s="32"/>
      <c r="R4" s="32"/>
    </row>
    <row r="5" spans="1:25" ht="13.5" customHeight="1" thickBot="1">
      <c r="A5" s="29" t="s">
        <v>1533</v>
      </c>
      <c r="B5" s="29">
        <v>1995</v>
      </c>
      <c r="C5" s="29">
        <v>1996</v>
      </c>
      <c r="D5" s="29">
        <v>1997</v>
      </c>
      <c r="E5" s="29">
        <v>1998</v>
      </c>
      <c r="F5" s="29">
        <v>1999</v>
      </c>
      <c r="G5" s="29">
        <v>2000</v>
      </c>
      <c r="H5" s="29">
        <v>2001</v>
      </c>
      <c r="I5" s="29">
        <v>2002</v>
      </c>
      <c r="J5" s="29">
        <v>2003</v>
      </c>
      <c r="K5" s="29">
        <v>2004</v>
      </c>
      <c r="L5" s="29">
        <v>2005</v>
      </c>
      <c r="M5" s="29">
        <v>2006</v>
      </c>
      <c r="N5" s="29">
        <v>2007</v>
      </c>
      <c r="O5" s="29">
        <v>2008</v>
      </c>
      <c r="P5" s="44">
        <v>2009</v>
      </c>
      <c r="Q5" s="44">
        <v>2010</v>
      </c>
      <c r="R5" s="29">
        <v>2011</v>
      </c>
      <c r="S5" s="29">
        <v>2012</v>
      </c>
      <c r="T5" s="29">
        <v>2013</v>
      </c>
      <c r="U5" s="29">
        <v>2014</v>
      </c>
    </row>
    <row r="6" spans="1:25" ht="12.75" customHeight="1">
      <c r="A6" s="48"/>
      <c r="B6" s="48"/>
      <c r="C6" s="48"/>
      <c r="D6" s="48"/>
      <c r="E6" s="48"/>
      <c r="F6" s="48"/>
      <c r="G6" s="48"/>
      <c r="H6" s="48"/>
    </row>
    <row r="7" spans="1:25" ht="12.75" customHeight="1">
      <c r="A7" s="2" t="s">
        <v>540</v>
      </c>
      <c r="B7" s="6">
        <v>361349</v>
      </c>
      <c r="C7" s="6">
        <v>417152</v>
      </c>
      <c r="D7" s="6">
        <v>408459</v>
      </c>
      <c r="E7" s="6">
        <v>430001</v>
      </c>
      <c r="F7" s="6">
        <v>461768</v>
      </c>
      <c r="G7" s="6">
        <v>462823.24223592953</v>
      </c>
      <c r="H7" s="6">
        <v>481644</v>
      </c>
      <c r="I7" s="6">
        <f>SUM(I8:I13)</f>
        <v>490621.92514411482</v>
      </c>
      <c r="J7" s="6">
        <f>SUM(J8:J13)</f>
        <v>485384.54999999993</v>
      </c>
      <c r="K7" s="6">
        <f>SUM(K8:K13)</f>
        <v>507097.7</v>
      </c>
      <c r="L7" s="6">
        <v>506169</v>
      </c>
      <c r="M7" s="6">
        <f>M8+M9+M10+M11+M12+M13</f>
        <v>523351.31028323714</v>
      </c>
      <c r="N7" s="6">
        <f>N8+N9+N10+N11+N12+N13</f>
        <v>510298.04600000003</v>
      </c>
      <c r="O7" s="6">
        <v>502529</v>
      </c>
      <c r="P7" s="6">
        <v>523916</v>
      </c>
      <c r="Q7" s="6">
        <v>530025</v>
      </c>
      <c r="R7" s="6">
        <v>536216</v>
      </c>
      <c r="S7" s="6">
        <v>541249</v>
      </c>
      <c r="T7" s="6">
        <v>562372.52300000004</v>
      </c>
      <c r="U7" s="6">
        <v>581691.92500000005</v>
      </c>
      <c r="V7" s="451"/>
      <c r="W7" s="451"/>
      <c r="X7" s="452"/>
      <c r="Y7" s="453"/>
    </row>
    <row r="8" spans="1:25" ht="12.75" customHeight="1">
      <c r="A8" s="4" t="s">
        <v>1526</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54"/>
      <c r="W8" s="454"/>
      <c r="X8" s="455"/>
      <c r="Y8" s="456"/>
    </row>
    <row r="9" spans="1:25" ht="12.75" customHeight="1">
      <c r="A9" s="4" t="s">
        <v>1527</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32">
        <v>33691</v>
      </c>
      <c r="T9" s="3">
        <v>35941.94</v>
      </c>
      <c r="U9" s="3">
        <v>36980.855000000003</v>
      </c>
      <c r="V9" s="457"/>
      <c r="W9" s="457"/>
      <c r="X9" s="67"/>
      <c r="Y9" s="458"/>
    </row>
    <row r="10" spans="1:25" ht="12.75" customHeight="1">
      <c r="A10" s="4" t="s">
        <v>1528</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57"/>
      <c r="W10" s="457"/>
      <c r="X10" s="67"/>
      <c r="Y10" s="458"/>
    </row>
    <row r="11" spans="1:25" ht="12.75" customHeight="1">
      <c r="A11" s="4" t="s">
        <v>1529</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57"/>
      <c r="W11" s="457"/>
      <c r="X11" s="67"/>
      <c r="Y11" s="458"/>
    </row>
    <row r="12" spans="1:25" ht="12.75" customHeight="1">
      <c r="A12" s="4" t="s">
        <v>1530</v>
      </c>
      <c r="B12" s="45" t="s">
        <v>1229</v>
      </c>
      <c r="C12" s="45" t="s">
        <v>1229</v>
      </c>
      <c r="D12" s="45" t="s">
        <v>1229</v>
      </c>
      <c r="E12" s="45" t="s">
        <v>1229</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57"/>
      <c r="W12" s="457"/>
      <c r="X12" s="67"/>
      <c r="Y12" s="458"/>
    </row>
    <row r="13" spans="1:25" ht="12.75" customHeight="1">
      <c r="A13" s="4" t="s">
        <v>1531</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57"/>
      <c r="W13" s="457"/>
      <c r="X13" s="67"/>
      <c r="Y13" s="458"/>
    </row>
    <row r="14" spans="1:25" ht="12.75" customHeight="1">
      <c r="A14" s="54" t="s">
        <v>1532</v>
      </c>
      <c r="B14" s="97">
        <v>15447</v>
      </c>
      <c r="C14" s="97">
        <v>16774</v>
      </c>
      <c r="D14" s="97">
        <v>20181</v>
      </c>
      <c r="E14" s="97">
        <v>21210</v>
      </c>
      <c r="F14" s="97">
        <v>20884</v>
      </c>
      <c r="G14" s="97">
        <v>22295</v>
      </c>
      <c r="H14" s="97">
        <v>23271.7553552518</v>
      </c>
      <c r="I14" s="97">
        <v>20468</v>
      </c>
      <c r="J14" s="97">
        <v>18322</v>
      </c>
      <c r="K14" s="97">
        <v>25563</v>
      </c>
      <c r="L14" s="134">
        <v>25635</v>
      </c>
      <c r="M14" s="97">
        <v>25920</v>
      </c>
      <c r="N14" s="97">
        <v>25635</v>
      </c>
      <c r="O14" s="97">
        <v>31526</v>
      </c>
      <c r="P14" s="97">
        <v>19192</v>
      </c>
      <c r="Q14" s="97">
        <v>30407</v>
      </c>
      <c r="R14" s="97">
        <v>30596</v>
      </c>
      <c r="S14" s="97">
        <v>31452</v>
      </c>
      <c r="T14" s="97">
        <v>37412.067000000003</v>
      </c>
      <c r="U14" s="97">
        <v>41552.980000000003</v>
      </c>
      <c r="V14" s="457"/>
      <c r="W14" s="457"/>
      <c r="X14" s="67"/>
      <c r="Y14" s="458"/>
    </row>
    <row r="15" spans="1:25" ht="12.75" customHeight="1">
      <c r="A15" s="54" t="s">
        <v>1443</v>
      </c>
      <c r="B15" s="97">
        <v>-4531</v>
      </c>
      <c r="C15" s="97">
        <v>-3622</v>
      </c>
      <c r="D15" s="97">
        <v>-657</v>
      </c>
      <c r="E15" s="97">
        <v>-275</v>
      </c>
      <c r="F15" s="98" t="s">
        <v>1229</v>
      </c>
      <c r="G15" s="98" t="s">
        <v>1229</v>
      </c>
      <c r="H15" s="98" t="s">
        <v>1229</v>
      </c>
      <c r="I15" s="98" t="s">
        <v>1229</v>
      </c>
      <c r="J15" s="98" t="s">
        <v>1229</v>
      </c>
      <c r="K15" s="98" t="s">
        <v>1229</v>
      </c>
      <c r="L15" s="135" t="s">
        <v>1378</v>
      </c>
      <c r="M15" s="98" t="s">
        <v>1378</v>
      </c>
      <c r="N15" s="98" t="s">
        <v>1378</v>
      </c>
      <c r="O15" s="98" t="s">
        <v>1378</v>
      </c>
      <c r="P15" s="98" t="s">
        <v>1378</v>
      </c>
      <c r="Q15" s="98" t="s">
        <v>1378</v>
      </c>
      <c r="R15" s="98" t="s">
        <v>1378</v>
      </c>
      <c r="S15" s="98" t="s">
        <v>1229</v>
      </c>
      <c r="T15" s="98" t="s">
        <v>1229</v>
      </c>
      <c r="U15" s="98" t="s">
        <v>1229</v>
      </c>
      <c r="V15" s="457"/>
      <c r="W15" s="457"/>
      <c r="X15" s="67"/>
      <c r="Y15" s="458"/>
    </row>
    <row r="16" spans="1:25" ht="12.75" customHeight="1">
      <c r="A16" s="2" t="s">
        <v>541</v>
      </c>
      <c r="B16" s="6">
        <f t="shared" ref="B16:T16" si="0">SUM(B17:B18,B20)</f>
        <v>117276</v>
      </c>
      <c r="C16" s="6">
        <f t="shared" si="0"/>
        <v>110241</v>
      </c>
      <c r="D16" s="6">
        <f t="shared" si="0"/>
        <v>122837</v>
      </c>
      <c r="E16" s="6">
        <f t="shared" si="0"/>
        <v>116646</v>
      </c>
      <c r="F16" s="6">
        <f t="shared" si="0"/>
        <v>120776</v>
      </c>
      <c r="G16" s="6">
        <f t="shared" si="0"/>
        <v>124157</v>
      </c>
      <c r="H16" s="6">
        <f t="shared" si="0"/>
        <v>126869.31534725691</v>
      </c>
      <c r="I16" s="6">
        <f t="shared" si="0"/>
        <v>136023.13872973638</v>
      </c>
      <c r="J16" s="6">
        <f t="shared" si="0"/>
        <v>143923.43315395599</v>
      </c>
      <c r="K16" s="6">
        <f t="shared" si="0"/>
        <v>147591.70000000001</v>
      </c>
      <c r="L16" s="6">
        <f t="shared" si="0"/>
        <v>149266.09000000003</v>
      </c>
      <c r="M16" s="6">
        <f t="shared" si="0"/>
        <v>155272.37165246598</v>
      </c>
      <c r="N16" s="6">
        <f t="shared" si="0"/>
        <v>162291.96599999999</v>
      </c>
      <c r="O16" s="6">
        <f t="shared" si="0"/>
        <v>166949</v>
      </c>
      <c r="P16" s="6">
        <f t="shared" si="0"/>
        <v>183280</v>
      </c>
      <c r="Q16" s="6">
        <f t="shared" si="0"/>
        <v>189698</v>
      </c>
      <c r="R16" s="6">
        <f t="shared" si="0"/>
        <v>193449</v>
      </c>
      <c r="S16" s="6">
        <f t="shared" si="0"/>
        <v>201536</v>
      </c>
      <c r="T16" s="6">
        <f t="shared" si="0"/>
        <v>208447.90000000002</v>
      </c>
      <c r="U16" s="6">
        <v>214320.236</v>
      </c>
      <c r="V16" s="451"/>
      <c r="W16" s="451"/>
      <c r="X16" s="452"/>
      <c r="Y16" s="453"/>
    </row>
    <row r="17" spans="1:25" ht="12.75" customHeight="1">
      <c r="A17" s="4" t="s">
        <v>1522</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54"/>
      <c r="W17" s="454"/>
      <c r="X17" s="455"/>
      <c r="Y17" s="456"/>
    </row>
    <row r="18" spans="1:25" ht="12.75" customHeight="1">
      <c r="A18" s="4" t="s">
        <v>1523</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32">
        <f>62356+S19</f>
        <v>72211</v>
      </c>
      <c r="T18" s="3">
        <v>75175.53</v>
      </c>
      <c r="U18" s="3">
        <v>75670.009999999995</v>
      </c>
      <c r="V18" s="457"/>
      <c r="W18" s="457"/>
      <c r="X18" s="67"/>
      <c r="Y18" s="458"/>
    </row>
    <row r="19" spans="1:25" ht="12.75" customHeight="1">
      <c r="A19" s="54" t="s">
        <v>568</v>
      </c>
      <c r="B19" s="98" t="s">
        <v>1229</v>
      </c>
      <c r="C19" s="98" t="s">
        <v>1229</v>
      </c>
      <c r="D19" s="97">
        <v>19396</v>
      </c>
      <c r="E19" s="97">
        <v>8324</v>
      </c>
      <c r="F19" s="97">
        <v>6030</v>
      </c>
      <c r="G19" s="97">
        <v>5720</v>
      </c>
      <c r="H19" s="97">
        <v>6037.6945667077007</v>
      </c>
      <c r="I19" s="97">
        <v>5663.6800088774999</v>
      </c>
      <c r="J19" s="97">
        <v>6803.1932856767999</v>
      </c>
      <c r="K19" s="97">
        <v>6974.6</v>
      </c>
      <c r="L19" s="97">
        <v>6673.33</v>
      </c>
      <c r="M19" s="97">
        <v>6905.4529719207994</v>
      </c>
      <c r="N19" s="97">
        <v>6841.7020000000002</v>
      </c>
      <c r="O19" s="97">
        <v>7433</v>
      </c>
      <c r="P19" s="97">
        <v>9010</v>
      </c>
      <c r="Q19" s="97">
        <v>9902</v>
      </c>
      <c r="R19" s="97">
        <v>9842</v>
      </c>
      <c r="S19" s="97">
        <v>9855</v>
      </c>
      <c r="T19" s="97">
        <v>11639.498</v>
      </c>
      <c r="U19" s="97">
        <v>11476.689</v>
      </c>
      <c r="V19" s="457"/>
      <c r="W19" s="457"/>
      <c r="X19" s="67"/>
      <c r="Y19" s="458"/>
    </row>
    <row r="20" spans="1:25" ht="12.75" customHeight="1">
      <c r="A20" s="4" t="s">
        <v>1524</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57"/>
      <c r="W20" s="457"/>
      <c r="X20" s="67"/>
      <c r="Y20" s="458"/>
    </row>
    <row r="21" spans="1:25" ht="12.75" customHeight="1">
      <c r="A21" s="2" t="s">
        <v>1534</v>
      </c>
      <c r="B21" s="6">
        <f>SUM(B22:B25)</f>
        <v>33203</v>
      </c>
      <c r="C21" s="6">
        <f t="shared" ref="C21:T21" si="1">SUM(C22:C25)</f>
        <v>26342</v>
      </c>
      <c r="D21" s="6">
        <f t="shared" si="1"/>
        <v>29957</v>
      </c>
      <c r="E21" s="6">
        <f t="shared" si="1"/>
        <v>29585</v>
      </c>
      <c r="F21" s="6">
        <f t="shared" si="1"/>
        <v>23301</v>
      </c>
      <c r="G21" s="6">
        <f t="shared" si="1"/>
        <v>20702</v>
      </c>
      <c r="H21" s="6">
        <f t="shared" si="1"/>
        <v>21668.5116464971</v>
      </c>
      <c r="I21" s="6">
        <f t="shared" si="1"/>
        <v>21850.006285163799</v>
      </c>
      <c r="J21" s="6">
        <f t="shared" si="1"/>
        <v>21129.9905805001</v>
      </c>
      <c r="K21" s="6">
        <f t="shared" si="1"/>
        <v>21973.9</v>
      </c>
      <c r="L21" s="6">
        <f t="shared" si="1"/>
        <v>23779.89</v>
      </c>
      <c r="M21" s="6">
        <f t="shared" si="1"/>
        <v>25837.6789272567</v>
      </c>
      <c r="N21" s="6">
        <f t="shared" si="1"/>
        <v>26365.847000000002</v>
      </c>
      <c r="O21" s="6">
        <f t="shared" si="1"/>
        <v>27589</v>
      </c>
      <c r="P21" s="6">
        <f t="shared" si="1"/>
        <v>26975</v>
      </c>
      <c r="Q21" s="6">
        <f t="shared" si="1"/>
        <v>27079</v>
      </c>
      <c r="R21" s="6">
        <f t="shared" si="1"/>
        <v>24078</v>
      </c>
      <c r="S21" s="6">
        <f t="shared" si="1"/>
        <v>25842</v>
      </c>
      <c r="T21" s="6">
        <f t="shared" si="1"/>
        <v>25149.510999999999</v>
      </c>
      <c r="U21" s="6">
        <v>28977.786</v>
      </c>
      <c r="V21" s="457"/>
      <c r="W21" s="457"/>
      <c r="X21" s="67"/>
      <c r="Y21" s="458"/>
    </row>
    <row r="22" spans="1:25" ht="22.5">
      <c r="A22" s="82" t="s">
        <v>1444</v>
      </c>
      <c r="B22" s="3">
        <v>14275</v>
      </c>
      <c r="C22" s="3">
        <v>12836</v>
      </c>
      <c r="D22" s="53">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451"/>
      <c r="W22" s="451"/>
      <c r="X22" s="452"/>
      <c r="Y22" s="453"/>
    </row>
    <row r="23" spans="1:25" ht="12.75" customHeight="1">
      <c r="A23" s="4" t="s">
        <v>1520</v>
      </c>
      <c r="B23" s="3">
        <v>377</v>
      </c>
      <c r="C23" s="3">
        <v>363</v>
      </c>
      <c r="D23" s="53">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451"/>
      <c r="W23" s="451"/>
      <c r="X23" s="452"/>
      <c r="Y23" s="453"/>
    </row>
    <row r="24" spans="1:25" ht="12.75" customHeight="1">
      <c r="A24" s="4" t="s">
        <v>1521</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454"/>
      <c r="W24" s="454"/>
      <c r="X24" s="455"/>
      <c r="Y24" s="456"/>
    </row>
    <row r="25" spans="1:25" ht="12.75" customHeight="1">
      <c r="A25" s="448" t="s">
        <v>1525</v>
      </c>
      <c r="B25" s="132">
        <v>16173</v>
      </c>
      <c r="C25" s="132">
        <v>10793</v>
      </c>
      <c r="D25" s="132">
        <v>16574</v>
      </c>
      <c r="E25" s="132">
        <v>15238</v>
      </c>
      <c r="F25" s="132">
        <v>13696</v>
      </c>
      <c r="G25" s="132">
        <v>12014</v>
      </c>
      <c r="H25" s="132">
        <v>13627.402475000001</v>
      </c>
      <c r="I25" s="132">
        <v>12197.965722999999</v>
      </c>
      <c r="J25" s="132">
        <v>11888.63134</v>
      </c>
      <c r="K25" s="132">
        <v>8982</v>
      </c>
      <c r="L25" s="132">
        <v>10679.44</v>
      </c>
      <c r="M25" s="132">
        <v>10837.297968000001</v>
      </c>
      <c r="N25" s="132">
        <v>10975</v>
      </c>
      <c r="O25" s="132">
        <v>9199</v>
      </c>
      <c r="P25" s="132">
        <v>6540</v>
      </c>
      <c r="Q25" s="132">
        <v>6634</v>
      </c>
      <c r="R25" s="132">
        <v>5327</v>
      </c>
      <c r="S25" s="132">
        <v>5953</v>
      </c>
      <c r="T25" s="132">
        <v>7075.5789999999997</v>
      </c>
      <c r="U25" s="132">
        <v>8510.4349999999995</v>
      </c>
      <c r="V25" s="454"/>
      <c r="W25" s="454"/>
      <c r="X25" s="455"/>
      <c r="Y25" s="456"/>
    </row>
    <row r="26" spans="1:25" ht="12.75" customHeight="1">
      <c r="A26" s="2" t="s">
        <v>1093</v>
      </c>
      <c r="B26" s="5">
        <v>104749</v>
      </c>
      <c r="C26" s="5">
        <v>99533</v>
      </c>
      <c r="D26" s="5">
        <v>103991</v>
      </c>
      <c r="E26" s="5">
        <v>119740</v>
      </c>
      <c r="F26" s="5">
        <v>93867</v>
      </c>
      <c r="G26" s="5">
        <v>96269</v>
      </c>
      <c r="H26" s="5">
        <v>85223.264149839</v>
      </c>
      <c r="I26" s="5">
        <v>72853.899477603409</v>
      </c>
      <c r="J26" s="5">
        <v>48232</v>
      </c>
      <c r="K26" s="5">
        <v>59219</v>
      </c>
      <c r="L26" s="5">
        <v>38933</v>
      </c>
      <c r="M26" s="5">
        <v>54952.197367050299</v>
      </c>
      <c r="N26" s="6">
        <v>52594.673000000003</v>
      </c>
      <c r="O26" s="6">
        <v>39574</v>
      </c>
      <c r="P26" s="6">
        <v>36727</v>
      </c>
      <c r="Q26" s="6">
        <v>29087</v>
      </c>
      <c r="R26" s="6">
        <v>39391</v>
      </c>
      <c r="S26" s="6">
        <v>31698</v>
      </c>
      <c r="T26" s="6">
        <v>23352.303</v>
      </c>
      <c r="U26" s="6">
        <v>5588.558</v>
      </c>
      <c r="V26" s="457"/>
      <c r="W26" s="457"/>
      <c r="X26" s="67"/>
      <c r="Y26" s="458"/>
    </row>
    <row r="27" spans="1:25" ht="12.75" customHeight="1">
      <c r="A27" s="54" t="s">
        <v>664</v>
      </c>
      <c r="B27" s="97">
        <v>104748.55252524001</v>
      </c>
      <c r="C27" s="97">
        <v>99532.951781180003</v>
      </c>
      <c r="D27" s="97">
        <v>98360.112834629996</v>
      </c>
      <c r="E27" s="97">
        <v>113311.17554890001</v>
      </c>
      <c r="F27" s="97">
        <v>89825.155549129995</v>
      </c>
      <c r="G27" s="97">
        <v>90191.942048950004</v>
      </c>
      <c r="H27" s="97">
        <v>81070.60014748</v>
      </c>
      <c r="I27" s="97">
        <v>67183.173508000007</v>
      </c>
      <c r="J27" s="97">
        <v>42015.254066000001</v>
      </c>
      <c r="K27" s="97">
        <v>52596.4</v>
      </c>
      <c r="L27" s="97">
        <v>32560.799999999999</v>
      </c>
      <c r="M27" s="97">
        <v>49374.070464999997</v>
      </c>
      <c r="N27" s="97">
        <v>47160.637000000002</v>
      </c>
      <c r="O27" s="97">
        <v>33126</v>
      </c>
      <c r="P27" s="97">
        <v>31143</v>
      </c>
      <c r="Q27" s="97">
        <v>23252</v>
      </c>
      <c r="R27" s="97">
        <v>34374</v>
      </c>
      <c r="S27" s="97">
        <v>27299</v>
      </c>
      <c r="T27" s="97">
        <v>16694.365000000002</v>
      </c>
      <c r="U27" s="97">
        <v>3199.9319999999998</v>
      </c>
      <c r="V27" s="451"/>
      <c r="W27" s="451"/>
      <c r="X27" s="452"/>
      <c r="Y27" s="453"/>
    </row>
    <row r="28" spans="1:25" ht="12.75" customHeight="1">
      <c r="A28" s="2" t="s">
        <v>999</v>
      </c>
      <c r="B28" s="5">
        <v>1612</v>
      </c>
      <c r="C28" s="5">
        <v>5564</v>
      </c>
      <c r="D28" s="5">
        <v>2308</v>
      </c>
      <c r="E28" s="5">
        <v>3121</v>
      </c>
      <c r="F28" s="5">
        <v>5510</v>
      </c>
      <c r="G28" s="5">
        <v>5616</v>
      </c>
      <c r="H28" s="5">
        <v>6630.7931252094977</v>
      </c>
      <c r="I28" s="5">
        <v>3982.8338005101</v>
      </c>
      <c r="J28" s="5">
        <v>4800</v>
      </c>
      <c r="K28" s="5">
        <v>4846</v>
      </c>
      <c r="L28" s="6">
        <v>6807.47</v>
      </c>
      <c r="M28" s="6">
        <v>6124.2566372507981</v>
      </c>
      <c r="N28" s="6">
        <v>17620.564999999999</v>
      </c>
      <c r="O28" s="6">
        <v>53622</v>
      </c>
      <c r="P28" s="6">
        <v>10373</v>
      </c>
      <c r="Q28" s="6">
        <v>10500</v>
      </c>
      <c r="R28" s="6">
        <v>8344</v>
      </c>
      <c r="S28" s="6">
        <v>10763</v>
      </c>
      <c r="T28" s="6">
        <v>8065.9139999999998</v>
      </c>
      <c r="U28" s="6">
        <v>10293.231</v>
      </c>
      <c r="V28" s="747"/>
      <c r="W28" s="747"/>
      <c r="X28" s="747"/>
      <c r="Y28" s="459"/>
    </row>
    <row r="29" spans="1:25" ht="12.75" customHeight="1">
      <c r="B29" s="45"/>
      <c r="C29" s="45"/>
      <c r="D29" s="45"/>
      <c r="E29" s="45"/>
      <c r="F29" s="45"/>
      <c r="G29" s="45"/>
      <c r="H29" s="5"/>
      <c r="L29" s="3"/>
      <c r="M29" s="3"/>
      <c r="N29" s="3"/>
      <c r="P29" s="3"/>
      <c r="Q29" s="3"/>
      <c r="R29" s="3"/>
      <c r="V29" s="130"/>
      <c r="W29" s="130"/>
      <c r="X29" s="130"/>
      <c r="Y29" s="130"/>
    </row>
    <row r="30" spans="1:25" ht="12.75" customHeight="1" thickBot="1">
      <c r="A30" s="33" t="s">
        <v>1230</v>
      </c>
      <c r="B30" s="50">
        <f>B7+B16+B26+B28+B21+1</f>
        <v>618190</v>
      </c>
      <c r="C30" s="50">
        <v>658831</v>
      </c>
      <c r="D30" s="50">
        <f>D7+D16+D26+D28+D21</f>
        <v>667552</v>
      </c>
      <c r="E30" s="50">
        <f>E7+E16+E26+E28+E21</f>
        <v>699093</v>
      </c>
      <c r="F30" s="50">
        <f>F7+F16+F26+F28+F21</f>
        <v>705222</v>
      </c>
      <c r="G30" s="50">
        <v>709566</v>
      </c>
      <c r="H30" s="50">
        <v>722036</v>
      </c>
      <c r="I30" s="50">
        <f t="shared" ref="I30:O30" si="2">SUM(I7,I16,I21,I26,I28)</f>
        <v>725331.80343712855</v>
      </c>
      <c r="J30" s="50">
        <f t="shared" si="2"/>
        <v>703469.973734456</v>
      </c>
      <c r="K30" s="50">
        <f t="shared" si="2"/>
        <v>740728.3</v>
      </c>
      <c r="L30" s="50">
        <f t="shared" si="2"/>
        <v>724955.45000000007</v>
      </c>
      <c r="M30" s="50">
        <f t="shared" si="2"/>
        <v>765537.81486726098</v>
      </c>
      <c r="N30" s="50">
        <f t="shared" si="2"/>
        <v>769171.09699999983</v>
      </c>
      <c r="O30" s="50">
        <f t="shared" si="2"/>
        <v>790263</v>
      </c>
      <c r="P30" s="50">
        <v>781270</v>
      </c>
      <c r="Q30" s="79">
        <v>786389</v>
      </c>
      <c r="R30" s="79">
        <f>R7+R16+R21+R26+R28</f>
        <v>801478</v>
      </c>
      <c r="S30" s="79">
        <f>S7+S16+S21+S26+S28</f>
        <v>811088</v>
      </c>
      <c r="T30" s="79">
        <v>827388.152</v>
      </c>
      <c r="U30" s="79">
        <f>SUM(U28,U26,U21,U16,U7)</f>
        <v>840871.73600000003</v>
      </c>
      <c r="V30" s="82"/>
      <c r="W30" s="82"/>
      <c r="X30" s="82"/>
      <c r="Y30" s="82"/>
    </row>
    <row r="31" spans="1:25" ht="12.75" customHeight="1">
      <c r="A31" s="46" t="s">
        <v>1001</v>
      </c>
    </row>
    <row r="32" spans="1:25" ht="12.75" customHeight="1">
      <c r="A32" s="46" t="s">
        <v>539</v>
      </c>
      <c r="G32" s="3"/>
    </row>
    <row r="34" spans="7:7">
      <c r="G34" s="3"/>
    </row>
    <row r="56" spans="9:9">
      <c r="I56" s="38"/>
    </row>
  </sheetData>
  <mergeCells count="1">
    <mergeCell ref="V28:X28"/>
  </mergeCells>
  <pageMargins left="0.7" right="0.7" top="0.75" bottom="0.75" header="0.3" footer="0.3"/>
  <pageSetup paperSize="9" scale="71"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
  <sheetViews>
    <sheetView workbookViewId="0">
      <selection activeCell="F49" sqref="F49"/>
    </sheetView>
  </sheetViews>
  <sheetFormatPr defaultRowHeight="11.25"/>
  <cols>
    <col min="1" max="1" width="33.83203125" style="4" customWidth="1"/>
    <col min="2" max="11" width="7.6640625" style="4" bestFit="1" customWidth="1"/>
    <col min="12" max="12" width="7.6640625" style="49" bestFit="1" customWidth="1"/>
    <col min="13" max="18" width="7.6640625" style="4" bestFit="1" customWidth="1"/>
    <col min="19" max="16384" width="9.33203125" style="4"/>
  </cols>
  <sheetData>
    <row r="1" spans="1:18" ht="12">
      <c r="A1" s="1" t="s">
        <v>1738</v>
      </c>
      <c r="B1" s="2"/>
      <c r="C1" s="2"/>
      <c r="D1" s="2"/>
      <c r="E1" s="2"/>
      <c r="F1" s="2"/>
      <c r="G1" s="2"/>
      <c r="H1" s="2"/>
      <c r="I1" s="2"/>
      <c r="J1" s="2"/>
    </row>
    <row r="2" spans="1:18" ht="12">
      <c r="A2" s="1" t="s">
        <v>1723</v>
      </c>
      <c r="B2" s="2"/>
      <c r="C2" s="2"/>
      <c r="D2" s="2"/>
      <c r="E2" s="2"/>
      <c r="F2" s="2"/>
      <c r="G2" s="2"/>
      <c r="H2" s="2"/>
      <c r="I2" s="2"/>
      <c r="J2" s="2"/>
    </row>
    <row r="3" spans="1:18">
      <c r="A3" s="7" t="s">
        <v>1701</v>
      </c>
    </row>
    <row r="4" spans="1:18" ht="12" thickBot="1">
      <c r="A4" s="8"/>
      <c r="P4" s="32"/>
      <c r="Q4" s="32"/>
      <c r="R4" s="32"/>
    </row>
    <row r="5" spans="1:18" ht="13.5" customHeight="1" thickBot="1">
      <c r="A5" s="29" t="s">
        <v>665</v>
      </c>
      <c r="B5" s="29">
        <v>1995</v>
      </c>
      <c r="C5" s="29">
        <v>1996</v>
      </c>
      <c r="D5" s="29">
        <v>1997</v>
      </c>
      <c r="E5" s="29">
        <v>1998</v>
      </c>
      <c r="F5" s="29">
        <v>1999</v>
      </c>
      <c r="G5" s="29">
        <v>2000</v>
      </c>
      <c r="H5" s="29">
        <v>2001</v>
      </c>
      <c r="I5" s="29">
        <v>2002</v>
      </c>
      <c r="J5" s="29">
        <v>2003</v>
      </c>
      <c r="K5" s="29">
        <v>2004</v>
      </c>
      <c r="L5" s="29">
        <v>2005</v>
      </c>
      <c r="M5" s="29">
        <v>2006</v>
      </c>
      <c r="N5" s="29">
        <v>2007</v>
      </c>
      <c r="O5" s="29">
        <v>2008</v>
      </c>
      <c r="P5" s="44">
        <v>2009</v>
      </c>
      <c r="Q5" s="44">
        <v>2010</v>
      </c>
      <c r="R5" s="29">
        <v>2011</v>
      </c>
    </row>
    <row r="6" spans="1:18">
      <c r="J6" s="38"/>
      <c r="K6" s="38"/>
    </row>
    <row r="7" spans="1:18">
      <c r="A7" s="4" t="s">
        <v>1535</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1536</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1537</v>
      </c>
      <c r="B9" s="3">
        <v>14830</v>
      </c>
      <c r="C9" s="3">
        <v>21196</v>
      </c>
      <c r="D9" s="3">
        <v>20555</v>
      </c>
      <c r="E9" s="45">
        <v>25068</v>
      </c>
      <c r="F9" s="45">
        <v>37417</v>
      </c>
      <c r="G9" s="45">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1538</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32">
        <v>14157</v>
      </c>
      <c r="Q10" s="3">
        <v>14844</v>
      </c>
      <c r="R10" s="3">
        <v>15284</v>
      </c>
    </row>
    <row r="11" spans="1:18">
      <c r="A11" s="4" t="s">
        <v>1539</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1540</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32">
        <v>3481</v>
      </c>
      <c r="Q12" s="3">
        <v>3579</v>
      </c>
      <c r="R12" s="3">
        <v>3387</v>
      </c>
    </row>
    <row r="13" spans="1:18">
      <c r="A13" s="4" t="s">
        <v>1541</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8"/>
      <c r="K14" s="38"/>
      <c r="L14" s="3"/>
      <c r="P14" s="3"/>
      <c r="Q14" s="199"/>
      <c r="R14" s="3"/>
    </row>
    <row r="15" spans="1:18" ht="15" customHeight="1" thickBot="1">
      <c r="A15" s="435" t="s">
        <v>1542</v>
      </c>
      <c r="B15" s="441">
        <f>SUM(B7:B14)</f>
        <v>186514.3755090654</v>
      </c>
      <c r="C15" s="441">
        <f>SUM(C7:C14)</f>
        <v>212495.5217860392</v>
      </c>
      <c r="D15" s="441">
        <f>SUM(D7:D14)</f>
        <v>213689</v>
      </c>
      <c r="E15" s="441">
        <v>220056</v>
      </c>
      <c r="F15" s="441">
        <v>225377</v>
      </c>
      <c r="G15" s="441">
        <v>225898</v>
      </c>
      <c r="H15" s="441">
        <v>232829</v>
      </c>
      <c r="I15" s="441">
        <v>246362.26733290672</v>
      </c>
      <c r="J15" s="441">
        <f>SUM(J7:J13)</f>
        <v>275000</v>
      </c>
      <c r="K15" s="441">
        <f>SUM(K7:K13)</f>
        <v>281356</v>
      </c>
      <c r="L15" s="441">
        <v>282772.69</v>
      </c>
      <c r="M15" s="441">
        <v>283478.06439309038</v>
      </c>
      <c r="N15" s="441">
        <v>272189.478</v>
      </c>
      <c r="O15" s="441">
        <v>262685</v>
      </c>
      <c r="P15" s="441">
        <v>274757</v>
      </c>
      <c r="Q15" s="441">
        <v>288037</v>
      </c>
      <c r="R15" s="441">
        <v>283868</v>
      </c>
    </row>
    <row r="16" spans="1:18" ht="13.5" customHeight="1">
      <c r="A16" s="46" t="s">
        <v>179</v>
      </c>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
  <sheetViews>
    <sheetView workbookViewId="0">
      <selection activeCell="F49" sqref="F49"/>
    </sheetView>
  </sheetViews>
  <sheetFormatPr defaultRowHeight="11.25"/>
  <cols>
    <col min="1" max="1" width="35.33203125" style="4" customWidth="1"/>
    <col min="2" max="16384" width="9.33203125" style="4"/>
  </cols>
  <sheetData>
    <row r="1" spans="1:5" ht="12">
      <c r="A1" s="1" t="s">
        <v>1765</v>
      </c>
    </row>
    <row r="2" spans="1:5" ht="12">
      <c r="A2" s="1" t="s">
        <v>2023</v>
      </c>
    </row>
    <row r="3" spans="1:5">
      <c r="A3" s="7" t="s">
        <v>2024</v>
      </c>
    </row>
    <row r="4" spans="1:5" ht="12" thickBot="1">
      <c r="A4" s="8"/>
      <c r="B4" s="32"/>
    </row>
    <row r="5" spans="1:5" ht="13.5" customHeight="1" thickBot="1">
      <c r="A5" s="29" t="s">
        <v>665</v>
      </c>
      <c r="B5" s="29">
        <v>2011</v>
      </c>
      <c r="C5" s="29">
        <v>2012</v>
      </c>
      <c r="D5" s="29">
        <v>2013</v>
      </c>
      <c r="E5" s="29">
        <v>2014</v>
      </c>
    </row>
    <row r="7" spans="1:5">
      <c r="A7" s="4" t="s">
        <v>462</v>
      </c>
      <c r="B7" s="3">
        <v>4249</v>
      </c>
      <c r="C7" s="3">
        <v>4637</v>
      </c>
      <c r="D7" s="3">
        <v>4575</v>
      </c>
      <c r="E7" s="3">
        <v>4687.4100900000003</v>
      </c>
    </row>
    <row r="8" spans="1:5">
      <c r="A8" s="4" t="s">
        <v>544</v>
      </c>
      <c r="B8" s="3">
        <v>366</v>
      </c>
      <c r="C8" s="3">
        <v>319</v>
      </c>
      <c r="D8" s="3">
        <v>405</v>
      </c>
      <c r="E8" s="3">
        <v>384.21859899999998</v>
      </c>
    </row>
    <row r="9" spans="1:5">
      <c r="A9" s="4" t="s">
        <v>545</v>
      </c>
      <c r="B9" s="3">
        <v>440</v>
      </c>
      <c r="C9" s="3">
        <v>445</v>
      </c>
      <c r="D9" s="3">
        <v>405</v>
      </c>
      <c r="E9" s="3">
        <v>464.66508700000003</v>
      </c>
    </row>
    <row r="10" spans="1:5">
      <c r="A10" s="4" t="s">
        <v>463</v>
      </c>
      <c r="B10" s="3">
        <v>5997</v>
      </c>
      <c r="C10" s="3">
        <v>6111</v>
      </c>
      <c r="D10" s="3">
        <v>5841</v>
      </c>
      <c r="E10" s="3">
        <v>6222.0782399999998</v>
      </c>
    </row>
    <row r="11" spans="1:5">
      <c r="A11" s="4" t="s">
        <v>464</v>
      </c>
      <c r="B11" s="3">
        <v>89</v>
      </c>
      <c r="C11" s="3">
        <v>87</v>
      </c>
      <c r="D11" s="3">
        <v>113</v>
      </c>
      <c r="E11" s="3">
        <v>286.24211700000001</v>
      </c>
    </row>
    <row r="12" spans="1:5">
      <c r="A12" s="4" t="s">
        <v>548</v>
      </c>
      <c r="B12" s="3">
        <v>411</v>
      </c>
      <c r="C12" s="3">
        <v>444</v>
      </c>
      <c r="D12" s="3">
        <v>317</v>
      </c>
      <c r="E12" s="3">
        <v>327.40902</v>
      </c>
    </row>
    <row r="13" spans="1:5">
      <c r="A13" s="4" t="s">
        <v>546</v>
      </c>
      <c r="B13" s="3">
        <v>284</v>
      </c>
      <c r="C13" s="3">
        <v>252</v>
      </c>
      <c r="D13" s="3">
        <v>323</v>
      </c>
      <c r="E13" s="3">
        <v>151.026937</v>
      </c>
    </row>
    <row r="14" spans="1:5">
      <c r="A14" s="4" t="s">
        <v>1424</v>
      </c>
      <c r="B14" s="3">
        <v>3533</v>
      </c>
      <c r="C14" s="3">
        <v>3890</v>
      </c>
      <c r="D14" s="3">
        <v>3528</v>
      </c>
      <c r="E14" s="3">
        <v>3498.061929</v>
      </c>
    </row>
    <row r="15" spans="1:5">
      <c r="A15" s="4" t="s">
        <v>465</v>
      </c>
      <c r="B15" s="3">
        <v>18971</v>
      </c>
      <c r="C15" s="3">
        <v>19066</v>
      </c>
      <c r="D15" s="3">
        <v>19410</v>
      </c>
      <c r="E15" s="3">
        <v>19861.068777</v>
      </c>
    </row>
    <row r="16" spans="1:5">
      <c r="A16" s="4" t="s">
        <v>466</v>
      </c>
      <c r="B16" s="3">
        <v>249529</v>
      </c>
      <c r="C16" s="3">
        <v>255178</v>
      </c>
      <c r="D16" s="3">
        <v>261353</v>
      </c>
      <c r="E16" s="3">
        <v>264758.41739100002</v>
      </c>
    </row>
    <row r="17" spans="1:5">
      <c r="B17" s="3"/>
      <c r="C17" s="3"/>
      <c r="D17" s="3"/>
    </row>
    <row r="18" spans="1:5" ht="15" customHeight="1" thickBot="1">
      <c r="A18" s="33" t="s">
        <v>1542</v>
      </c>
      <c r="B18" s="79">
        <v>283868</v>
      </c>
      <c r="C18" s="79">
        <v>290429</v>
      </c>
      <c r="D18" s="79">
        <v>296268</v>
      </c>
      <c r="E18" s="79">
        <v>300641</v>
      </c>
    </row>
    <row r="19" spans="1:5" ht="13.5" customHeight="1">
      <c r="A19" s="46" t="s">
        <v>179</v>
      </c>
    </row>
  </sheetData>
  <pageMargins left="0.78740157480314965" right="0.78740157480314965" top="0.98425196850393704" bottom="0.51181102362204722" header="0.51181102362204722" footer="0"/>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workbookViewId="0">
      <selection activeCell="F49" sqref="F49"/>
    </sheetView>
  </sheetViews>
  <sheetFormatPr defaultRowHeight="11.25"/>
  <cols>
    <col min="1" max="1" width="19.1640625" style="4" customWidth="1"/>
    <col min="2" max="4" width="7.6640625" style="4" bestFit="1" customWidth="1"/>
    <col min="5" max="9" width="7.6640625" style="55" bestFit="1" customWidth="1"/>
    <col min="10" max="13" width="7.6640625" style="4" bestFit="1" customWidth="1"/>
    <col min="14" max="16384" width="9.33203125" style="4"/>
  </cols>
  <sheetData>
    <row r="1" spans="1:13" ht="12">
      <c r="A1" s="1" t="s">
        <v>1739</v>
      </c>
      <c r="B1" s="1"/>
      <c r="C1" s="2"/>
      <c r="D1" s="2"/>
    </row>
    <row r="2" spans="1:13" ht="12">
      <c r="A2" s="1" t="s">
        <v>1724</v>
      </c>
      <c r="B2" s="1"/>
      <c r="C2" s="2"/>
      <c r="D2" s="2"/>
    </row>
    <row r="3" spans="1:13">
      <c r="A3" s="7" t="s">
        <v>1722</v>
      </c>
      <c r="B3" s="7"/>
    </row>
    <row r="4" spans="1:13" ht="12" thickBot="1">
      <c r="A4" s="8"/>
      <c r="B4" s="8"/>
      <c r="K4" s="32"/>
      <c r="L4" s="32"/>
      <c r="M4" s="32"/>
    </row>
    <row r="5" spans="1:13" ht="13.5" customHeight="1" thickBot="1">
      <c r="A5" s="29" t="s">
        <v>466</v>
      </c>
      <c r="B5" s="29">
        <v>2000</v>
      </c>
      <c r="C5" s="29">
        <v>2001</v>
      </c>
      <c r="D5" s="29">
        <v>2002</v>
      </c>
      <c r="E5" s="29">
        <v>2003</v>
      </c>
      <c r="F5" s="29">
        <v>2004</v>
      </c>
      <c r="G5" s="29">
        <v>2005</v>
      </c>
      <c r="H5" s="29">
        <v>2006</v>
      </c>
      <c r="I5" s="29">
        <v>2007</v>
      </c>
      <c r="J5" s="29">
        <v>2008</v>
      </c>
      <c r="K5" s="29">
        <v>2009</v>
      </c>
      <c r="L5" s="44">
        <v>2010</v>
      </c>
      <c r="M5" s="29">
        <v>2011</v>
      </c>
    </row>
    <row r="6" spans="1:13" ht="13.5" customHeight="1">
      <c r="A6" s="48"/>
      <c r="B6" s="48"/>
      <c r="C6" s="48"/>
      <c r="D6" s="48"/>
      <c r="E6" s="48"/>
      <c r="F6" s="48"/>
      <c r="G6" s="48"/>
      <c r="H6" s="48"/>
      <c r="I6" s="48"/>
    </row>
    <row r="7" spans="1:13">
      <c r="A7" s="55" t="s">
        <v>755</v>
      </c>
      <c r="B7" s="62">
        <v>45676.7713</v>
      </c>
      <c r="C7" s="62">
        <v>52201.562113500098</v>
      </c>
      <c r="D7" s="62">
        <v>57620.451209409897</v>
      </c>
      <c r="E7" s="62">
        <v>57637.904677061204</v>
      </c>
      <c r="F7" s="62">
        <v>50558.039379467707</v>
      </c>
      <c r="G7" s="62">
        <v>45334.84</v>
      </c>
      <c r="H7" s="62">
        <v>42613.649013766786</v>
      </c>
      <c r="I7" s="62">
        <v>45027</v>
      </c>
      <c r="J7" s="62">
        <v>39679</v>
      </c>
      <c r="K7" s="3">
        <v>35444</v>
      </c>
      <c r="L7" s="3">
        <v>32373</v>
      </c>
      <c r="M7" s="3">
        <v>35558</v>
      </c>
    </row>
    <row r="8" spans="1:13">
      <c r="A8" s="55" t="s">
        <v>756</v>
      </c>
      <c r="B8" s="62">
        <v>55250.455699999999</v>
      </c>
      <c r="C8" s="62">
        <v>58867.122675823193</v>
      </c>
      <c r="D8" s="62">
        <v>60050.339996305207</v>
      </c>
      <c r="E8" s="62">
        <v>69845.721459954701</v>
      </c>
      <c r="F8" s="62">
        <v>76816.332330815218</v>
      </c>
      <c r="G8" s="62">
        <v>87643.82</v>
      </c>
      <c r="H8" s="62">
        <v>89683.087531697791</v>
      </c>
      <c r="I8" s="62">
        <v>89790</v>
      </c>
      <c r="J8" s="62">
        <v>92678</v>
      </c>
      <c r="K8" s="3">
        <v>92539</v>
      </c>
      <c r="L8" s="3">
        <v>86880</v>
      </c>
      <c r="M8" s="3">
        <v>80815</v>
      </c>
    </row>
    <row r="9" spans="1:13">
      <c r="A9" s="55" t="s">
        <v>757</v>
      </c>
      <c r="B9" s="62">
        <v>22146.351000000002</v>
      </c>
      <c r="C9" s="62">
        <v>21460.435893433292</v>
      </c>
      <c r="D9" s="62">
        <v>21017.203940000196</v>
      </c>
      <c r="E9" s="62">
        <v>36069.039597870193</v>
      </c>
      <c r="F9" s="62">
        <v>35564.654247320199</v>
      </c>
      <c r="G9" s="62">
        <v>35027.629999999997</v>
      </c>
      <c r="H9" s="62">
        <v>35168.7065716992</v>
      </c>
      <c r="I9" s="62">
        <v>35458.673000000003</v>
      </c>
      <c r="J9" s="62">
        <v>35610</v>
      </c>
      <c r="K9" s="3">
        <v>35835</v>
      </c>
      <c r="L9" s="3">
        <v>35970</v>
      </c>
      <c r="M9" s="3">
        <v>36526</v>
      </c>
    </row>
    <row r="10" spans="1:13">
      <c r="A10" s="55" t="s">
        <v>758</v>
      </c>
      <c r="B10" s="62">
        <v>13805.9133</v>
      </c>
      <c r="C10" s="62">
        <v>14006.673915000001</v>
      </c>
      <c r="D10" s="62">
        <v>14421.269721999999</v>
      </c>
      <c r="E10" s="62">
        <v>16656.404558999999</v>
      </c>
      <c r="F10" s="62">
        <v>16985.7351237</v>
      </c>
      <c r="G10" s="62">
        <v>16903.14</v>
      </c>
      <c r="H10" s="62">
        <v>16839.725201699999</v>
      </c>
      <c r="I10" s="62">
        <v>16711.199000000001</v>
      </c>
      <c r="J10" s="62">
        <v>16700</v>
      </c>
      <c r="K10" s="3">
        <v>16863</v>
      </c>
      <c r="L10" s="3">
        <v>16055</v>
      </c>
      <c r="M10" s="3">
        <v>15360</v>
      </c>
    </row>
    <row r="11" spans="1:13">
      <c r="A11" s="55" t="s">
        <v>759</v>
      </c>
      <c r="B11" s="62">
        <v>40430.550999999999</v>
      </c>
      <c r="C11" s="62">
        <v>44078.241674630299</v>
      </c>
      <c r="D11" s="62">
        <v>49450.753187509588</v>
      </c>
      <c r="E11" s="62">
        <v>51270.0931441102</v>
      </c>
      <c r="F11" s="62">
        <v>52497.720014270802</v>
      </c>
      <c r="G11" s="62">
        <v>53786.49</v>
      </c>
      <c r="H11" s="62">
        <v>58274.940100859385</v>
      </c>
      <c r="I11" s="62">
        <v>59636</v>
      </c>
      <c r="J11" s="62">
        <v>61004</v>
      </c>
      <c r="K11" s="3">
        <v>62285</v>
      </c>
      <c r="L11" s="3">
        <v>64112</v>
      </c>
      <c r="M11" s="3">
        <v>66056</v>
      </c>
    </row>
    <row r="12" spans="1:13">
      <c r="A12" s="55" t="s">
        <v>760</v>
      </c>
      <c r="B12" s="62">
        <v>37761.436000000002</v>
      </c>
      <c r="C12" s="62">
        <v>41649.143425515402</v>
      </c>
      <c r="D12" s="62">
        <v>42875.991122197105</v>
      </c>
      <c r="E12" s="62">
        <v>46410.8299358804</v>
      </c>
      <c r="F12" s="62">
        <v>51437.099398929786</v>
      </c>
      <c r="G12" s="62">
        <v>52991.839999999997</v>
      </c>
      <c r="H12" s="62">
        <v>50350.754001010493</v>
      </c>
      <c r="I12" s="62">
        <v>35694.07</v>
      </c>
      <c r="J12" s="62">
        <v>27850</v>
      </c>
      <c r="K12" s="3">
        <v>37886</v>
      </c>
      <c r="L12" s="3">
        <v>43532</v>
      </c>
      <c r="M12" s="3">
        <v>36830</v>
      </c>
    </row>
    <row r="13" spans="1:13">
      <c r="A13" s="55" t="s">
        <v>761</v>
      </c>
      <c r="B13" s="62">
        <v>13992.6147</v>
      </c>
      <c r="C13" s="62">
        <v>14401.445031499999</v>
      </c>
      <c r="D13" s="62">
        <v>14219.954541500001</v>
      </c>
      <c r="E13" s="62">
        <v>15207.769478</v>
      </c>
      <c r="F13" s="62">
        <v>15148.5969073</v>
      </c>
      <c r="G13" s="62">
        <v>11420.8</v>
      </c>
      <c r="H13" s="62">
        <v>11464.9806771</v>
      </c>
      <c r="I13" s="62">
        <v>11042.209000000001</v>
      </c>
      <c r="J13" s="62">
        <v>10773</v>
      </c>
      <c r="K13" s="3">
        <v>10776</v>
      </c>
      <c r="L13" s="3">
        <v>11096</v>
      </c>
      <c r="M13" s="3">
        <v>11471</v>
      </c>
    </row>
    <row r="14" spans="1:13">
      <c r="A14" s="7" t="s">
        <v>762</v>
      </c>
      <c r="B14" s="62">
        <v>4982.4710999999998</v>
      </c>
      <c r="C14" s="62">
        <v>5878.5371243805002</v>
      </c>
      <c r="D14" s="62">
        <v>7204.9023857562979</v>
      </c>
      <c r="E14" s="62">
        <v>9601.5019299658034</v>
      </c>
      <c r="F14" s="62">
        <v>9060.8623017564023</v>
      </c>
      <c r="G14" s="62">
        <v>8254.42</v>
      </c>
      <c r="H14" s="62">
        <v>9263.6388687454964</v>
      </c>
      <c r="I14" s="62">
        <v>6540</v>
      </c>
      <c r="J14" s="62">
        <v>7209</v>
      </c>
      <c r="K14" s="3">
        <v>9493</v>
      </c>
      <c r="L14" s="3">
        <v>8634</v>
      </c>
      <c r="M14" s="3">
        <v>9844</v>
      </c>
    </row>
    <row r="15" spans="1:13">
      <c r="A15" s="7" t="s">
        <v>167</v>
      </c>
      <c r="B15" s="62">
        <v>756</v>
      </c>
      <c r="C15" s="62">
        <v>1004</v>
      </c>
      <c r="D15" s="62">
        <v>1028</v>
      </c>
      <c r="E15" s="62">
        <v>1229</v>
      </c>
      <c r="F15" s="62">
        <v>1268</v>
      </c>
      <c r="G15" s="62">
        <v>267.66000000000003</v>
      </c>
      <c r="H15" s="62">
        <v>291.9039038249</v>
      </c>
      <c r="I15" s="62">
        <v>322.96499999999997</v>
      </c>
      <c r="J15" s="62">
        <v>345</v>
      </c>
      <c r="K15" s="3">
        <v>387</v>
      </c>
      <c r="L15" s="3">
        <v>387</v>
      </c>
      <c r="M15" s="3">
        <v>391</v>
      </c>
    </row>
    <row r="16" spans="1:13">
      <c r="A16" s="7" t="s">
        <v>168</v>
      </c>
      <c r="B16" s="62">
        <v>5002</v>
      </c>
      <c r="C16" s="62">
        <v>5308</v>
      </c>
      <c r="D16" s="62">
        <v>5381</v>
      </c>
      <c r="E16" s="62">
        <v>5936</v>
      </c>
      <c r="F16" s="62">
        <v>6003</v>
      </c>
      <c r="G16" s="62">
        <v>7091.09</v>
      </c>
      <c r="H16" s="62">
        <v>7779.0674823559002</v>
      </c>
      <c r="I16" s="62">
        <v>4125</v>
      </c>
      <c r="J16" s="62">
        <v>4788</v>
      </c>
      <c r="K16" s="3">
        <v>4747</v>
      </c>
      <c r="L16" s="3">
        <v>4629</v>
      </c>
      <c r="M16" s="3">
        <v>4347</v>
      </c>
    </row>
    <row r="17" spans="1:13">
      <c r="C17" s="3"/>
      <c r="D17" s="56"/>
      <c r="E17" s="68"/>
      <c r="F17" s="68"/>
      <c r="G17" s="68"/>
      <c r="H17" s="68"/>
      <c r="J17" s="196"/>
      <c r="K17" s="3"/>
      <c r="L17" s="3"/>
      <c r="M17" s="3"/>
    </row>
    <row r="18" spans="1:13" ht="15" customHeight="1" thickBot="1">
      <c r="A18" s="33" t="s">
        <v>178</v>
      </c>
      <c r="B18" s="40">
        <v>239804</v>
      </c>
      <c r="C18" s="40">
        <v>258855.1618537828</v>
      </c>
      <c r="D18" s="40">
        <v>273269.86610467831</v>
      </c>
      <c r="E18" s="40">
        <v>309685</v>
      </c>
      <c r="F18" s="40">
        <v>315340.03970356012</v>
      </c>
      <c r="G18" s="40">
        <v>318721.73</v>
      </c>
      <c r="H18" s="40">
        <f>H7+H8+H9+H10+H11+H12+H13+H14+H15+H16</f>
        <v>321730.45335276</v>
      </c>
      <c r="I18" s="40">
        <v>304347.16100000002</v>
      </c>
      <c r="J18" s="40">
        <v>296636</v>
      </c>
      <c r="K18" s="40">
        <v>306255</v>
      </c>
      <c r="L18" s="79">
        <v>303668</v>
      </c>
      <c r="M18" s="79">
        <v>297198</v>
      </c>
    </row>
    <row r="19" spans="1:13" ht="13.5" customHeight="1">
      <c r="A19" s="46" t="s">
        <v>1001</v>
      </c>
      <c r="B19" s="46"/>
    </row>
    <row r="21" spans="1:13">
      <c r="A21" s="25" t="s">
        <v>1794</v>
      </c>
      <c r="B21" s="7"/>
      <c r="C21" s="62"/>
      <c r="D21" s="62"/>
      <c r="E21" s="62"/>
      <c r="F21" s="14"/>
      <c r="G21" s="14"/>
      <c r="H21" s="14"/>
      <c r="I21" s="14"/>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workbookViewId="0">
      <selection activeCell="F49" sqref="F49"/>
    </sheetView>
  </sheetViews>
  <sheetFormatPr defaultRowHeight="11.25"/>
  <cols>
    <col min="1" max="1" width="48.83203125" style="4" customWidth="1"/>
    <col min="2" max="16384" width="9.33203125" style="4"/>
  </cols>
  <sheetData>
    <row r="1" spans="1:5" ht="12">
      <c r="A1" s="1" t="s">
        <v>1795</v>
      </c>
    </row>
    <row r="2" spans="1:5" ht="12">
      <c r="A2" s="1" t="s">
        <v>2018</v>
      </c>
    </row>
    <row r="3" spans="1:5">
      <c r="A3" s="7" t="s">
        <v>2019</v>
      </c>
    </row>
    <row r="4" spans="1:5" ht="12" thickBot="1">
      <c r="A4" s="8"/>
      <c r="B4" s="32"/>
    </row>
    <row r="5" spans="1:5" ht="13.5" customHeight="1" thickBot="1">
      <c r="A5" s="29" t="s">
        <v>466</v>
      </c>
      <c r="B5" s="29">
        <v>2011</v>
      </c>
      <c r="C5" s="29">
        <v>2012</v>
      </c>
      <c r="D5" s="29">
        <v>2013</v>
      </c>
      <c r="E5" s="29">
        <v>2014</v>
      </c>
    </row>
    <row r="6" spans="1:5" ht="13.5" customHeight="1">
      <c r="A6" s="48"/>
    </row>
    <row r="7" spans="1:5">
      <c r="A7" s="55" t="s">
        <v>1694</v>
      </c>
      <c r="B7" s="3">
        <v>101203</v>
      </c>
      <c r="C7" s="3">
        <v>102417</v>
      </c>
      <c r="D7" s="3">
        <v>104652</v>
      </c>
      <c r="E7" s="3">
        <v>108358</v>
      </c>
    </row>
    <row r="8" spans="1:5">
      <c r="A8" s="55" t="s">
        <v>1695</v>
      </c>
      <c r="B8" s="3">
        <v>29983</v>
      </c>
      <c r="C8" s="3">
        <v>30151</v>
      </c>
      <c r="D8" s="3">
        <v>29077</v>
      </c>
      <c r="E8" s="3">
        <v>29365</v>
      </c>
    </row>
    <row r="9" spans="1:5">
      <c r="A9" s="55" t="s">
        <v>1696</v>
      </c>
      <c r="B9" s="3">
        <v>15360</v>
      </c>
      <c r="C9" s="3">
        <v>15125</v>
      </c>
      <c r="D9" s="3">
        <v>14759</v>
      </c>
      <c r="E9" s="3">
        <v>13912</v>
      </c>
    </row>
    <row r="10" spans="1:5">
      <c r="A10" s="55" t="s">
        <v>1697</v>
      </c>
      <c r="B10" s="3">
        <v>59662</v>
      </c>
      <c r="C10" s="3">
        <v>61103</v>
      </c>
      <c r="D10" s="3">
        <v>63671</v>
      </c>
      <c r="E10" s="3">
        <v>65068</v>
      </c>
    </row>
    <row r="11" spans="1:5">
      <c r="A11" s="55" t="s">
        <v>1698</v>
      </c>
      <c r="B11" s="3">
        <v>28800</v>
      </c>
      <c r="C11" s="3">
        <v>28928</v>
      </c>
      <c r="D11" s="3">
        <v>30657</v>
      </c>
      <c r="E11" s="3">
        <v>30885</v>
      </c>
    </row>
    <row r="12" spans="1:5">
      <c r="A12" s="55" t="s">
        <v>1699</v>
      </c>
      <c r="B12" s="3">
        <v>11471</v>
      </c>
      <c r="C12" s="3">
        <v>12969</v>
      </c>
      <c r="D12" s="3">
        <v>13374</v>
      </c>
      <c r="E12" s="3">
        <v>14175</v>
      </c>
    </row>
    <row r="13" spans="1:5">
      <c r="A13" s="55" t="s">
        <v>1700</v>
      </c>
      <c r="B13" s="3">
        <v>3037</v>
      </c>
      <c r="C13" s="3">
        <v>4474</v>
      </c>
      <c r="D13" s="3">
        <v>5154</v>
      </c>
      <c r="E13" s="3">
        <v>2984</v>
      </c>
    </row>
    <row r="14" spans="1:5">
      <c r="A14" s="7" t="s">
        <v>167</v>
      </c>
      <c r="B14" s="3">
        <v>13</v>
      </c>
      <c r="C14" s="3">
        <v>11</v>
      </c>
      <c r="D14" s="3">
        <v>8</v>
      </c>
      <c r="E14" s="3">
        <v>12</v>
      </c>
    </row>
    <row r="15" spans="1:5">
      <c r="A15" s="7" t="s">
        <v>168</v>
      </c>
      <c r="B15" s="3">
        <v>0</v>
      </c>
      <c r="C15" s="3">
        <v>0</v>
      </c>
      <c r="D15" s="3">
        <v>0</v>
      </c>
      <c r="E15" s="3">
        <v>0</v>
      </c>
    </row>
    <row r="16" spans="1:5">
      <c r="B16" s="3"/>
      <c r="C16" s="3"/>
    </row>
    <row r="17" spans="1:5" ht="15" customHeight="1" thickBot="1">
      <c r="A17" s="33" t="s">
        <v>178</v>
      </c>
      <c r="B17" s="79">
        <v>249529</v>
      </c>
      <c r="C17" s="79">
        <v>255178</v>
      </c>
      <c r="D17" s="79">
        <f>SUM(D7:D15)</f>
        <v>261352</v>
      </c>
      <c r="E17" s="79">
        <v>264758</v>
      </c>
    </row>
    <row r="18" spans="1:5" ht="13.5" customHeight="1">
      <c r="A18" s="46" t="s">
        <v>1001</v>
      </c>
    </row>
    <row r="20" spans="1:5">
      <c r="A20" s="25"/>
    </row>
    <row r="23" spans="1:5" ht="12">
      <c r="A23" s="174"/>
    </row>
    <row r="24" spans="1:5">
      <c r="A24" s="7"/>
    </row>
  </sheetData>
  <pageMargins left="0.78740157480314965" right="0.78740157480314965" top="0.98425196850393704" bottom="0.51181102362204722" header="0.51181102362204722" footer="0"/>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9"/>
  <sheetViews>
    <sheetView topLeftCell="A22" zoomScaleNormal="100" workbookViewId="0">
      <selection activeCell="F49" sqref="F49"/>
    </sheetView>
  </sheetViews>
  <sheetFormatPr defaultColWidth="10.6640625" defaultRowHeight="12.75"/>
  <cols>
    <col min="1" max="1" width="10.6640625" style="210"/>
    <col min="2" max="2" width="52.5" style="210" customWidth="1"/>
    <col min="3" max="4" width="9.6640625" style="234" customWidth="1"/>
    <col min="5" max="5" width="9.6640625" style="222" customWidth="1"/>
    <col min="6" max="11" width="9.6640625" style="210" customWidth="1"/>
    <col min="13" max="225" width="10.6640625" style="210"/>
    <col min="226" max="226" width="54.1640625" style="210" customWidth="1"/>
    <col min="227" max="16384" width="10.6640625" style="210"/>
  </cols>
  <sheetData>
    <row r="1" spans="1:12">
      <c r="A1" s="204" t="s">
        <v>1773</v>
      </c>
      <c r="B1" s="205"/>
      <c r="C1" s="206"/>
      <c r="D1" s="207"/>
      <c r="E1" s="208"/>
      <c r="F1" s="209"/>
      <c r="G1" s="209"/>
      <c r="H1" s="209"/>
      <c r="I1" s="209"/>
      <c r="J1" s="209"/>
      <c r="K1" s="209"/>
      <c r="L1" s="210"/>
    </row>
    <row r="2" spans="1:12">
      <c r="A2" s="204" t="s">
        <v>1955</v>
      </c>
      <c r="B2" s="205"/>
      <c r="C2" s="206"/>
      <c r="D2" s="207"/>
      <c r="E2" s="208"/>
      <c r="F2" s="209"/>
      <c r="G2" s="209"/>
      <c r="H2" s="209"/>
      <c r="I2" s="209"/>
      <c r="J2" s="209"/>
      <c r="K2" s="209"/>
      <c r="L2" s="210"/>
    </row>
    <row r="3" spans="1:12" ht="13.5" thickBot="1">
      <c r="A3" s="211" t="s">
        <v>1956</v>
      </c>
      <c r="B3" s="205"/>
      <c r="C3" s="206"/>
      <c r="D3" s="207"/>
      <c r="E3" s="208"/>
      <c r="F3" s="209"/>
      <c r="G3" s="209"/>
      <c r="H3" s="209"/>
      <c r="I3" s="209"/>
      <c r="J3" s="209"/>
      <c r="K3" s="209"/>
      <c r="L3" s="210"/>
    </row>
    <row r="4" spans="1:12" s="209" customFormat="1" ht="12" customHeight="1" thickBot="1">
      <c r="A4" s="213" t="s">
        <v>958</v>
      </c>
      <c r="B4" s="214"/>
      <c r="C4" s="215">
        <v>2006</v>
      </c>
      <c r="D4" s="216">
        <v>2007</v>
      </c>
      <c r="E4" s="216">
        <v>2008</v>
      </c>
      <c r="F4" s="216">
        <v>2009</v>
      </c>
      <c r="G4" s="216">
        <v>2010</v>
      </c>
      <c r="H4" s="216">
        <v>2011</v>
      </c>
      <c r="I4" s="216">
        <v>2012</v>
      </c>
      <c r="J4" s="216">
        <v>2013</v>
      </c>
      <c r="K4" s="583" t="s">
        <v>1957</v>
      </c>
    </row>
    <row r="5" spans="1:12">
      <c r="A5" s="218">
        <v>1000</v>
      </c>
      <c r="B5" s="218" t="s">
        <v>1181</v>
      </c>
      <c r="C5" s="219">
        <v>806316.06099999999</v>
      </c>
      <c r="D5" s="219">
        <v>815528.41099999996</v>
      </c>
      <c r="E5" s="219">
        <v>808723.26993236667</v>
      </c>
      <c r="F5" s="219">
        <v>705783.19203776703</v>
      </c>
      <c r="G5" s="219">
        <v>779472.79141634994</v>
      </c>
      <c r="H5" s="219">
        <v>839974.33072577848</v>
      </c>
      <c r="I5" s="219">
        <v>792652.45035443001</v>
      </c>
      <c r="J5" s="219">
        <v>777295.45903278003</v>
      </c>
      <c r="K5" s="219">
        <v>801952.12260669097</v>
      </c>
      <c r="L5" s="210"/>
    </row>
    <row r="6" spans="1:12">
      <c r="A6" s="218"/>
      <c r="B6" s="218"/>
      <c r="C6" s="219"/>
      <c r="D6" s="221"/>
      <c r="L6" s="210"/>
    </row>
    <row r="7" spans="1:12">
      <c r="A7" s="218"/>
      <c r="B7" s="218" t="s">
        <v>1260</v>
      </c>
      <c r="C7" s="219">
        <v>857152.82499999995</v>
      </c>
      <c r="D7" s="219">
        <v>873518.33100000001</v>
      </c>
      <c r="E7" s="219">
        <v>908958.9754593001</v>
      </c>
      <c r="F7" s="219">
        <v>867104.22746047936</v>
      </c>
      <c r="G7" s="219">
        <v>874068.23634310998</v>
      </c>
      <c r="H7" s="219">
        <v>905142.48823895003</v>
      </c>
      <c r="I7" s="219">
        <v>937194.51771431009</v>
      </c>
      <c r="J7" s="219">
        <v>964847.55114031001</v>
      </c>
      <c r="K7" s="219">
        <v>982817.64159937785</v>
      </c>
      <c r="L7" s="210"/>
    </row>
    <row r="8" spans="1:12">
      <c r="A8" s="218"/>
      <c r="B8" s="218"/>
      <c r="C8" s="219"/>
      <c r="D8" s="221"/>
      <c r="L8" s="210"/>
    </row>
    <row r="9" spans="1:12" ht="15" customHeight="1">
      <c r="A9" s="208">
        <v>1100</v>
      </c>
      <c r="B9" s="208" t="s">
        <v>427</v>
      </c>
      <c r="C9" s="221">
        <v>490145.79100000003</v>
      </c>
      <c r="D9" s="221">
        <v>483012.92499999999</v>
      </c>
      <c r="E9" s="221">
        <v>497451.24279000011</v>
      </c>
      <c r="F9" s="221">
        <v>475659.62270867935</v>
      </c>
      <c r="G9" s="221">
        <v>474699.21616000001</v>
      </c>
      <c r="H9" s="221">
        <v>487341.037834041</v>
      </c>
      <c r="I9" s="221">
        <v>505063.33444900002</v>
      </c>
      <c r="J9" s="221">
        <v>522974.600875</v>
      </c>
      <c r="K9" s="221">
        <v>525710.30212863465</v>
      </c>
      <c r="L9" s="210"/>
    </row>
    <row r="10" spans="1:12" s="225" customFormat="1">
      <c r="A10" s="208"/>
      <c r="B10" s="208"/>
      <c r="C10" s="221"/>
      <c r="D10" s="221"/>
      <c r="E10" s="222"/>
      <c r="F10" s="224"/>
      <c r="G10" s="224"/>
      <c r="H10" s="224"/>
      <c r="I10" s="224"/>
      <c r="J10" s="224"/>
      <c r="K10" s="224"/>
    </row>
    <row r="11" spans="1:12">
      <c r="A11" s="208">
        <v>1200</v>
      </c>
      <c r="B11" s="208" t="s">
        <v>859</v>
      </c>
      <c r="C11" s="221">
        <v>367007.03399999999</v>
      </c>
      <c r="D11" s="221">
        <v>390577.80200000003</v>
      </c>
      <c r="E11" s="221">
        <v>411507.73266929999</v>
      </c>
      <c r="F11" s="221">
        <v>391444.60475180001</v>
      </c>
      <c r="G11" s="221">
        <v>399369.02018311003</v>
      </c>
      <c r="H11" s="221">
        <v>417801.45040494995</v>
      </c>
      <c r="I11" s="221">
        <v>432131.18326531001</v>
      </c>
      <c r="J11" s="221">
        <v>441872.95026531001</v>
      </c>
      <c r="K11" s="221">
        <v>457107.33947074326</v>
      </c>
      <c r="L11" s="210"/>
    </row>
    <row r="12" spans="1:12" s="225" customFormat="1">
      <c r="A12" s="208"/>
      <c r="B12" s="208"/>
      <c r="C12" s="221"/>
      <c r="D12" s="221"/>
      <c r="E12" s="222"/>
      <c r="F12" s="224"/>
      <c r="G12" s="224"/>
      <c r="H12" s="224"/>
      <c r="I12" s="224"/>
      <c r="J12" s="224"/>
      <c r="K12" s="224"/>
    </row>
    <row r="13" spans="1:12">
      <c r="A13" s="208">
        <v>1300</v>
      </c>
      <c r="B13" s="208" t="s">
        <v>1224</v>
      </c>
      <c r="C13" s="221">
        <v>192196.076</v>
      </c>
      <c r="D13" s="221">
        <v>208736.53599999999</v>
      </c>
      <c r="E13" s="221">
        <v>163490.18581200001</v>
      </c>
      <c r="F13" s="221">
        <v>160237.19585555998</v>
      </c>
      <c r="G13" s="221">
        <v>191456.36157136995</v>
      </c>
      <c r="H13" s="221">
        <v>183523.51899634002</v>
      </c>
      <c r="I13" s="221">
        <v>167764.57337345002</v>
      </c>
      <c r="J13" s="221">
        <v>172723.10377693002</v>
      </c>
      <c r="K13" s="221">
        <v>191805.48988059428</v>
      </c>
      <c r="L13" s="210"/>
    </row>
    <row r="14" spans="1:12">
      <c r="A14" s="208"/>
      <c r="B14" s="208"/>
      <c r="C14" s="221"/>
      <c r="D14" s="221"/>
      <c r="F14" s="221"/>
      <c r="G14" s="221"/>
      <c r="H14" s="221"/>
      <c r="I14" s="221"/>
      <c r="J14" s="221"/>
      <c r="K14" s="221"/>
      <c r="L14" s="210"/>
    </row>
    <row r="15" spans="1:12">
      <c r="A15" s="208">
        <v>1400</v>
      </c>
      <c r="B15" s="208" t="s">
        <v>887</v>
      </c>
      <c r="C15" s="221">
        <v>370178.46399999998</v>
      </c>
      <c r="D15" s="221">
        <v>393682.49599999998</v>
      </c>
      <c r="E15" s="221">
        <v>412837.89546371694</v>
      </c>
      <c r="F15" s="221">
        <v>417717.12823598989</v>
      </c>
      <c r="G15" s="221">
        <v>443652.86555523198</v>
      </c>
      <c r="H15" s="221">
        <v>449364.9656041587</v>
      </c>
      <c r="I15" s="221">
        <v>447287.84315363003</v>
      </c>
      <c r="J15" s="221">
        <v>455845.41526257002</v>
      </c>
      <c r="K15" s="221">
        <v>468200.18863804481</v>
      </c>
      <c r="L15" s="210"/>
    </row>
    <row r="16" spans="1:12">
      <c r="A16" s="208"/>
      <c r="B16" s="208"/>
      <c r="C16" s="221"/>
      <c r="D16" s="221"/>
      <c r="F16" s="224"/>
      <c r="G16" s="224"/>
      <c r="H16" s="224"/>
      <c r="I16" s="224"/>
      <c r="J16" s="224"/>
      <c r="K16" s="224"/>
      <c r="L16" s="210"/>
    </row>
    <row r="17" spans="1:12">
      <c r="A17" s="208">
        <v>1500</v>
      </c>
      <c r="B17" s="208" t="s">
        <v>662</v>
      </c>
      <c r="C17" s="221">
        <v>5160.3509999999997</v>
      </c>
      <c r="D17" s="221">
        <v>5884.0050000000001</v>
      </c>
      <c r="E17" s="221">
        <v>5873.9089999999997</v>
      </c>
      <c r="F17" s="221">
        <v>5151.2254664199991</v>
      </c>
      <c r="G17" s="221">
        <v>5673.6238397500001</v>
      </c>
      <c r="H17" s="221">
        <v>5660.0701476900003</v>
      </c>
      <c r="I17" s="221">
        <v>5254.6792206800001</v>
      </c>
      <c r="J17" s="221">
        <v>5220.6762477399998</v>
      </c>
      <c r="K17" s="221">
        <v>5806.8102479700001</v>
      </c>
      <c r="L17" s="210"/>
    </row>
    <row r="18" spans="1:12">
      <c r="A18" s="208"/>
      <c r="B18" s="208"/>
      <c r="C18" s="221"/>
      <c r="D18" s="221"/>
      <c r="F18" s="224"/>
      <c r="G18" s="224"/>
      <c r="H18" s="224"/>
      <c r="I18" s="224"/>
      <c r="J18" s="224"/>
      <c r="K18" s="224"/>
      <c r="L18" s="210"/>
    </row>
    <row r="19" spans="1:12">
      <c r="A19" s="208">
        <v>1600</v>
      </c>
      <c r="B19" s="208" t="s">
        <v>916</v>
      </c>
      <c r="C19" s="221">
        <v>-1847.079</v>
      </c>
      <c r="D19" s="221">
        <v>-809.26300000000003</v>
      </c>
      <c r="E19" s="221">
        <v>-3302.1532729698756</v>
      </c>
      <c r="F19" s="221">
        <v>-4181.5655123199713</v>
      </c>
      <c r="G19" s="221">
        <v>950.54361788999495</v>
      </c>
      <c r="H19" s="221">
        <v>2744.7648753799876</v>
      </c>
      <c r="I19" s="221">
        <v>2850.4493864299998</v>
      </c>
      <c r="J19" s="221">
        <v>11263.81663089</v>
      </c>
      <c r="K19" s="221">
        <v>8876.2398644698605</v>
      </c>
      <c r="L19" s="210"/>
    </row>
    <row r="20" spans="1:12">
      <c r="A20" s="208"/>
      <c r="B20" s="208"/>
      <c r="C20" s="221"/>
      <c r="D20" s="221"/>
      <c r="F20" s="221"/>
      <c r="G20" s="221"/>
      <c r="H20" s="221"/>
      <c r="I20" s="221"/>
      <c r="J20" s="221"/>
      <c r="K20" s="221"/>
      <c r="L20" s="210"/>
    </row>
    <row r="21" spans="1:12">
      <c r="A21" s="218" t="s">
        <v>122</v>
      </c>
      <c r="B21" s="218"/>
      <c r="C21" s="219">
        <v>1422840.6370000001</v>
      </c>
      <c r="D21" s="219">
        <v>1481084.5020000001</v>
      </c>
      <c r="E21" s="219">
        <v>1487858.8120997869</v>
      </c>
      <c r="F21" s="219">
        <v>1446028.211506129</v>
      </c>
      <c r="G21" s="219">
        <v>1515801.6309273499</v>
      </c>
      <c r="H21" s="219">
        <v>1546435.8078625186</v>
      </c>
      <c r="I21" s="219">
        <v>1560352.0628485</v>
      </c>
      <c r="J21" s="219">
        <v>1609900.5630584399</v>
      </c>
      <c r="K21" s="219">
        <v>1657506.3702304568</v>
      </c>
      <c r="L21" s="210"/>
    </row>
    <row r="22" spans="1:12">
      <c r="A22" s="208"/>
      <c r="B22" s="208"/>
      <c r="C22" s="221"/>
      <c r="D22" s="221"/>
      <c r="L22" s="210"/>
    </row>
    <row r="23" spans="1:12" s="225" customFormat="1">
      <c r="A23" s="208">
        <v>1700</v>
      </c>
      <c r="B23" s="208" t="s">
        <v>917</v>
      </c>
      <c r="C23" s="221">
        <v>-9387.5490000000009</v>
      </c>
      <c r="D23" s="221">
        <v>-7240.0649999999996</v>
      </c>
      <c r="E23" s="221">
        <v>-7304.3119591500008</v>
      </c>
      <c r="F23" s="221">
        <v>-6790.5699287600009</v>
      </c>
      <c r="G23" s="221">
        <v>-7109.78538321</v>
      </c>
      <c r="H23" s="221">
        <v>-7223.8491789699992</v>
      </c>
      <c r="I23" s="221">
        <v>-6897.75212336</v>
      </c>
      <c r="J23" s="221">
        <v>-6934.9138492599996</v>
      </c>
      <c r="K23" s="221">
        <v>-8351.5712662806891</v>
      </c>
    </row>
    <row r="24" spans="1:12">
      <c r="A24" s="208"/>
      <c r="B24" s="208"/>
      <c r="C24" s="221"/>
      <c r="D24" s="221"/>
      <c r="L24" s="210"/>
    </row>
    <row r="25" spans="1:12">
      <c r="A25" s="218" t="s">
        <v>888</v>
      </c>
      <c r="B25" s="218"/>
      <c r="C25" s="219">
        <v>1413453.088</v>
      </c>
      <c r="D25" s="219">
        <v>1473844.4369999999</v>
      </c>
      <c r="E25" s="219">
        <v>1480554.5001406369</v>
      </c>
      <c r="F25" s="219">
        <v>1439237.6415773691</v>
      </c>
      <c r="G25" s="219">
        <v>1508691.8455441401</v>
      </c>
      <c r="H25" s="219">
        <v>1539212.1334201887</v>
      </c>
      <c r="I25" s="219">
        <v>1553454.3107251402</v>
      </c>
      <c r="J25" s="219">
        <v>1602965.6492091801</v>
      </c>
      <c r="K25" s="219">
        <v>1649154.7989641761</v>
      </c>
      <c r="L25" s="210"/>
    </row>
    <row r="26" spans="1:12">
      <c r="A26" s="208"/>
      <c r="B26" s="208"/>
      <c r="C26" s="221"/>
      <c r="D26" s="221"/>
      <c r="L26" s="210"/>
    </row>
    <row r="27" spans="1:12">
      <c r="A27" s="208">
        <v>1800</v>
      </c>
      <c r="B27" s="208" t="s">
        <v>918</v>
      </c>
      <c r="C27" s="221">
        <v>-613713.39300000004</v>
      </c>
      <c r="D27" s="221">
        <v>-648011.67700000003</v>
      </c>
      <c r="E27" s="221">
        <v>-693590.85259372008</v>
      </c>
      <c r="F27" s="221">
        <v>-703626.70814307954</v>
      </c>
      <c r="G27" s="221">
        <v>-720447.36748059595</v>
      </c>
      <c r="H27" s="221">
        <v>-747862.69399704109</v>
      </c>
      <c r="I27" s="221">
        <v>-777823.20680912002</v>
      </c>
      <c r="J27" s="221">
        <v>-804857.54500499996</v>
      </c>
      <c r="K27" s="221">
        <v>-829268.72515613551</v>
      </c>
      <c r="L27" s="210"/>
    </row>
    <row r="28" spans="1:12">
      <c r="A28" s="208"/>
      <c r="B28" s="208"/>
      <c r="C28" s="221"/>
      <c r="D28" s="221"/>
      <c r="L28" s="210"/>
    </row>
    <row r="29" spans="1:12">
      <c r="A29" s="218" t="s">
        <v>127</v>
      </c>
      <c r="B29" s="218"/>
      <c r="C29" s="219">
        <v>799739.69400000002</v>
      </c>
      <c r="D29" s="219">
        <v>825832.76</v>
      </c>
      <c r="E29" s="219">
        <v>786963.64754691685</v>
      </c>
      <c r="F29" s="219">
        <v>735610.93343428941</v>
      </c>
      <c r="G29" s="219">
        <v>788244.478063546</v>
      </c>
      <c r="H29" s="219">
        <v>791349.43989207246</v>
      </c>
      <c r="I29" s="219">
        <v>775631.10391602002</v>
      </c>
      <c r="J29" s="219">
        <v>798108.10420417995</v>
      </c>
      <c r="K29" s="219">
        <v>819886.07380804059</v>
      </c>
      <c r="L29" s="210"/>
    </row>
    <row r="30" spans="1:12">
      <c r="A30" s="208"/>
      <c r="B30" s="208"/>
      <c r="C30" s="221"/>
      <c r="D30" s="221"/>
      <c r="L30" s="210"/>
    </row>
    <row r="31" spans="1:12">
      <c r="A31" s="208">
        <v>1900</v>
      </c>
      <c r="B31" s="208" t="s">
        <v>890</v>
      </c>
      <c r="C31" s="221">
        <v>6576.3670000000002</v>
      </c>
      <c r="D31" s="221">
        <v>-10304.205</v>
      </c>
      <c r="E31" s="221">
        <v>21759.622385449842</v>
      </c>
      <c r="F31" s="221">
        <v>-29827.74139652243</v>
      </c>
      <c r="G31" s="221">
        <v>-8771.6866761956499</v>
      </c>
      <c r="H31" s="221">
        <v>48625.066575706216</v>
      </c>
      <c r="I31" s="221">
        <v>17021.346438410001</v>
      </c>
      <c r="J31" s="221">
        <v>-20812.6451714</v>
      </c>
      <c r="K31" s="221">
        <v>-17933.951201349249</v>
      </c>
      <c r="L31" s="210"/>
    </row>
    <row r="32" spans="1:12" s="225" customFormat="1">
      <c r="A32" s="208"/>
      <c r="B32" s="208"/>
      <c r="C32" s="221"/>
      <c r="D32" s="221"/>
    </row>
    <row r="33" spans="1:12">
      <c r="A33" s="218">
        <v>2000</v>
      </c>
      <c r="B33" s="218" t="s">
        <v>152</v>
      </c>
      <c r="C33" s="219">
        <v>43449.97</v>
      </c>
      <c r="D33" s="219">
        <v>66523.694000000003</v>
      </c>
      <c r="E33" s="219">
        <v>52964.048333430008</v>
      </c>
      <c r="F33" s="219">
        <v>48115.061924749993</v>
      </c>
      <c r="G33" s="219">
        <v>41783.420835129997</v>
      </c>
      <c r="H33" s="219">
        <v>55333.296901579997</v>
      </c>
      <c r="I33" s="219">
        <v>48849.264061310001</v>
      </c>
      <c r="J33" s="219">
        <v>48141.31624</v>
      </c>
      <c r="K33" s="219">
        <v>41711.990348610001</v>
      </c>
      <c r="L33" s="210"/>
    </row>
    <row r="34" spans="1:12">
      <c r="A34" s="218"/>
      <c r="B34" s="218"/>
      <c r="C34" s="219"/>
      <c r="D34" s="219"/>
      <c r="E34" s="221"/>
      <c r="L34" s="210"/>
    </row>
    <row r="35" spans="1:12">
      <c r="A35" s="208">
        <v>2100</v>
      </c>
      <c r="B35" s="208" t="s">
        <v>891</v>
      </c>
      <c r="C35" s="221">
        <v>6956.4849999999997</v>
      </c>
      <c r="D35" s="221">
        <v>5017.7190000000001</v>
      </c>
      <c r="E35" s="221">
        <v>4170.3436939999992</v>
      </c>
      <c r="F35" s="221">
        <v>7143.452217</v>
      </c>
      <c r="G35" s="221">
        <v>6044</v>
      </c>
      <c r="H35" s="221">
        <v>6699</v>
      </c>
      <c r="I35" s="221">
        <v>8042.7812160000003</v>
      </c>
      <c r="J35" s="221">
        <v>7602.6817545100002</v>
      </c>
      <c r="K35" s="221">
        <v>4149.22262735</v>
      </c>
      <c r="L35" s="210"/>
    </row>
    <row r="36" spans="1:12">
      <c r="A36" s="208"/>
      <c r="B36" s="208"/>
      <c r="C36" s="221"/>
      <c r="D36" s="221"/>
      <c r="E36" s="221"/>
      <c r="F36" s="222"/>
      <c r="G36" s="222"/>
      <c r="H36" s="222"/>
      <c r="I36" s="222"/>
      <c r="J36" s="222"/>
      <c r="K36" s="222"/>
      <c r="L36" s="210"/>
    </row>
    <row r="37" spans="1:12" s="225" customFormat="1">
      <c r="A37" s="208">
        <v>2200</v>
      </c>
      <c r="B37" s="208" t="s">
        <v>791</v>
      </c>
      <c r="C37" s="221">
        <v>321.05500000000001</v>
      </c>
      <c r="D37" s="221">
        <v>622.04</v>
      </c>
      <c r="E37" s="221">
        <v>328.98280499999998</v>
      </c>
      <c r="F37" s="221">
        <v>935.2698539999999</v>
      </c>
      <c r="G37" s="221">
        <v>460.02793491999995</v>
      </c>
      <c r="H37" s="221">
        <v>312.98892061999999</v>
      </c>
      <c r="I37" s="221">
        <v>243.36382800000001</v>
      </c>
      <c r="J37" s="221">
        <v>456.53800624000002</v>
      </c>
      <c r="K37" s="221">
        <v>487.62398185000001</v>
      </c>
    </row>
    <row r="38" spans="1:12">
      <c r="A38" s="208"/>
      <c r="B38" s="208"/>
      <c r="C38" s="221"/>
      <c r="D38" s="221"/>
      <c r="E38" s="221"/>
      <c r="F38" s="222"/>
      <c r="G38" s="222"/>
      <c r="H38" s="222"/>
      <c r="I38" s="222"/>
      <c r="J38" s="222"/>
      <c r="K38" s="222"/>
      <c r="L38" s="210"/>
    </row>
    <row r="39" spans="1:12">
      <c r="A39" s="208">
        <v>2300</v>
      </c>
      <c r="B39" s="208" t="s">
        <v>792</v>
      </c>
      <c r="C39" s="221">
        <v>5987.5389999999998</v>
      </c>
      <c r="D39" s="221">
        <v>7234.6459999999997</v>
      </c>
      <c r="E39" s="221">
        <v>7711.4143778199996</v>
      </c>
      <c r="F39" s="221">
        <v>7728.2773598299991</v>
      </c>
      <c r="G39" s="221">
        <v>6821.1168106899995</v>
      </c>
      <c r="H39" s="221">
        <v>5890.8101826600005</v>
      </c>
      <c r="I39" s="221">
        <v>5823.1526611400004</v>
      </c>
      <c r="J39" s="221">
        <v>6019.92560177</v>
      </c>
      <c r="K39" s="221">
        <v>2074.4359772500002</v>
      </c>
      <c r="L39" s="210"/>
    </row>
    <row r="40" spans="1:12">
      <c r="A40" s="208"/>
      <c r="B40" s="208"/>
      <c r="C40" s="221"/>
      <c r="D40" s="221"/>
      <c r="E40" s="221"/>
      <c r="F40" s="224"/>
      <c r="G40" s="224"/>
      <c r="H40" s="224"/>
      <c r="I40" s="224"/>
      <c r="J40" s="224"/>
      <c r="K40" s="224"/>
      <c r="L40" s="210"/>
    </row>
    <row r="41" spans="1:12" s="225" customFormat="1">
      <c r="A41" s="208">
        <v>2400</v>
      </c>
      <c r="B41" s="208" t="s">
        <v>801</v>
      </c>
      <c r="C41" s="221">
        <v>22963.076000000001</v>
      </c>
      <c r="D41" s="221">
        <v>33248.828000000001</v>
      </c>
      <c r="E41" s="221">
        <v>24680.53573802</v>
      </c>
      <c r="F41" s="221">
        <v>19139.676852279998</v>
      </c>
      <c r="G41" s="221">
        <v>16875.675824890001</v>
      </c>
      <c r="H41" s="221">
        <v>26926.008280729999</v>
      </c>
      <c r="I41" s="221">
        <v>21657.782807659998</v>
      </c>
      <c r="J41" s="221">
        <v>20654.851563209999</v>
      </c>
      <c r="K41" s="221">
        <v>12435.92884624</v>
      </c>
    </row>
    <row r="42" spans="1:12">
      <c r="A42" s="208"/>
      <c r="B42" s="208"/>
      <c r="C42" s="221"/>
      <c r="D42" s="221"/>
      <c r="E42" s="221"/>
      <c r="F42" s="224"/>
      <c r="G42" s="224"/>
      <c r="H42" s="224"/>
      <c r="I42" s="224"/>
      <c r="J42" s="224"/>
      <c r="K42" s="224"/>
      <c r="L42" s="210"/>
    </row>
    <row r="43" spans="1:12">
      <c r="A43" s="208">
        <v>2500</v>
      </c>
      <c r="B43" s="208" t="s">
        <v>803</v>
      </c>
      <c r="C43" s="221">
        <v>6084.509</v>
      </c>
      <c r="D43" s="221">
        <v>13589.12</v>
      </c>
      <c r="E43" s="221">
        <v>12134.082952639999</v>
      </c>
      <c r="F43" s="221">
        <v>10762.489305439994</v>
      </c>
      <c r="G43" s="221">
        <v>9893.5121676000017</v>
      </c>
      <c r="H43" s="221">
        <v>10219.044402549996</v>
      </c>
      <c r="I43" s="221">
        <v>10392.9535292</v>
      </c>
      <c r="J43" s="221">
        <v>11070.343143209999</v>
      </c>
      <c r="K43" s="221">
        <v>8307.5129258899997</v>
      </c>
      <c r="L43" s="210"/>
    </row>
    <row r="44" spans="1:12">
      <c r="A44" s="208"/>
      <c r="B44" s="208"/>
      <c r="C44" s="221"/>
      <c r="D44" s="221"/>
      <c r="E44" s="221"/>
      <c r="F44" s="224"/>
      <c r="G44" s="224"/>
      <c r="H44" s="224"/>
      <c r="I44" s="224"/>
      <c r="J44" s="224"/>
      <c r="K44" s="224"/>
      <c r="L44" s="210"/>
    </row>
    <row r="45" spans="1:12">
      <c r="A45" s="208">
        <v>2600</v>
      </c>
      <c r="B45" s="208" t="s">
        <v>1348</v>
      </c>
      <c r="C45" s="221">
        <v>261.524</v>
      </c>
      <c r="D45" s="221">
        <v>254.73699999999999</v>
      </c>
      <c r="E45" s="221">
        <v>156.91156148000002</v>
      </c>
      <c r="F45" s="221">
        <v>84.170517430000004</v>
      </c>
      <c r="G45" s="221">
        <v>64.848825199999993</v>
      </c>
      <c r="H45" s="221">
        <v>259.80833353000003</v>
      </c>
      <c r="I45" s="221">
        <v>64.086284000000006</v>
      </c>
      <c r="J45" s="221">
        <v>53.953455499999997</v>
      </c>
      <c r="K45" s="221">
        <v>62.226488859999996</v>
      </c>
      <c r="L45" s="210"/>
    </row>
    <row r="46" spans="1:12">
      <c r="A46" s="208"/>
      <c r="B46" s="208"/>
      <c r="C46" s="221"/>
      <c r="D46" s="221"/>
      <c r="E46" s="221"/>
      <c r="F46" s="224"/>
      <c r="G46" s="224"/>
      <c r="H46" s="224"/>
      <c r="I46" s="224"/>
      <c r="J46" s="224"/>
      <c r="K46" s="224"/>
      <c r="L46" s="210"/>
    </row>
    <row r="47" spans="1:12">
      <c r="A47" s="208">
        <v>2700</v>
      </c>
      <c r="B47" s="208" t="s">
        <v>1351</v>
      </c>
      <c r="C47" s="221">
        <v>710.25900000000001</v>
      </c>
      <c r="D47" s="221">
        <v>1330.4090000000001</v>
      </c>
      <c r="E47" s="221">
        <v>1201.53629297</v>
      </c>
      <c r="F47" s="221">
        <v>1404.8408394200001</v>
      </c>
      <c r="G47" s="221">
        <v>1127.3277477799998</v>
      </c>
      <c r="H47" s="221">
        <v>1303.8265213899999</v>
      </c>
      <c r="I47" s="221">
        <v>1458.3216723799999</v>
      </c>
      <c r="J47" s="221">
        <v>1373.05279417</v>
      </c>
      <c r="K47" s="221">
        <v>1129.9172407800002</v>
      </c>
      <c r="L47" s="210"/>
    </row>
    <row r="48" spans="1:12" s="225" customFormat="1">
      <c r="A48" s="208"/>
      <c r="B48" s="208"/>
      <c r="C48" s="221"/>
      <c r="D48" s="221"/>
      <c r="E48" s="221"/>
      <c r="F48" s="224"/>
      <c r="G48" s="224"/>
      <c r="H48" s="224"/>
      <c r="I48" s="224"/>
      <c r="J48" s="224"/>
      <c r="K48" s="224"/>
    </row>
    <row r="49" spans="1:12">
      <c r="A49" s="208">
        <v>2800</v>
      </c>
      <c r="B49" s="208" t="s">
        <v>1355</v>
      </c>
      <c r="C49" s="221">
        <v>165.52199999999999</v>
      </c>
      <c r="D49" s="221">
        <v>5226.1949999999997</v>
      </c>
      <c r="E49" s="221">
        <v>2580.2409115</v>
      </c>
      <c r="F49" s="221">
        <v>916.88497935000009</v>
      </c>
      <c r="G49" s="221">
        <v>496.91152405000008</v>
      </c>
      <c r="H49" s="221">
        <v>3721.8102601000001</v>
      </c>
      <c r="I49" s="221">
        <v>1166.8220629299999</v>
      </c>
      <c r="J49" s="221">
        <v>909.96992139000008</v>
      </c>
      <c r="K49" s="221">
        <v>13065.122260390001</v>
      </c>
      <c r="L49" s="210"/>
    </row>
    <row r="50" spans="1:12" s="225" customFormat="1">
      <c r="A50" s="208"/>
      <c r="B50" s="208"/>
      <c r="C50" s="221"/>
      <c r="D50" s="221"/>
      <c r="E50" s="222"/>
      <c r="F50" s="210"/>
      <c r="G50" s="210"/>
      <c r="H50" s="210"/>
      <c r="I50" s="210"/>
      <c r="J50" s="210"/>
      <c r="K50" s="210"/>
    </row>
    <row r="51" spans="1:12">
      <c r="A51" s="218">
        <v>3000</v>
      </c>
      <c r="B51" s="218" t="s">
        <v>1356</v>
      </c>
      <c r="C51" s="219">
        <v>56.451000000000001</v>
      </c>
      <c r="D51" s="219">
        <v>18015.803</v>
      </c>
      <c r="E51" s="219">
        <v>76519.098763149988</v>
      </c>
      <c r="F51" s="219">
        <v>101.81874248000001</v>
      </c>
      <c r="G51" s="219">
        <v>166.84705868</v>
      </c>
      <c r="H51" s="219">
        <v>23123.895850560002</v>
      </c>
      <c r="I51" s="219">
        <v>322.16467475000002</v>
      </c>
      <c r="J51" s="219">
        <v>20772.110457540002</v>
      </c>
      <c r="K51" s="219">
        <v>182.38214818</v>
      </c>
      <c r="L51" s="210"/>
    </row>
    <row r="52" spans="1:12">
      <c r="A52" s="208"/>
      <c r="B52" s="208"/>
      <c r="C52" s="221"/>
      <c r="D52" s="221"/>
      <c r="E52" s="221"/>
      <c r="L52" s="210"/>
    </row>
    <row r="53" spans="1:12">
      <c r="A53" s="208">
        <v>3100</v>
      </c>
      <c r="B53" s="208" t="s">
        <v>1357</v>
      </c>
      <c r="C53" s="221">
        <v>24.623000000000001</v>
      </c>
      <c r="D53" s="221">
        <v>20.251000000000001</v>
      </c>
      <c r="E53" s="221">
        <v>38.704999999999998</v>
      </c>
      <c r="F53" s="221">
        <v>23.277999999999999</v>
      </c>
      <c r="G53" s="221">
        <v>26.146000000000001</v>
      </c>
      <c r="H53" s="221">
        <v>33.844999999999999</v>
      </c>
      <c r="I53" s="221">
        <v>64.713978999999995</v>
      </c>
      <c r="J53" s="221">
        <v>70.581999999999994</v>
      </c>
      <c r="K53" s="221">
        <v>28.053000000000001</v>
      </c>
      <c r="L53" s="210"/>
    </row>
    <row r="54" spans="1:12" s="225" customFormat="1">
      <c r="A54" s="208"/>
      <c r="B54" s="208"/>
      <c r="C54" s="221"/>
      <c r="D54" s="221"/>
      <c r="E54" s="221"/>
      <c r="F54" s="224"/>
      <c r="G54" s="224"/>
      <c r="H54" s="224"/>
      <c r="I54" s="224"/>
      <c r="J54" s="224"/>
      <c r="K54" s="224"/>
    </row>
    <row r="55" spans="1:12">
      <c r="A55" s="208">
        <v>3200</v>
      </c>
      <c r="B55" s="208" t="s">
        <v>1359</v>
      </c>
      <c r="C55" s="221">
        <v>0</v>
      </c>
      <c r="D55" s="221">
        <v>0</v>
      </c>
      <c r="E55" s="221">
        <v>0</v>
      </c>
      <c r="F55" s="221">
        <v>0</v>
      </c>
      <c r="G55" s="221">
        <v>0</v>
      </c>
      <c r="H55" s="221">
        <v>0</v>
      </c>
      <c r="I55" s="221">
        <v>0</v>
      </c>
      <c r="J55" s="221">
        <v>0</v>
      </c>
      <c r="K55" s="221">
        <v>0</v>
      </c>
      <c r="L55" s="210"/>
    </row>
    <row r="56" spans="1:12">
      <c r="A56" s="208"/>
      <c r="B56" s="208"/>
      <c r="C56" s="221"/>
      <c r="D56" s="221"/>
      <c r="E56" s="221"/>
      <c r="F56" s="224"/>
      <c r="G56" s="224"/>
      <c r="H56" s="224"/>
      <c r="I56" s="224"/>
      <c r="J56" s="224"/>
      <c r="K56" s="224"/>
      <c r="L56" s="210"/>
    </row>
    <row r="57" spans="1:12" s="225" customFormat="1">
      <c r="A57" s="208">
        <v>3300</v>
      </c>
      <c r="B57" s="208" t="s">
        <v>1360</v>
      </c>
      <c r="C57" s="221">
        <v>31.827999999999999</v>
      </c>
      <c r="D57" s="221">
        <v>17995.550999999999</v>
      </c>
      <c r="E57" s="221">
        <v>76480.393763149987</v>
      </c>
      <c r="F57" s="221">
        <v>78.54074248000002</v>
      </c>
      <c r="G57" s="221">
        <v>140.70105868000002</v>
      </c>
      <c r="H57" s="221">
        <v>23090.050850560001</v>
      </c>
      <c r="I57" s="221">
        <v>257.45069575000002</v>
      </c>
      <c r="J57" s="221">
        <v>20701.52845754</v>
      </c>
      <c r="K57" s="221">
        <v>154.32914817999998</v>
      </c>
    </row>
    <row r="58" spans="1:12" s="225" customFormat="1">
      <c r="A58" s="208"/>
      <c r="B58" s="208"/>
      <c r="C58" s="221"/>
      <c r="D58" s="221"/>
      <c r="F58" s="210"/>
      <c r="G58" s="210"/>
      <c r="H58" s="210"/>
      <c r="I58" s="210"/>
      <c r="J58" s="210"/>
      <c r="K58" s="210"/>
    </row>
    <row r="59" spans="1:12">
      <c r="A59" s="218">
        <v>4000</v>
      </c>
      <c r="B59" s="218" t="s">
        <v>1362</v>
      </c>
      <c r="C59" s="219">
        <v>2143.9490000000001</v>
      </c>
      <c r="D59" s="219">
        <v>2046.0429999999999</v>
      </c>
      <c r="E59" s="219">
        <v>1881.0248586700002</v>
      </c>
      <c r="F59" s="219">
        <v>1736.32574662</v>
      </c>
      <c r="G59" s="219">
        <v>1687.1917476499998</v>
      </c>
      <c r="H59" s="219">
        <v>1452.3446371699999</v>
      </c>
      <c r="I59" s="219">
        <v>1322.34443689</v>
      </c>
      <c r="J59" s="219">
        <v>1105.04676045</v>
      </c>
      <c r="K59" s="219">
        <v>945.12521045999995</v>
      </c>
      <c r="L59" s="210"/>
    </row>
    <row r="60" spans="1:12">
      <c r="A60" s="208"/>
      <c r="B60" s="208"/>
      <c r="C60" s="221"/>
      <c r="D60" s="221"/>
      <c r="E60" s="221"/>
      <c r="L60" s="210"/>
    </row>
    <row r="61" spans="1:12">
      <c r="A61" s="208">
        <v>4100</v>
      </c>
      <c r="B61" s="208" t="s">
        <v>1363</v>
      </c>
      <c r="C61" s="221">
        <v>55.023000000000003</v>
      </c>
      <c r="D61" s="221">
        <v>24.228999999999999</v>
      </c>
      <c r="E61" s="221">
        <v>13.861139059999999</v>
      </c>
      <c r="F61" s="221">
        <v>8.2914110000000001</v>
      </c>
      <c r="G61" s="221">
        <v>6.3502835199999987</v>
      </c>
      <c r="H61" s="221">
        <v>4.7073616199999995</v>
      </c>
      <c r="I61" s="221">
        <v>2.13177306</v>
      </c>
      <c r="J61" s="221">
        <v>2.4711564300000002</v>
      </c>
      <c r="K61" s="221">
        <v>0.82307870000000005</v>
      </c>
      <c r="L61" s="210"/>
    </row>
    <row r="62" spans="1:12">
      <c r="A62" s="208"/>
      <c r="B62" s="208"/>
      <c r="C62" s="221"/>
      <c r="D62" s="221"/>
      <c r="E62" s="221"/>
      <c r="F62" s="224"/>
      <c r="G62" s="224"/>
      <c r="H62" s="224"/>
      <c r="I62" s="224"/>
      <c r="J62" s="224"/>
      <c r="K62" s="224"/>
      <c r="L62" s="210"/>
    </row>
    <row r="63" spans="1:12">
      <c r="A63" s="208">
        <v>4300</v>
      </c>
      <c r="B63" s="208" t="s">
        <v>1370</v>
      </c>
      <c r="C63" s="221">
        <v>1984.8409999999999</v>
      </c>
      <c r="D63" s="221">
        <v>1907.3789999999999</v>
      </c>
      <c r="E63" s="221">
        <v>1774.298552</v>
      </c>
      <c r="F63" s="221">
        <v>1674.338679</v>
      </c>
      <c r="G63" s="221">
        <v>1602.3003029999998</v>
      </c>
      <c r="H63" s="221">
        <v>1401.8093199999998</v>
      </c>
      <c r="I63" s="221">
        <v>1180.46175948</v>
      </c>
      <c r="J63" s="221">
        <v>968.01367075000007</v>
      </c>
      <c r="K63" s="221">
        <v>817.62704871000005</v>
      </c>
      <c r="L63" s="210"/>
    </row>
    <row r="64" spans="1:12">
      <c r="A64" s="208"/>
      <c r="B64" s="208"/>
      <c r="C64" s="221"/>
      <c r="D64" s="221"/>
      <c r="E64" s="221"/>
      <c r="F64" s="224"/>
      <c r="G64" s="224"/>
      <c r="H64" s="224"/>
      <c r="I64" s="224"/>
      <c r="J64" s="224"/>
      <c r="K64" s="224"/>
      <c r="L64" s="210"/>
    </row>
    <row r="65" spans="1:12">
      <c r="A65" s="208">
        <v>4500</v>
      </c>
      <c r="B65" s="208" t="s">
        <v>1374</v>
      </c>
      <c r="C65" s="221">
        <v>104.08499999999999</v>
      </c>
      <c r="D65" s="221">
        <v>114.43600000000001</v>
      </c>
      <c r="E65" s="221">
        <v>92.86516761</v>
      </c>
      <c r="F65" s="221">
        <v>53.695656620000001</v>
      </c>
      <c r="G65" s="221">
        <v>78.541161129999992</v>
      </c>
      <c r="H65" s="221">
        <v>45.827955549999999</v>
      </c>
      <c r="I65" s="221">
        <v>139.75090434999998</v>
      </c>
      <c r="J65" s="221">
        <v>134.56193327</v>
      </c>
      <c r="K65" s="221">
        <v>126.67508305</v>
      </c>
      <c r="L65" s="210"/>
    </row>
    <row r="66" spans="1:12" s="225" customFormat="1">
      <c r="A66" s="208"/>
      <c r="B66" s="208"/>
      <c r="C66" s="221"/>
      <c r="D66" s="221"/>
      <c r="E66" s="222"/>
      <c r="F66" s="210"/>
      <c r="G66" s="210"/>
      <c r="H66" s="210"/>
      <c r="I66" s="210"/>
      <c r="J66" s="210"/>
      <c r="K66" s="210"/>
    </row>
    <row r="67" spans="1:12">
      <c r="A67" s="218">
        <v>5000</v>
      </c>
      <c r="B67" s="218" t="s">
        <v>1377</v>
      </c>
      <c r="C67" s="219">
        <v>7762.759</v>
      </c>
      <c r="D67" s="219">
        <v>8173.6170000000002</v>
      </c>
      <c r="E67" s="219">
        <v>8700.2944312800009</v>
      </c>
      <c r="F67" s="219">
        <v>8912.0695590100004</v>
      </c>
      <c r="G67" s="219">
        <v>8940.310904269998</v>
      </c>
      <c r="H67" s="219">
        <v>11085.764927369999</v>
      </c>
      <c r="I67" s="219">
        <v>9717.1099445399996</v>
      </c>
      <c r="J67" s="219">
        <v>9938.1860300999997</v>
      </c>
      <c r="K67" s="219">
        <v>9867.5342732400004</v>
      </c>
      <c r="L67" s="210"/>
    </row>
    <row r="68" spans="1:12">
      <c r="A68" s="208"/>
      <c r="B68" s="208"/>
      <c r="C68" s="221"/>
      <c r="D68" s="221"/>
      <c r="E68" s="221"/>
      <c r="L68" s="210"/>
    </row>
    <row r="69" spans="1:12">
      <c r="A69" s="208">
        <v>5100</v>
      </c>
      <c r="B69" s="208" t="s">
        <v>29</v>
      </c>
      <c r="C69" s="221">
        <v>522.12599999999998</v>
      </c>
      <c r="D69" s="221">
        <v>567.36800000000005</v>
      </c>
      <c r="E69" s="221">
        <v>512.01535699999999</v>
      </c>
      <c r="F69" s="221">
        <v>537.27711599999998</v>
      </c>
      <c r="G69" s="221">
        <v>550.17938944000002</v>
      </c>
      <c r="H69" s="221">
        <v>551.74544151999999</v>
      </c>
      <c r="I69" s="221">
        <v>525.80819950999989</v>
      </c>
      <c r="J69" s="221">
        <v>533.75655010000003</v>
      </c>
      <c r="K69" s="221">
        <v>540.50915728999996</v>
      </c>
      <c r="L69" s="210"/>
    </row>
    <row r="70" spans="1:12" s="225" customFormat="1">
      <c r="A70" s="208"/>
      <c r="B70" s="208"/>
      <c r="C70" s="221"/>
      <c r="D70" s="221"/>
      <c r="E70" s="221"/>
      <c r="F70" s="224"/>
      <c r="G70" s="224"/>
      <c r="H70" s="224"/>
      <c r="I70" s="224"/>
      <c r="J70" s="224"/>
      <c r="K70" s="224"/>
    </row>
    <row r="71" spans="1:12">
      <c r="A71" s="208">
        <v>5200</v>
      </c>
      <c r="B71" s="208" t="s">
        <v>811</v>
      </c>
      <c r="C71" s="221">
        <v>7240.6319999999996</v>
      </c>
      <c r="D71" s="221">
        <v>7606.2489999999998</v>
      </c>
      <c r="E71" s="221">
        <v>8188.2790742799998</v>
      </c>
      <c r="F71" s="221">
        <v>8374.7924430100011</v>
      </c>
      <c r="G71" s="221">
        <v>8390.1315148299982</v>
      </c>
      <c r="H71" s="221">
        <v>10534.019485849998</v>
      </c>
      <c r="I71" s="221">
        <v>9191.3017450300013</v>
      </c>
      <c r="J71" s="221">
        <v>9404.4294800000007</v>
      </c>
      <c r="K71" s="221">
        <v>9327.0251159500003</v>
      </c>
      <c r="L71" s="210"/>
    </row>
    <row r="72" spans="1:12" s="225" customFormat="1">
      <c r="A72" s="208"/>
      <c r="B72" s="208"/>
      <c r="C72" s="221"/>
      <c r="D72" s="221"/>
      <c r="E72" s="222"/>
      <c r="F72" s="210"/>
      <c r="G72" s="210"/>
      <c r="H72" s="210"/>
      <c r="I72" s="210"/>
      <c r="J72" s="210"/>
      <c r="K72" s="210"/>
    </row>
    <row r="73" spans="1:12">
      <c r="A73" s="218">
        <v>6000</v>
      </c>
      <c r="B73" s="218" t="s">
        <v>812</v>
      </c>
      <c r="C73" s="219">
        <v>12440.927</v>
      </c>
      <c r="D73" s="219">
        <v>13036.657999999999</v>
      </c>
      <c r="E73" s="219">
        <v>11035.53906809</v>
      </c>
      <c r="F73" s="219">
        <v>11682.320274669999</v>
      </c>
      <c r="G73" s="219">
        <v>12977.699934669999</v>
      </c>
      <c r="H73" s="219">
        <v>12328.127090060001</v>
      </c>
      <c r="I73" s="219">
        <v>9781.9058185899994</v>
      </c>
      <c r="J73" s="219">
        <v>10265.016151289999</v>
      </c>
      <c r="K73" s="219">
        <v>11863.594470529999</v>
      </c>
      <c r="L73" s="210"/>
    </row>
    <row r="74" spans="1:12">
      <c r="A74" s="208"/>
      <c r="B74" s="208"/>
      <c r="C74" s="221"/>
      <c r="D74" s="221"/>
      <c r="E74" s="221"/>
      <c r="L74" s="210"/>
    </row>
    <row r="75" spans="1:12">
      <c r="A75" s="208">
        <v>6100</v>
      </c>
      <c r="B75" s="208" t="s">
        <v>1591</v>
      </c>
      <c r="C75" s="221">
        <v>8889.7559999999994</v>
      </c>
      <c r="D75" s="221">
        <v>9841.4779999999992</v>
      </c>
      <c r="E75" s="221">
        <v>8994.0201151700003</v>
      </c>
      <c r="F75" s="221">
        <v>9191.211501830001</v>
      </c>
      <c r="G75" s="221">
        <v>10229.53126125</v>
      </c>
      <c r="H75" s="221">
        <v>8671.2212936699998</v>
      </c>
      <c r="I75" s="221">
        <v>8459.23115263</v>
      </c>
      <c r="J75" s="221">
        <v>7452.6973214</v>
      </c>
      <c r="K75" s="221">
        <v>8110.2087213199993</v>
      </c>
      <c r="L75" s="210"/>
    </row>
    <row r="76" spans="1:12" s="225" customFormat="1">
      <c r="A76" s="203"/>
      <c r="B76" s="208"/>
      <c r="C76" s="221"/>
      <c r="D76" s="221"/>
      <c r="E76" s="222"/>
      <c r="F76" s="224"/>
      <c r="G76" s="224"/>
      <c r="H76" s="224"/>
      <c r="I76" s="224"/>
      <c r="J76" s="224"/>
      <c r="K76" s="224"/>
    </row>
    <row r="77" spans="1:12">
      <c r="A77" s="208">
        <v>6200</v>
      </c>
      <c r="B77" s="208" t="s">
        <v>1592</v>
      </c>
      <c r="C77" s="221">
        <v>75.72</v>
      </c>
      <c r="D77" s="221">
        <v>89.906000000000006</v>
      </c>
      <c r="E77" s="221">
        <v>94.330979639999995</v>
      </c>
      <c r="F77" s="221">
        <v>69.959134829999996</v>
      </c>
      <c r="G77" s="221">
        <v>101.78873509</v>
      </c>
      <c r="H77" s="221">
        <v>49.648473609999996</v>
      </c>
      <c r="I77" s="221">
        <v>2.2572610000000002</v>
      </c>
      <c r="J77" s="221">
        <v>93.519561469999999</v>
      </c>
      <c r="K77" s="221">
        <v>38.158289859999996</v>
      </c>
      <c r="L77" s="210"/>
    </row>
    <row r="78" spans="1:12">
      <c r="A78" s="208"/>
      <c r="B78" s="208"/>
      <c r="C78" s="221"/>
      <c r="D78" s="221"/>
      <c r="E78" s="221"/>
      <c r="F78" s="222"/>
      <c r="G78" s="222"/>
      <c r="H78" s="222"/>
      <c r="I78" s="222"/>
      <c r="J78" s="222"/>
      <c r="K78" s="222"/>
      <c r="L78" s="210"/>
    </row>
    <row r="79" spans="1:12">
      <c r="A79" s="208">
        <v>6300</v>
      </c>
      <c r="B79" s="208" t="s">
        <v>1606</v>
      </c>
      <c r="C79" s="221">
        <v>1212.0319999999999</v>
      </c>
      <c r="D79" s="221">
        <v>1130.4010000000001</v>
      </c>
      <c r="E79" s="221">
        <v>463.98259254999999</v>
      </c>
      <c r="F79" s="221">
        <v>1314.7310502500002</v>
      </c>
      <c r="G79" s="221">
        <v>872.20769972999983</v>
      </c>
      <c r="H79" s="221">
        <v>1844.4201824099998</v>
      </c>
      <c r="I79" s="221">
        <v>1002.45979516</v>
      </c>
      <c r="J79" s="221">
        <v>1291.7142867</v>
      </c>
      <c r="K79" s="221">
        <v>1395.21899992</v>
      </c>
      <c r="L79" s="210"/>
    </row>
    <row r="80" spans="1:12" s="225" customFormat="1">
      <c r="A80" s="208"/>
      <c r="B80" s="208"/>
      <c r="C80" s="221"/>
      <c r="D80" s="221"/>
      <c r="E80" s="221"/>
      <c r="F80" s="224"/>
      <c r="G80" s="224"/>
      <c r="H80" s="224"/>
      <c r="I80" s="224"/>
      <c r="J80" s="224"/>
      <c r="K80" s="224"/>
    </row>
    <row r="81" spans="1:12">
      <c r="A81" s="208">
        <v>6400</v>
      </c>
      <c r="B81" s="208" t="s">
        <v>1610</v>
      </c>
      <c r="C81" s="221">
        <v>1270.5989999999999</v>
      </c>
      <c r="D81" s="221">
        <v>1632.5820000000001</v>
      </c>
      <c r="E81" s="221">
        <v>870.17147888</v>
      </c>
      <c r="F81" s="221">
        <v>357.93367243000006</v>
      </c>
      <c r="G81" s="221">
        <v>1151.11168202</v>
      </c>
      <c r="H81" s="221">
        <v>1188.3085359499996</v>
      </c>
      <c r="I81" s="221">
        <v>-0.66934901999999996</v>
      </c>
      <c r="J81" s="221">
        <v>841.86833437000007</v>
      </c>
      <c r="K81" s="221">
        <v>1981.6928879700001</v>
      </c>
      <c r="L81" s="210"/>
    </row>
    <row r="82" spans="1:12">
      <c r="A82" s="208"/>
      <c r="B82" s="208"/>
      <c r="C82" s="221"/>
      <c r="D82" s="221"/>
      <c r="E82" s="221"/>
      <c r="F82" s="222"/>
      <c r="G82" s="222"/>
      <c r="H82" s="222"/>
      <c r="I82" s="222"/>
      <c r="J82" s="222"/>
      <c r="K82" s="222"/>
      <c r="L82" s="210"/>
    </row>
    <row r="83" spans="1:12">
      <c r="A83" s="208">
        <v>6500</v>
      </c>
      <c r="B83" s="208" t="s">
        <v>38</v>
      </c>
      <c r="C83" s="221">
        <v>193.80699999999999</v>
      </c>
      <c r="D83" s="221">
        <v>187.452</v>
      </c>
      <c r="E83" s="221">
        <v>347.75672850000001</v>
      </c>
      <c r="F83" s="221">
        <v>469.63291394999999</v>
      </c>
      <c r="G83" s="221">
        <v>391.36046470999997</v>
      </c>
      <c r="H83" s="221">
        <v>419.37499283</v>
      </c>
      <c r="I83" s="221">
        <v>211.90867746999999</v>
      </c>
      <c r="J83" s="221">
        <v>393.44757353</v>
      </c>
      <c r="K83" s="221">
        <v>293.57197740999999</v>
      </c>
      <c r="L83" s="210"/>
    </row>
    <row r="84" spans="1:12">
      <c r="A84" s="208"/>
      <c r="B84" s="208"/>
      <c r="C84" s="221"/>
      <c r="D84" s="221"/>
      <c r="E84" s="221"/>
      <c r="F84" s="224"/>
      <c r="G84" s="224"/>
      <c r="H84" s="224"/>
      <c r="I84" s="224"/>
      <c r="J84" s="224"/>
      <c r="K84" s="224"/>
      <c r="L84" s="210"/>
    </row>
    <row r="85" spans="1:12" s="225" customFormat="1">
      <c r="A85" s="208">
        <v>6900</v>
      </c>
      <c r="B85" s="208" t="s">
        <v>1593</v>
      </c>
      <c r="C85" s="221">
        <v>799.01300000000003</v>
      </c>
      <c r="D85" s="221">
        <v>154.839</v>
      </c>
      <c r="E85" s="221">
        <v>265.27717335</v>
      </c>
      <c r="F85" s="221">
        <v>278.85200138000005</v>
      </c>
      <c r="G85" s="221">
        <v>231.70009186999999</v>
      </c>
      <c r="H85" s="221">
        <v>155.15361159</v>
      </c>
      <c r="I85" s="221">
        <v>106.71828135</v>
      </c>
      <c r="J85" s="221">
        <v>191.76907381999999</v>
      </c>
      <c r="K85" s="221">
        <v>44.743594049999999</v>
      </c>
    </row>
    <row r="86" spans="1:12">
      <c r="A86" s="208"/>
      <c r="B86" s="208"/>
      <c r="C86" s="221"/>
      <c r="D86" s="221"/>
      <c r="L86" s="210"/>
    </row>
    <row r="87" spans="1:12">
      <c r="A87" s="218">
        <v>7000</v>
      </c>
      <c r="B87" s="218" t="s">
        <v>366</v>
      </c>
      <c r="C87" s="219">
        <v>-48182.930999999997</v>
      </c>
      <c r="D87" s="219">
        <v>-51870.91</v>
      </c>
      <c r="E87" s="219">
        <v>-56156.140416516959</v>
      </c>
      <c r="F87" s="219">
        <v>-66807.931429809993</v>
      </c>
      <c r="G87" s="219">
        <v>-65528.367780680397</v>
      </c>
      <c r="H87" s="219">
        <v>-70768.381527728823</v>
      </c>
      <c r="I87" s="219">
        <v>-74928.130887859996</v>
      </c>
      <c r="J87" s="219">
        <v>-76979.334321490009</v>
      </c>
      <c r="K87" s="219">
        <v>-76313.209837009999</v>
      </c>
      <c r="L87" s="210"/>
    </row>
    <row r="88" spans="1:12">
      <c r="A88" s="208"/>
      <c r="B88" s="208"/>
      <c r="C88" s="221"/>
      <c r="D88" s="227"/>
      <c r="E88" s="219"/>
      <c r="L88" s="210"/>
    </row>
    <row r="89" spans="1:12">
      <c r="A89" s="208">
        <v>7100</v>
      </c>
      <c r="B89" s="208" t="s">
        <v>128</v>
      </c>
      <c r="C89" s="221">
        <v>10938.275</v>
      </c>
      <c r="D89" s="228">
        <v>12149.9</v>
      </c>
      <c r="E89" s="221">
        <v>12637.053272110003</v>
      </c>
      <c r="F89" s="221">
        <v>3846.7393671899999</v>
      </c>
      <c r="G89" s="221">
        <v>9936.7575645800007</v>
      </c>
      <c r="H89" s="221">
        <v>10284.781514719998</v>
      </c>
      <c r="I89" s="221">
        <v>10086.233186060001</v>
      </c>
      <c r="J89" s="221">
        <v>10195.23560582</v>
      </c>
      <c r="K89" s="221">
        <v>14510.72163086</v>
      </c>
      <c r="L89" s="210"/>
    </row>
    <row r="90" spans="1:12">
      <c r="A90" s="208"/>
      <c r="B90" s="208"/>
      <c r="C90" s="221"/>
      <c r="D90" s="227"/>
      <c r="E90" s="221"/>
      <c r="F90" s="224"/>
      <c r="G90" s="224"/>
      <c r="H90" s="224"/>
      <c r="I90" s="224"/>
      <c r="J90" s="224"/>
      <c r="K90" s="224"/>
      <c r="L90" s="210"/>
    </row>
    <row r="91" spans="1:12">
      <c r="A91" s="208">
        <v>7200</v>
      </c>
      <c r="B91" s="208" t="s">
        <v>889</v>
      </c>
      <c r="C91" s="221">
        <v>-59121.205999999998</v>
      </c>
      <c r="D91" s="221">
        <v>-64020.811000000002</v>
      </c>
      <c r="E91" s="221">
        <v>-68793.193688626954</v>
      </c>
      <c r="F91" s="221">
        <v>-70654.670796999984</v>
      </c>
      <c r="G91" s="221">
        <v>-75465.1253452604</v>
      </c>
      <c r="H91" s="221">
        <v>-81053.163042448825</v>
      </c>
      <c r="I91" s="221">
        <v>-85014.364073919991</v>
      </c>
      <c r="J91" s="221">
        <v>-87174.569927310004</v>
      </c>
      <c r="K91" s="221">
        <v>-90823.931467870003</v>
      </c>
      <c r="L91" s="210"/>
    </row>
    <row r="92" spans="1:12">
      <c r="A92" s="208"/>
      <c r="B92" s="208"/>
      <c r="C92" s="221"/>
      <c r="D92" s="221"/>
      <c r="L92" s="210"/>
    </row>
    <row r="93" spans="1:12">
      <c r="A93" s="218">
        <v>8000</v>
      </c>
      <c r="B93" s="218" t="s">
        <v>1480</v>
      </c>
      <c r="C93" s="219">
        <v>-13672.199000000001</v>
      </c>
      <c r="D93" s="219">
        <v>-7737.0339999999997</v>
      </c>
      <c r="E93" s="219">
        <v>-2392.6572470000001</v>
      </c>
      <c r="F93" s="219">
        <v>13.370823</v>
      </c>
      <c r="G93" s="219">
        <v>20.778931000000004</v>
      </c>
      <c r="H93" s="219">
        <v>-112.456239</v>
      </c>
      <c r="I93" s="219">
        <v>-143.915876</v>
      </c>
      <c r="J93" s="219">
        <v>-2.8644209999999997</v>
      </c>
      <c r="K93" s="219">
        <v>-3.6749999999999999E-3</v>
      </c>
      <c r="L93" s="210"/>
    </row>
    <row r="94" spans="1:12">
      <c r="A94" s="208"/>
      <c r="B94" s="208"/>
      <c r="C94" s="221"/>
      <c r="D94" s="221"/>
      <c r="E94" s="230"/>
      <c r="L94" s="210"/>
    </row>
    <row r="95" spans="1:12">
      <c r="A95" s="208">
        <v>8100</v>
      </c>
      <c r="B95" s="208" t="s">
        <v>1480</v>
      </c>
      <c r="C95" s="221">
        <v>-13672.199000000001</v>
      </c>
      <c r="D95" s="221">
        <v>-7737.0339999999997</v>
      </c>
      <c r="E95" s="221">
        <v>-2392.6572470000001</v>
      </c>
      <c r="F95" s="230">
        <v>13.370823</v>
      </c>
      <c r="G95" s="230">
        <v>20.778931000000004</v>
      </c>
      <c r="H95" s="230">
        <v>-112.456239</v>
      </c>
      <c r="I95" s="230">
        <v>-143.915876</v>
      </c>
      <c r="J95" s="230">
        <v>-2.8644209999999997</v>
      </c>
      <c r="K95" s="230">
        <v>-3.6749999999999999E-3</v>
      </c>
      <c r="L95" s="210"/>
    </row>
    <row r="96" spans="1:12">
      <c r="A96" s="208"/>
      <c r="B96" s="208"/>
      <c r="C96" s="221"/>
      <c r="D96" s="221"/>
      <c r="E96" s="230"/>
      <c r="F96" s="230"/>
      <c r="G96" s="230"/>
      <c r="H96" s="230"/>
      <c r="I96" s="230"/>
      <c r="J96" s="230"/>
      <c r="K96" s="230"/>
      <c r="L96" s="210"/>
    </row>
    <row r="97" spans="1:12" ht="13.5" thickBot="1">
      <c r="A97" s="231" t="s">
        <v>367</v>
      </c>
      <c r="B97" s="231"/>
      <c r="C97" s="232">
        <v>810314.98600000003</v>
      </c>
      <c r="D97" s="232">
        <v>863716.28200000001</v>
      </c>
      <c r="E97" s="232">
        <v>901274.47743662004</v>
      </c>
      <c r="F97" s="232">
        <v>709536.22767848708</v>
      </c>
      <c r="G97" s="232">
        <v>779520.67434207001</v>
      </c>
      <c r="H97" s="232">
        <v>872416.92236579035</v>
      </c>
      <c r="I97" s="232">
        <v>787573.19252664992</v>
      </c>
      <c r="J97" s="232">
        <v>790534.93592967</v>
      </c>
      <c r="K97" s="232">
        <v>790209.5356527</v>
      </c>
      <c r="L97" s="210"/>
    </row>
    <row r="98" spans="1:12">
      <c r="A98" s="460" t="s">
        <v>179</v>
      </c>
      <c r="L98" s="210"/>
    </row>
    <row r="99" spans="1:12">
      <c r="A99" s="235" t="s">
        <v>1958</v>
      </c>
      <c r="L99" s="210"/>
    </row>
    <row r="100" spans="1:12">
      <c r="A100" s="584"/>
    </row>
    <row r="102" spans="1:12">
      <c r="F102" s="225"/>
      <c r="G102" s="225"/>
      <c r="H102" s="225"/>
      <c r="I102" s="225"/>
      <c r="J102" s="225"/>
      <c r="K102" s="225"/>
      <c r="L102" s="210"/>
    </row>
    <row r="105" spans="1:12">
      <c r="L105" s="210"/>
    </row>
    <row r="107" spans="1:12">
      <c r="E107" s="225"/>
      <c r="L107" s="210"/>
    </row>
    <row r="109" spans="1:12">
      <c r="L109" s="210"/>
    </row>
  </sheetData>
  <phoneticPr fontId="15" type="noConversion"/>
  <pageMargins left="0.7" right="0.7" top="0.75" bottom="0.75" header="0.3" footer="0.3"/>
  <pageSetup scale="91" fitToHeight="0" orientation="landscape" r:id="rId1"/>
  <headerFooter alignWithMargins="0"/>
  <rowBreaks count="1" manualBreakCount="1">
    <brk id="7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8"/>
  <sheetViews>
    <sheetView workbookViewId="0">
      <selection activeCell="F49" sqref="F49"/>
    </sheetView>
  </sheetViews>
  <sheetFormatPr defaultRowHeight="12.75"/>
  <cols>
    <col min="1" max="1" width="4.5" customWidth="1"/>
    <col min="11" max="11" width="7.6640625" customWidth="1"/>
    <col min="15" max="15" width="47.5" bestFit="1" customWidth="1"/>
    <col min="16" max="16" width="7.6640625" bestFit="1" customWidth="1"/>
  </cols>
  <sheetData>
    <row r="2" spans="1:20">
      <c r="A2" s="174" t="s">
        <v>1788</v>
      </c>
      <c r="B2" s="55"/>
      <c r="C2" s="55"/>
      <c r="D2" s="55"/>
      <c r="E2" s="55"/>
      <c r="F2" s="55"/>
      <c r="G2" s="55"/>
    </row>
    <row r="3" spans="1:20">
      <c r="A3" s="174" t="s">
        <v>2025</v>
      </c>
      <c r="B3" s="55"/>
      <c r="C3" s="55"/>
      <c r="D3" s="55"/>
      <c r="E3" s="55"/>
      <c r="F3" s="55"/>
      <c r="G3" s="55"/>
      <c r="R3" s="58"/>
      <c r="S3" s="58"/>
      <c r="T3" s="58"/>
    </row>
    <row r="4" spans="1:20">
      <c r="A4" s="7" t="s">
        <v>2026</v>
      </c>
      <c r="B4" s="55"/>
      <c r="C4" s="55"/>
      <c r="D4" s="55"/>
      <c r="E4" s="55"/>
      <c r="F4" s="55"/>
      <c r="G4" s="55"/>
      <c r="R4" s="58"/>
      <c r="S4" s="58"/>
      <c r="T4" s="58"/>
    </row>
    <row r="5" spans="1:20">
      <c r="A5" s="55"/>
      <c r="B5" s="55"/>
      <c r="C5" s="55"/>
      <c r="D5" s="55"/>
      <c r="E5" s="55"/>
      <c r="F5" s="55"/>
      <c r="G5" s="55"/>
      <c r="O5" s="4"/>
      <c r="P5" s="4"/>
      <c r="Q5" s="4"/>
      <c r="R5" s="55"/>
      <c r="S5" s="55"/>
      <c r="T5" s="58"/>
    </row>
    <row r="6" spans="1:20">
      <c r="A6" s="55"/>
      <c r="B6" s="55"/>
      <c r="C6" s="55"/>
      <c r="D6" s="55"/>
      <c r="E6" s="55"/>
      <c r="F6" s="55"/>
      <c r="G6" s="55"/>
      <c r="O6" s="4"/>
      <c r="P6" s="4"/>
      <c r="Q6" s="4"/>
      <c r="R6" s="55"/>
      <c r="S6" s="55"/>
      <c r="T6" s="58"/>
    </row>
    <row r="7" spans="1:20">
      <c r="A7" s="55"/>
      <c r="B7" s="55"/>
      <c r="C7" s="55"/>
      <c r="D7" s="55"/>
      <c r="E7" s="55"/>
      <c r="F7" s="55"/>
      <c r="G7" s="55"/>
      <c r="O7" s="55"/>
      <c r="P7" s="55"/>
      <c r="Q7" s="55"/>
      <c r="R7" s="55"/>
      <c r="S7" s="55"/>
      <c r="T7" s="58"/>
    </row>
    <row r="8" spans="1:20">
      <c r="A8" s="55"/>
      <c r="B8" s="55"/>
      <c r="C8" s="55"/>
      <c r="D8" s="55"/>
      <c r="E8" s="55"/>
      <c r="F8" s="55"/>
      <c r="G8" s="55"/>
      <c r="O8" s="55"/>
      <c r="P8" s="55"/>
      <c r="Q8" s="55"/>
      <c r="R8" s="55"/>
      <c r="S8" s="55"/>
      <c r="T8" s="58"/>
    </row>
    <row r="9" spans="1:20">
      <c r="A9" s="55"/>
      <c r="B9" s="55"/>
      <c r="C9" s="55"/>
      <c r="D9" s="55"/>
      <c r="E9" s="55"/>
      <c r="F9" s="55"/>
      <c r="G9" s="55"/>
      <c r="O9" s="55"/>
      <c r="P9" s="55"/>
      <c r="Q9" s="55"/>
      <c r="R9" s="55"/>
      <c r="S9" s="55"/>
      <c r="T9" s="58"/>
    </row>
    <row r="10" spans="1:20">
      <c r="A10" s="55"/>
      <c r="B10" s="55"/>
      <c r="C10" s="55"/>
      <c r="D10" s="55"/>
      <c r="E10" s="55"/>
      <c r="F10" s="55"/>
      <c r="G10" s="55"/>
      <c r="O10" s="55"/>
      <c r="P10" s="55"/>
      <c r="Q10" s="55"/>
      <c r="R10" s="55"/>
      <c r="S10" s="55"/>
      <c r="T10" s="58"/>
    </row>
    <row r="11" spans="1:20">
      <c r="A11" s="55"/>
      <c r="B11" s="55"/>
      <c r="C11" s="55"/>
      <c r="D11" s="55"/>
      <c r="E11" s="55"/>
      <c r="F11" s="55"/>
      <c r="G11" s="55"/>
      <c r="O11" s="55"/>
      <c r="P11" s="55"/>
      <c r="Q11" s="55"/>
      <c r="R11" s="55"/>
      <c r="S11" s="55"/>
      <c r="T11" s="58"/>
    </row>
    <row r="12" spans="1:20">
      <c r="A12" s="55"/>
      <c r="B12" s="55"/>
      <c r="C12" s="55"/>
      <c r="D12" s="55"/>
      <c r="E12" s="55"/>
      <c r="F12" s="55"/>
      <c r="G12" s="55"/>
      <c r="O12" s="48"/>
      <c r="P12" s="48"/>
      <c r="Q12" s="55"/>
      <c r="R12" s="55"/>
      <c r="S12" s="55"/>
      <c r="T12" s="58"/>
    </row>
    <row r="13" spans="1:20">
      <c r="A13" s="55"/>
      <c r="B13" s="55"/>
      <c r="C13" s="55"/>
      <c r="D13" s="55"/>
      <c r="E13" s="55"/>
      <c r="F13" s="55"/>
      <c r="G13" s="55"/>
      <c r="O13" s="48"/>
      <c r="P13" s="55"/>
      <c r="Q13" s="55"/>
      <c r="R13" s="55"/>
      <c r="S13" s="55"/>
      <c r="T13" s="58"/>
    </row>
    <row r="14" spans="1:20">
      <c r="A14" s="55"/>
      <c r="B14" s="55"/>
      <c r="C14" s="55"/>
      <c r="D14" s="55"/>
      <c r="E14" s="55"/>
      <c r="F14" s="55"/>
      <c r="G14" s="55"/>
      <c r="O14" s="55"/>
      <c r="P14" s="68"/>
      <c r="Q14" s="466"/>
      <c r="R14" s="55"/>
      <c r="S14" s="55"/>
      <c r="T14" s="58"/>
    </row>
    <row r="15" spans="1:20">
      <c r="A15" s="55"/>
      <c r="B15" s="55"/>
      <c r="C15" s="55"/>
      <c r="D15" s="55"/>
      <c r="E15" s="55"/>
      <c r="F15" s="55"/>
      <c r="G15" s="55"/>
      <c r="O15" s="55"/>
      <c r="P15" s="68"/>
      <c r="Q15" s="466"/>
      <c r="R15" s="55"/>
      <c r="S15" s="55"/>
      <c r="T15" s="58"/>
    </row>
    <row r="16" spans="1:20">
      <c r="A16" s="55"/>
      <c r="B16" s="55"/>
      <c r="C16" s="55"/>
      <c r="D16" s="55"/>
      <c r="E16" s="55"/>
      <c r="F16" s="55"/>
      <c r="G16" s="55"/>
      <c r="O16" s="55"/>
      <c r="P16" s="68"/>
      <c r="Q16" s="466"/>
      <c r="R16" s="55"/>
      <c r="S16" s="55"/>
      <c r="T16" s="58"/>
    </row>
    <row r="17" spans="1:20">
      <c r="A17" s="55"/>
      <c r="B17" s="55"/>
      <c r="C17" s="55"/>
      <c r="D17" s="55"/>
      <c r="E17" s="55"/>
      <c r="F17" s="55"/>
      <c r="G17" s="55"/>
      <c r="O17" s="55"/>
      <c r="P17" s="68"/>
      <c r="Q17" s="466"/>
      <c r="R17" s="55"/>
      <c r="S17" s="55"/>
      <c r="T17" s="58"/>
    </row>
    <row r="18" spans="1:20">
      <c r="A18" s="55"/>
      <c r="B18" s="55"/>
      <c r="C18" s="55"/>
      <c r="D18" s="55"/>
      <c r="E18" s="55"/>
      <c r="F18" s="55"/>
      <c r="G18" s="55"/>
      <c r="O18" s="55"/>
      <c r="P18" s="68"/>
      <c r="Q18" s="466"/>
      <c r="R18" s="55"/>
      <c r="S18" s="55"/>
      <c r="T18" s="58"/>
    </row>
    <row r="19" spans="1:20">
      <c r="A19" s="55"/>
      <c r="B19" s="55"/>
      <c r="C19" s="55"/>
      <c r="D19" s="55"/>
      <c r="E19" s="55"/>
      <c r="F19" s="55"/>
      <c r="G19" s="55"/>
      <c r="O19" s="55"/>
      <c r="P19" s="68"/>
      <c r="Q19" s="466"/>
      <c r="R19" s="55"/>
      <c r="S19" s="55"/>
      <c r="T19" s="58"/>
    </row>
    <row r="20" spans="1:20">
      <c r="A20" s="55"/>
      <c r="B20" s="55"/>
      <c r="C20" s="55"/>
      <c r="D20" s="55"/>
      <c r="E20" s="55"/>
      <c r="F20" s="55"/>
      <c r="G20" s="55"/>
      <c r="O20" s="55"/>
      <c r="P20" s="68"/>
      <c r="Q20" s="466"/>
      <c r="R20" s="55"/>
      <c r="S20" s="55"/>
      <c r="T20" s="58"/>
    </row>
    <row r="21" spans="1:20">
      <c r="A21" s="55"/>
      <c r="B21" s="55"/>
      <c r="C21" s="55"/>
      <c r="D21" s="55"/>
      <c r="E21" s="55"/>
      <c r="F21" s="55"/>
      <c r="G21" s="55"/>
      <c r="O21" s="7"/>
      <c r="P21" s="68"/>
      <c r="Q21" s="466"/>
      <c r="R21" s="55"/>
      <c r="S21" s="55"/>
      <c r="T21" s="58"/>
    </row>
    <row r="22" spans="1:20">
      <c r="A22" s="55"/>
      <c r="B22" s="55"/>
      <c r="C22" s="55"/>
      <c r="D22" s="55"/>
      <c r="E22" s="55"/>
      <c r="F22" s="55"/>
      <c r="G22" s="55"/>
      <c r="O22" s="7"/>
      <c r="P22" s="68"/>
      <c r="Q22" s="466"/>
      <c r="R22" s="55"/>
      <c r="S22" s="55"/>
      <c r="T22" s="58"/>
    </row>
    <row r="23" spans="1:20">
      <c r="A23" s="55"/>
      <c r="B23" s="55"/>
      <c r="C23" s="55"/>
      <c r="D23" s="55"/>
      <c r="E23" s="55"/>
      <c r="F23" s="55"/>
      <c r="G23" s="55"/>
      <c r="O23" s="55"/>
      <c r="P23" s="55"/>
      <c r="Q23" s="55"/>
      <c r="R23" s="55"/>
      <c r="S23" s="55"/>
      <c r="T23" s="58"/>
    </row>
    <row r="24" spans="1:20">
      <c r="A24" s="55"/>
      <c r="B24" s="55"/>
      <c r="C24" s="55"/>
      <c r="D24" s="55"/>
      <c r="E24" s="55"/>
      <c r="F24" s="55"/>
      <c r="G24" s="55"/>
      <c r="O24" s="55"/>
      <c r="P24" s="131"/>
      <c r="Q24" s="55"/>
      <c r="R24" s="55"/>
      <c r="S24" s="55"/>
      <c r="T24" s="58"/>
    </row>
    <row r="25" spans="1:20">
      <c r="A25" s="55"/>
      <c r="B25" s="55"/>
      <c r="C25" s="55"/>
      <c r="D25" s="55"/>
      <c r="E25" s="55"/>
      <c r="F25" s="55"/>
      <c r="G25" s="55"/>
      <c r="O25" s="55"/>
      <c r="P25" s="55"/>
      <c r="Q25" s="55"/>
      <c r="R25" s="55"/>
      <c r="S25" s="55"/>
      <c r="T25" s="58"/>
    </row>
    <row r="26" spans="1:20">
      <c r="A26" s="55"/>
      <c r="B26" s="55"/>
      <c r="C26" s="55"/>
      <c r="D26" s="55"/>
      <c r="E26" s="55"/>
      <c r="F26" s="55"/>
      <c r="G26" s="55"/>
      <c r="O26" s="55"/>
      <c r="P26" s="55"/>
      <c r="Q26" s="55"/>
      <c r="R26" s="55"/>
      <c r="S26" s="55"/>
      <c r="T26" s="58"/>
    </row>
    <row r="27" spans="1:20">
      <c r="A27" s="55"/>
      <c r="B27" s="55"/>
      <c r="C27" s="55"/>
      <c r="D27" s="55"/>
      <c r="E27" s="55"/>
      <c r="F27" s="55"/>
      <c r="G27" s="55"/>
      <c r="O27" s="55"/>
      <c r="P27" s="55"/>
      <c r="Q27" s="55"/>
      <c r="R27" s="55"/>
      <c r="S27" s="55"/>
      <c r="T27" s="58"/>
    </row>
    <row r="28" spans="1:20">
      <c r="A28" s="55"/>
      <c r="B28" s="55"/>
      <c r="C28" s="55"/>
      <c r="D28" s="55"/>
      <c r="E28" s="55"/>
      <c r="F28" s="55"/>
      <c r="G28" s="55"/>
      <c r="O28" s="4"/>
      <c r="P28" s="4"/>
      <c r="Q28" s="4"/>
      <c r="R28" s="55"/>
      <c r="S28" s="55"/>
      <c r="T28" s="58"/>
    </row>
    <row r="29" spans="1:20">
      <c r="A29" s="55"/>
      <c r="B29" s="55"/>
      <c r="C29" s="55"/>
      <c r="D29" s="55"/>
      <c r="E29" s="55"/>
      <c r="F29" s="55"/>
      <c r="G29" s="55"/>
      <c r="O29" s="4"/>
      <c r="P29" s="4"/>
      <c r="Q29" s="4"/>
      <c r="R29" s="55"/>
      <c r="S29" s="55"/>
      <c r="T29" s="58"/>
    </row>
    <row r="30" spans="1:20">
      <c r="A30" s="55"/>
      <c r="B30" s="55"/>
      <c r="C30" s="55"/>
      <c r="D30" s="55"/>
      <c r="E30" s="55"/>
      <c r="F30" s="55"/>
      <c r="G30" s="55"/>
      <c r="O30" s="4"/>
      <c r="P30" s="4"/>
      <c r="Q30" s="4"/>
      <c r="R30" s="55"/>
      <c r="S30" s="55"/>
      <c r="T30" s="58"/>
    </row>
    <row r="31" spans="1:20">
      <c r="A31" s="55"/>
      <c r="B31" s="55"/>
      <c r="C31" s="55"/>
      <c r="D31" s="55"/>
      <c r="E31" s="55"/>
      <c r="F31" s="55"/>
      <c r="G31" s="55"/>
      <c r="O31" s="4"/>
      <c r="P31" s="4"/>
      <c r="Q31" s="4"/>
      <c r="R31" s="55"/>
      <c r="S31" s="55"/>
      <c r="T31" s="58"/>
    </row>
    <row r="32" spans="1:20">
      <c r="O32" s="4"/>
      <c r="P32" s="4"/>
      <c r="Q32" s="4"/>
      <c r="R32" s="55"/>
      <c r="S32" s="55"/>
      <c r="T32" s="58"/>
    </row>
    <row r="33" spans="15:20">
      <c r="O33" s="4"/>
      <c r="P33" s="4"/>
      <c r="Q33" s="4"/>
      <c r="R33" s="55"/>
      <c r="S33" s="55"/>
      <c r="T33" s="58"/>
    </row>
    <row r="34" spans="15:20">
      <c r="O34" s="4"/>
      <c r="P34" s="4"/>
      <c r="Q34" s="4"/>
      <c r="R34" s="55"/>
      <c r="S34" s="55"/>
      <c r="T34" s="58"/>
    </row>
    <row r="35" spans="15:20">
      <c r="R35" s="58"/>
      <c r="S35" s="58"/>
      <c r="T35" s="58"/>
    </row>
    <row r="36" spans="15:20">
      <c r="R36" s="58"/>
      <c r="S36" s="58"/>
      <c r="T36" s="58"/>
    </row>
    <row r="37" spans="15:20">
      <c r="R37" s="58"/>
      <c r="S37" s="58"/>
      <c r="T37" s="58"/>
    </row>
    <row r="38" spans="15:20">
      <c r="R38" s="58"/>
      <c r="S38" s="58"/>
      <c r="T38" s="58"/>
    </row>
  </sheetData>
  <pageMargins left="0.70866141732283472" right="0.31496062992125984" top="0.74803149606299213" bottom="0.74803149606299213" header="0.31496062992125984" footer="0.31496062992125984"/>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F49" sqref="F49"/>
    </sheetView>
  </sheetViews>
  <sheetFormatPr defaultRowHeight="11.25"/>
  <cols>
    <col min="1" max="1" width="3.83203125" style="17" customWidth="1"/>
    <col min="2" max="2" width="38" style="4" customWidth="1"/>
    <col min="3" max="3" width="8.33203125" style="4" customWidth="1"/>
    <col min="4" max="6" width="9.33203125" style="4"/>
    <col min="7" max="12" width="9.33203125" style="55"/>
    <col min="13" max="16384" width="9.33203125" style="4"/>
  </cols>
  <sheetData>
    <row r="1" spans="1:11" ht="12">
      <c r="A1" s="41" t="s">
        <v>1290</v>
      </c>
      <c r="G1" s="4"/>
      <c r="H1" s="4"/>
      <c r="I1" s="4"/>
    </row>
    <row r="2" spans="1:11" ht="12">
      <c r="A2" s="41" t="s">
        <v>1691</v>
      </c>
      <c r="G2" s="4"/>
      <c r="H2" s="4"/>
      <c r="I2" s="4"/>
    </row>
    <row r="3" spans="1:11">
      <c r="A3" s="9" t="s">
        <v>669</v>
      </c>
      <c r="G3" s="4"/>
      <c r="H3" s="4"/>
      <c r="I3" s="4"/>
    </row>
    <row r="4" spans="1:11" ht="12" thickBot="1">
      <c r="G4" s="4"/>
      <c r="H4" s="4"/>
      <c r="I4" s="4"/>
    </row>
    <row r="5" spans="1:11" ht="13.5" customHeight="1" thickBot="1">
      <c r="A5" s="35" t="s">
        <v>400</v>
      </c>
      <c r="B5" s="36"/>
      <c r="C5" s="37">
        <v>1995</v>
      </c>
      <c r="D5" s="37">
        <v>1996</v>
      </c>
      <c r="E5" s="37">
        <v>1997</v>
      </c>
      <c r="F5" s="37">
        <v>1998</v>
      </c>
      <c r="G5" s="37">
        <v>1999</v>
      </c>
      <c r="H5" s="37">
        <v>2000</v>
      </c>
      <c r="I5" s="37">
        <v>2001</v>
      </c>
    </row>
    <row r="6" spans="1:11">
      <c r="G6" s="4"/>
      <c r="H6" s="4"/>
      <c r="I6" s="4"/>
    </row>
    <row r="7" spans="1:11">
      <c r="A7" s="17">
        <v>1</v>
      </c>
      <c r="B7" s="4" t="s">
        <v>1544</v>
      </c>
      <c r="C7" s="3">
        <v>5361.2471224880892</v>
      </c>
      <c r="D7" s="3">
        <v>5527.9058413486509</v>
      </c>
      <c r="E7" s="3">
        <v>5896.6400857857334</v>
      </c>
      <c r="F7" s="3">
        <v>5501.4393926491484</v>
      </c>
      <c r="G7" s="3">
        <v>5821.7465779990152</v>
      </c>
      <c r="H7" s="3">
        <v>6419.2568597624468</v>
      </c>
      <c r="I7" s="3">
        <v>6694.1487956742039</v>
      </c>
      <c r="K7" s="62"/>
    </row>
    <row r="8" spans="1:11">
      <c r="A8" s="17">
        <v>2</v>
      </c>
      <c r="B8" s="4" t="s">
        <v>180</v>
      </c>
      <c r="C8" s="3">
        <v>4762.5481244913717</v>
      </c>
      <c r="D8" s="3">
        <v>3196.9297833689384</v>
      </c>
      <c r="E8" s="3">
        <v>4677.6306970684218</v>
      </c>
      <c r="F8" s="3">
        <v>4816.0358834578192</v>
      </c>
      <c r="G8" s="3">
        <v>5029.2810430004965</v>
      </c>
      <c r="H8" s="3">
        <v>5226.1726591767347</v>
      </c>
      <c r="I8" s="3">
        <v>5053.4208535026537</v>
      </c>
      <c r="J8" s="16"/>
      <c r="K8" s="62"/>
    </row>
    <row r="9" spans="1:11">
      <c r="A9" s="17">
        <v>3</v>
      </c>
      <c r="B9" s="4" t="s">
        <v>183</v>
      </c>
      <c r="C9" s="3">
        <v>2285.9024688063114</v>
      </c>
      <c r="D9" s="3">
        <v>2387.8286658909219</v>
      </c>
      <c r="E9" s="3">
        <v>2412.1652901609186</v>
      </c>
      <c r="F9" s="3">
        <v>2439.6734880389486</v>
      </c>
      <c r="G9" s="3">
        <v>2532.4252862518738</v>
      </c>
      <c r="H9" s="3">
        <v>2648.1545880939016</v>
      </c>
      <c r="I9" s="3">
        <v>2741.9425366503542</v>
      </c>
      <c r="J9" s="16"/>
      <c r="K9" s="62"/>
    </row>
    <row r="10" spans="1:11">
      <c r="A10" s="17">
        <v>4</v>
      </c>
      <c r="B10" s="4" t="s">
        <v>1545</v>
      </c>
      <c r="C10" s="3">
        <v>4395.9315887928315</v>
      </c>
      <c r="D10" s="3">
        <v>4364.302519970086</v>
      </c>
      <c r="E10" s="3">
        <v>4964.0825040403497</v>
      </c>
      <c r="F10" s="3">
        <v>5972.8583861949</v>
      </c>
      <c r="G10" s="3">
        <v>5884.8612734583803</v>
      </c>
      <c r="H10" s="3">
        <v>6137.6615913931355</v>
      </c>
      <c r="I10" s="3">
        <v>6266.4661252998385</v>
      </c>
      <c r="J10" s="16"/>
      <c r="K10" s="62"/>
    </row>
    <row r="11" spans="1:11">
      <c r="A11" s="17">
        <v>5</v>
      </c>
      <c r="B11" s="4" t="s">
        <v>1546</v>
      </c>
      <c r="C11" s="3">
        <v>248.79203485466923</v>
      </c>
      <c r="D11" s="3">
        <v>261.94539283731041</v>
      </c>
      <c r="E11" s="3">
        <v>254.19922926322036</v>
      </c>
      <c r="F11" s="3">
        <v>1761.239544581731</v>
      </c>
      <c r="G11" s="3">
        <v>1814.3240055053427</v>
      </c>
      <c r="H11" s="3">
        <v>2111.4873206374418</v>
      </c>
      <c r="I11" s="3">
        <v>2059.2100652985318</v>
      </c>
      <c r="J11" s="16"/>
      <c r="K11" s="62"/>
    </row>
    <row r="12" spans="1:11">
      <c r="A12" s="17">
        <v>6</v>
      </c>
      <c r="B12" s="4" t="s">
        <v>1386</v>
      </c>
      <c r="C12" s="3">
        <v>21482.585177807163</v>
      </c>
      <c r="D12" s="3">
        <v>25165.925169984188</v>
      </c>
      <c r="E12" s="3">
        <v>23662.791874030605</v>
      </c>
      <c r="F12" s="3">
        <v>22660.170576641554</v>
      </c>
      <c r="G12" s="3">
        <v>25847.870261062577</v>
      </c>
      <c r="H12" s="3">
        <v>26914.66532817706</v>
      </c>
      <c r="I12" s="3">
        <v>28938.775501637298</v>
      </c>
      <c r="J12" s="16"/>
      <c r="K12" s="62"/>
    </row>
    <row r="13" spans="1:11">
      <c r="A13" s="17">
        <v>7</v>
      </c>
      <c r="B13" s="4" t="s">
        <v>399</v>
      </c>
      <c r="C13" s="3">
        <v>4164.0737970165646</v>
      </c>
      <c r="D13" s="3">
        <v>3656.3998066098261</v>
      </c>
      <c r="E13" s="3">
        <v>2915.3599004953307</v>
      </c>
      <c r="F13" s="3">
        <v>2016.8630236024844</v>
      </c>
      <c r="G13" s="3">
        <v>1523.8289809855994</v>
      </c>
      <c r="H13" s="3">
        <v>969.51444992494476</v>
      </c>
      <c r="I13" s="3">
        <v>860.45233573098301</v>
      </c>
      <c r="J13" s="16"/>
      <c r="K13" s="62"/>
    </row>
    <row r="14" spans="1:11">
      <c r="A14" s="17">
        <v>8</v>
      </c>
      <c r="B14" s="4" t="s">
        <v>1453</v>
      </c>
      <c r="C14" s="3">
        <v>559.91971741769385</v>
      </c>
      <c r="D14" s="3">
        <v>599.69479333990535</v>
      </c>
      <c r="E14" s="3">
        <v>615.72549953236035</v>
      </c>
      <c r="F14" s="3">
        <v>633.12002049168757</v>
      </c>
      <c r="G14" s="3">
        <v>650.60383134756216</v>
      </c>
      <c r="H14" s="3">
        <v>631.53593154656778</v>
      </c>
      <c r="I14" s="3">
        <v>651.33984559669591</v>
      </c>
      <c r="J14" s="16"/>
      <c r="K14" s="62"/>
    </row>
    <row r="15" spans="1:11">
      <c r="A15" s="17">
        <v>9</v>
      </c>
      <c r="B15" s="4" t="s">
        <v>1387</v>
      </c>
      <c r="C15" s="3">
        <v>130.99256826536609</v>
      </c>
      <c r="D15" s="3">
        <v>109.70962477246026</v>
      </c>
      <c r="E15" s="3">
        <v>74.873576968960592</v>
      </c>
      <c r="F15" s="3">
        <v>117.6912281889003</v>
      </c>
      <c r="G15" s="3">
        <v>145.01244497856217</v>
      </c>
      <c r="H15" s="3">
        <v>215.77660913655302</v>
      </c>
      <c r="I15" s="3">
        <v>240.40557839573066</v>
      </c>
      <c r="J15" s="16"/>
      <c r="K15" s="62"/>
    </row>
    <row r="16" spans="1:11">
      <c r="A16" s="17">
        <v>10</v>
      </c>
      <c r="B16" s="4" t="s">
        <v>1388</v>
      </c>
      <c r="C16" s="3">
        <v>886.56334328185267</v>
      </c>
      <c r="D16" s="3">
        <v>951.09966093048342</v>
      </c>
      <c r="E16" s="3">
        <v>1095.6218470832569</v>
      </c>
      <c r="F16" s="3">
        <v>1269.1989394331943</v>
      </c>
      <c r="G16" s="3">
        <v>1305.6156499647261</v>
      </c>
      <c r="H16" s="3">
        <v>1015.2860704543461</v>
      </c>
      <c r="I16" s="3">
        <v>1841.8879871714025</v>
      </c>
      <c r="J16" s="16"/>
      <c r="K16" s="62"/>
    </row>
    <row r="17" spans="1:11">
      <c r="A17" s="17">
        <v>11</v>
      </c>
      <c r="B17" s="4" t="s">
        <v>1389</v>
      </c>
      <c r="C17" s="3">
        <v>158.52906750962038</v>
      </c>
      <c r="D17" s="3">
        <v>164.96129402015873</v>
      </c>
      <c r="E17" s="3">
        <v>188.47757900001412</v>
      </c>
      <c r="F17" s="3">
        <v>185.10952001745588</v>
      </c>
      <c r="G17" s="3">
        <v>215.33705444188112</v>
      </c>
      <c r="H17" s="3">
        <v>260.67927474653231</v>
      </c>
      <c r="I17" s="3">
        <v>18.763779473198721</v>
      </c>
      <c r="J17" s="60"/>
      <c r="K17" s="60"/>
    </row>
    <row r="18" spans="1:11" ht="15" customHeight="1">
      <c r="A18" s="17">
        <v>12</v>
      </c>
      <c r="B18" s="4" t="s">
        <v>1447</v>
      </c>
      <c r="C18" s="3">
        <v>3226.026919842453</v>
      </c>
      <c r="D18" s="3">
        <v>3060.6681695209645</v>
      </c>
      <c r="E18" s="3">
        <v>2767.6923855633572</v>
      </c>
      <c r="F18" s="3">
        <v>3112.227666363387</v>
      </c>
      <c r="G18" s="3">
        <v>2721.0149572694168</v>
      </c>
      <c r="H18" s="3">
        <v>2684.8567674548831</v>
      </c>
      <c r="I18" s="3">
        <v>2782.622893258756</v>
      </c>
    </row>
    <row r="19" spans="1:11" ht="13.5" customHeight="1">
      <c r="A19" s="17">
        <v>13</v>
      </c>
      <c r="B19" s="4" t="s">
        <v>1390</v>
      </c>
      <c r="C19" s="3">
        <v>4944.5001163225415</v>
      </c>
      <c r="D19" s="3">
        <v>4942.6297140224569</v>
      </c>
      <c r="E19" s="3">
        <v>4936.1953020273804</v>
      </c>
      <c r="F19" s="3">
        <v>4741.3766445584433</v>
      </c>
      <c r="G19" s="3">
        <v>4383.0022094344185</v>
      </c>
      <c r="H19" s="3">
        <v>3511.7134430572737</v>
      </c>
      <c r="I19" s="3">
        <v>2498.8909043105009</v>
      </c>
    </row>
    <row r="20" spans="1:11">
      <c r="A20" s="17">
        <v>14</v>
      </c>
      <c r="B20" s="4" t="s">
        <v>1391</v>
      </c>
      <c r="C20" s="3">
        <v>17343.034723862958</v>
      </c>
      <c r="D20" s="3">
        <v>20100.285135540184</v>
      </c>
      <c r="E20" s="3">
        <v>20988.384663115812</v>
      </c>
      <c r="F20" s="3">
        <v>23728.104840890133</v>
      </c>
      <c r="G20" s="3">
        <v>21708.428813908369</v>
      </c>
      <c r="H20" s="3">
        <v>21134.188558930455</v>
      </c>
      <c r="I20" s="3">
        <v>20396.241932649908</v>
      </c>
    </row>
    <row r="21" spans="1:11">
      <c r="C21" s="3"/>
      <c r="D21" s="3"/>
      <c r="E21" s="3"/>
      <c r="F21" s="3"/>
      <c r="G21" s="3"/>
      <c r="H21" s="3"/>
      <c r="I21" s="38"/>
    </row>
    <row r="22" spans="1:11" ht="12" thickBot="1">
      <c r="A22" s="39"/>
      <c r="B22" s="33" t="s">
        <v>1228</v>
      </c>
      <c r="C22" s="40">
        <v>69950.646770759486</v>
      </c>
      <c r="D22" s="40">
        <v>74490.285572156543</v>
      </c>
      <c r="E22" s="40">
        <v>75450</v>
      </c>
      <c r="F22" s="40">
        <v>78955.109155109778</v>
      </c>
      <c r="G22" s="40">
        <v>79583.352389608219</v>
      </c>
      <c r="H22" s="40">
        <v>79880.949452492292</v>
      </c>
      <c r="I22" s="40">
        <v>81044.569134650039</v>
      </c>
      <c r="J22" s="4"/>
    </row>
    <row r="23" spans="1:11">
      <c r="A23" s="42" t="s">
        <v>179</v>
      </c>
      <c r="G23" s="4"/>
      <c r="H23" s="4"/>
      <c r="I23" s="4"/>
      <c r="J23" s="4"/>
    </row>
    <row r="24" spans="1:11">
      <c r="J24" s="4"/>
    </row>
    <row r="25" spans="1:11">
      <c r="J25" s="4"/>
    </row>
    <row r="26" spans="1:11">
      <c r="J26" s="4"/>
    </row>
    <row r="27" spans="1:11">
      <c r="J27" s="4"/>
    </row>
    <row r="28" spans="1:11" ht="11.25" customHeight="1">
      <c r="J28" s="16"/>
    </row>
    <row r="29" spans="1:11" ht="11.25" customHeight="1">
      <c r="J29" s="16"/>
    </row>
    <row r="30" spans="1:11" ht="11.25" customHeight="1">
      <c r="J30" s="16"/>
    </row>
    <row r="31" spans="1:11" ht="11.25" customHeight="1">
      <c r="J31" s="16"/>
    </row>
    <row r="32" spans="1:11" ht="11.25" customHeight="1">
      <c r="J32" s="16"/>
    </row>
    <row r="33" spans="10:10" ht="11.25" customHeight="1">
      <c r="J33" s="16"/>
    </row>
    <row r="34" spans="10:10" ht="11.25" customHeight="1">
      <c r="J34" s="16"/>
    </row>
    <row r="35" spans="10:10" ht="11.25" customHeight="1">
      <c r="J35" s="16"/>
    </row>
    <row r="36" spans="10:10" ht="11.25" customHeight="1">
      <c r="J36" s="16"/>
    </row>
    <row r="37" spans="10:10" ht="11.25" customHeight="1">
      <c r="J37" s="16"/>
    </row>
    <row r="38" spans="10:10" ht="11.25" customHeight="1">
      <c r="J38" s="16"/>
    </row>
    <row r="39" spans="10:10" ht="11.25" customHeight="1">
      <c r="J39" s="16"/>
    </row>
    <row r="40" spans="10:10" ht="11.25" customHeight="1">
      <c r="J40" s="16"/>
    </row>
    <row r="41" spans="10:10" ht="11.25" customHeight="1">
      <c r="J41" s="16"/>
    </row>
    <row r="42" spans="10:10" ht="11.25" customHeight="1">
      <c r="J42" s="7"/>
    </row>
    <row r="43" spans="10:10" ht="11.25" customHeight="1">
      <c r="J43" s="60"/>
    </row>
    <row r="44" spans="10:10">
      <c r="J44" s="16"/>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workbookViewId="0">
      <selection activeCell="F49" sqref="F49"/>
    </sheetView>
  </sheetViews>
  <sheetFormatPr defaultRowHeight="11.25"/>
  <cols>
    <col min="1" max="1" width="3.83203125" style="17" customWidth="1"/>
    <col min="2" max="2" width="38" style="4" customWidth="1"/>
    <col min="3" max="6" width="6.6640625" style="4" bestFit="1" customWidth="1"/>
    <col min="7" max="12" width="6.6640625" style="55" bestFit="1" customWidth="1"/>
    <col min="13" max="17" width="6.6640625" style="4" bestFit="1" customWidth="1"/>
    <col min="18" max="16384" width="9.33203125" style="4"/>
  </cols>
  <sheetData>
    <row r="1" spans="1:17" ht="12">
      <c r="A1" s="41" t="s">
        <v>1766</v>
      </c>
    </row>
    <row r="2" spans="1:17" ht="12">
      <c r="A2" s="41" t="s">
        <v>2027</v>
      </c>
    </row>
    <row r="3" spans="1:17">
      <c r="A3" s="9" t="s">
        <v>2028</v>
      </c>
      <c r="N3" s="55"/>
    </row>
    <row r="4" spans="1:17" ht="12" thickBot="1">
      <c r="L4" s="32"/>
      <c r="M4" s="32"/>
      <c r="N4" s="32"/>
    </row>
    <row r="5" spans="1:17" ht="13.5" customHeight="1" thickBot="1">
      <c r="A5" s="35" t="s">
        <v>400</v>
      </c>
      <c r="B5" s="36"/>
      <c r="C5" s="37">
        <v>2000</v>
      </c>
      <c r="D5" s="37">
        <v>2001</v>
      </c>
      <c r="E5" s="37">
        <v>2002</v>
      </c>
      <c r="F5" s="37">
        <v>2003</v>
      </c>
      <c r="G5" s="37">
        <v>2004</v>
      </c>
      <c r="H5" s="37">
        <v>2005</v>
      </c>
      <c r="I5" s="37">
        <v>2006</v>
      </c>
      <c r="J5" s="37">
        <v>2007</v>
      </c>
      <c r="K5" s="37">
        <v>2008</v>
      </c>
      <c r="L5" s="29">
        <v>2009</v>
      </c>
      <c r="M5" s="44">
        <v>2010</v>
      </c>
      <c r="N5" s="29">
        <v>2011</v>
      </c>
      <c r="O5" s="29">
        <v>2012</v>
      </c>
      <c r="P5" s="29">
        <v>2013</v>
      </c>
      <c r="Q5" s="29">
        <v>2014</v>
      </c>
    </row>
    <row r="6" spans="1:17">
      <c r="G6" s="4"/>
    </row>
    <row r="7" spans="1:17">
      <c r="A7" s="15">
        <v>1</v>
      </c>
      <c r="B7" s="7" t="s">
        <v>462</v>
      </c>
      <c r="C7" s="3">
        <v>28414.220067294158</v>
      </c>
      <c r="D7" s="3">
        <v>28028.105716461101</v>
      </c>
      <c r="E7" s="16">
        <v>26128.70106290263</v>
      </c>
      <c r="F7" s="16">
        <v>19991.863437173222</v>
      </c>
      <c r="G7" s="16">
        <v>22055.151830520299</v>
      </c>
      <c r="H7" s="26">
        <v>18662.340656552038</v>
      </c>
      <c r="I7" s="26">
        <v>21334.633709989743</v>
      </c>
      <c r="J7" s="26">
        <v>22605.095525420082</v>
      </c>
      <c r="K7" s="62">
        <v>21099.684359999999</v>
      </c>
      <c r="L7" s="68">
        <v>20149</v>
      </c>
      <c r="M7" s="3">
        <v>21089</v>
      </c>
      <c r="N7" s="3">
        <v>23824</v>
      </c>
      <c r="O7" s="3">
        <v>22996.979499476551</v>
      </c>
      <c r="P7" s="3">
        <v>23187.580617103569</v>
      </c>
      <c r="Q7" s="3">
        <v>22480.884317027543</v>
      </c>
    </row>
    <row r="8" spans="1:17">
      <c r="A8" s="15">
        <v>2</v>
      </c>
      <c r="B8" s="7" t="s">
        <v>180</v>
      </c>
      <c r="C8" s="3">
        <v>5230.9503813665788</v>
      </c>
      <c r="D8" s="3">
        <v>5058.3989619348049</v>
      </c>
      <c r="E8" s="16">
        <v>5011.9925346925447</v>
      </c>
      <c r="F8" s="16">
        <v>5053.6621407664616</v>
      </c>
      <c r="G8" s="16">
        <v>4772.2489163330265</v>
      </c>
      <c r="H8" s="26">
        <v>4831.3956881223094</v>
      </c>
      <c r="I8" s="26">
        <v>4810.0256582251541</v>
      </c>
      <c r="J8" s="26">
        <v>5024.7484762175618</v>
      </c>
      <c r="K8" s="62">
        <v>4590.7959149999997</v>
      </c>
      <c r="L8" s="68">
        <v>4440</v>
      </c>
      <c r="M8" s="3">
        <v>4782</v>
      </c>
      <c r="N8" s="3">
        <v>4589</v>
      </c>
      <c r="O8" s="3">
        <v>4678.9482421482408</v>
      </c>
      <c r="P8" s="3">
        <v>4638.4389478172006</v>
      </c>
      <c r="Q8" s="3">
        <v>4842.5440344585786</v>
      </c>
    </row>
    <row r="9" spans="1:17">
      <c r="A9" s="15">
        <v>3</v>
      </c>
      <c r="B9" s="7" t="s">
        <v>183</v>
      </c>
      <c r="C9" s="3">
        <v>2663.2075815802059</v>
      </c>
      <c r="D9" s="3">
        <v>2756.7659178196673</v>
      </c>
      <c r="E9" s="16">
        <v>2894.560061468364</v>
      </c>
      <c r="F9" s="16">
        <v>3063.5914538605125</v>
      </c>
      <c r="G9" s="16">
        <v>3152.6781253570862</v>
      </c>
      <c r="H9" s="26">
        <v>3210.679293596907</v>
      </c>
      <c r="I9" s="26">
        <v>3374.3150226093699</v>
      </c>
      <c r="J9" s="26">
        <v>3637.9000061853462</v>
      </c>
      <c r="K9" s="62">
        <v>3837.6910459999999</v>
      </c>
      <c r="L9" s="68">
        <v>3918</v>
      </c>
      <c r="M9" s="3">
        <v>4073</v>
      </c>
      <c r="N9" s="3">
        <v>4235</v>
      </c>
      <c r="O9" s="3">
        <v>4348.4572345058623</v>
      </c>
      <c r="P9" s="3">
        <v>4437.7083651983066</v>
      </c>
      <c r="Q9" s="3">
        <v>4492.337405583361</v>
      </c>
    </row>
    <row r="10" spans="1:17">
      <c r="A10" s="15">
        <v>4</v>
      </c>
      <c r="B10" s="7" t="s">
        <v>463</v>
      </c>
      <c r="C10" s="3">
        <v>7712.4146439542883</v>
      </c>
      <c r="D10" s="3">
        <v>7091.0200210622752</v>
      </c>
      <c r="E10" s="16">
        <v>6952.8090837385707</v>
      </c>
      <c r="F10" s="16">
        <v>6430.5048520051541</v>
      </c>
      <c r="G10" s="16">
        <v>7082.3612569501956</v>
      </c>
      <c r="H10" s="26">
        <v>7997.4307430177141</v>
      </c>
      <c r="I10" s="26">
        <v>8545.6824053134897</v>
      </c>
      <c r="J10" s="26">
        <v>9274.4196001517212</v>
      </c>
      <c r="K10" s="62">
        <v>13760.61204</v>
      </c>
      <c r="L10" s="68">
        <v>9314</v>
      </c>
      <c r="M10" s="3">
        <v>9856</v>
      </c>
      <c r="N10" s="3">
        <v>9247</v>
      </c>
      <c r="O10" s="3">
        <v>9780.5963089405359</v>
      </c>
      <c r="P10" s="3">
        <v>9870.8939981942713</v>
      </c>
      <c r="Q10" s="3">
        <v>10067.692648005535</v>
      </c>
    </row>
    <row r="11" spans="1:17">
      <c r="A11" s="15">
        <v>5</v>
      </c>
      <c r="B11" s="7" t="s">
        <v>464</v>
      </c>
      <c r="C11" s="3">
        <v>244.40062313740992</v>
      </c>
      <c r="D11" s="3">
        <v>350.26924974890915</v>
      </c>
      <c r="E11" s="16">
        <v>353.21416610818869</v>
      </c>
      <c r="F11" s="16">
        <v>314.75498755866698</v>
      </c>
      <c r="G11" s="16">
        <v>361.49841546094768</v>
      </c>
      <c r="H11" s="26">
        <v>573.20647161858551</v>
      </c>
      <c r="I11" s="26">
        <v>634.24086470951045</v>
      </c>
      <c r="J11" s="26">
        <v>479.66433750740578</v>
      </c>
      <c r="K11" s="62">
        <v>481.2913777</v>
      </c>
      <c r="L11" s="68">
        <v>486</v>
      </c>
      <c r="M11" s="3">
        <v>459</v>
      </c>
      <c r="N11" s="3">
        <v>463</v>
      </c>
      <c r="O11" s="3">
        <v>450.88410427135676</v>
      </c>
      <c r="P11" s="3">
        <v>444.18111328474924</v>
      </c>
      <c r="Q11" s="3">
        <v>470.71645548972003</v>
      </c>
    </row>
    <row r="12" spans="1:17">
      <c r="A12" s="15">
        <v>6</v>
      </c>
      <c r="B12" s="7" t="s">
        <v>399</v>
      </c>
      <c r="C12" s="3">
        <v>848.32894882599976</v>
      </c>
      <c r="D12" s="3">
        <v>694.1543097646595</v>
      </c>
      <c r="E12" s="16">
        <v>583.64415473217809</v>
      </c>
      <c r="F12" s="16">
        <v>610.75356364279241</v>
      </c>
      <c r="G12" s="16">
        <v>606.02394406555322</v>
      </c>
      <c r="H12" s="26">
        <v>618.44422791429304</v>
      </c>
      <c r="I12" s="26">
        <v>581.35088256591462</v>
      </c>
      <c r="J12" s="26">
        <v>486.10058856788726</v>
      </c>
      <c r="K12" s="62">
        <v>400.91409709999999</v>
      </c>
      <c r="L12" s="68">
        <v>473</v>
      </c>
      <c r="M12" s="3">
        <v>448</v>
      </c>
      <c r="N12" s="3">
        <v>379</v>
      </c>
      <c r="O12" s="3">
        <v>365.99909924623114</v>
      </c>
      <c r="P12" s="3">
        <v>353.94295046565713</v>
      </c>
      <c r="Q12" s="3">
        <v>316.50167065834785</v>
      </c>
    </row>
    <row r="13" spans="1:17">
      <c r="A13" s="15">
        <v>7</v>
      </c>
      <c r="B13" s="7" t="s">
        <v>546</v>
      </c>
      <c r="C13" s="3">
        <v>2115.0944883095312</v>
      </c>
      <c r="D13" s="3">
        <v>2071.9847426564529</v>
      </c>
      <c r="E13" s="16">
        <v>2157.8801356019289</v>
      </c>
      <c r="F13" s="16">
        <v>2253.4085214263446</v>
      </c>
      <c r="G13" s="16">
        <v>2723.2858906014212</v>
      </c>
      <c r="H13" s="26">
        <v>2711.8703076742163</v>
      </c>
      <c r="I13" s="26">
        <v>2838.8313859688142</v>
      </c>
      <c r="J13" s="26">
        <v>3090.818666044423</v>
      </c>
      <c r="K13" s="62">
        <v>3181.7087240000001</v>
      </c>
      <c r="L13" s="68">
        <v>3466</v>
      </c>
      <c r="M13" s="3">
        <v>3595</v>
      </c>
      <c r="N13" s="3">
        <v>3535</v>
      </c>
      <c r="O13" s="3">
        <v>3726.6512273869348</v>
      </c>
      <c r="P13" s="3">
        <v>3687.6504914947477</v>
      </c>
      <c r="Q13" s="3">
        <v>3704.3387972429446</v>
      </c>
    </row>
    <row r="14" spans="1:17">
      <c r="A14" s="15">
        <v>8</v>
      </c>
      <c r="B14" s="7" t="s">
        <v>1453</v>
      </c>
      <c r="C14" s="3">
        <v>608.61123394536321</v>
      </c>
      <c r="D14" s="3">
        <v>625.00447317838564</v>
      </c>
      <c r="E14" s="16">
        <v>650.83025450029629</v>
      </c>
      <c r="F14" s="16">
        <v>678.13064759926647</v>
      </c>
      <c r="G14" s="16">
        <v>707.80933408808153</v>
      </c>
      <c r="H14" s="26">
        <v>725.33707820461927</v>
      </c>
      <c r="I14" s="26">
        <v>750.22574256382757</v>
      </c>
      <c r="J14" s="26">
        <v>758.60491312861041</v>
      </c>
      <c r="K14" s="62">
        <v>763.90826749999997</v>
      </c>
      <c r="L14" s="68">
        <v>789</v>
      </c>
      <c r="M14" s="3">
        <v>891</v>
      </c>
      <c r="N14" s="3">
        <v>938</v>
      </c>
      <c r="O14" s="3">
        <v>965.7218134422111</v>
      </c>
      <c r="P14" s="3">
        <v>971.51662708774325</v>
      </c>
      <c r="Q14" s="3">
        <v>966.45010118129483</v>
      </c>
    </row>
    <row r="15" spans="1:17">
      <c r="A15" s="15">
        <v>9</v>
      </c>
      <c r="B15" s="7" t="s">
        <v>465</v>
      </c>
      <c r="C15" s="3">
        <v>5047.2838157192018</v>
      </c>
      <c r="D15" s="3">
        <v>5313.8150809806075</v>
      </c>
      <c r="E15" s="16">
        <v>5828.1216186882539</v>
      </c>
      <c r="F15" s="16">
        <v>5455.8034718425261</v>
      </c>
      <c r="G15" s="16">
        <v>5746.6447558963946</v>
      </c>
      <c r="H15" s="26">
        <v>5568.1698614197212</v>
      </c>
      <c r="I15" s="26">
        <v>5829.8586334172287</v>
      </c>
      <c r="J15" s="26">
        <v>5349.8336992723871</v>
      </c>
      <c r="K15" s="62">
        <v>5211.8832620000003</v>
      </c>
      <c r="L15" s="68">
        <v>5767</v>
      </c>
      <c r="M15" s="3">
        <v>6075</v>
      </c>
      <c r="N15" s="3">
        <v>5946</v>
      </c>
      <c r="O15" s="3">
        <v>5676.3610838567838</v>
      </c>
      <c r="P15" s="3">
        <v>5807.6226605165193</v>
      </c>
      <c r="Q15" s="3">
        <v>5838.7573403246315</v>
      </c>
    </row>
    <row r="16" spans="1:17">
      <c r="A16" s="15">
        <v>10</v>
      </c>
      <c r="B16" s="7" t="s">
        <v>466</v>
      </c>
      <c r="C16" s="3">
        <v>26996.466876630682</v>
      </c>
      <c r="D16" s="3">
        <v>29055.050661043202</v>
      </c>
      <c r="E16" s="16">
        <v>30564.407556487942</v>
      </c>
      <c r="F16" s="16">
        <v>34522.768526824992</v>
      </c>
      <c r="G16" s="16">
        <v>34994.981516226362</v>
      </c>
      <c r="H16" s="26">
        <v>35226.622038269838</v>
      </c>
      <c r="I16" s="26">
        <v>35303.514429583185</v>
      </c>
      <c r="J16" s="26">
        <v>33200.910194988952</v>
      </c>
      <c r="K16" s="62">
        <v>32046.767479999999</v>
      </c>
      <c r="L16" s="68">
        <v>32786</v>
      </c>
      <c r="M16" s="3">
        <v>32252</v>
      </c>
      <c r="N16" s="3">
        <v>31327</v>
      </c>
      <c r="O16" s="3">
        <v>31922.253630862648</v>
      </c>
      <c r="P16" s="3">
        <v>32385.826461523979</v>
      </c>
      <c r="Q16" s="3">
        <v>33086.434854481035</v>
      </c>
    </row>
    <row r="17" spans="1:17">
      <c r="C17" s="3"/>
      <c r="F17" s="38"/>
      <c r="G17" s="38"/>
      <c r="H17" s="72"/>
      <c r="I17" s="60">
        <v>0</v>
      </c>
      <c r="J17" s="4"/>
      <c r="K17" s="60">
        <v>0</v>
      </c>
      <c r="L17" s="68"/>
      <c r="M17" s="3"/>
      <c r="N17" s="3"/>
      <c r="O17" s="3"/>
      <c r="P17" s="3"/>
      <c r="Q17" s="3">
        <v>0</v>
      </c>
    </row>
    <row r="18" spans="1:17" ht="12" thickBot="1">
      <c r="A18" s="39"/>
      <c r="B18" s="435" t="s">
        <v>1228</v>
      </c>
      <c r="C18" s="441">
        <v>79880.949452492292</v>
      </c>
      <c r="D18" s="441">
        <v>81044.569134650068</v>
      </c>
      <c r="E18" s="441">
        <v>81126.160628920887</v>
      </c>
      <c r="F18" s="441">
        <v>78375.241602699942</v>
      </c>
      <c r="G18" s="441">
        <v>82202.68398549936</v>
      </c>
      <c r="H18" s="441">
        <v>80125.496366390245</v>
      </c>
      <c r="I18" s="441">
        <v>84002.678734946239</v>
      </c>
      <c r="J18" s="441">
        <v>83908.205096485399</v>
      </c>
      <c r="K18" s="441">
        <v>85375.256569999998</v>
      </c>
      <c r="L18" s="441">
        <v>81588</v>
      </c>
      <c r="M18" s="79">
        <v>83520</v>
      </c>
      <c r="N18" s="79">
        <v>84483</v>
      </c>
      <c r="O18" s="79">
        <v>84912.85224413735</v>
      </c>
      <c r="P18" s="79">
        <v>85785.362232583066</v>
      </c>
      <c r="Q18" s="79">
        <v>86266.657624452986</v>
      </c>
    </row>
    <row r="19" spans="1:17" ht="13.5" customHeight="1">
      <c r="A19" s="42" t="s">
        <v>179</v>
      </c>
      <c r="E19" s="16"/>
      <c r="F19" s="57"/>
    </row>
    <row r="20" spans="1:17">
      <c r="E20" s="14"/>
      <c r="F20" s="57"/>
    </row>
    <row r="21" spans="1:17">
      <c r="E21" s="14"/>
      <c r="F21" s="57"/>
    </row>
    <row r="22" spans="1:17" ht="12">
      <c r="A22" s="178"/>
      <c r="B22" s="55"/>
      <c r="C22" s="55"/>
      <c r="D22" s="55"/>
      <c r="E22" s="55"/>
      <c r="F22" s="55"/>
      <c r="J22" s="4"/>
    </row>
    <row r="23" spans="1:17" ht="12">
      <c r="A23" s="178"/>
      <c r="B23" s="55" t="s">
        <v>2029</v>
      </c>
      <c r="C23" s="55"/>
      <c r="D23" s="55"/>
      <c r="E23" s="55"/>
      <c r="J23" s="4"/>
      <c r="M23" s="55"/>
    </row>
    <row r="24" spans="1:17" ht="51.75" customHeight="1">
      <c r="A24" s="9"/>
      <c r="B24" s="130" t="s">
        <v>2030</v>
      </c>
      <c r="C24" s="55"/>
      <c r="D24" s="55"/>
      <c r="E24" s="55"/>
      <c r="F24" s="55"/>
      <c r="J24" s="4"/>
      <c r="K24" s="4"/>
      <c r="L24" s="71"/>
    </row>
    <row r="25" spans="1:17">
      <c r="A25" s="47"/>
      <c r="B25" s="55"/>
      <c r="C25" s="55"/>
      <c r="D25" s="55"/>
      <c r="E25" s="55"/>
      <c r="F25" s="55"/>
      <c r="J25" s="4"/>
      <c r="K25" s="4"/>
      <c r="L25" s="71"/>
    </row>
    <row r="26" spans="1:17" ht="11.25" customHeight="1">
      <c r="A26" s="47"/>
      <c r="B26" s="55"/>
      <c r="C26" s="68"/>
      <c r="D26" s="68"/>
      <c r="E26" s="68"/>
      <c r="F26" s="68"/>
      <c r="G26" s="68"/>
      <c r="H26" s="68"/>
      <c r="I26" s="68"/>
      <c r="J26" s="16"/>
      <c r="K26" s="4"/>
      <c r="L26" s="71"/>
    </row>
    <row r="27" spans="1:17" ht="11.25" customHeight="1">
      <c r="A27" s="47"/>
      <c r="B27" s="55"/>
      <c r="C27" s="68"/>
      <c r="D27" s="68"/>
      <c r="E27" s="68"/>
      <c r="F27" s="68"/>
      <c r="G27" s="68"/>
      <c r="H27" s="68"/>
      <c r="I27" s="68"/>
      <c r="J27" s="16"/>
      <c r="K27" s="4"/>
      <c r="L27" s="71"/>
    </row>
    <row r="28" spans="1:17" ht="11.25" customHeight="1">
      <c r="A28" s="47"/>
      <c r="B28" s="55"/>
      <c r="C28" s="68"/>
      <c r="D28" s="68"/>
      <c r="E28" s="68"/>
      <c r="F28" s="68"/>
      <c r="G28" s="68"/>
      <c r="H28" s="68"/>
      <c r="I28" s="68"/>
      <c r="J28" s="16"/>
      <c r="K28" s="4"/>
      <c r="L28" s="71"/>
    </row>
    <row r="29" spans="1:17" ht="11.25" customHeight="1">
      <c r="A29" s="47"/>
      <c r="B29" s="55"/>
      <c r="C29" s="68"/>
      <c r="D29" s="68"/>
      <c r="E29" s="68"/>
      <c r="F29" s="68"/>
      <c r="G29" s="68"/>
      <c r="H29" s="68"/>
      <c r="I29" s="68"/>
      <c r="J29" s="16"/>
      <c r="K29" s="4"/>
      <c r="L29" s="71"/>
    </row>
    <row r="30" spans="1:17" ht="11.25" customHeight="1">
      <c r="A30" s="47"/>
      <c r="B30" s="55"/>
      <c r="C30" s="68"/>
      <c r="D30" s="68"/>
      <c r="E30" s="68"/>
      <c r="F30" s="68"/>
      <c r="G30" s="68"/>
      <c r="H30" s="68"/>
      <c r="I30" s="68"/>
      <c r="J30" s="16"/>
      <c r="K30" s="4"/>
      <c r="L30" s="71"/>
    </row>
    <row r="31" spans="1:17" ht="11.25" customHeight="1">
      <c r="A31" s="47"/>
      <c r="B31" s="55"/>
      <c r="C31" s="68"/>
      <c r="D31" s="68"/>
      <c r="E31" s="68"/>
      <c r="F31" s="68"/>
      <c r="G31" s="68"/>
      <c r="H31" s="68"/>
      <c r="I31" s="68"/>
      <c r="J31" s="16"/>
      <c r="K31" s="4"/>
      <c r="L31" s="71"/>
    </row>
    <row r="32" spans="1:17" ht="11.25" customHeight="1">
      <c r="A32" s="47"/>
      <c r="B32" s="55"/>
      <c r="C32" s="68"/>
      <c r="D32" s="68"/>
      <c r="E32" s="68"/>
      <c r="F32" s="68"/>
      <c r="G32" s="68"/>
      <c r="H32" s="68"/>
      <c r="I32" s="68"/>
      <c r="J32" s="16"/>
    </row>
    <row r="33" spans="1:10" ht="11.25" customHeight="1">
      <c r="A33" s="47"/>
      <c r="B33" s="55"/>
      <c r="C33" s="68"/>
      <c r="D33" s="68"/>
      <c r="E33" s="68"/>
      <c r="F33" s="68"/>
      <c r="G33" s="68"/>
      <c r="H33" s="68"/>
      <c r="I33" s="68"/>
      <c r="J33" s="16"/>
    </row>
    <row r="34" spans="1:10" ht="11.25" customHeight="1">
      <c r="A34" s="47"/>
      <c r="B34" s="55"/>
      <c r="C34" s="68"/>
      <c r="D34" s="68"/>
      <c r="E34" s="68"/>
      <c r="F34" s="68"/>
      <c r="G34" s="68"/>
      <c r="H34" s="68"/>
      <c r="I34" s="68"/>
      <c r="J34" s="16"/>
    </row>
    <row r="35" spans="1:10" ht="11.25" customHeight="1">
      <c r="A35" s="47"/>
      <c r="B35" s="55"/>
      <c r="C35" s="68"/>
      <c r="D35" s="68"/>
      <c r="E35" s="68"/>
      <c r="F35" s="68"/>
      <c r="G35" s="68"/>
      <c r="H35" s="68"/>
      <c r="I35" s="68"/>
      <c r="J35" s="16"/>
    </row>
    <row r="36" spans="1:10" ht="11.25" customHeight="1">
      <c r="A36" s="47"/>
      <c r="B36" s="55"/>
      <c r="C36" s="68"/>
      <c r="D36" s="68"/>
      <c r="E36" s="68"/>
      <c r="F36" s="68"/>
      <c r="G36" s="68"/>
      <c r="H36" s="68"/>
      <c r="I36" s="68"/>
      <c r="J36" s="16"/>
    </row>
    <row r="37" spans="1:10" ht="11.25" customHeight="1">
      <c r="A37" s="47"/>
      <c r="B37" s="55"/>
      <c r="C37" s="68"/>
      <c r="D37" s="68"/>
      <c r="E37" s="68"/>
      <c r="F37" s="68"/>
      <c r="G37" s="68"/>
      <c r="H37" s="68"/>
      <c r="I37" s="68"/>
      <c r="J37" s="16"/>
    </row>
    <row r="38" spans="1:10" ht="11.25" customHeight="1">
      <c r="A38" s="47"/>
      <c r="B38" s="55"/>
      <c r="C38" s="68"/>
      <c r="D38" s="68"/>
      <c r="E38" s="68"/>
      <c r="F38" s="68"/>
      <c r="G38" s="68"/>
      <c r="H38" s="68"/>
      <c r="I38" s="73"/>
      <c r="J38" s="7"/>
    </row>
    <row r="39" spans="1:10" ht="11.25" customHeight="1">
      <c r="A39" s="47"/>
      <c r="B39" s="175"/>
      <c r="C39" s="71"/>
      <c r="D39" s="71"/>
      <c r="E39" s="71"/>
      <c r="F39" s="71"/>
      <c r="G39" s="71"/>
      <c r="H39" s="71"/>
      <c r="I39" s="71"/>
      <c r="J39" s="60"/>
    </row>
    <row r="40" spans="1:10">
      <c r="A40" s="179"/>
      <c r="B40" s="55"/>
      <c r="C40" s="55"/>
      <c r="D40" s="55"/>
      <c r="E40" s="55"/>
      <c r="F40" s="55"/>
      <c r="J40" s="16"/>
    </row>
  </sheetData>
  <pageMargins left="0.78740157480314965" right="0.78740157480314965" top="0.98425196850393704" bottom="0.51181102362204722" header="0.51181102362204722" footer="0"/>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workbookViewId="0">
      <selection activeCell="F49" sqref="F49"/>
    </sheetView>
  </sheetViews>
  <sheetFormatPr defaultColWidth="7.1640625" defaultRowHeight="12.75"/>
  <cols>
    <col min="1" max="1" width="7.1640625" style="210" customWidth="1"/>
    <col min="2" max="2" width="41.1640625" style="210" customWidth="1"/>
    <col min="3" max="6" width="6.6640625" style="210" bestFit="1" customWidth="1"/>
    <col min="7" max="10" width="7.1640625" style="210" bestFit="1" customWidth="1"/>
    <col min="11" max="13" width="6.6640625" style="210" bestFit="1" customWidth="1"/>
    <col min="14" max="21" width="7.1640625" style="210"/>
    <col min="22" max="255" width="8.83203125" style="210" customWidth="1"/>
    <col min="256" max="16384" width="7.1640625" style="210"/>
  </cols>
  <sheetData>
    <row r="1" spans="1:22">
      <c r="A1" s="335" t="s">
        <v>1796</v>
      </c>
      <c r="B1" s="336"/>
      <c r="C1" s="336"/>
      <c r="D1" s="336"/>
      <c r="E1" s="336"/>
      <c r="F1" s="336"/>
      <c r="G1" s="336"/>
      <c r="H1" s="336"/>
      <c r="I1" s="336"/>
    </row>
    <row r="2" spans="1:22">
      <c r="A2" s="335" t="s">
        <v>1786</v>
      </c>
      <c r="B2" s="337"/>
      <c r="C2" s="337"/>
      <c r="D2" s="337"/>
      <c r="E2" s="337"/>
      <c r="F2" s="336"/>
      <c r="G2" s="336"/>
      <c r="H2" s="336"/>
      <c r="I2" s="336"/>
    </row>
    <row r="3" spans="1:22">
      <c r="A3" s="338" t="s">
        <v>1787</v>
      </c>
      <c r="B3" s="337"/>
      <c r="C3" s="337"/>
      <c r="D3" s="337"/>
      <c r="E3" s="337"/>
      <c r="F3" s="336"/>
      <c r="G3" s="336"/>
      <c r="H3" s="336"/>
      <c r="I3" s="336"/>
    </row>
    <row r="4" spans="1:22" ht="13.5" thickBot="1">
      <c r="A4" s="338"/>
      <c r="B4" s="336"/>
      <c r="C4" s="336"/>
      <c r="D4" s="336"/>
      <c r="E4" s="336"/>
      <c r="F4" s="336"/>
      <c r="G4" s="336"/>
      <c r="H4" s="336"/>
      <c r="I4" s="336"/>
      <c r="M4" s="339"/>
    </row>
    <row r="5" spans="1:22" ht="13.5" thickBot="1">
      <c r="A5" s="340" t="s">
        <v>192</v>
      </c>
      <c r="B5" s="341"/>
      <c r="C5" s="342">
        <v>1995</v>
      </c>
      <c r="D5" s="342">
        <v>1996</v>
      </c>
      <c r="E5" s="342">
        <v>1997</v>
      </c>
      <c r="F5" s="342">
        <v>1998</v>
      </c>
      <c r="G5" s="342">
        <v>1999</v>
      </c>
      <c r="H5" s="342">
        <v>2000</v>
      </c>
      <c r="I5" s="342">
        <v>2001</v>
      </c>
      <c r="J5" s="342">
        <v>2002</v>
      </c>
      <c r="K5" s="342">
        <v>2003</v>
      </c>
      <c r="L5" s="342">
        <v>2004</v>
      </c>
      <c r="M5" s="231">
        <v>2005</v>
      </c>
    </row>
    <row r="6" spans="1:22">
      <c r="A6" s="343"/>
      <c r="B6" s="337"/>
      <c r="C6" s="337"/>
      <c r="D6" s="337"/>
      <c r="E6" s="337"/>
      <c r="F6" s="337"/>
      <c r="G6" s="337"/>
      <c r="H6" s="337"/>
      <c r="I6" s="337"/>
    </row>
    <row r="7" spans="1:22">
      <c r="A7" s="344">
        <v>279301</v>
      </c>
      <c r="B7" s="337" t="s">
        <v>193</v>
      </c>
      <c r="C7" s="337"/>
      <c r="D7" s="337"/>
      <c r="E7" s="337"/>
      <c r="F7" s="337"/>
      <c r="G7" s="337"/>
      <c r="H7" s="337"/>
      <c r="I7" s="337"/>
    </row>
    <row r="8" spans="1:22">
      <c r="A8" s="338"/>
      <c r="B8" s="336" t="s">
        <v>194</v>
      </c>
      <c r="C8" s="345">
        <v>3123.9270000000001</v>
      </c>
      <c r="D8" s="345">
        <v>3046</v>
      </c>
      <c r="E8" s="345">
        <v>2861</v>
      </c>
      <c r="F8" s="345">
        <v>3030</v>
      </c>
      <c r="G8" s="346">
        <v>2814</v>
      </c>
      <c r="H8" s="346">
        <v>2979</v>
      </c>
      <c r="I8" s="347">
        <v>3048</v>
      </c>
      <c r="J8" s="347">
        <v>2480</v>
      </c>
      <c r="K8" s="347">
        <v>2382</v>
      </c>
      <c r="L8" s="348">
        <v>2661.7</v>
      </c>
      <c r="M8" s="221">
        <v>3003.3159132999999</v>
      </c>
    </row>
    <row r="9" spans="1:22">
      <c r="A9" s="338"/>
      <c r="B9" s="350" t="s">
        <v>1760</v>
      </c>
      <c r="C9" s="345">
        <v>163.239</v>
      </c>
      <c r="D9" s="345">
        <v>222</v>
      </c>
      <c r="E9" s="345">
        <v>286</v>
      </c>
      <c r="F9" s="345">
        <v>359</v>
      </c>
      <c r="G9" s="346">
        <v>335</v>
      </c>
      <c r="H9" s="346">
        <v>312</v>
      </c>
      <c r="I9" s="297">
        <v>278</v>
      </c>
      <c r="J9" s="297">
        <v>194</v>
      </c>
      <c r="K9" s="297">
        <v>175</v>
      </c>
      <c r="L9" s="348">
        <v>210.4</v>
      </c>
      <c r="M9" s="221">
        <v>257.47692089999998</v>
      </c>
    </row>
    <row r="10" spans="1:22" ht="22.5">
      <c r="A10" s="338"/>
      <c r="B10" s="351" t="s">
        <v>1323</v>
      </c>
      <c r="C10" s="364" t="s">
        <v>1229</v>
      </c>
      <c r="D10" s="364" t="s">
        <v>1229</v>
      </c>
      <c r="E10" s="364" t="s">
        <v>1229</v>
      </c>
      <c r="F10" s="364" t="s">
        <v>1229</v>
      </c>
      <c r="G10" s="364" t="s">
        <v>1229</v>
      </c>
      <c r="H10" s="364" t="s">
        <v>1229</v>
      </c>
      <c r="I10" s="364" t="s">
        <v>1229</v>
      </c>
      <c r="J10" s="364" t="s">
        <v>1229</v>
      </c>
      <c r="K10" s="364" t="s">
        <v>1229</v>
      </c>
      <c r="L10" s="364" t="s">
        <v>1229</v>
      </c>
      <c r="M10" s="364" t="s">
        <v>1229</v>
      </c>
    </row>
    <row r="11" spans="1:22">
      <c r="A11" s="338"/>
      <c r="B11" s="336" t="s">
        <v>195</v>
      </c>
      <c r="C11" s="345">
        <v>8642.2469999999994</v>
      </c>
      <c r="D11" s="345">
        <v>8087</v>
      </c>
      <c r="E11" s="345">
        <v>10298</v>
      </c>
      <c r="F11" s="345">
        <v>9149</v>
      </c>
      <c r="G11" s="346">
        <v>7348</v>
      </c>
      <c r="H11" s="346">
        <v>8169</v>
      </c>
      <c r="I11" s="347">
        <v>7940</v>
      </c>
      <c r="J11" s="347">
        <v>5291</v>
      </c>
      <c r="K11" s="347">
        <v>4620</v>
      </c>
      <c r="L11" s="348">
        <v>3419.7</v>
      </c>
      <c r="M11" s="221">
        <v>3112.9745466999998</v>
      </c>
      <c r="V11" s="236"/>
    </row>
    <row r="12" spans="1:22">
      <c r="A12" s="338"/>
      <c r="B12" s="336" t="s">
        <v>196</v>
      </c>
      <c r="C12" s="345">
        <v>3517.924</v>
      </c>
      <c r="D12" s="345">
        <v>5419</v>
      </c>
      <c r="E12" s="345">
        <v>6736</v>
      </c>
      <c r="F12" s="345">
        <v>8672</v>
      </c>
      <c r="G12" s="346">
        <v>9085</v>
      </c>
      <c r="H12" s="346">
        <v>9688</v>
      </c>
      <c r="I12" s="347">
        <v>9396</v>
      </c>
      <c r="J12" s="347">
        <v>12125</v>
      </c>
      <c r="K12" s="347">
        <v>10811</v>
      </c>
      <c r="L12" s="348">
        <v>18997.599999999999</v>
      </c>
      <c r="M12" s="221">
        <v>18892.6410144</v>
      </c>
      <c r="V12" s="236"/>
    </row>
    <row r="13" spans="1:22">
      <c r="A13" s="338"/>
      <c r="B13" s="336" t="s">
        <v>1498</v>
      </c>
      <c r="C13" s="345"/>
      <c r="D13" s="345"/>
      <c r="E13" s="345"/>
      <c r="F13" s="345"/>
      <c r="G13" s="346">
        <v>1302</v>
      </c>
      <c r="H13" s="346">
        <v>1147</v>
      </c>
      <c r="I13" s="347">
        <v>2610</v>
      </c>
      <c r="J13" s="347">
        <v>559</v>
      </c>
      <c r="K13" s="347">
        <v>334</v>
      </c>
      <c r="L13" s="348">
        <v>273.39999999999998</v>
      </c>
      <c r="M13" s="221">
        <v>368.62206149999997</v>
      </c>
      <c r="V13" s="352"/>
    </row>
    <row r="14" spans="1:22">
      <c r="A14" s="338"/>
      <c r="B14" s="337" t="s">
        <v>1131</v>
      </c>
      <c r="C14" s="353">
        <v>15447.337</v>
      </c>
      <c r="D14" s="353">
        <v>16774</v>
      </c>
      <c r="E14" s="353">
        <v>20181</v>
      </c>
      <c r="F14" s="353">
        <v>21210</v>
      </c>
      <c r="G14" s="354">
        <v>20884</v>
      </c>
      <c r="H14" s="354">
        <v>22295</v>
      </c>
      <c r="I14" s="354">
        <v>23272</v>
      </c>
      <c r="J14" s="354">
        <v>20648</v>
      </c>
      <c r="K14" s="298">
        <v>18322</v>
      </c>
      <c r="L14" s="355">
        <v>25562.799999999999</v>
      </c>
      <c r="M14" s="219">
        <v>25635.030456799999</v>
      </c>
    </row>
    <row r="15" spans="1:22">
      <c r="A15" s="338"/>
      <c r="B15" s="336" t="s">
        <v>980</v>
      </c>
      <c r="C15" s="357">
        <v>-4531.3530000000001</v>
      </c>
      <c r="D15" s="357">
        <v>-3622</v>
      </c>
      <c r="E15" s="357">
        <v>-657</v>
      </c>
      <c r="F15" s="357">
        <v>-275</v>
      </c>
      <c r="G15" s="364" t="s">
        <v>1229</v>
      </c>
      <c r="H15" s="364" t="s">
        <v>1229</v>
      </c>
      <c r="I15" s="364" t="s">
        <v>1229</v>
      </c>
      <c r="J15" s="364" t="s">
        <v>1229</v>
      </c>
      <c r="K15" s="364" t="s">
        <v>1229</v>
      </c>
      <c r="L15" s="364" t="s">
        <v>1229</v>
      </c>
      <c r="M15" s="364" t="s">
        <v>1229</v>
      </c>
    </row>
    <row r="16" spans="1:22">
      <c r="A16" s="338"/>
      <c r="B16" s="336"/>
      <c r="C16" s="357"/>
      <c r="D16" s="357"/>
      <c r="E16" s="357"/>
      <c r="F16" s="357"/>
      <c r="G16" s="358"/>
      <c r="H16" s="358"/>
      <c r="I16" s="336"/>
      <c r="K16" s="359"/>
      <c r="L16" s="360"/>
      <c r="M16" s="208"/>
    </row>
    <row r="17" spans="1:13">
      <c r="A17" s="338"/>
      <c r="B17" s="337" t="s">
        <v>1130</v>
      </c>
      <c r="C17" s="353">
        <v>10915.984</v>
      </c>
      <c r="D17" s="353">
        <v>13152</v>
      </c>
      <c r="E17" s="353">
        <v>19524</v>
      </c>
      <c r="F17" s="353">
        <v>20935</v>
      </c>
      <c r="G17" s="353">
        <v>20884</v>
      </c>
      <c r="H17" s="353">
        <v>22295</v>
      </c>
      <c r="I17" s="353">
        <v>23272</v>
      </c>
      <c r="J17" s="361">
        <v>20648</v>
      </c>
      <c r="K17" s="298">
        <v>18322</v>
      </c>
      <c r="L17" s="355">
        <v>25562.799999999999</v>
      </c>
      <c r="M17" s="219">
        <v>25635.030456799999</v>
      </c>
    </row>
    <row r="18" spans="1:13">
      <c r="A18" s="338"/>
      <c r="B18" s="337"/>
      <c r="C18" s="353"/>
      <c r="D18" s="353"/>
      <c r="E18" s="353"/>
      <c r="F18" s="353"/>
      <c r="G18" s="353"/>
      <c r="H18" s="353"/>
      <c r="I18" s="336"/>
      <c r="M18" s="208"/>
    </row>
    <row r="19" spans="1:13">
      <c r="A19" s="362">
        <v>6100</v>
      </c>
      <c r="B19" s="336" t="s">
        <v>449</v>
      </c>
      <c r="C19" s="357">
        <v>804.49600000000009</v>
      </c>
      <c r="D19" s="357">
        <v>5636</v>
      </c>
      <c r="E19" s="357">
        <v>6634</v>
      </c>
      <c r="F19" s="357">
        <v>7246</v>
      </c>
      <c r="G19" s="357">
        <v>7138</v>
      </c>
      <c r="H19" s="357">
        <v>7227</v>
      </c>
      <c r="I19" s="357">
        <v>7084</v>
      </c>
      <c r="J19" s="357">
        <v>7641</v>
      </c>
      <c r="K19" s="357">
        <v>8163</v>
      </c>
      <c r="L19" s="357">
        <v>8035</v>
      </c>
      <c r="M19" s="230">
        <v>8946.3148175000006</v>
      </c>
    </row>
    <row r="20" spans="1:13">
      <c r="A20" s="362">
        <v>6200</v>
      </c>
      <c r="B20" s="336" t="s">
        <v>35</v>
      </c>
      <c r="C20" s="357">
        <v>3.11</v>
      </c>
      <c r="D20" s="357">
        <v>108</v>
      </c>
      <c r="E20" s="357">
        <v>176</v>
      </c>
      <c r="F20" s="357">
        <v>5</v>
      </c>
      <c r="G20" s="357">
        <v>2</v>
      </c>
      <c r="H20" s="357">
        <v>91</v>
      </c>
      <c r="I20" s="357">
        <v>40</v>
      </c>
      <c r="J20" s="357">
        <v>32</v>
      </c>
      <c r="K20" s="357">
        <v>34</v>
      </c>
      <c r="L20" s="357">
        <v>25</v>
      </c>
      <c r="M20" s="230">
        <v>109.23982719999999</v>
      </c>
    </row>
    <row r="21" spans="1:13">
      <c r="A21" s="362">
        <v>6300</v>
      </c>
      <c r="B21" s="336" t="s">
        <v>36</v>
      </c>
      <c r="C21" s="357">
        <v>320.75</v>
      </c>
      <c r="D21" s="357">
        <v>199</v>
      </c>
      <c r="E21" s="357">
        <v>612</v>
      </c>
      <c r="F21" s="357">
        <v>451</v>
      </c>
      <c r="G21" s="357">
        <v>923</v>
      </c>
      <c r="H21" s="357">
        <v>797</v>
      </c>
      <c r="I21" s="357">
        <v>252</v>
      </c>
      <c r="J21" s="357">
        <v>1303</v>
      </c>
      <c r="K21" s="357">
        <v>1640</v>
      </c>
      <c r="L21" s="357">
        <v>1458</v>
      </c>
      <c r="M21" s="230">
        <v>1380.6381787</v>
      </c>
    </row>
    <row r="22" spans="1:13">
      <c r="A22" s="362">
        <v>6400</v>
      </c>
      <c r="B22" s="336" t="s">
        <v>37</v>
      </c>
      <c r="C22" s="364" t="s">
        <v>1229</v>
      </c>
      <c r="D22" s="357">
        <v>792</v>
      </c>
      <c r="E22" s="357">
        <v>668</v>
      </c>
      <c r="F22" s="357">
        <v>1671</v>
      </c>
      <c r="G22" s="357">
        <v>1112</v>
      </c>
      <c r="H22" s="357">
        <v>696</v>
      </c>
      <c r="I22" s="357">
        <v>1039</v>
      </c>
      <c r="J22" s="357">
        <v>211</v>
      </c>
      <c r="K22" s="357">
        <v>2072</v>
      </c>
      <c r="L22" s="357">
        <v>1915</v>
      </c>
      <c r="M22" s="230">
        <v>1848.5246933999999</v>
      </c>
    </row>
    <row r="23" spans="1:13">
      <c r="A23" s="362">
        <v>6500</v>
      </c>
      <c r="B23" s="336" t="s">
        <v>38</v>
      </c>
      <c r="C23" s="364" t="s">
        <v>1229</v>
      </c>
      <c r="D23" s="357">
        <v>36</v>
      </c>
      <c r="E23" s="357">
        <v>94</v>
      </c>
      <c r="F23" s="357">
        <v>145</v>
      </c>
      <c r="G23" s="357">
        <v>91</v>
      </c>
      <c r="H23" s="357">
        <v>196</v>
      </c>
      <c r="I23" s="357">
        <v>29</v>
      </c>
      <c r="J23" s="357">
        <v>91</v>
      </c>
      <c r="K23" s="357">
        <v>69</v>
      </c>
      <c r="L23" s="357">
        <v>91</v>
      </c>
      <c r="M23" s="230">
        <v>300.36572969999997</v>
      </c>
    </row>
    <row r="24" spans="1:13">
      <c r="A24" s="362">
        <v>6900</v>
      </c>
      <c r="B24" s="336" t="s">
        <v>39</v>
      </c>
      <c r="C24" s="357">
        <v>1.649</v>
      </c>
      <c r="D24" s="357">
        <v>1</v>
      </c>
      <c r="E24" s="357">
        <v>44</v>
      </c>
      <c r="F24" s="357">
        <v>95</v>
      </c>
      <c r="G24" s="357">
        <v>31</v>
      </c>
      <c r="H24" s="357">
        <v>25</v>
      </c>
      <c r="I24" s="357">
        <v>41</v>
      </c>
      <c r="J24" s="357">
        <v>29</v>
      </c>
      <c r="K24" s="357">
        <v>39</v>
      </c>
      <c r="L24" s="357">
        <v>31</v>
      </c>
      <c r="M24" s="230">
        <v>7.3809044999999998</v>
      </c>
    </row>
    <row r="25" spans="1:13">
      <c r="A25" s="338"/>
      <c r="B25" s="336"/>
      <c r="C25" s="357"/>
      <c r="D25" s="357"/>
      <c r="E25" s="357"/>
      <c r="F25" s="357"/>
      <c r="G25" s="357"/>
      <c r="H25" s="357"/>
      <c r="I25" s="336"/>
      <c r="L25" s="208"/>
      <c r="M25" s="221"/>
    </row>
    <row r="26" spans="1:13">
      <c r="A26" s="338"/>
      <c r="B26" s="337" t="s">
        <v>981</v>
      </c>
      <c r="C26" s="353">
        <v>1130.0050000000001</v>
      </c>
      <c r="D26" s="353">
        <v>6772</v>
      </c>
      <c r="E26" s="353">
        <v>8228</v>
      </c>
      <c r="F26" s="353">
        <v>9613</v>
      </c>
      <c r="G26" s="353">
        <v>9297</v>
      </c>
      <c r="H26" s="353">
        <v>9032</v>
      </c>
      <c r="I26" s="353">
        <v>8485</v>
      </c>
      <c r="J26" s="219">
        <v>9307</v>
      </c>
      <c r="K26" s="219">
        <v>12016</v>
      </c>
      <c r="L26" s="219">
        <v>11555</v>
      </c>
      <c r="M26" s="219">
        <v>12592.464151000002</v>
      </c>
    </row>
    <row r="27" spans="1:13">
      <c r="A27" s="338"/>
      <c r="B27" s="336"/>
      <c r="C27" s="357"/>
      <c r="D27" s="357"/>
      <c r="E27" s="357"/>
      <c r="F27" s="357"/>
      <c r="G27" s="357"/>
      <c r="H27" s="357"/>
      <c r="I27" s="336"/>
      <c r="L27" s="221"/>
      <c r="M27" s="221"/>
    </row>
    <row r="28" spans="1:13" ht="13.5" thickBot="1">
      <c r="A28" s="366"/>
      <c r="B28" s="367" t="s">
        <v>40</v>
      </c>
      <c r="C28" s="368">
        <v>9785.9789999999994</v>
      </c>
      <c r="D28" s="368">
        <v>6380</v>
      </c>
      <c r="E28" s="368">
        <v>11296</v>
      </c>
      <c r="F28" s="368">
        <v>11322</v>
      </c>
      <c r="G28" s="368">
        <v>11587</v>
      </c>
      <c r="H28" s="368">
        <v>13263</v>
      </c>
      <c r="I28" s="368">
        <v>14787</v>
      </c>
      <c r="J28" s="368">
        <v>11341</v>
      </c>
      <c r="K28" s="232">
        <v>6306</v>
      </c>
      <c r="L28" s="232">
        <v>14007.8</v>
      </c>
      <c r="M28" s="232">
        <v>13042.566305799997</v>
      </c>
    </row>
    <row r="29" spans="1:13">
      <c r="A29" s="369" t="s">
        <v>179</v>
      </c>
      <c r="B29" s="370"/>
      <c r="C29" s="371"/>
      <c r="D29" s="371"/>
      <c r="E29" s="371"/>
      <c r="F29" s="371"/>
      <c r="G29" s="371"/>
      <c r="H29" s="371"/>
      <c r="I29" s="337"/>
    </row>
    <row r="30" spans="1:13">
      <c r="A30" s="372" t="s">
        <v>1582</v>
      </c>
      <c r="B30" s="373"/>
      <c r="C30" s="373"/>
      <c r="D30" s="373"/>
      <c r="E30" s="373"/>
      <c r="F30" s="373"/>
      <c r="G30" s="373"/>
      <c r="H30" s="373"/>
      <c r="I30" s="374"/>
      <c r="J30" s="375"/>
      <c r="K30" s="375"/>
      <c r="L30" s="375"/>
      <c r="M30" s="375"/>
    </row>
    <row r="31" spans="1:13">
      <c r="A31" s="372" t="s">
        <v>1583</v>
      </c>
      <c r="B31" s="373"/>
      <c r="C31" s="373"/>
      <c r="D31" s="373"/>
      <c r="E31" s="373"/>
      <c r="F31" s="373"/>
      <c r="G31" s="373"/>
      <c r="H31" s="373"/>
      <c r="I31" s="373"/>
      <c r="J31" s="375"/>
      <c r="K31" s="375"/>
      <c r="L31" s="375"/>
      <c r="M31" s="375"/>
    </row>
    <row r="32" spans="1:13">
      <c r="A32" s="372" t="s">
        <v>1584</v>
      </c>
      <c r="B32" s="373"/>
      <c r="C32" s="373"/>
      <c r="D32" s="373"/>
      <c r="E32" s="373"/>
      <c r="F32" s="373"/>
      <c r="G32" s="373"/>
      <c r="H32" s="373"/>
      <c r="I32" s="373"/>
      <c r="J32" s="375"/>
      <c r="K32" s="375"/>
      <c r="L32" s="375"/>
      <c r="M32" s="375"/>
    </row>
    <row r="33" spans="1:13">
      <c r="A33" s="372" t="s">
        <v>982</v>
      </c>
      <c r="B33" s="373"/>
      <c r="C33" s="373"/>
      <c r="D33" s="373"/>
      <c r="E33" s="373"/>
      <c r="F33" s="373"/>
      <c r="G33" s="373"/>
      <c r="H33" s="373"/>
      <c r="I33" s="373"/>
      <c r="J33" s="375"/>
      <c r="K33" s="375"/>
      <c r="L33" s="375"/>
      <c r="M33" s="375"/>
    </row>
    <row r="34" spans="1:13">
      <c r="A34" s="376" t="s">
        <v>1282</v>
      </c>
      <c r="B34" s="373"/>
      <c r="C34" s="373"/>
      <c r="D34" s="373"/>
      <c r="E34" s="373"/>
      <c r="F34" s="373"/>
      <c r="G34" s="373"/>
      <c r="H34" s="373"/>
      <c r="I34" s="373"/>
      <c r="J34" s="375"/>
      <c r="K34" s="375"/>
      <c r="L34" s="375"/>
      <c r="M34" s="375"/>
    </row>
    <row r="35" spans="1:13">
      <c r="A35" s="376" t="s">
        <v>1315</v>
      </c>
      <c r="B35" s="377"/>
      <c r="C35" s="377"/>
      <c r="D35" s="377"/>
      <c r="E35" s="377"/>
      <c r="F35" s="377"/>
      <c r="G35" s="377"/>
      <c r="H35" s="377"/>
      <c r="I35" s="373"/>
      <c r="J35" s="375"/>
      <c r="K35" s="375"/>
      <c r="L35" s="375"/>
      <c r="M35" s="375"/>
    </row>
    <row r="36" spans="1:13">
      <c r="A36" s="376" t="s">
        <v>450</v>
      </c>
      <c r="B36" s="377"/>
      <c r="C36" s="377"/>
      <c r="D36" s="377"/>
      <c r="E36" s="377"/>
      <c r="F36" s="377"/>
      <c r="G36" s="377"/>
      <c r="H36" s="377"/>
      <c r="I36" s="373"/>
      <c r="J36" s="375"/>
      <c r="K36" s="375"/>
      <c r="L36" s="375"/>
      <c r="M36" s="375"/>
    </row>
    <row r="37" spans="1:13">
      <c r="A37" s="376" t="s">
        <v>451</v>
      </c>
      <c r="B37" s="377"/>
      <c r="C37" s="377"/>
      <c r="D37" s="377"/>
      <c r="E37" s="377"/>
      <c r="F37" s="377"/>
      <c r="G37" s="377"/>
      <c r="H37" s="377"/>
      <c r="I37" s="373"/>
      <c r="J37" s="375"/>
      <c r="K37" s="375"/>
      <c r="L37" s="375"/>
      <c r="M37" s="375"/>
    </row>
    <row r="38" spans="1:13">
      <c r="A38" s="338"/>
      <c r="B38" s="378"/>
      <c r="C38" s="378"/>
      <c r="D38" s="378"/>
      <c r="E38" s="378"/>
      <c r="F38" s="378"/>
      <c r="G38" s="378"/>
      <c r="H38" s="378"/>
      <c r="I38" s="336"/>
    </row>
  </sheetData>
  <phoneticPr fontId="15"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workbookViewId="0">
      <selection activeCell="F49" sqref="F49"/>
    </sheetView>
  </sheetViews>
  <sheetFormatPr defaultRowHeight="12.75"/>
  <cols>
    <col min="1" max="1" width="7.1640625" style="210" customWidth="1"/>
    <col min="2" max="2" width="41.1640625" style="210" customWidth="1"/>
    <col min="3" max="9" width="6.6640625" style="210" bestFit="1" customWidth="1"/>
    <col min="10" max="11" width="6.6640625" style="210" customWidth="1"/>
    <col min="12" max="16384" width="9.33203125" style="210"/>
  </cols>
  <sheetData>
    <row r="1" spans="1:11">
      <c r="A1" s="335" t="s">
        <v>1797</v>
      </c>
      <c r="B1" s="336"/>
    </row>
    <row r="2" spans="1:11">
      <c r="A2" s="335" t="s">
        <v>1989</v>
      </c>
      <c r="B2" s="337"/>
    </row>
    <row r="3" spans="1:11">
      <c r="A3" s="338" t="s">
        <v>1990</v>
      </c>
      <c r="B3" s="337"/>
    </row>
    <row r="4" spans="1:11" ht="13.5" thickBot="1">
      <c r="A4" s="338"/>
      <c r="B4" s="336"/>
    </row>
    <row r="5" spans="1:11" ht="13.5" thickBot="1">
      <c r="A5" s="340" t="s">
        <v>192</v>
      </c>
      <c r="B5" s="341"/>
      <c r="C5" s="215">
        <v>2006</v>
      </c>
      <c r="D5" s="215">
        <v>2007</v>
      </c>
      <c r="E5" s="215">
        <v>2008</v>
      </c>
      <c r="F5" s="215">
        <v>2009</v>
      </c>
      <c r="G5" s="215">
        <v>2010</v>
      </c>
      <c r="H5" s="215">
        <v>2011</v>
      </c>
      <c r="I5" s="215">
        <v>2012</v>
      </c>
      <c r="J5" s="215">
        <v>2013</v>
      </c>
      <c r="K5" s="215">
        <v>2014</v>
      </c>
    </row>
    <row r="6" spans="1:11">
      <c r="A6" s="343"/>
      <c r="B6" s="337"/>
    </row>
    <row r="7" spans="1:11">
      <c r="A7" s="344">
        <v>279301</v>
      </c>
      <c r="B7" s="337" t="s">
        <v>193</v>
      </c>
    </row>
    <row r="8" spans="1:11">
      <c r="A8" s="338"/>
      <c r="B8" s="336" t="s">
        <v>194</v>
      </c>
      <c r="C8" s="349">
        <v>3538.5818158100001</v>
      </c>
      <c r="D8" s="349">
        <v>3844</v>
      </c>
      <c r="E8" s="349">
        <v>4023</v>
      </c>
      <c r="F8" s="349">
        <v>3803</v>
      </c>
      <c r="G8" s="349">
        <v>4103</v>
      </c>
      <c r="H8" s="349">
        <v>4399.0724185200006</v>
      </c>
      <c r="I8" s="349">
        <v>4003.8351887499998</v>
      </c>
      <c r="J8" s="349">
        <v>3820.1170000000002</v>
      </c>
      <c r="K8" s="349">
        <v>4185.3323810700003</v>
      </c>
    </row>
    <row r="9" spans="1:11">
      <c r="A9" s="338"/>
      <c r="B9" s="350" t="s">
        <v>1760</v>
      </c>
      <c r="C9" s="349">
        <v>169.35127603999999</v>
      </c>
      <c r="D9" s="349">
        <v>425</v>
      </c>
      <c r="E9" s="349">
        <v>783</v>
      </c>
      <c r="F9" s="349">
        <v>472</v>
      </c>
      <c r="G9" s="349">
        <v>52</v>
      </c>
      <c r="H9" s="349">
        <v>24.123021749999999</v>
      </c>
      <c r="I9" s="349">
        <v>46.356661500000001</v>
      </c>
      <c r="J9" s="349">
        <v>-7.4619999999999997</v>
      </c>
      <c r="K9" s="349">
        <v>52.815845000000003</v>
      </c>
    </row>
    <row r="10" spans="1:11" ht="22.5">
      <c r="A10" s="338"/>
      <c r="B10" s="351" t="s">
        <v>1323</v>
      </c>
      <c r="C10" s="364" t="s">
        <v>1229</v>
      </c>
      <c r="D10" s="364" t="s">
        <v>1229</v>
      </c>
      <c r="E10" s="364" t="s">
        <v>1229</v>
      </c>
      <c r="F10" s="364" t="s">
        <v>1229</v>
      </c>
      <c r="G10" s="349">
        <v>136</v>
      </c>
      <c r="H10" s="364" t="s">
        <v>1229</v>
      </c>
      <c r="I10" s="364" t="s">
        <v>1229</v>
      </c>
      <c r="J10" s="364" t="s">
        <v>1229</v>
      </c>
      <c r="K10" s="364" t="s">
        <v>1229</v>
      </c>
    </row>
    <row r="11" spans="1:11">
      <c r="A11" s="338"/>
      <c r="B11" s="336" t="s">
        <v>195</v>
      </c>
      <c r="C11" s="349">
        <v>4227.1984640199998</v>
      </c>
      <c r="D11" s="349">
        <v>4475</v>
      </c>
      <c r="E11" s="349">
        <v>4323</v>
      </c>
      <c r="F11" s="349">
        <v>-4305</v>
      </c>
      <c r="G11" s="349">
        <v>1444</v>
      </c>
      <c r="H11" s="349">
        <v>1563.60329428</v>
      </c>
      <c r="I11" s="349">
        <v>1643.07290268</v>
      </c>
      <c r="J11" s="349">
        <v>1714.2380000000001</v>
      </c>
      <c r="K11" s="349">
        <v>5251.62172328</v>
      </c>
    </row>
    <row r="12" spans="1:11">
      <c r="A12" s="338"/>
      <c r="B12" s="336" t="s">
        <v>196</v>
      </c>
      <c r="C12" s="349">
        <v>17722.981990830001</v>
      </c>
      <c r="D12" s="349">
        <v>17512</v>
      </c>
      <c r="E12" s="349">
        <v>21960</v>
      </c>
      <c r="F12" s="349">
        <v>18741</v>
      </c>
      <c r="G12" s="349">
        <v>24323</v>
      </c>
      <c r="H12" s="349">
        <v>24311.843012580001</v>
      </c>
      <c r="I12" s="349">
        <v>25460.682005980001</v>
      </c>
      <c r="J12" s="349">
        <v>31478.173999999999</v>
      </c>
      <c r="K12" s="349">
        <v>31600.21008949</v>
      </c>
    </row>
    <row r="13" spans="1:11">
      <c r="A13" s="338"/>
      <c r="B13" s="336" t="s">
        <v>1498</v>
      </c>
      <c r="C13" s="349">
        <f>262.05787769</f>
        <v>262.05787769</v>
      </c>
      <c r="D13" s="349">
        <v>379</v>
      </c>
      <c r="E13" s="349">
        <v>437</v>
      </c>
      <c r="F13" s="349">
        <v>481</v>
      </c>
      <c r="G13" s="349">
        <v>349</v>
      </c>
      <c r="H13" s="349">
        <v>297</v>
      </c>
      <c r="I13" s="349">
        <v>298</v>
      </c>
      <c r="J13" s="349">
        <v>407</v>
      </c>
      <c r="K13" s="349">
        <v>463</v>
      </c>
    </row>
    <row r="14" spans="1:11">
      <c r="A14" s="338"/>
      <c r="B14" s="337" t="s">
        <v>1991</v>
      </c>
      <c r="C14" s="356">
        <v>25920.171424390002</v>
      </c>
      <c r="D14" s="356">
        <v>26635</v>
      </c>
      <c r="E14" s="356">
        <v>31526</v>
      </c>
      <c r="F14" s="356">
        <f t="shared" ref="F14:K14" si="0">SUM(F8:F13)</f>
        <v>19192</v>
      </c>
      <c r="G14" s="356">
        <f t="shared" si="0"/>
        <v>30407</v>
      </c>
      <c r="H14" s="356">
        <f t="shared" si="0"/>
        <v>30595.641747130001</v>
      </c>
      <c r="I14" s="356">
        <f t="shared" si="0"/>
        <v>31451.946758910002</v>
      </c>
      <c r="J14" s="356">
        <f t="shared" si="0"/>
        <v>37412.066999999995</v>
      </c>
      <c r="K14" s="356">
        <f t="shared" si="0"/>
        <v>41552.980038840004</v>
      </c>
    </row>
    <row r="15" spans="1:11">
      <c r="A15" s="338"/>
      <c r="B15" s="337"/>
    </row>
    <row r="16" spans="1:11">
      <c r="A16" s="362">
        <v>6100</v>
      </c>
      <c r="B16" s="336" t="s">
        <v>449</v>
      </c>
      <c r="C16" s="363">
        <f>9059.95683829-170.201</f>
        <v>8889.7558382900006</v>
      </c>
      <c r="D16" s="363">
        <v>9841</v>
      </c>
      <c r="E16" s="363">
        <v>8994</v>
      </c>
      <c r="F16" s="363">
        <v>9190.7551106900009</v>
      </c>
      <c r="G16" s="267">
        <v>10229.53126125</v>
      </c>
      <c r="H16" s="267">
        <v>8671.2212936699998</v>
      </c>
      <c r="I16" s="267">
        <v>8459.23115263</v>
      </c>
      <c r="J16" s="267">
        <v>7452.6973214</v>
      </c>
      <c r="K16" s="267">
        <v>8110.2087213200002</v>
      </c>
    </row>
    <row r="17" spans="1:11">
      <c r="A17" s="362">
        <v>6200</v>
      </c>
      <c r="B17" s="336" t="s">
        <v>35</v>
      </c>
      <c r="C17" s="363">
        <f>75.71988846</f>
        <v>75.719888460000007</v>
      </c>
      <c r="D17" s="363">
        <v>90</v>
      </c>
      <c r="E17" s="363">
        <v>94</v>
      </c>
      <c r="F17" s="363">
        <v>69.959134830000011</v>
      </c>
      <c r="G17" s="330">
        <v>101.78873509</v>
      </c>
      <c r="H17" s="267">
        <v>49.648473609999996</v>
      </c>
      <c r="I17" s="267">
        <v>2.2572610000000002</v>
      </c>
      <c r="J17" s="267">
        <v>93.519561469999999</v>
      </c>
      <c r="K17" s="267">
        <v>38.158289859999996</v>
      </c>
    </row>
    <row r="18" spans="1:11">
      <c r="A18" s="362">
        <v>6300</v>
      </c>
      <c r="B18" s="336" t="s">
        <v>36</v>
      </c>
      <c r="C18" s="363">
        <f>1212.03210441</f>
        <v>1212.0321044100001</v>
      </c>
      <c r="D18" s="363">
        <v>1130</v>
      </c>
      <c r="E18" s="363">
        <v>464</v>
      </c>
      <c r="F18" s="363">
        <v>1314.7310502500002</v>
      </c>
      <c r="G18" s="330">
        <v>872.20769972999983</v>
      </c>
      <c r="H18" s="267">
        <v>1844.4201824100001</v>
      </c>
      <c r="I18" s="267">
        <v>1002.4597951600001</v>
      </c>
      <c r="J18" s="267">
        <v>1291.7142867</v>
      </c>
      <c r="K18" s="267">
        <v>1395.21899992</v>
      </c>
    </row>
    <row r="19" spans="1:11">
      <c r="A19" s="362">
        <v>6400</v>
      </c>
      <c r="B19" s="336" t="s">
        <v>37</v>
      </c>
      <c r="C19" s="363">
        <f>1270.59920593-0.1</f>
        <v>1270.49920593</v>
      </c>
      <c r="D19" s="363">
        <v>1633</v>
      </c>
      <c r="E19" s="363">
        <v>870</v>
      </c>
      <c r="F19" s="363">
        <v>357.93367243</v>
      </c>
      <c r="G19" s="330">
        <v>1151.11168202</v>
      </c>
      <c r="H19" s="267">
        <v>1188.3085359500001</v>
      </c>
      <c r="I19" s="267">
        <v>-0.66934901999999996</v>
      </c>
      <c r="J19" s="267">
        <v>841.86833436999996</v>
      </c>
      <c r="K19" s="267">
        <v>1981.6928879699999</v>
      </c>
    </row>
    <row r="20" spans="1:11">
      <c r="A20" s="362">
        <v>6500</v>
      </c>
      <c r="B20" s="336" t="s">
        <v>38</v>
      </c>
      <c r="C20" s="365">
        <f>193.80668825+0.3</f>
        <v>194.10668825000002</v>
      </c>
      <c r="D20" s="363">
        <v>187</v>
      </c>
      <c r="E20" s="363">
        <v>348</v>
      </c>
      <c r="F20" s="363">
        <v>470</v>
      </c>
      <c r="G20" s="330">
        <v>391.36046470999997</v>
      </c>
      <c r="H20" s="267">
        <v>419.37499283</v>
      </c>
      <c r="I20" s="267">
        <v>211.90867746999999</v>
      </c>
      <c r="J20" s="267">
        <v>393.44757353</v>
      </c>
      <c r="K20" s="267">
        <v>293.57197740999999</v>
      </c>
    </row>
    <row r="21" spans="1:11">
      <c r="A21" s="362">
        <v>6900</v>
      </c>
      <c r="B21" s="336" t="s">
        <v>39</v>
      </c>
      <c r="C21" s="363">
        <v>799.0127</v>
      </c>
      <c r="D21" s="363">
        <v>156</v>
      </c>
      <c r="E21" s="363">
        <v>265</v>
      </c>
      <c r="F21" s="363">
        <v>278.85200137999999</v>
      </c>
      <c r="G21" s="330">
        <v>231.70009186999999</v>
      </c>
      <c r="H21" s="267">
        <v>155.15361159</v>
      </c>
      <c r="I21" s="267">
        <v>106.71828135000001</v>
      </c>
      <c r="J21" s="267">
        <v>191.76907381999999</v>
      </c>
      <c r="K21" s="267">
        <v>44.743594049999999</v>
      </c>
    </row>
    <row r="22" spans="1:11">
      <c r="A22" s="338"/>
      <c r="B22" s="336"/>
    </row>
    <row r="23" spans="1:11">
      <c r="A23" s="338"/>
      <c r="B23" s="337" t="s">
        <v>981</v>
      </c>
      <c r="C23" s="219">
        <v>12441.12642534</v>
      </c>
      <c r="D23" s="219">
        <v>13037</v>
      </c>
      <c r="E23" s="219">
        <v>11035</v>
      </c>
      <c r="F23" s="219">
        <f t="shared" ref="F23:K23" si="1">SUM(F16:F21)</f>
        <v>11682.230969580001</v>
      </c>
      <c r="G23" s="219">
        <f t="shared" si="1"/>
        <v>12977.699934669999</v>
      </c>
      <c r="H23" s="219">
        <f t="shared" si="1"/>
        <v>12328.127090059999</v>
      </c>
      <c r="I23" s="219">
        <f t="shared" si="1"/>
        <v>9781.905818590003</v>
      </c>
      <c r="J23" s="219">
        <f t="shared" si="1"/>
        <v>10265.016151289999</v>
      </c>
      <c r="K23" s="219">
        <f t="shared" si="1"/>
        <v>11863.594470529999</v>
      </c>
    </row>
    <row r="24" spans="1:11">
      <c r="A24" s="338"/>
      <c r="B24" s="336"/>
    </row>
    <row r="25" spans="1:11" ht="13.5" thickBot="1">
      <c r="A25" s="366"/>
      <c r="B25" s="367" t="s">
        <v>40</v>
      </c>
      <c r="C25" s="232">
        <f>C14-C23</f>
        <v>13479.044999050002</v>
      </c>
      <c r="D25" s="232">
        <f t="shared" ref="D25:K25" si="2">D14-D23</f>
        <v>13598</v>
      </c>
      <c r="E25" s="232">
        <f t="shared" si="2"/>
        <v>20491</v>
      </c>
      <c r="F25" s="232">
        <f t="shared" si="2"/>
        <v>7509.7690304199987</v>
      </c>
      <c r="G25" s="232">
        <f t="shared" si="2"/>
        <v>17429.300065330001</v>
      </c>
      <c r="H25" s="232">
        <f t="shared" si="2"/>
        <v>18267.514657070002</v>
      </c>
      <c r="I25" s="232">
        <f t="shared" si="2"/>
        <v>21670.040940319999</v>
      </c>
      <c r="J25" s="232">
        <f t="shared" si="2"/>
        <v>27147.050848709994</v>
      </c>
      <c r="K25" s="232">
        <f t="shared" si="2"/>
        <v>29689.385568310005</v>
      </c>
    </row>
    <row r="26" spans="1:11">
      <c r="A26" s="369" t="s">
        <v>179</v>
      </c>
      <c r="B26" s="370"/>
    </row>
    <row r="27" spans="1:11">
      <c r="A27" s="372" t="s">
        <v>1582</v>
      </c>
      <c r="B27" s="373"/>
    </row>
    <row r="28" spans="1:11">
      <c r="A28" s="372" t="s">
        <v>1583</v>
      </c>
      <c r="B28" s="373"/>
    </row>
    <row r="29" spans="1:11">
      <c r="A29" s="372" t="s">
        <v>1584</v>
      </c>
      <c r="B29" s="373"/>
    </row>
    <row r="30" spans="1:11">
      <c r="A30" s="372" t="s">
        <v>982</v>
      </c>
      <c r="B30" s="373"/>
    </row>
    <row r="31" spans="1:11">
      <c r="A31" s="376" t="s">
        <v>1282</v>
      </c>
      <c r="B31" s="373"/>
    </row>
    <row r="32" spans="1:11">
      <c r="A32" s="376" t="s">
        <v>1315</v>
      </c>
      <c r="B32" s="377"/>
    </row>
    <row r="33" spans="1:2">
      <c r="A33" s="376" t="s">
        <v>450</v>
      </c>
      <c r="B33" s="377"/>
    </row>
    <row r="34" spans="1:2">
      <c r="A34" s="376" t="s">
        <v>451</v>
      </c>
      <c r="B34" s="377"/>
    </row>
    <row r="35" spans="1:2">
      <c r="A35" s="338"/>
      <c r="B35" s="378"/>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
  <sheetViews>
    <sheetView zoomScaleNormal="100" workbookViewId="0">
      <pane xSplit="1" topLeftCell="B1" activePane="topRight" state="frozen"/>
      <selection activeCell="F49" sqref="F49"/>
      <selection pane="topRight" activeCell="F49" sqref="F49"/>
    </sheetView>
  </sheetViews>
  <sheetFormatPr defaultColWidth="11.33203125" defaultRowHeight="12.75"/>
  <cols>
    <col min="1" max="1" width="53" style="685" customWidth="1"/>
    <col min="2" max="6" width="11.33203125" style="685"/>
    <col min="7" max="7" width="11.1640625" style="685" bestFit="1" customWidth="1"/>
    <col min="8" max="13" width="11.33203125" style="685"/>
    <col min="14" max="22" width="12.6640625" style="685" bestFit="1" customWidth="1"/>
    <col min="23" max="16384" width="11.33203125" style="685"/>
  </cols>
  <sheetData>
    <row r="1" spans="1:22">
      <c r="A1" s="1" t="s">
        <v>2051</v>
      </c>
    </row>
    <row r="2" spans="1:22" ht="13.5" thickBot="1">
      <c r="A2" s="1" t="s">
        <v>2052</v>
      </c>
      <c r="B2" s="735">
        <v>34515</v>
      </c>
      <c r="C2" s="735">
        <v>34880</v>
      </c>
      <c r="D2" s="735">
        <v>35430</v>
      </c>
      <c r="E2" s="735">
        <v>35795</v>
      </c>
      <c r="F2" s="735" t="s">
        <v>2043</v>
      </c>
      <c r="G2" s="735" t="s">
        <v>2042</v>
      </c>
      <c r="H2" s="735" t="s">
        <v>2041</v>
      </c>
      <c r="I2" s="735" t="s">
        <v>2040</v>
      </c>
      <c r="J2" s="735" t="s">
        <v>2039</v>
      </c>
      <c r="K2" s="735" t="s">
        <v>2038</v>
      </c>
      <c r="L2" s="735" t="s">
        <v>2037</v>
      </c>
      <c r="M2" s="735" t="s">
        <v>2036</v>
      </c>
      <c r="N2" s="735" t="s">
        <v>2035</v>
      </c>
      <c r="O2" s="735" t="s">
        <v>1473</v>
      </c>
      <c r="P2" s="735" t="s">
        <v>1474</v>
      </c>
      <c r="Q2" s="735" t="s">
        <v>1475</v>
      </c>
      <c r="R2" s="735">
        <v>40543</v>
      </c>
      <c r="S2" s="735">
        <v>40908</v>
      </c>
      <c r="T2" s="735">
        <v>41274</v>
      </c>
      <c r="U2" s="735">
        <v>41639</v>
      </c>
      <c r="V2" s="735">
        <v>42004</v>
      </c>
    </row>
    <row r="3" spans="1:22">
      <c r="A3" s="7" t="s">
        <v>2053</v>
      </c>
    </row>
    <row r="5" spans="1:22">
      <c r="A5" s="738" t="s">
        <v>1204</v>
      </c>
    </row>
    <row r="6" spans="1:22">
      <c r="A6" s="698" t="s">
        <v>1205</v>
      </c>
      <c r="B6" s="687"/>
      <c r="C6" s="687"/>
      <c r="D6" s="687"/>
      <c r="E6" s="687"/>
      <c r="F6" s="687"/>
      <c r="G6" s="687"/>
      <c r="H6" s="687"/>
      <c r="I6" s="687"/>
      <c r="J6" s="687"/>
      <c r="K6" s="687"/>
      <c r="L6" s="687"/>
      <c r="M6" s="687"/>
      <c r="N6" s="687"/>
      <c r="O6" s="687"/>
      <c r="P6" s="687"/>
      <c r="Q6" s="687"/>
      <c r="R6" s="687"/>
      <c r="S6" s="687"/>
      <c r="T6" s="687"/>
      <c r="U6" s="687"/>
      <c r="V6" s="687"/>
    </row>
    <row r="7" spans="1:22">
      <c r="A7" s="588"/>
      <c r="B7" s="687"/>
      <c r="C7" s="687"/>
      <c r="D7" s="687"/>
      <c r="E7" s="687"/>
      <c r="F7" s="687"/>
      <c r="G7" s="687"/>
      <c r="H7" s="687"/>
      <c r="I7" s="687"/>
      <c r="J7" s="687"/>
      <c r="K7" s="687"/>
      <c r="L7" s="687"/>
      <c r="M7" s="687"/>
      <c r="N7" s="687"/>
      <c r="O7" s="687"/>
      <c r="P7" s="687"/>
      <c r="Q7" s="687"/>
      <c r="R7" s="687"/>
      <c r="S7" s="687"/>
      <c r="T7" s="687"/>
      <c r="U7" s="687"/>
      <c r="V7" s="687"/>
    </row>
    <row r="8" spans="1:22">
      <c r="A8" s="699" t="s">
        <v>1206</v>
      </c>
      <c r="B8" s="688"/>
      <c r="C8" s="688"/>
      <c r="D8" s="688"/>
      <c r="E8" s="688"/>
      <c r="F8" s="688"/>
      <c r="G8" s="688"/>
      <c r="H8" s="688"/>
      <c r="I8" s="688"/>
      <c r="J8" s="688"/>
      <c r="K8" s="688"/>
      <c r="L8" s="688"/>
      <c r="M8" s="688"/>
      <c r="N8" s="688"/>
      <c r="O8" s="688"/>
      <c r="P8" s="688"/>
      <c r="Q8" s="688"/>
      <c r="R8" s="688"/>
      <c r="S8" s="688"/>
      <c r="T8" s="688"/>
      <c r="U8" s="688"/>
      <c r="V8" s="688"/>
    </row>
    <row r="9" spans="1:22">
      <c r="A9" s="588" t="s">
        <v>1207</v>
      </c>
      <c r="B9" s="62"/>
      <c r="C9" s="62"/>
      <c r="D9" s="62"/>
      <c r="E9" s="62"/>
      <c r="F9" s="62">
        <v>848000</v>
      </c>
      <c r="G9" s="62">
        <v>1082211</v>
      </c>
      <c r="H9" s="62">
        <v>1256952</v>
      </c>
      <c r="I9" s="62">
        <v>1785343</v>
      </c>
      <c r="J9" s="62">
        <v>2576627</v>
      </c>
      <c r="K9" s="62">
        <v>3148092</v>
      </c>
      <c r="L9" s="62">
        <v>3426390</v>
      </c>
      <c r="M9" s="62">
        <v>3720168</v>
      </c>
      <c r="N9" s="62">
        <v>3815476</v>
      </c>
      <c r="O9" s="62">
        <v>4151209</v>
      </c>
      <c r="P9" s="62">
        <v>5195836</v>
      </c>
      <c r="Q9" s="62">
        <v>5979926</v>
      </c>
      <c r="R9" s="62">
        <v>6152571</v>
      </c>
      <c r="S9" s="62">
        <v>6760932</v>
      </c>
      <c r="T9" s="62">
        <v>6936977</v>
      </c>
      <c r="U9" s="62">
        <v>7189663</v>
      </c>
      <c r="V9" s="62">
        <v>7210733</v>
      </c>
    </row>
    <row r="10" spans="1:22">
      <c r="A10" s="588" t="s">
        <v>2045</v>
      </c>
      <c r="B10" s="62"/>
      <c r="C10" s="62"/>
      <c r="D10" s="62"/>
      <c r="E10" s="62"/>
      <c r="F10" s="62">
        <v>193000</v>
      </c>
      <c r="G10" s="62">
        <v>242739</v>
      </c>
      <c r="H10" s="62">
        <v>277190</v>
      </c>
      <c r="I10" s="62">
        <v>190297</v>
      </c>
      <c r="J10" s="62">
        <v>331732</v>
      </c>
      <c r="K10" s="62">
        <v>458000</v>
      </c>
      <c r="L10" s="62">
        <v>663146</v>
      </c>
      <c r="M10" s="62">
        <v>768119</v>
      </c>
      <c r="N10" s="62">
        <v>815947</v>
      </c>
      <c r="O10" s="62">
        <v>818284</v>
      </c>
      <c r="P10" s="62">
        <v>881645</v>
      </c>
      <c r="Q10" s="62">
        <v>937846</v>
      </c>
      <c r="R10" s="62">
        <v>991157</v>
      </c>
      <c r="S10" s="62">
        <v>829646</v>
      </c>
      <c r="T10" s="62">
        <v>875552</v>
      </c>
      <c r="U10" s="62">
        <v>861714</v>
      </c>
      <c r="V10" s="62">
        <v>876107</v>
      </c>
    </row>
    <row r="11" spans="1:22">
      <c r="A11" s="588" t="s">
        <v>1208</v>
      </c>
      <c r="B11" s="62"/>
      <c r="C11" s="62"/>
      <c r="D11" s="62"/>
      <c r="E11" s="62"/>
      <c r="F11" s="62">
        <v>7000</v>
      </c>
      <c r="G11" s="62">
        <v>12513</v>
      </c>
      <c r="H11" s="62">
        <v>7021</v>
      </c>
      <c r="I11" s="62">
        <v>0</v>
      </c>
      <c r="J11" s="62">
        <v>1997</v>
      </c>
      <c r="K11" s="62">
        <v>4423</v>
      </c>
      <c r="L11" s="62">
        <v>8102</v>
      </c>
      <c r="M11" s="62">
        <v>44782</v>
      </c>
      <c r="N11" s="62">
        <v>31413</v>
      </c>
      <c r="O11" s="62">
        <v>33220</v>
      </c>
      <c r="P11" s="62">
        <v>10701</v>
      </c>
      <c r="Q11" s="62">
        <v>236</v>
      </c>
      <c r="R11" s="62">
        <v>1790</v>
      </c>
      <c r="S11" s="62">
        <v>0</v>
      </c>
      <c r="T11" s="62">
        <v>0</v>
      </c>
      <c r="U11" s="62">
        <v>0</v>
      </c>
      <c r="V11" s="62">
        <v>500</v>
      </c>
    </row>
    <row r="12" spans="1:22">
      <c r="A12" s="699" t="s">
        <v>1209</v>
      </c>
      <c r="B12" s="62">
        <v>347100</v>
      </c>
      <c r="C12" s="62">
        <v>317900</v>
      </c>
      <c r="D12" s="62">
        <v>352000</v>
      </c>
      <c r="E12" s="62">
        <v>762000</v>
      </c>
      <c r="F12" s="62">
        <v>1048000</v>
      </c>
      <c r="G12" s="62">
        <v>1337463</v>
      </c>
      <c r="H12" s="62">
        <v>1541163</v>
      </c>
      <c r="I12" s="62">
        <v>1975640</v>
      </c>
      <c r="J12" s="62">
        <v>2910356</v>
      </c>
      <c r="K12" s="62">
        <v>3610515</v>
      </c>
      <c r="L12" s="62">
        <v>4097638</v>
      </c>
      <c r="M12" s="62">
        <v>4533069</v>
      </c>
      <c r="N12" s="62">
        <v>4662836</v>
      </c>
      <c r="O12" s="62">
        <v>5002713</v>
      </c>
      <c r="P12" s="62">
        <v>6088182</v>
      </c>
      <c r="Q12" s="62">
        <v>6918008</v>
      </c>
      <c r="R12" s="62">
        <v>7145518</v>
      </c>
      <c r="S12" s="62">
        <v>7590578</v>
      </c>
      <c r="T12" s="62">
        <v>7812529</v>
      </c>
      <c r="U12" s="62">
        <v>8051377</v>
      </c>
      <c r="V12" s="62">
        <v>8087340</v>
      </c>
    </row>
    <row r="13" spans="1:22">
      <c r="A13" s="588"/>
      <c r="B13" s="62"/>
      <c r="C13" s="62"/>
      <c r="D13" s="62"/>
      <c r="E13" s="62"/>
      <c r="F13" s="62"/>
      <c r="G13" s="62"/>
      <c r="H13" s="62"/>
      <c r="I13" s="62"/>
      <c r="J13" s="62"/>
      <c r="K13" s="62"/>
      <c r="L13" s="62"/>
      <c r="M13" s="62"/>
      <c r="N13" s="62"/>
      <c r="O13" s="62"/>
      <c r="P13" s="62"/>
      <c r="Q13" s="62"/>
      <c r="R13" s="62"/>
      <c r="S13" s="62"/>
      <c r="T13" s="62"/>
      <c r="U13" s="62"/>
      <c r="V13" s="62"/>
    </row>
    <row r="14" spans="1:22">
      <c r="A14" s="699" t="s">
        <v>1210</v>
      </c>
      <c r="B14" s="62"/>
      <c r="C14" s="62"/>
      <c r="D14" s="62"/>
      <c r="E14" s="62"/>
      <c r="F14" s="62"/>
      <c r="G14" s="62"/>
      <c r="H14" s="62"/>
      <c r="I14" s="62"/>
      <c r="J14" s="62"/>
      <c r="K14" s="62"/>
      <c r="L14" s="62"/>
      <c r="M14" s="62"/>
      <c r="N14" s="62"/>
      <c r="O14" s="62"/>
      <c r="P14" s="62"/>
      <c r="Q14" s="62"/>
      <c r="R14" s="62"/>
      <c r="S14" s="62"/>
      <c r="T14" s="62"/>
      <c r="U14" s="62"/>
      <c r="V14" s="62"/>
    </row>
    <row r="15" spans="1:22">
      <c r="A15" s="588" t="s">
        <v>1211</v>
      </c>
      <c r="B15" s="62">
        <v>0</v>
      </c>
      <c r="C15" s="62">
        <v>53731800</v>
      </c>
      <c r="D15" s="62">
        <v>62400000</v>
      </c>
      <c r="E15" s="62">
        <v>66175000</v>
      </c>
      <c r="F15" s="62">
        <v>61340000</v>
      </c>
      <c r="G15" s="62">
        <v>63185000</v>
      </c>
      <c r="H15" s="62">
        <v>67356000</v>
      </c>
      <c r="I15" s="62">
        <v>68987000</v>
      </c>
      <c r="J15" s="62">
        <v>70207000</v>
      </c>
      <c r="K15" s="62">
        <v>72065000</v>
      </c>
      <c r="L15" s="62">
        <v>84064478</v>
      </c>
      <c r="M15" s="62">
        <v>88894766</v>
      </c>
      <c r="N15" s="62">
        <v>92286532</v>
      </c>
      <c r="O15" s="62">
        <v>98906671</v>
      </c>
      <c r="P15" s="62">
        <v>102585691</v>
      </c>
      <c r="Q15" s="62">
        <v>102993749</v>
      </c>
      <c r="R15" s="62">
        <v>102666812</v>
      </c>
      <c r="S15" s="62">
        <v>108180492</v>
      </c>
      <c r="T15" s="62">
        <v>115189076</v>
      </c>
      <c r="U15" s="62">
        <v>114883934</v>
      </c>
      <c r="V15" s="62">
        <v>116092562</v>
      </c>
    </row>
    <row r="16" spans="1:22">
      <c r="A16" s="588" t="s">
        <v>1212</v>
      </c>
      <c r="B16" s="62">
        <v>0</v>
      </c>
      <c r="C16" s="62">
        <v>7314000</v>
      </c>
      <c r="D16" s="62">
        <v>36018000</v>
      </c>
      <c r="E16" s="62">
        <v>47005000</v>
      </c>
      <c r="F16" s="62">
        <v>48877000</v>
      </c>
      <c r="G16" s="62">
        <v>53149000</v>
      </c>
      <c r="H16" s="62">
        <v>57642000</v>
      </c>
      <c r="I16" s="62">
        <v>59238000</v>
      </c>
      <c r="J16" s="62">
        <v>62127000</v>
      </c>
      <c r="K16" s="62">
        <v>62127000</v>
      </c>
      <c r="L16" s="62">
        <v>63118714</v>
      </c>
      <c r="M16" s="62">
        <v>63922039</v>
      </c>
      <c r="N16" s="62">
        <v>64657869</v>
      </c>
      <c r="O16" s="62">
        <v>69268196</v>
      </c>
      <c r="P16" s="62">
        <v>72418283</v>
      </c>
      <c r="Q16" s="62">
        <v>79051094</v>
      </c>
      <c r="R16" s="62">
        <v>95052934</v>
      </c>
      <c r="S16" s="62">
        <v>97772711</v>
      </c>
      <c r="T16" s="62">
        <v>112295774</v>
      </c>
      <c r="U16" s="62">
        <v>124673210</v>
      </c>
      <c r="V16" s="62">
        <v>129445466</v>
      </c>
    </row>
    <row r="17" spans="1:22">
      <c r="A17" s="588" t="s">
        <v>1213</v>
      </c>
      <c r="B17" s="62">
        <v>34193100</v>
      </c>
      <c r="C17" s="62">
        <v>37823000</v>
      </c>
      <c r="D17" s="62">
        <v>33287000</v>
      </c>
      <c r="E17" s="62">
        <v>32948000</v>
      </c>
      <c r="F17" s="62">
        <v>32407000</v>
      </c>
      <c r="G17" s="62">
        <v>33436672</v>
      </c>
      <c r="H17" s="62">
        <v>35178303</v>
      </c>
      <c r="I17" s="62">
        <v>31390734</v>
      </c>
      <c r="J17" s="62">
        <v>32902784</v>
      </c>
      <c r="K17" s="62">
        <v>37159978</v>
      </c>
      <c r="L17" s="62">
        <v>38939084</v>
      </c>
      <c r="M17" s="62">
        <v>39591186</v>
      </c>
      <c r="N17" s="62">
        <v>39935415</v>
      </c>
      <c r="O17" s="62">
        <v>41406754</v>
      </c>
      <c r="P17" s="62">
        <v>42181491</v>
      </c>
      <c r="Q17" s="62">
        <v>41969275</v>
      </c>
      <c r="R17" s="62">
        <v>33432917</v>
      </c>
      <c r="S17" s="62">
        <v>33991725</v>
      </c>
      <c r="T17" s="62">
        <v>35451906</v>
      </c>
      <c r="U17" s="62">
        <v>36415135</v>
      </c>
      <c r="V17" s="62">
        <v>39273827</v>
      </c>
    </row>
    <row r="18" spans="1:22">
      <c r="A18" s="588" t="s">
        <v>237</v>
      </c>
      <c r="B18" s="62">
        <v>0</v>
      </c>
      <c r="C18" s="62"/>
      <c r="D18" s="62"/>
      <c r="E18" s="62">
        <v>681000</v>
      </c>
      <c r="F18" s="62">
        <v>1100000</v>
      </c>
      <c r="G18" s="62">
        <v>1640400</v>
      </c>
      <c r="H18" s="62">
        <v>2026582</v>
      </c>
      <c r="I18" s="62">
        <v>2377920</v>
      </c>
      <c r="J18" s="62">
        <v>2673240</v>
      </c>
      <c r="K18" s="62">
        <v>2767280</v>
      </c>
      <c r="L18" s="62">
        <v>3023134</v>
      </c>
      <c r="M18" s="62">
        <v>2947891</v>
      </c>
      <c r="N18" s="62">
        <v>3134246</v>
      </c>
      <c r="O18" s="62">
        <v>3299763</v>
      </c>
      <c r="P18" s="62">
        <v>3367067</v>
      </c>
      <c r="Q18" s="62">
        <v>3551970</v>
      </c>
      <c r="R18" s="62">
        <v>3636552</v>
      </c>
      <c r="S18" s="62">
        <v>3804300</v>
      </c>
      <c r="T18" s="62">
        <v>3995740</v>
      </c>
      <c r="U18" s="62">
        <v>4304074</v>
      </c>
      <c r="V18" s="62">
        <v>4605217</v>
      </c>
    </row>
    <row r="19" spans="1:22">
      <c r="A19" s="588" t="s">
        <v>238</v>
      </c>
      <c r="B19" s="62">
        <v>19202700</v>
      </c>
      <c r="C19" s="62">
        <v>23687900</v>
      </c>
      <c r="D19" s="62">
        <v>29408000</v>
      </c>
      <c r="E19" s="62">
        <v>30857000</v>
      </c>
      <c r="F19" s="62">
        <v>31469000</v>
      </c>
      <c r="G19" s="62">
        <v>30003163</v>
      </c>
      <c r="H19" s="62">
        <v>22359196</v>
      </c>
      <c r="I19" s="62">
        <v>22795940</v>
      </c>
      <c r="J19" s="62">
        <v>22328672</v>
      </c>
      <c r="K19" s="62">
        <v>22796305</v>
      </c>
      <c r="L19" s="62">
        <v>22368342</v>
      </c>
      <c r="M19" s="62">
        <v>21807656</v>
      </c>
      <c r="N19" s="62">
        <v>22186590</v>
      </c>
      <c r="O19" s="62">
        <v>22830141</v>
      </c>
      <c r="P19" s="62">
        <v>23309290</v>
      </c>
      <c r="Q19" s="62">
        <v>22716509</v>
      </c>
      <c r="R19" s="62">
        <v>23203352</v>
      </c>
      <c r="S19" s="62">
        <v>25316117</v>
      </c>
      <c r="T19" s="62">
        <v>27620356</v>
      </c>
      <c r="U19" s="62">
        <v>28285018</v>
      </c>
      <c r="V19" s="62">
        <v>29691632</v>
      </c>
    </row>
    <row r="20" spans="1:22">
      <c r="A20" s="588" t="s">
        <v>239</v>
      </c>
      <c r="B20" s="62">
        <v>3028600</v>
      </c>
      <c r="C20" s="62">
        <v>3466900</v>
      </c>
      <c r="D20" s="62">
        <v>17458000</v>
      </c>
      <c r="E20" s="62">
        <v>11728000</v>
      </c>
      <c r="F20" s="62">
        <v>30293000</v>
      </c>
      <c r="G20" s="62">
        <v>30523267</v>
      </c>
      <c r="H20" s="62">
        <v>25829047</v>
      </c>
      <c r="I20" s="62">
        <v>29626085</v>
      </c>
      <c r="J20" s="62">
        <v>33623955</v>
      </c>
      <c r="K20" s="62">
        <v>39204396</v>
      </c>
      <c r="L20" s="62">
        <v>37819163</v>
      </c>
      <c r="M20" s="62">
        <v>41012643</v>
      </c>
      <c r="N20" s="62">
        <v>49704292</v>
      </c>
      <c r="O20" s="62">
        <v>47485166</v>
      </c>
      <c r="P20" s="62">
        <v>58060959</v>
      </c>
      <c r="Q20" s="62">
        <v>76641771</v>
      </c>
      <c r="R20" s="62">
        <v>85439442</v>
      </c>
      <c r="S20" s="62">
        <v>93372245</v>
      </c>
      <c r="T20" s="62">
        <v>88218740</v>
      </c>
      <c r="U20" s="62">
        <v>91262730</v>
      </c>
      <c r="V20" s="62">
        <v>101195911</v>
      </c>
    </row>
    <row r="21" spans="1:22">
      <c r="A21" s="588" t="s">
        <v>240</v>
      </c>
      <c r="B21" s="62">
        <v>6857300</v>
      </c>
      <c r="C21" s="62">
        <v>4564800</v>
      </c>
      <c r="D21" s="62">
        <v>3005000</v>
      </c>
      <c r="E21" s="62">
        <v>2371000</v>
      </c>
      <c r="F21" s="62">
        <v>71625000</v>
      </c>
      <c r="G21" s="62">
        <v>66854757</v>
      </c>
      <c r="H21" s="62">
        <v>75825903</v>
      </c>
      <c r="I21" s="62">
        <v>83746067</v>
      </c>
      <c r="J21" s="62">
        <v>87015132</v>
      </c>
      <c r="K21" s="62">
        <v>89680476</v>
      </c>
      <c r="L21" s="62">
        <v>90776102</v>
      </c>
      <c r="M21" s="62">
        <v>91834152</v>
      </c>
      <c r="N21" s="62">
        <v>93212546</v>
      </c>
      <c r="O21" s="62">
        <v>95065381</v>
      </c>
      <c r="P21" s="62">
        <v>95858340</v>
      </c>
      <c r="Q21" s="62">
        <v>98351777</v>
      </c>
      <c r="R21" s="62">
        <v>95907623</v>
      </c>
      <c r="S21" s="62">
        <v>93374434</v>
      </c>
      <c r="T21" s="62">
        <v>93198783</v>
      </c>
      <c r="U21" s="62">
        <v>94040125</v>
      </c>
      <c r="V21" s="62">
        <v>93155015</v>
      </c>
    </row>
    <row r="22" spans="1:22">
      <c r="A22" s="588" t="s">
        <v>241</v>
      </c>
      <c r="B22" s="62"/>
      <c r="C22" s="62"/>
      <c r="D22" s="62"/>
      <c r="E22" s="62"/>
      <c r="F22" s="62">
        <v>397000</v>
      </c>
      <c r="G22" s="62">
        <v>349093</v>
      </c>
      <c r="H22" s="62">
        <v>339710</v>
      </c>
      <c r="I22" s="62">
        <v>605475</v>
      </c>
      <c r="J22" s="62">
        <v>697706</v>
      </c>
      <c r="K22" s="62">
        <v>602551</v>
      </c>
      <c r="L22" s="62">
        <v>978202</v>
      </c>
      <c r="M22" s="62">
        <v>1561724</v>
      </c>
      <c r="N22" s="62">
        <v>5813274</v>
      </c>
      <c r="O22" s="62">
        <v>4038306</v>
      </c>
      <c r="P22" s="62">
        <v>3322287</v>
      </c>
      <c r="Q22" s="62">
        <v>2898293</v>
      </c>
      <c r="R22" s="62">
        <v>2781570</v>
      </c>
      <c r="S22" s="62">
        <v>4323160</v>
      </c>
      <c r="T22" s="62">
        <v>2337724</v>
      </c>
      <c r="U22" s="62">
        <v>3364653</v>
      </c>
      <c r="V22" s="62">
        <v>5362872</v>
      </c>
    </row>
    <row r="23" spans="1:22">
      <c r="A23" s="699" t="s">
        <v>242</v>
      </c>
      <c r="B23" s="62">
        <v>63281700</v>
      </c>
      <c r="C23" s="62">
        <v>130588400</v>
      </c>
      <c r="D23" s="62">
        <f>SUM(D14:D20)</f>
        <v>178571000</v>
      </c>
      <c r="E23" s="62">
        <f>SUM(E14:E22)</f>
        <v>191765000</v>
      </c>
      <c r="F23" s="62">
        <v>277508000</v>
      </c>
      <c r="G23" s="62">
        <v>279141352</v>
      </c>
      <c r="H23" s="62">
        <v>286556741</v>
      </c>
      <c r="I23" s="62">
        <v>298767221</v>
      </c>
      <c r="J23" s="62">
        <v>311575489</v>
      </c>
      <c r="K23" s="62">
        <v>326402986</v>
      </c>
      <c r="L23" s="62">
        <v>341087219</v>
      </c>
      <c r="M23" s="62">
        <v>351572057</v>
      </c>
      <c r="N23" s="62">
        <v>370930764</v>
      </c>
      <c r="O23" s="62">
        <v>382300378</v>
      </c>
      <c r="P23" s="62">
        <v>401103408</v>
      </c>
      <c r="Q23" s="62">
        <v>428174438</v>
      </c>
      <c r="R23" s="62">
        <v>442121202</v>
      </c>
      <c r="S23" s="62">
        <v>460135184</v>
      </c>
      <c r="T23" s="62">
        <v>478308099</v>
      </c>
      <c r="U23" s="62">
        <v>497228879</v>
      </c>
      <c r="V23" s="62">
        <v>518822502</v>
      </c>
    </row>
    <row r="24" spans="1:22">
      <c r="A24" s="588"/>
      <c r="B24" s="62"/>
      <c r="C24" s="62"/>
      <c r="D24" s="62"/>
      <c r="E24" s="62"/>
      <c r="F24" s="62"/>
      <c r="G24" s="62"/>
      <c r="H24" s="62"/>
      <c r="I24" s="62"/>
      <c r="J24" s="62"/>
      <c r="K24" s="62"/>
      <c r="L24" s="62"/>
      <c r="M24" s="62"/>
      <c r="N24" s="62"/>
      <c r="O24" s="62"/>
      <c r="P24" s="62"/>
      <c r="Q24" s="62"/>
      <c r="R24" s="62"/>
      <c r="S24" s="62"/>
      <c r="T24" s="62"/>
      <c r="U24" s="62"/>
      <c r="V24" s="62"/>
    </row>
    <row r="25" spans="1:22">
      <c r="A25" s="699" t="s">
        <v>243</v>
      </c>
      <c r="B25" s="62"/>
      <c r="C25" s="62"/>
      <c r="D25" s="62"/>
      <c r="E25" s="62"/>
      <c r="F25" s="62"/>
      <c r="G25" s="62"/>
      <c r="H25" s="62"/>
      <c r="I25" s="62"/>
      <c r="J25" s="62"/>
      <c r="K25" s="62"/>
      <c r="L25" s="62"/>
      <c r="M25" s="62"/>
      <c r="N25" s="62"/>
      <c r="O25" s="62"/>
      <c r="P25" s="62"/>
      <c r="Q25" s="62"/>
      <c r="R25" s="62"/>
      <c r="S25" s="62"/>
      <c r="T25" s="62"/>
      <c r="U25" s="62"/>
      <c r="V25" s="62"/>
    </row>
    <row r="26" spans="1:22">
      <c r="A26" s="588" t="s">
        <v>244</v>
      </c>
      <c r="B26" s="62">
        <v>56865400</v>
      </c>
      <c r="C26" s="62">
        <v>56904300</v>
      </c>
      <c r="D26" s="62">
        <v>125253000</v>
      </c>
      <c r="E26" s="62">
        <v>121460000</v>
      </c>
      <c r="F26" s="62">
        <v>130545000</v>
      </c>
      <c r="G26" s="62">
        <v>140765636</v>
      </c>
      <c r="H26" s="62">
        <v>139357583</v>
      </c>
      <c r="I26" s="62">
        <v>160893080</v>
      </c>
      <c r="J26" s="62">
        <v>180356632</v>
      </c>
      <c r="K26" s="62">
        <v>197768670</v>
      </c>
      <c r="L26" s="62">
        <v>248559485</v>
      </c>
      <c r="M26" s="62">
        <v>272083003</v>
      </c>
      <c r="N26" s="62">
        <v>303709226</v>
      </c>
      <c r="O26" s="62">
        <v>319006661</v>
      </c>
      <c r="P26" s="62">
        <v>322016925</v>
      </c>
      <c r="Q26" s="62">
        <v>336268078</v>
      </c>
      <c r="R26" s="62">
        <v>346525510</v>
      </c>
      <c r="S26" s="62">
        <v>349765493</v>
      </c>
      <c r="T26" s="62">
        <v>368824680</v>
      </c>
      <c r="U26" s="62">
        <v>348281409</v>
      </c>
      <c r="V26" s="62">
        <v>350113175</v>
      </c>
    </row>
    <row r="27" spans="1:22">
      <c r="A27" s="588" t="s">
        <v>245</v>
      </c>
      <c r="B27" s="62">
        <v>1640900</v>
      </c>
      <c r="C27" s="62">
        <v>2805200</v>
      </c>
      <c r="D27" s="62">
        <v>4423000</v>
      </c>
      <c r="E27" s="62">
        <v>3276000</v>
      </c>
      <c r="F27" s="62">
        <v>5512000</v>
      </c>
      <c r="G27" s="62">
        <v>9559084</v>
      </c>
      <c r="H27" s="62">
        <v>9700443</v>
      </c>
      <c r="I27" s="62">
        <v>35347112</v>
      </c>
      <c r="J27" s="62">
        <v>26644586</v>
      </c>
      <c r="K27" s="62">
        <v>14605144</v>
      </c>
      <c r="L27" s="62">
        <v>11180552</v>
      </c>
      <c r="M27" s="62">
        <v>10910572</v>
      </c>
      <c r="N27" s="62">
        <v>10535692</v>
      </c>
      <c r="O27" s="62">
        <v>10495800</v>
      </c>
      <c r="P27" s="62">
        <v>14891514</v>
      </c>
      <c r="Q27" s="62">
        <v>39219182</v>
      </c>
      <c r="R27" s="62">
        <v>45232738</v>
      </c>
      <c r="S27" s="62">
        <v>46710028</v>
      </c>
      <c r="T27" s="62">
        <v>42612133</v>
      </c>
      <c r="U27" s="62">
        <v>38475333</v>
      </c>
      <c r="V27" s="62">
        <v>40148843</v>
      </c>
    </row>
    <row r="28" spans="1:22">
      <c r="A28" s="588" t="s">
        <v>246</v>
      </c>
      <c r="B28" s="62">
        <v>166558900</v>
      </c>
      <c r="C28" s="62">
        <v>155483100</v>
      </c>
      <c r="D28" s="62">
        <v>3567000</v>
      </c>
      <c r="E28" s="62">
        <v>2179000</v>
      </c>
      <c r="F28" s="62">
        <v>6523000</v>
      </c>
      <c r="G28" s="62">
        <v>6454733</v>
      </c>
      <c r="H28" s="62">
        <v>15451881</v>
      </c>
      <c r="I28" s="62">
        <v>16144265</v>
      </c>
      <c r="J28" s="62">
        <v>15121187</v>
      </c>
      <c r="K28" s="62">
        <v>14923072</v>
      </c>
      <c r="L28" s="62">
        <v>10543862</v>
      </c>
      <c r="M28" s="62">
        <v>8108870</v>
      </c>
      <c r="N28" s="62">
        <v>8865860</v>
      </c>
      <c r="O28" s="62">
        <v>7148518</v>
      </c>
      <c r="P28" s="62">
        <v>6508911</v>
      </c>
      <c r="Q28" s="62">
        <v>5764448</v>
      </c>
      <c r="R28" s="62">
        <v>3885561</v>
      </c>
      <c r="S28" s="62">
        <v>4161136</v>
      </c>
      <c r="T28" s="62">
        <v>2904589</v>
      </c>
      <c r="U28" s="62">
        <v>2673559</v>
      </c>
      <c r="V28" s="62">
        <v>3176533</v>
      </c>
    </row>
    <row r="29" spans="1:22">
      <c r="A29" s="699" t="s">
        <v>247</v>
      </c>
      <c r="B29" s="62">
        <v>225065200</v>
      </c>
      <c r="C29" s="62">
        <v>215192600</v>
      </c>
      <c r="D29" s="62">
        <f>SUM(D26:D28)</f>
        <v>133243000</v>
      </c>
      <c r="E29" s="62">
        <f>SUM(E26:E28)</f>
        <v>126915000</v>
      </c>
      <c r="F29" s="62">
        <v>142580000</v>
      </c>
      <c r="G29" s="62">
        <v>156779453</v>
      </c>
      <c r="H29" s="62">
        <v>164509907</v>
      </c>
      <c r="I29" s="62">
        <v>212384457</v>
      </c>
      <c r="J29" s="62">
        <v>222122405</v>
      </c>
      <c r="K29" s="62">
        <v>227296886</v>
      </c>
      <c r="L29" s="62">
        <v>270283899</v>
      </c>
      <c r="M29" s="62">
        <v>291102445</v>
      </c>
      <c r="N29" s="62">
        <v>323110778</v>
      </c>
      <c r="O29" s="62">
        <v>336650979</v>
      </c>
      <c r="P29" s="62">
        <v>343417350</v>
      </c>
      <c r="Q29" s="62">
        <v>381251708</v>
      </c>
      <c r="R29" s="62">
        <v>395643809</v>
      </c>
      <c r="S29" s="62">
        <v>400636657</v>
      </c>
      <c r="T29" s="62">
        <v>414341402</v>
      </c>
      <c r="U29" s="62">
        <v>389430301</v>
      </c>
      <c r="V29" s="62">
        <v>393438551</v>
      </c>
    </row>
    <row r="30" spans="1:22">
      <c r="A30" s="699"/>
      <c r="B30" s="62"/>
      <c r="C30" s="62"/>
      <c r="D30" s="62"/>
      <c r="E30" s="62"/>
      <c r="F30" s="62"/>
      <c r="G30" s="62"/>
      <c r="H30" s="62"/>
      <c r="I30" s="62"/>
      <c r="J30" s="62"/>
      <c r="K30" s="62"/>
      <c r="L30" s="62"/>
      <c r="M30" s="62"/>
      <c r="N30" s="62"/>
      <c r="O30" s="62"/>
      <c r="P30" s="62"/>
      <c r="Q30" s="62"/>
      <c r="R30" s="62"/>
      <c r="S30" s="62"/>
      <c r="T30" s="62"/>
      <c r="U30" s="62"/>
      <c r="V30" s="62"/>
    </row>
    <row r="31" spans="1:22">
      <c r="A31" s="699" t="s">
        <v>248</v>
      </c>
      <c r="B31" s="62">
        <f>B29+B23+B12</f>
        <v>288694000</v>
      </c>
      <c r="C31" s="62">
        <f>C29+C23+C12</f>
        <v>346098900</v>
      </c>
      <c r="D31" s="62">
        <f>D29+D23+D12</f>
        <v>312166000</v>
      </c>
      <c r="E31" s="62">
        <f>E29+E23+E12</f>
        <v>319442000</v>
      </c>
      <c r="F31" s="62">
        <v>421136000</v>
      </c>
      <c r="G31" s="62">
        <v>437258268</v>
      </c>
      <c r="H31" s="62">
        <v>452607811</v>
      </c>
      <c r="I31" s="62">
        <v>513127318</v>
      </c>
      <c r="J31" s="62">
        <v>536608250</v>
      </c>
      <c r="K31" s="62">
        <v>557310387</v>
      </c>
      <c r="L31" s="62">
        <v>615468756</v>
      </c>
      <c r="M31" s="62">
        <v>647207571</v>
      </c>
      <c r="N31" s="62">
        <v>698704378</v>
      </c>
      <c r="O31" s="62">
        <v>723954070</v>
      </c>
      <c r="P31" s="62">
        <v>750608940</v>
      </c>
      <c r="Q31" s="62">
        <v>816344154</v>
      </c>
      <c r="R31" s="62">
        <v>844910529</v>
      </c>
      <c r="S31" s="62">
        <v>868362419</v>
      </c>
      <c r="T31" s="62">
        <v>900462030</v>
      </c>
      <c r="U31" s="62">
        <v>894710557</v>
      </c>
      <c r="V31" s="62">
        <v>920348393</v>
      </c>
    </row>
    <row r="32" spans="1:22">
      <c r="A32" s="588"/>
      <c r="B32" s="62"/>
      <c r="C32" s="62"/>
      <c r="D32" s="62"/>
      <c r="E32" s="62"/>
      <c r="F32" s="62"/>
      <c r="G32" s="62"/>
      <c r="H32" s="62"/>
      <c r="I32" s="62"/>
      <c r="J32" s="62"/>
      <c r="K32" s="62"/>
      <c r="L32" s="62"/>
      <c r="M32" s="62"/>
      <c r="N32" s="62"/>
      <c r="O32" s="62"/>
      <c r="P32" s="62"/>
      <c r="Q32" s="62"/>
      <c r="R32" s="62"/>
      <c r="S32" s="62"/>
      <c r="T32" s="62"/>
      <c r="U32" s="62"/>
      <c r="V32" s="62"/>
    </row>
    <row r="33" spans="1:22">
      <c r="A33" s="699" t="s">
        <v>249</v>
      </c>
      <c r="B33" s="62"/>
      <c r="C33" s="62"/>
      <c r="D33" s="62">
        <v>113152000</v>
      </c>
      <c r="E33" s="62">
        <v>109125000</v>
      </c>
      <c r="F33" s="62">
        <v>119269000</v>
      </c>
      <c r="G33" s="62">
        <v>123531841</v>
      </c>
      <c r="H33" s="62">
        <v>127045863</v>
      </c>
      <c r="I33" s="62">
        <v>150590139</v>
      </c>
      <c r="J33" s="62">
        <v>145265304</v>
      </c>
      <c r="K33" s="62">
        <v>150428132</v>
      </c>
      <c r="L33" s="62">
        <v>147291787</v>
      </c>
      <c r="M33" s="62">
        <v>160055226</v>
      </c>
      <c r="N33" s="62">
        <v>165192271</v>
      </c>
      <c r="O33" s="62">
        <v>172030056</v>
      </c>
      <c r="P33" s="62">
        <v>176119101</v>
      </c>
      <c r="Q33" s="62">
        <v>276893275</v>
      </c>
      <c r="R33" s="62">
        <v>275930910</v>
      </c>
      <c r="S33" s="62">
        <v>279483294</v>
      </c>
      <c r="T33" s="62">
        <v>268639650</v>
      </c>
      <c r="U33" s="62">
        <v>378901615</v>
      </c>
      <c r="V33" s="62">
        <v>414717724</v>
      </c>
    </row>
    <row r="34" spans="1:22">
      <c r="A34" s="588"/>
      <c r="B34" s="62"/>
      <c r="C34" s="62"/>
      <c r="D34" s="62"/>
      <c r="E34" s="62"/>
      <c r="F34" s="62"/>
      <c r="G34" s="62"/>
      <c r="H34" s="62"/>
      <c r="I34" s="62"/>
      <c r="J34" s="62"/>
      <c r="K34" s="62"/>
      <c r="L34" s="62"/>
      <c r="M34" s="62"/>
      <c r="N34" s="62"/>
      <c r="O34" s="62"/>
      <c r="P34" s="62"/>
      <c r="Q34" s="62"/>
      <c r="R34" s="62"/>
      <c r="S34" s="62"/>
      <c r="T34" s="62"/>
      <c r="U34" s="62"/>
      <c r="V34" s="62"/>
    </row>
    <row r="35" spans="1:22">
      <c r="A35" s="699" t="s">
        <v>250</v>
      </c>
      <c r="B35" s="62"/>
      <c r="C35" s="62"/>
      <c r="D35" s="62"/>
      <c r="E35" s="62"/>
      <c r="F35" s="62"/>
      <c r="G35" s="62"/>
      <c r="H35" s="62"/>
      <c r="I35" s="62"/>
      <c r="J35" s="62"/>
      <c r="K35" s="62"/>
      <c r="L35" s="62"/>
      <c r="M35" s="62"/>
      <c r="N35" s="62"/>
      <c r="O35" s="62"/>
      <c r="P35" s="62"/>
      <c r="Q35" s="62"/>
      <c r="R35" s="62"/>
      <c r="S35" s="62"/>
      <c r="T35" s="62"/>
      <c r="U35" s="62"/>
      <c r="V35" s="62"/>
    </row>
    <row r="36" spans="1:22">
      <c r="A36" s="588" t="s">
        <v>251</v>
      </c>
      <c r="B36" s="62">
        <v>8252600</v>
      </c>
      <c r="C36" s="62">
        <v>9866400</v>
      </c>
      <c r="D36" s="62">
        <v>9191000</v>
      </c>
      <c r="E36" s="62">
        <v>9096000</v>
      </c>
      <c r="F36" s="62">
        <v>1550000</v>
      </c>
      <c r="G36" s="62">
        <v>1369669</v>
      </c>
      <c r="H36" s="62">
        <v>1222082</v>
      </c>
      <c r="I36" s="62">
        <v>1232805</v>
      </c>
      <c r="J36" s="62">
        <v>1277861</v>
      </c>
      <c r="K36" s="62">
        <v>1286781</v>
      </c>
      <c r="L36" s="62">
        <v>1599214</v>
      </c>
      <c r="M36" s="62">
        <v>1690053</v>
      </c>
      <c r="N36" s="62">
        <v>1814583</v>
      </c>
      <c r="O36" s="62">
        <v>1745810</v>
      </c>
      <c r="P36" s="62">
        <v>1755938</v>
      </c>
      <c r="Q36" s="62">
        <v>1574208</v>
      </c>
      <c r="R36" s="62">
        <v>1569026</v>
      </c>
      <c r="S36" s="62">
        <v>1673789</v>
      </c>
      <c r="T36" s="62">
        <v>1634426</v>
      </c>
      <c r="U36" s="62">
        <v>1583818</v>
      </c>
      <c r="V36" s="62">
        <v>1703289</v>
      </c>
    </row>
    <row r="37" spans="1:22">
      <c r="A37" s="588" t="s">
        <v>252</v>
      </c>
      <c r="B37" s="62">
        <v>954700</v>
      </c>
      <c r="C37" s="62">
        <v>1060900</v>
      </c>
      <c r="D37" s="62">
        <v>2017000</v>
      </c>
      <c r="E37" s="62">
        <v>3977000</v>
      </c>
      <c r="F37" s="62">
        <v>520000</v>
      </c>
      <c r="G37" s="62">
        <v>441740</v>
      </c>
      <c r="H37" s="62">
        <v>365006</v>
      </c>
      <c r="I37" s="62">
        <v>259816</v>
      </c>
      <c r="J37" s="62">
        <v>310612</v>
      </c>
      <c r="K37" s="62">
        <v>236042</v>
      </c>
      <c r="L37" s="62">
        <v>241458</v>
      </c>
      <c r="M37" s="62">
        <v>439255</v>
      </c>
      <c r="N37" s="62">
        <v>326053</v>
      </c>
      <c r="O37" s="62">
        <v>299388</v>
      </c>
      <c r="P37" s="62">
        <v>316159</v>
      </c>
      <c r="Q37" s="62">
        <v>405300</v>
      </c>
      <c r="R37" s="62">
        <v>1345101</v>
      </c>
      <c r="S37" s="62">
        <v>617208</v>
      </c>
      <c r="T37" s="62">
        <v>846023</v>
      </c>
      <c r="U37" s="62">
        <v>1101664</v>
      </c>
      <c r="V37" s="62">
        <v>620491</v>
      </c>
    </row>
    <row r="38" spans="1:22">
      <c r="A38" s="588" t="s">
        <v>253</v>
      </c>
      <c r="B38" s="62"/>
      <c r="C38" s="62"/>
      <c r="D38" s="62"/>
      <c r="E38" s="62">
        <v>48000</v>
      </c>
      <c r="F38" s="62">
        <v>126000</v>
      </c>
      <c r="G38" s="62">
        <v>161223</v>
      </c>
      <c r="H38" s="62">
        <v>145688</v>
      </c>
      <c r="I38" s="62">
        <v>153686</v>
      </c>
      <c r="J38" s="62">
        <v>155495</v>
      </c>
      <c r="K38" s="62">
        <v>140611</v>
      </c>
      <c r="L38" s="62">
        <v>135423</v>
      </c>
      <c r="M38" s="62">
        <v>111684</v>
      </c>
      <c r="N38" s="62">
        <v>121321</v>
      </c>
      <c r="O38" s="62">
        <v>115751</v>
      </c>
      <c r="P38" s="62">
        <v>140097</v>
      </c>
      <c r="Q38" s="62">
        <v>171506</v>
      </c>
      <c r="R38" s="62">
        <v>167369</v>
      </c>
      <c r="S38" s="62">
        <v>176231</v>
      </c>
      <c r="T38" s="62">
        <v>170345</v>
      </c>
      <c r="U38" s="62">
        <v>174292</v>
      </c>
      <c r="V38" s="62">
        <v>161270</v>
      </c>
    </row>
    <row r="39" spans="1:22">
      <c r="A39" s="588" t="s">
        <v>254</v>
      </c>
      <c r="B39" s="62">
        <v>12998600</v>
      </c>
      <c r="C39" s="62">
        <v>15253200</v>
      </c>
      <c r="D39" s="62">
        <v>15750000</v>
      </c>
      <c r="E39" s="62">
        <v>14319000</v>
      </c>
      <c r="F39" s="62">
        <v>13594000</v>
      </c>
      <c r="G39" s="62">
        <v>11957903</v>
      </c>
      <c r="H39" s="62">
        <v>10437390</v>
      </c>
      <c r="I39" s="62">
        <v>10044078</v>
      </c>
      <c r="J39" s="62">
        <v>12471685</v>
      </c>
      <c r="K39" s="62">
        <v>11295956</v>
      </c>
      <c r="L39" s="62">
        <v>10201791</v>
      </c>
      <c r="M39" s="62">
        <v>8383766</v>
      </c>
      <c r="N39" s="62">
        <v>81834</v>
      </c>
      <c r="O39" s="62">
        <v>28754</v>
      </c>
      <c r="P39" s="62">
        <v>104772</v>
      </c>
      <c r="Q39" s="62">
        <v>95295</v>
      </c>
      <c r="R39" s="62">
        <v>33244</v>
      </c>
      <c r="S39" s="62">
        <v>52456</v>
      </c>
      <c r="T39" s="62">
        <v>18475</v>
      </c>
      <c r="U39" s="62">
        <v>29943</v>
      </c>
      <c r="V39" s="62">
        <v>48508</v>
      </c>
    </row>
    <row r="40" spans="1:22">
      <c r="A40" s="699" t="s">
        <v>255</v>
      </c>
      <c r="B40" s="62">
        <v>22205900</v>
      </c>
      <c r="C40" s="62">
        <v>26180500</v>
      </c>
      <c r="D40" s="62">
        <v>26958000</v>
      </c>
      <c r="E40" s="62">
        <v>27440000</v>
      </c>
      <c r="F40" s="62">
        <v>15790000</v>
      </c>
      <c r="G40" s="62">
        <v>13930535</v>
      </c>
      <c r="H40" s="62">
        <v>12170166</v>
      </c>
      <c r="I40" s="62">
        <v>11690385</v>
      </c>
      <c r="J40" s="62">
        <v>14215653</v>
      </c>
      <c r="K40" s="62">
        <v>12959390</v>
      </c>
      <c r="L40" s="62">
        <v>12177886</v>
      </c>
      <c r="M40" s="62">
        <v>10624758</v>
      </c>
      <c r="N40" s="62">
        <v>2343791</v>
      </c>
      <c r="O40" s="62">
        <v>2189703</v>
      </c>
      <c r="P40" s="62">
        <v>2316966</v>
      </c>
      <c r="Q40" s="62">
        <v>2246309</v>
      </c>
      <c r="R40" s="62">
        <v>3114740</v>
      </c>
      <c r="S40" s="62">
        <v>2519684</v>
      </c>
      <c r="T40" s="62">
        <v>2669269</v>
      </c>
      <c r="U40" s="62">
        <v>2889717</v>
      </c>
      <c r="V40" s="62">
        <v>2533558</v>
      </c>
    </row>
    <row r="41" spans="1:22">
      <c r="A41" s="588"/>
      <c r="B41" s="62"/>
      <c r="C41" s="62"/>
      <c r="D41" s="62"/>
      <c r="E41" s="62"/>
      <c r="F41" s="62"/>
      <c r="G41" s="62"/>
      <c r="H41" s="62"/>
      <c r="I41" s="62"/>
      <c r="J41" s="62"/>
      <c r="K41" s="62"/>
      <c r="L41" s="62"/>
      <c r="M41" s="62"/>
      <c r="N41" s="62"/>
      <c r="O41" s="62"/>
      <c r="P41" s="62"/>
      <c r="Q41" s="62"/>
      <c r="R41" s="62"/>
      <c r="S41" s="62"/>
      <c r="T41" s="62"/>
      <c r="U41" s="62"/>
      <c r="V41" s="62"/>
    </row>
    <row r="42" spans="1:22">
      <c r="A42" s="699" t="s">
        <v>256</v>
      </c>
      <c r="B42" s="62"/>
      <c r="C42" s="62"/>
      <c r="D42" s="62"/>
      <c r="E42" s="62"/>
      <c r="F42" s="62"/>
      <c r="G42" s="62"/>
      <c r="H42" s="62"/>
      <c r="I42" s="62"/>
      <c r="J42" s="62"/>
      <c r="K42" s="62"/>
      <c r="L42" s="62"/>
      <c r="M42" s="62"/>
      <c r="N42" s="62"/>
      <c r="O42" s="62"/>
      <c r="P42" s="62"/>
      <c r="Q42" s="62"/>
      <c r="R42" s="62"/>
      <c r="S42" s="62"/>
      <c r="T42" s="62"/>
      <c r="U42" s="62"/>
      <c r="V42" s="62"/>
    </row>
    <row r="43" spans="1:22">
      <c r="A43" s="588" t="s">
        <v>257</v>
      </c>
      <c r="B43" s="62">
        <v>6223000</v>
      </c>
      <c r="C43" s="62">
        <v>3879700</v>
      </c>
      <c r="D43" s="62">
        <v>3888000</v>
      </c>
      <c r="E43" s="62">
        <v>2852000</v>
      </c>
      <c r="F43" s="62">
        <v>3436000</v>
      </c>
      <c r="G43" s="62">
        <v>4108534</v>
      </c>
      <c r="H43" s="62">
        <v>4663549</v>
      </c>
      <c r="I43" s="62">
        <v>5682475</v>
      </c>
      <c r="J43" s="62">
        <v>5582411</v>
      </c>
      <c r="K43" s="62">
        <v>4917908</v>
      </c>
      <c r="L43" s="62">
        <v>4839169</v>
      </c>
      <c r="M43" s="62">
        <v>5517441</v>
      </c>
      <c r="N43" s="62">
        <v>6134323</v>
      </c>
      <c r="O43" s="62">
        <v>7166050</v>
      </c>
      <c r="P43" s="62">
        <v>7618584</v>
      </c>
      <c r="Q43" s="62">
        <v>8154798</v>
      </c>
      <c r="R43" s="62">
        <v>10219890</v>
      </c>
      <c r="S43" s="62">
        <v>8489422</v>
      </c>
      <c r="T43" s="62">
        <v>8439826</v>
      </c>
      <c r="U43" s="62">
        <v>6827704</v>
      </c>
      <c r="V43" s="62">
        <v>6177335</v>
      </c>
    </row>
    <row r="44" spans="1:22">
      <c r="A44" s="588" t="s">
        <v>2044</v>
      </c>
      <c r="B44" s="62">
        <v>14538000</v>
      </c>
      <c r="C44" s="62">
        <v>14909300</v>
      </c>
      <c r="D44" s="62">
        <v>19268000</v>
      </c>
      <c r="E44" s="62">
        <v>15511000</v>
      </c>
      <c r="F44" s="62">
        <v>19239000</v>
      </c>
      <c r="G44" s="62">
        <v>20106606</v>
      </c>
      <c r="H44" s="62">
        <v>34307445</v>
      </c>
      <c r="I44" s="62">
        <v>56654718</v>
      </c>
      <c r="J44" s="62">
        <v>44071548</v>
      </c>
      <c r="K44" s="62">
        <v>38564190</v>
      </c>
      <c r="L44" s="62">
        <v>40346707</v>
      </c>
      <c r="M44" s="62">
        <v>37561989</v>
      </c>
      <c r="N44" s="62">
        <v>42616914</v>
      </c>
      <c r="O44" s="62">
        <v>43160050</v>
      </c>
      <c r="P44" s="62">
        <v>51522598</v>
      </c>
      <c r="Q44" s="62">
        <v>55676544</v>
      </c>
      <c r="R44" s="62">
        <v>77985359</v>
      </c>
      <c r="S44" s="62">
        <v>70875818</v>
      </c>
      <c r="T44" s="62">
        <v>66887029</v>
      </c>
      <c r="U44" s="62">
        <v>76044445</v>
      </c>
      <c r="V44" s="62">
        <v>135926592</v>
      </c>
    </row>
    <row r="45" spans="1:22">
      <c r="A45" s="699" t="s">
        <v>258</v>
      </c>
      <c r="B45" s="62">
        <v>20761000</v>
      </c>
      <c r="C45" s="62">
        <v>18789100</v>
      </c>
      <c r="D45" s="62">
        <v>23156000</v>
      </c>
      <c r="E45" s="62">
        <v>18363000</v>
      </c>
      <c r="F45" s="62">
        <v>22675000</v>
      </c>
      <c r="G45" s="62">
        <v>24215140</v>
      </c>
      <c r="H45" s="62">
        <v>38970994</v>
      </c>
      <c r="I45" s="62">
        <v>62337193</v>
      </c>
      <c r="J45" s="62">
        <v>49653959</v>
      </c>
      <c r="K45" s="62">
        <v>43482098</v>
      </c>
      <c r="L45" s="62">
        <v>45185876</v>
      </c>
      <c r="M45" s="62">
        <v>43079430</v>
      </c>
      <c r="N45" s="62">
        <v>48751237</v>
      </c>
      <c r="O45" s="62">
        <v>50326100</v>
      </c>
      <c r="P45" s="62">
        <v>59141182</v>
      </c>
      <c r="Q45" s="62">
        <v>63831342</v>
      </c>
      <c r="R45" s="62">
        <v>88205249</v>
      </c>
      <c r="S45" s="62">
        <v>79365240</v>
      </c>
      <c r="T45" s="62">
        <v>75326855</v>
      </c>
      <c r="U45" s="62">
        <v>82872149</v>
      </c>
      <c r="V45" s="62">
        <v>142103927</v>
      </c>
    </row>
    <row r="46" spans="1:22">
      <c r="A46" s="699"/>
      <c r="B46" s="62"/>
      <c r="C46" s="62"/>
      <c r="D46" s="62"/>
      <c r="E46" s="62"/>
      <c r="F46" s="62"/>
      <c r="G46" s="62"/>
      <c r="H46" s="62"/>
      <c r="I46" s="62"/>
      <c r="J46" s="62"/>
      <c r="K46" s="62"/>
      <c r="L46" s="62"/>
      <c r="M46" s="62"/>
      <c r="N46" s="62"/>
      <c r="O46" s="62"/>
      <c r="P46" s="62"/>
      <c r="Q46" s="62"/>
      <c r="R46" s="62"/>
      <c r="S46" s="62"/>
      <c r="T46" s="62"/>
      <c r="U46" s="62"/>
      <c r="V46" s="62"/>
    </row>
    <row r="47" spans="1:22">
      <c r="A47" s="699" t="s">
        <v>259</v>
      </c>
      <c r="B47" s="62"/>
      <c r="C47" s="62"/>
      <c r="D47" s="62"/>
      <c r="E47" s="62"/>
      <c r="F47" s="62"/>
      <c r="G47" s="62"/>
      <c r="H47" s="62"/>
      <c r="I47" s="62"/>
      <c r="J47" s="62"/>
      <c r="K47" s="62"/>
      <c r="L47" s="62"/>
      <c r="M47" s="62"/>
      <c r="N47" s="62"/>
      <c r="O47" s="62"/>
      <c r="P47" s="62"/>
      <c r="Q47" s="62"/>
      <c r="R47" s="62"/>
      <c r="S47" s="62"/>
      <c r="T47" s="62"/>
      <c r="U47" s="62"/>
      <c r="V47" s="62"/>
    </row>
    <row r="48" spans="1:22">
      <c r="A48" s="588" t="s">
        <v>260</v>
      </c>
      <c r="B48" s="62"/>
      <c r="C48" s="62"/>
      <c r="D48" s="62"/>
      <c r="E48" s="62"/>
      <c r="F48" s="62">
        <v>23279000</v>
      </c>
      <c r="G48" s="62">
        <v>22055537</v>
      </c>
      <c r="H48" s="62">
        <v>16721023</v>
      </c>
      <c r="I48" s="62">
        <v>14873181</v>
      </c>
      <c r="J48" s="62">
        <v>20772909</v>
      </c>
      <c r="K48" s="62">
        <v>17420567</v>
      </c>
      <c r="L48" s="62">
        <v>15239090</v>
      </c>
      <c r="M48" s="62">
        <v>13077146</v>
      </c>
      <c r="N48" s="62">
        <v>13835646</v>
      </c>
      <c r="O48" s="62">
        <v>12224797</v>
      </c>
      <c r="P48" s="62">
        <v>11349722</v>
      </c>
      <c r="Q48" s="62">
        <v>24068365</v>
      </c>
      <c r="R48" s="62">
        <v>10551062</v>
      </c>
      <c r="S48" s="62">
        <v>10100038</v>
      </c>
      <c r="T48" s="62">
        <v>10161236</v>
      </c>
      <c r="U48" s="62">
        <v>13045439</v>
      </c>
      <c r="V48" s="62">
        <v>13016195</v>
      </c>
    </row>
    <row r="49" spans="1:22">
      <c r="A49" s="588" t="s">
        <v>261</v>
      </c>
      <c r="B49" s="62"/>
      <c r="C49" s="62"/>
      <c r="D49" s="62"/>
      <c r="E49" s="62"/>
      <c r="F49" s="62">
        <v>524000</v>
      </c>
      <c r="G49" s="62">
        <v>485759</v>
      </c>
      <c r="H49" s="62">
        <v>819365</v>
      </c>
      <c r="I49" s="62">
        <v>807462</v>
      </c>
      <c r="J49" s="62">
        <v>945443</v>
      </c>
      <c r="K49" s="62">
        <v>1125657</v>
      </c>
      <c r="L49" s="62">
        <v>1056662</v>
      </c>
      <c r="M49" s="62">
        <v>920463</v>
      </c>
      <c r="N49" s="62">
        <v>951520</v>
      </c>
      <c r="O49" s="62">
        <v>1129446</v>
      </c>
      <c r="P49" s="62">
        <v>1240785</v>
      </c>
      <c r="Q49" s="62">
        <v>1318267</v>
      </c>
      <c r="R49" s="62">
        <v>1377293</v>
      </c>
      <c r="S49" s="62">
        <v>2014062</v>
      </c>
      <c r="T49" s="62">
        <v>2804508</v>
      </c>
      <c r="U49" s="62">
        <v>2685207</v>
      </c>
      <c r="V49" s="62">
        <v>2609042</v>
      </c>
    </row>
    <row r="50" spans="1:22">
      <c r="A50" s="588" t="s">
        <v>262</v>
      </c>
      <c r="B50" s="62"/>
      <c r="C50" s="62"/>
      <c r="D50" s="62"/>
      <c r="E50" s="62"/>
      <c r="F50" s="62">
        <v>17372000</v>
      </c>
      <c r="G50" s="62">
        <v>14774192</v>
      </c>
      <c r="H50" s="62">
        <v>17284207</v>
      </c>
      <c r="I50" s="62">
        <v>14387887</v>
      </c>
      <c r="J50" s="62">
        <v>14485835</v>
      </c>
      <c r="K50" s="62">
        <v>16471238</v>
      </c>
      <c r="L50" s="62">
        <v>17336128</v>
      </c>
      <c r="M50" s="62">
        <v>33782532</v>
      </c>
      <c r="N50" s="62">
        <v>36146827</v>
      </c>
      <c r="O50" s="62">
        <v>33912358</v>
      </c>
      <c r="P50" s="62">
        <v>14420706</v>
      </c>
      <c r="Q50" s="62">
        <v>23574293</v>
      </c>
      <c r="R50" s="62">
        <v>13267222</v>
      </c>
      <c r="S50" s="62">
        <v>11945953</v>
      </c>
      <c r="T50" s="62">
        <v>12610494</v>
      </c>
      <c r="U50" s="62">
        <v>12706556</v>
      </c>
      <c r="V50" s="62">
        <v>12222131</v>
      </c>
    </row>
    <row r="51" spans="1:22">
      <c r="A51" s="699" t="s">
        <v>263</v>
      </c>
      <c r="B51" s="62">
        <v>25807500</v>
      </c>
      <c r="C51" s="62">
        <v>41526700</v>
      </c>
      <c r="D51" s="62">
        <v>49326000</v>
      </c>
      <c r="E51" s="62">
        <v>45598000</v>
      </c>
      <c r="F51" s="62">
        <v>41175000</v>
      </c>
      <c r="G51" s="62">
        <v>37315488</v>
      </c>
      <c r="H51" s="62">
        <v>34824595</v>
      </c>
      <c r="I51" s="62">
        <v>30068530</v>
      </c>
      <c r="J51" s="62">
        <v>36204187</v>
      </c>
      <c r="K51" s="62">
        <v>35017462</v>
      </c>
      <c r="L51" s="62">
        <v>33631880</v>
      </c>
      <c r="M51" s="62">
        <v>47780141</v>
      </c>
      <c r="N51" s="62">
        <v>50933993</v>
      </c>
      <c r="O51" s="62">
        <v>47266601</v>
      </c>
      <c r="P51" s="62">
        <v>27011213</v>
      </c>
      <c r="Q51" s="62">
        <v>48960925</v>
      </c>
      <c r="R51" s="62">
        <v>25195577</v>
      </c>
      <c r="S51" s="62">
        <v>24060053</v>
      </c>
      <c r="T51" s="62">
        <v>25576238</v>
      </c>
      <c r="U51" s="62">
        <v>28437202</v>
      </c>
      <c r="V51" s="62">
        <v>27847368</v>
      </c>
    </row>
    <row r="52" spans="1:22">
      <c r="A52" s="588"/>
      <c r="B52" s="62"/>
      <c r="C52" s="62"/>
      <c r="D52" s="62"/>
      <c r="E52" s="62"/>
      <c r="F52" s="62"/>
      <c r="G52" s="62"/>
      <c r="H52" s="62"/>
      <c r="I52" s="62"/>
      <c r="J52" s="62"/>
      <c r="K52" s="62"/>
      <c r="L52" s="62"/>
      <c r="M52" s="62"/>
      <c r="N52" s="62"/>
      <c r="O52" s="62"/>
      <c r="P52" s="62"/>
      <c r="Q52" s="62"/>
      <c r="R52" s="62"/>
      <c r="S52" s="62"/>
      <c r="T52" s="62"/>
      <c r="U52" s="62"/>
      <c r="V52" s="62"/>
    </row>
    <row r="53" spans="1:22">
      <c r="A53" s="699" t="s">
        <v>264</v>
      </c>
      <c r="B53" s="62"/>
      <c r="C53" s="62"/>
      <c r="D53" s="62"/>
      <c r="E53" s="62"/>
      <c r="F53" s="62"/>
      <c r="G53" s="62"/>
      <c r="H53" s="62"/>
      <c r="I53" s="62"/>
      <c r="J53" s="62"/>
      <c r="K53" s="62"/>
      <c r="L53" s="62"/>
      <c r="M53" s="62"/>
      <c r="N53" s="62"/>
      <c r="O53" s="62"/>
      <c r="P53" s="62"/>
      <c r="Q53" s="62"/>
      <c r="R53" s="62"/>
      <c r="S53" s="62"/>
      <c r="T53" s="62"/>
      <c r="U53" s="62"/>
      <c r="V53" s="62"/>
    </row>
    <row r="54" spans="1:22">
      <c r="A54" s="588" t="s">
        <v>265</v>
      </c>
      <c r="B54" s="62">
        <v>20036600</v>
      </c>
      <c r="C54" s="62">
        <v>19580700</v>
      </c>
      <c r="D54" s="62">
        <v>15932000</v>
      </c>
      <c r="E54" s="62">
        <v>16562000</v>
      </c>
      <c r="F54" s="62">
        <v>11238000</v>
      </c>
      <c r="G54" s="62">
        <v>18908474</v>
      </c>
      <c r="H54" s="62">
        <v>20093455</v>
      </c>
      <c r="I54" s="62">
        <v>10507468</v>
      </c>
      <c r="J54" s="62">
        <v>8827946</v>
      </c>
      <c r="K54" s="62">
        <v>16290961</v>
      </c>
      <c r="L54" s="62">
        <v>9042031</v>
      </c>
      <c r="M54" s="62">
        <v>31230356</v>
      </c>
      <c r="N54" s="62">
        <v>33083165</v>
      </c>
      <c r="O54" s="62">
        <v>19275820</v>
      </c>
      <c r="P54" s="62">
        <v>70991980</v>
      </c>
      <c r="Q54" s="62">
        <v>6732146</v>
      </c>
      <c r="R54" s="62">
        <v>1941770</v>
      </c>
      <c r="S54" s="62">
        <v>46494745</v>
      </c>
      <c r="T54" s="62">
        <v>27774383</v>
      </c>
      <c r="U54" s="62">
        <v>15458166</v>
      </c>
      <c r="V54" s="62">
        <v>18444601</v>
      </c>
    </row>
    <row r="55" spans="1:22">
      <c r="A55" s="699" t="s">
        <v>266</v>
      </c>
      <c r="B55" s="62">
        <v>20036600</v>
      </c>
      <c r="C55" s="62">
        <v>19580700</v>
      </c>
      <c r="D55" s="62">
        <v>15932000</v>
      </c>
      <c r="E55" s="62">
        <v>16562000</v>
      </c>
      <c r="F55" s="62">
        <v>11238000</v>
      </c>
      <c r="G55" s="62">
        <v>18908474</v>
      </c>
      <c r="H55" s="62">
        <v>20093455</v>
      </c>
      <c r="I55" s="62">
        <v>10507468</v>
      </c>
      <c r="J55" s="62">
        <v>8827946</v>
      </c>
      <c r="K55" s="62">
        <v>16290961</v>
      </c>
      <c r="L55" s="62">
        <v>9042031</v>
      </c>
      <c r="M55" s="62">
        <v>31230356</v>
      </c>
      <c r="N55" s="62">
        <v>33083165</v>
      </c>
      <c r="O55" s="62">
        <v>19275820</v>
      </c>
      <c r="P55" s="62">
        <v>70991980</v>
      </c>
      <c r="Q55" s="62">
        <v>6732146</v>
      </c>
      <c r="R55" s="62">
        <v>1941770</v>
      </c>
      <c r="S55" s="62">
        <v>46494745</v>
      </c>
      <c r="T55" s="62">
        <v>27774383</v>
      </c>
      <c r="U55" s="62">
        <v>15458166</v>
      </c>
      <c r="V55" s="62">
        <v>18444601</v>
      </c>
    </row>
    <row r="56" spans="1:22">
      <c r="A56" s="588"/>
      <c r="B56" s="62"/>
      <c r="C56" s="62"/>
      <c r="D56" s="62"/>
      <c r="E56" s="62"/>
      <c r="F56" s="62"/>
      <c r="G56" s="62"/>
      <c r="H56" s="62"/>
      <c r="I56" s="62"/>
      <c r="J56" s="62"/>
      <c r="K56" s="62"/>
      <c r="L56" s="62"/>
      <c r="M56" s="62"/>
      <c r="N56" s="62"/>
      <c r="O56" s="62"/>
      <c r="P56" s="62"/>
      <c r="Q56" s="62"/>
      <c r="R56" s="62"/>
      <c r="S56" s="62"/>
      <c r="T56" s="62"/>
      <c r="U56" s="62"/>
      <c r="V56" s="62"/>
    </row>
    <row r="57" spans="1:22">
      <c r="A57" s="699" t="s">
        <v>267</v>
      </c>
      <c r="B57" s="62">
        <v>20465300</v>
      </c>
      <c r="C57" s="62">
        <v>22336500</v>
      </c>
      <c r="D57" s="62">
        <v>4443000</v>
      </c>
      <c r="E57" s="62">
        <v>3271000</v>
      </c>
      <c r="F57" s="62">
        <v>4474000</v>
      </c>
      <c r="G57" s="62">
        <v>6742745</v>
      </c>
      <c r="H57" s="62">
        <v>3924061</v>
      </c>
      <c r="I57" s="62">
        <v>4907479</v>
      </c>
      <c r="J57" s="62">
        <v>2334669</v>
      </c>
      <c r="K57" s="62">
        <v>1843475</v>
      </c>
      <c r="L57" s="62">
        <v>2084809</v>
      </c>
      <c r="M57" s="62">
        <v>1907488</v>
      </c>
      <c r="N57" s="62">
        <v>2977775</v>
      </c>
      <c r="O57" s="62">
        <v>2936986</v>
      </c>
      <c r="P57" s="62">
        <v>3520579</v>
      </c>
      <c r="Q57" s="62">
        <v>3990181</v>
      </c>
      <c r="R57" s="62">
        <v>6437855</v>
      </c>
      <c r="S57" s="62">
        <v>6286952</v>
      </c>
      <c r="T57" s="62">
        <v>5925560</v>
      </c>
      <c r="U57" s="62">
        <v>6737825</v>
      </c>
      <c r="V57" s="62">
        <v>7083455</v>
      </c>
    </row>
    <row r="58" spans="1:22">
      <c r="A58" s="699"/>
      <c r="B58" s="62"/>
      <c r="C58" s="62"/>
      <c r="D58" s="62"/>
      <c r="E58" s="62"/>
      <c r="F58" s="62"/>
      <c r="G58" s="62"/>
      <c r="H58" s="62"/>
      <c r="I58" s="62"/>
      <c r="J58" s="62"/>
      <c r="K58" s="62"/>
      <c r="L58" s="62"/>
      <c r="M58" s="62"/>
      <c r="N58" s="62"/>
      <c r="O58" s="62"/>
      <c r="P58" s="62"/>
      <c r="Q58" s="62"/>
      <c r="R58" s="62"/>
      <c r="S58" s="62"/>
      <c r="T58" s="62"/>
      <c r="U58" s="62"/>
      <c r="V58" s="62"/>
    </row>
    <row r="59" spans="1:22">
      <c r="A59" s="699" t="s">
        <v>268</v>
      </c>
      <c r="B59" s="62">
        <v>397970300</v>
      </c>
      <c r="C59" s="62">
        <v>474512400</v>
      </c>
      <c r="D59" s="62">
        <v>548138000</v>
      </c>
      <c r="E59" s="62">
        <v>539801000</v>
      </c>
      <c r="F59" s="62">
        <v>635757000</v>
      </c>
      <c r="G59" s="62">
        <v>661902491</v>
      </c>
      <c r="H59" s="62">
        <v>689636945</v>
      </c>
      <c r="I59" s="62">
        <v>783228512</v>
      </c>
      <c r="J59" s="62">
        <v>793109968</v>
      </c>
      <c r="K59" s="62">
        <v>817331905</v>
      </c>
      <c r="L59" s="62">
        <v>864883025</v>
      </c>
      <c r="M59" s="62">
        <v>941884970</v>
      </c>
      <c r="N59" s="62">
        <v>1001986610</v>
      </c>
      <c r="O59" s="62">
        <v>1017979336</v>
      </c>
      <c r="P59" s="62">
        <v>1089709961</v>
      </c>
      <c r="Q59" s="62">
        <v>1218998332</v>
      </c>
      <c r="R59" s="62">
        <v>1245736630</v>
      </c>
      <c r="S59" s="62">
        <v>1306572387</v>
      </c>
      <c r="T59" s="62">
        <v>1306373985</v>
      </c>
      <c r="U59" s="62">
        <v>1410007231</v>
      </c>
      <c r="V59" s="62">
        <v>1533079026</v>
      </c>
    </row>
    <row r="60" spans="1:22">
      <c r="A60" s="699"/>
      <c r="B60" s="62"/>
      <c r="C60" s="62"/>
      <c r="D60" s="62"/>
      <c r="E60" s="62"/>
      <c r="F60" s="62"/>
      <c r="G60" s="62"/>
      <c r="H60" s="62"/>
      <c r="I60" s="62"/>
      <c r="J60" s="62"/>
      <c r="K60" s="62"/>
      <c r="L60" s="62"/>
      <c r="M60" s="62"/>
      <c r="N60" s="62"/>
      <c r="O60" s="62"/>
      <c r="P60" s="62"/>
      <c r="Q60" s="62"/>
      <c r="R60" s="62"/>
      <c r="S60" s="62"/>
      <c r="T60" s="62"/>
      <c r="U60" s="62"/>
      <c r="V60" s="62"/>
    </row>
    <row r="61" spans="1:22">
      <c r="A61" s="699"/>
      <c r="B61" s="689"/>
      <c r="C61" s="689"/>
      <c r="D61" s="689"/>
      <c r="E61" s="689"/>
      <c r="F61" s="689"/>
      <c r="G61" s="689"/>
      <c r="H61" s="689"/>
      <c r="I61" s="689"/>
      <c r="J61" s="689"/>
      <c r="K61" s="689"/>
      <c r="L61" s="689"/>
      <c r="M61" s="689"/>
      <c r="N61" s="689"/>
      <c r="O61" s="689"/>
      <c r="P61" s="689"/>
      <c r="Q61" s="689"/>
      <c r="R61" s="689"/>
      <c r="S61" s="689"/>
      <c r="T61" s="689"/>
      <c r="U61" s="689"/>
      <c r="V61" s="689"/>
    </row>
    <row r="62" spans="1:22" ht="13.5" thickBot="1">
      <c r="A62" s="699" t="s">
        <v>269</v>
      </c>
      <c r="B62" s="735">
        <v>34515</v>
      </c>
      <c r="C62" s="735">
        <v>34880</v>
      </c>
      <c r="D62" s="735">
        <v>35430</v>
      </c>
      <c r="E62" s="735">
        <v>35795</v>
      </c>
      <c r="F62" s="735" t="s">
        <v>2043</v>
      </c>
      <c r="G62" s="735" t="s">
        <v>2042</v>
      </c>
      <c r="H62" s="735" t="s">
        <v>2041</v>
      </c>
      <c r="I62" s="735" t="s">
        <v>2040</v>
      </c>
      <c r="J62" s="735" t="s">
        <v>2039</v>
      </c>
      <c r="K62" s="735" t="s">
        <v>2038</v>
      </c>
      <c r="L62" s="735" t="s">
        <v>2037</v>
      </c>
      <c r="M62" s="735" t="s">
        <v>2036</v>
      </c>
      <c r="N62" s="735" t="s">
        <v>2035</v>
      </c>
      <c r="O62" s="735" t="s">
        <v>1473</v>
      </c>
      <c r="P62" s="735" t="s">
        <v>1474</v>
      </c>
      <c r="Q62" s="735" t="s">
        <v>1475</v>
      </c>
      <c r="R62" s="735">
        <v>40543</v>
      </c>
      <c r="S62" s="735">
        <v>40908</v>
      </c>
      <c r="T62" s="735">
        <v>41274</v>
      </c>
      <c r="U62" s="735">
        <v>41639</v>
      </c>
      <c r="V62" s="735">
        <v>42004</v>
      </c>
    </row>
    <row r="63" spans="1:22">
      <c r="A63" s="588"/>
      <c r="B63" s="686"/>
      <c r="C63" s="686"/>
      <c r="D63" s="686"/>
      <c r="E63" s="686"/>
      <c r="F63" s="686"/>
      <c r="G63" s="686"/>
      <c r="H63" s="686"/>
      <c r="I63" s="686"/>
      <c r="J63" s="686"/>
      <c r="K63" s="686"/>
      <c r="L63" s="686"/>
      <c r="M63" s="686"/>
      <c r="N63" s="686"/>
      <c r="O63" s="686"/>
      <c r="P63" s="686"/>
      <c r="Q63" s="686"/>
      <c r="R63" s="686"/>
      <c r="S63" s="686"/>
      <c r="T63" s="686"/>
      <c r="U63" s="686"/>
      <c r="V63" s="686"/>
    </row>
    <row r="64" spans="1:22">
      <c r="A64" s="699" t="s">
        <v>270</v>
      </c>
      <c r="B64" s="690">
        <v>-923754200</v>
      </c>
      <c r="C64" s="690">
        <v>-1040082200</v>
      </c>
      <c r="D64" s="690">
        <v>-1037533000</v>
      </c>
      <c r="E64" s="690">
        <v>-1090591000</v>
      </c>
      <c r="F64" s="690">
        <v>-1176884000</v>
      </c>
      <c r="G64" s="690">
        <v>-1086374550</v>
      </c>
      <c r="H64" s="690">
        <v>-1008948896</v>
      </c>
      <c r="I64" s="690">
        <v>-813612047</v>
      </c>
      <c r="J64" s="690">
        <v>-772853137</v>
      </c>
      <c r="K64" s="690">
        <v>-789957531</v>
      </c>
      <c r="L64" s="690">
        <v>-774665682</v>
      </c>
      <c r="M64" s="690">
        <v>-745531695</v>
      </c>
      <c r="N64" s="690">
        <v>-635031420</v>
      </c>
      <c r="O64" s="690">
        <v>-498957097</v>
      </c>
      <c r="P64" s="690">
        <v>-409914008</v>
      </c>
      <c r="Q64" s="690">
        <v>-383708652</v>
      </c>
      <c r="R64" s="690">
        <v>-351415145</v>
      </c>
      <c r="S64" s="690">
        <v>-311367740</v>
      </c>
      <c r="T64" s="690">
        <v>-316103706</v>
      </c>
      <c r="U64" s="690">
        <v>-346422263</v>
      </c>
      <c r="V64" s="690">
        <v>-413112536</v>
      </c>
    </row>
    <row r="65" spans="1:22">
      <c r="A65" s="588"/>
      <c r="B65" s="688"/>
      <c r="C65" s="688"/>
      <c r="D65" s="688"/>
      <c r="E65" s="688"/>
      <c r="F65" s="688"/>
      <c r="G65" s="688"/>
      <c r="H65" s="688"/>
      <c r="I65" s="688"/>
      <c r="J65" s="688"/>
      <c r="K65" s="688"/>
      <c r="L65" s="688"/>
      <c r="M65" s="688"/>
      <c r="N65" s="688"/>
      <c r="O65" s="688"/>
      <c r="P65" s="688"/>
      <c r="Q65" s="688"/>
      <c r="R65" s="688"/>
      <c r="S65" s="688"/>
      <c r="T65" s="688"/>
      <c r="U65" s="688"/>
      <c r="V65" s="688"/>
    </row>
    <row r="66" spans="1:22">
      <c r="A66" s="699" t="s">
        <v>271</v>
      </c>
      <c r="B66" s="688"/>
      <c r="C66" s="688"/>
      <c r="D66" s="688"/>
      <c r="E66" s="688"/>
      <c r="F66" s="688"/>
      <c r="G66" s="688">
        <v>34696760</v>
      </c>
      <c r="H66" s="688">
        <v>40050716</v>
      </c>
      <c r="I66" s="688">
        <v>44805832</v>
      </c>
      <c r="J66" s="688">
        <v>48197551</v>
      </c>
      <c r="K66" s="688">
        <v>52875745</v>
      </c>
      <c r="L66" s="688">
        <v>56619072</v>
      </c>
      <c r="M66" s="688">
        <v>55094746</v>
      </c>
      <c r="N66" s="688">
        <v>57022526</v>
      </c>
      <c r="O66" s="688">
        <v>59032741</v>
      </c>
      <c r="P66" s="688">
        <v>77326864</v>
      </c>
      <c r="Q66" s="688">
        <v>81418047</v>
      </c>
      <c r="R66" s="688">
        <v>89219807</v>
      </c>
      <c r="S66" s="688">
        <v>97924835</v>
      </c>
      <c r="T66" s="688">
        <v>107090827</v>
      </c>
      <c r="U66" s="688">
        <v>131050506</v>
      </c>
      <c r="V66" s="688">
        <v>139425709</v>
      </c>
    </row>
    <row r="67" spans="1:22">
      <c r="A67" s="588"/>
      <c r="B67" s="688"/>
      <c r="C67" s="688"/>
      <c r="D67" s="688"/>
      <c r="E67" s="688"/>
      <c r="F67" s="688"/>
      <c r="G67" s="688"/>
      <c r="H67" s="688"/>
      <c r="I67" s="688"/>
      <c r="J67" s="688"/>
      <c r="K67" s="688"/>
      <c r="L67" s="688"/>
      <c r="M67" s="688"/>
      <c r="N67" s="688"/>
      <c r="O67" s="688"/>
      <c r="P67" s="688"/>
      <c r="Q67" s="688"/>
      <c r="R67" s="688"/>
      <c r="S67" s="688"/>
      <c r="T67" s="688"/>
      <c r="U67" s="688"/>
      <c r="V67" s="688"/>
    </row>
    <row r="68" spans="1:22">
      <c r="A68" s="699" t="s">
        <v>272</v>
      </c>
      <c r="B68" s="688"/>
      <c r="C68" s="688"/>
      <c r="D68" s="688"/>
      <c r="E68" s="688"/>
      <c r="F68" s="688"/>
      <c r="G68" s="688"/>
      <c r="H68" s="688"/>
      <c r="I68" s="688"/>
      <c r="J68" s="688"/>
      <c r="K68" s="688"/>
      <c r="L68" s="688"/>
      <c r="M68" s="688"/>
      <c r="N68" s="688"/>
      <c r="O68" s="688"/>
      <c r="P68" s="688"/>
      <c r="Q68" s="688"/>
      <c r="R68" s="688"/>
      <c r="S68" s="688"/>
      <c r="T68" s="688"/>
      <c r="U68" s="688"/>
      <c r="V68" s="688"/>
    </row>
    <row r="69" spans="1:22">
      <c r="A69" s="588" t="s">
        <v>273</v>
      </c>
      <c r="B69" s="688"/>
      <c r="C69" s="688"/>
      <c r="D69" s="688"/>
      <c r="E69" s="688">
        <v>4830000</v>
      </c>
      <c r="F69" s="688">
        <v>116149000</v>
      </c>
      <c r="G69" s="688">
        <v>115635961</v>
      </c>
      <c r="H69" s="688">
        <v>125369024</v>
      </c>
      <c r="I69" s="688">
        <v>132028024</v>
      </c>
      <c r="J69" s="688">
        <v>143949183</v>
      </c>
      <c r="K69" s="688">
        <v>148786918</v>
      </c>
      <c r="L69" s="688">
        <v>153067502</v>
      </c>
      <c r="M69" s="688">
        <v>154734956</v>
      </c>
      <c r="N69" s="688">
        <v>167377060</v>
      </c>
      <c r="O69" s="688">
        <v>171911216</v>
      </c>
      <c r="P69" s="688">
        <v>178666723</v>
      </c>
      <c r="Q69" s="688">
        <v>188710124</v>
      </c>
      <c r="R69" s="688">
        <v>185087565</v>
      </c>
      <c r="S69" s="688">
        <v>195756769</v>
      </c>
      <c r="T69" s="688">
        <v>208088400</v>
      </c>
      <c r="U69" s="688">
        <v>214191861</v>
      </c>
      <c r="V69" s="688">
        <v>221143621</v>
      </c>
    </row>
    <row r="70" spans="1:22">
      <c r="A70" s="588" t="s">
        <v>274</v>
      </c>
      <c r="B70" s="688"/>
      <c r="C70" s="688"/>
      <c r="D70" s="688"/>
      <c r="E70" s="688">
        <v>35207000</v>
      </c>
      <c r="F70" s="688">
        <v>51929000</v>
      </c>
      <c r="G70" s="688">
        <v>9352874</v>
      </c>
      <c r="H70" s="688">
        <v>13989660</v>
      </c>
      <c r="I70" s="688">
        <v>17078355</v>
      </c>
      <c r="J70" s="688">
        <v>19109097</v>
      </c>
      <c r="K70" s="688">
        <v>14928054</v>
      </c>
      <c r="L70" s="688">
        <v>13536748</v>
      </c>
      <c r="M70" s="688">
        <v>16104030</v>
      </c>
      <c r="N70" s="688">
        <v>18049910</v>
      </c>
      <c r="O70" s="688">
        <v>15152990</v>
      </c>
      <c r="P70" s="688">
        <v>17099529</v>
      </c>
      <c r="Q70" s="688">
        <v>18194853</v>
      </c>
      <c r="R70" s="688">
        <v>13636373</v>
      </c>
      <c r="S70" s="688">
        <v>13344189</v>
      </c>
      <c r="T70" s="688">
        <v>11756701</v>
      </c>
      <c r="U70" s="688">
        <v>10738910</v>
      </c>
      <c r="V70" s="688">
        <v>10599988</v>
      </c>
    </row>
    <row r="71" spans="1:22">
      <c r="A71" s="699" t="s">
        <v>275</v>
      </c>
      <c r="B71" s="688"/>
      <c r="C71" s="688"/>
      <c r="D71" s="688"/>
      <c r="E71" s="690">
        <v>40037000</v>
      </c>
      <c r="F71" s="690">
        <v>168078000</v>
      </c>
      <c r="G71" s="690">
        <v>124988835</v>
      </c>
      <c r="H71" s="690">
        <v>139358684</v>
      </c>
      <c r="I71" s="690">
        <v>149106379</v>
      </c>
      <c r="J71" s="690">
        <v>163058280</v>
      </c>
      <c r="K71" s="690">
        <v>163714972</v>
      </c>
      <c r="L71" s="690">
        <v>166604250</v>
      </c>
      <c r="M71" s="690">
        <v>170838986</v>
      </c>
      <c r="N71" s="690">
        <v>185426970</v>
      </c>
      <c r="O71" s="690">
        <v>187064206</v>
      </c>
      <c r="P71" s="690">
        <v>195766252</v>
      </c>
      <c r="Q71" s="690">
        <v>206904977</v>
      </c>
      <c r="R71" s="690">
        <v>198723938</v>
      </c>
      <c r="S71" s="690">
        <v>209100958</v>
      </c>
      <c r="T71" s="690">
        <v>219845101</v>
      </c>
      <c r="U71" s="690">
        <v>224930771</v>
      </c>
      <c r="V71" s="690">
        <v>231743609</v>
      </c>
    </row>
    <row r="72" spans="1:22">
      <c r="A72" s="699"/>
      <c r="B72" s="688"/>
      <c r="C72" s="688"/>
      <c r="D72" s="688"/>
      <c r="E72" s="688"/>
      <c r="F72" s="688"/>
      <c r="G72" s="688"/>
      <c r="H72" s="688"/>
      <c r="I72" s="688"/>
      <c r="J72" s="688"/>
      <c r="K72" s="688"/>
      <c r="L72" s="688"/>
      <c r="M72" s="688"/>
      <c r="N72" s="688"/>
      <c r="O72" s="688"/>
      <c r="P72" s="688"/>
      <c r="Q72" s="688"/>
      <c r="R72" s="688"/>
      <c r="S72" s="688"/>
      <c r="T72" s="688"/>
      <c r="U72" s="688"/>
      <c r="V72" s="688"/>
    </row>
    <row r="73" spans="1:22">
      <c r="A73" s="699" t="s">
        <v>276</v>
      </c>
      <c r="B73" s="688"/>
      <c r="C73" s="688"/>
      <c r="D73" s="688"/>
      <c r="E73" s="688"/>
      <c r="F73" s="688"/>
      <c r="G73" s="688"/>
      <c r="H73" s="688"/>
      <c r="I73" s="688"/>
      <c r="J73" s="688"/>
      <c r="K73" s="688"/>
      <c r="L73" s="688"/>
      <c r="M73" s="688"/>
      <c r="N73" s="688"/>
      <c r="O73" s="688"/>
      <c r="P73" s="688"/>
      <c r="Q73" s="688"/>
      <c r="R73" s="688"/>
      <c r="S73" s="688"/>
      <c r="T73" s="688"/>
      <c r="U73" s="688"/>
      <c r="V73" s="688"/>
    </row>
    <row r="74" spans="1:22">
      <c r="A74" s="700" t="s">
        <v>2034</v>
      </c>
      <c r="B74" s="688">
        <v>801063700</v>
      </c>
      <c r="C74" s="688">
        <v>942311200</v>
      </c>
      <c r="D74" s="688">
        <v>1009310000</v>
      </c>
      <c r="E74" s="688">
        <v>1040005000</v>
      </c>
      <c r="F74" s="688">
        <v>1083436000</v>
      </c>
      <c r="G74" s="688">
        <v>1079080360</v>
      </c>
      <c r="H74" s="688">
        <v>1036831988</v>
      </c>
      <c r="I74" s="688">
        <v>931089299</v>
      </c>
      <c r="J74" s="688">
        <v>787455629</v>
      </c>
      <c r="K74" s="688">
        <v>854929477</v>
      </c>
      <c r="L74" s="688">
        <v>912124240</v>
      </c>
      <c r="M74" s="688">
        <v>959014230</v>
      </c>
      <c r="N74" s="688">
        <v>954192777</v>
      </c>
      <c r="O74" s="688">
        <v>882053236</v>
      </c>
      <c r="P74" s="688">
        <v>836712006</v>
      </c>
      <c r="Q74" s="688">
        <v>820914485</v>
      </c>
      <c r="R74" s="688">
        <v>843222719</v>
      </c>
      <c r="S74" s="688">
        <v>857071203</v>
      </c>
      <c r="T74" s="688">
        <v>850357007</v>
      </c>
      <c r="U74" s="688">
        <v>852409592</v>
      </c>
      <c r="V74" s="688">
        <v>924377552</v>
      </c>
    </row>
    <row r="75" spans="1:22">
      <c r="A75" s="700" t="s">
        <v>2033</v>
      </c>
      <c r="B75" s="688">
        <v>375775400</v>
      </c>
      <c r="C75" s="688">
        <v>426312900</v>
      </c>
      <c r="D75" s="688">
        <v>398399000</v>
      </c>
      <c r="E75" s="688">
        <v>385668000</v>
      </c>
      <c r="F75" s="688">
        <v>362525000</v>
      </c>
      <c r="G75" s="688">
        <v>291074401</v>
      </c>
      <c r="H75" s="688">
        <v>241061039</v>
      </c>
      <c r="I75" s="688">
        <v>223331981</v>
      </c>
      <c r="J75" s="688">
        <v>375324125</v>
      </c>
      <c r="K75" s="688">
        <v>330919876</v>
      </c>
      <c r="L75" s="688">
        <v>300995545</v>
      </c>
      <c r="M75" s="688">
        <v>302596753</v>
      </c>
      <c r="N75" s="688">
        <v>266023770</v>
      </c>
      <c r="O75" s="688">
        <v>232840324</v>
      </c>
      <c r="P75" s="688">
        <v>225047096</v>
      </c>
      <c r="Q75" s="688">
        <v>328464475</v>
      </c>
      <c r="R75" s="688">
        <v>270083234</v>
      </c>
      <c r="S75" s="688">
        <v>268801824</v>
      </c>
      <c r="T75" s="688">
        <v>262460032</v>
      </c>
      <c r="U75" s="688">
        <v>384008370</v>
      </c>
      <c r="V75" s="688">
        <v>422258131</v>
      </c>
    </row>
    <row r="76" spans="1:22">
      <c r="A76" s="699" t="s">
        <v>277</v>
      </c>
      <c r="B76" s="690">
        <v>1176839100</v>
      </c>
      <c r="C76" s="690">
        <v>1368624100</v>
      </c>
      <c r="D76" s="690">
        <v>1407709000</v>
      </c>
      <c r="E76" s="690">
        <v>1425673000</v>
      </c>
      <c r="F76" s="690">
        <v>1445961000</v>
      </c>
      <c r="G76" s="690">
        <v>1370154761</v>
      </c>
      <c r="H76" s="690">
        <v>1277893027</v>
      </c>
      <c r="I76" s="690">
        <v>1154421280</v>
      </c>
      <c r="J76" s="690">
        <v>1162779754</v>
      </c>
      <c r="K76" s="690">
        <v>1185849353</v>
      </c>
      <c r="L76" s="690">
        <v>1213119785</v>
      </c>
      <c r="M76" s="690">
        <v>1261610983</v>
      </c>
      <c r="N76" s="690">
        <v>1220216547</v>
      </c>
      <c r="O76" s="690">
        <v>1114893560</v>
      </c>
      <c r="P76" s="690">
        <v>1061759102</v>
      </c>
      <c r="Q76" s="690">
        <v>1149378960</v>
      </c>
      <c r="R76" s="690">
        <v>1113305953</v>
      </c>
      <c r="S76" s="690">
        <v>1125873027</v>
      </c>
      <c r="T76" s="690">
        <v>1112817039</v>
      </c>
      <c r="U76" s="690">
        <v>1236417962</v>
      </c>
      <c r="V76" s="690">
        <v>1346635683</v>
      </c>
    </row>
    <row r="77" spans="1:22">
      <c r="A77" s="699"/>
      <c r="B77" s="688"/>
      <c r="C77" s="688"/>
      <c r="D77" s="688"/>
      <c r="E77" s="688"/>
      <c r="F77" s="688"/>
      <c r="G77" s="688"/>
      <c r="H77" s="688"/>
      <c r="I77" s="688"/>
      <c r="J77" s="688"/>
      <c r="K77" s="688"/>
      <c r="L77" s="688"/>
      <c r="M77" s="688"/>
      <c r="N77" s="688"/>
      <c r="O77" s="688"/>
      <c r="P77" s="688"/>
      <c r="Q77" s="688"/>
      <c r="R77" s="688"/>
      <c r="S77" s="688"/>
      <c r="T77" s="688"/>
      <c r="U77" s="688"/>
      <c r="V77" s="688"/>
    </row>
    <row r="78" spans="1:22">
      <c r="A78" s="699" t="s">
        <v>278</v>
      </c>
      <c r="B78" s="688"/>
      <c r="C78" s="688"/>
      <c r="D78" s="688"/>
      <c r="E78" s="688"/>
      <c r="F78" s="688"/>
      <c r="G78" s="688"/>
      <c r="H78" s="688"/>
      <c r="I78" s="688"/>
      <c r="J78" s="688"/>
      <c r="K78" s="688"/>
      <c r="L78" s="688"/>
      <c r="M78" s="688"/>
      <c r="N78" s="688"/>
      <c r="O78" s="688"/>
      <c r="P78" s="688"/>
      <c r="Q78" s="688"/>
      <c r="R78" s="688"/>
      <c r="S78" s="688"/>
      <c r="T78" s="688"/>
      <c r="U78" s="688"/>
      <c r="V78" s="688"/>
    </row>
    <row r="79" spans="1:22">
      <c r="A79" s="701" t="s">
        <v>2032</v>
      </c>
      <c r="B79" s="688"/>
      <c r="C79" s="688"/>
      <c r="D79" s="688"/>
      <c r="E79" s="688"/>
      <c r="F79" s="688"/>
      <c r="G79" s="688"/>
      <c r="H79" s="688"/>
      <c r="I79" s="688"/>
      <c r="J79" s="688"/>
      <c r="K79" s="688"/>
      <c r="L79" s="688"/>
      <c r="M79" s="688"/>
      <c r="N79" s="688"/>
      <c r="O79" s="688"/>
      <c r="P79" s="688"/>
      <c r="Q79" s="688"/>
      <c r="R79" s="688"/>
      <c r="S79" s="688"/>
      <c r="T79" s="688"/>
      <c r="U79" s="691">
        <v>2775714</v>
      </c>
      <c r="V79" s="691">
        <v>3059585</v>
      </c>
    </row>
    <row r="80" spans="1:22">
      <c r="A80" s="701" t="s">
        <v>2031</v>
      </c>
      <c r="B80" s="688"/>
      <c r="C80" s="688"/>
      <c r="D80" s="688"/>
      <c r="E80" s="688"/>
      <c r="F80" s="688"/>
      <c r="G80" s="688"/>
      <c r="H80" s="688"/>
      <c r="I80" s="688"/>
      <c r="J80" s="688"/>
      <c r="K80" s="688"/>
      <c r="L80" s="688"/>
      <c r="M80" s="688"/>
      <c r="N80" s="688"/>
      <c r="O80" s="688"/>
      <c r="P80" s="688"/>
      <c r="Q80" s="688"/>
      <c r="R80" s="688"/>
      <c r="S80" s="688"/>
      <c r="T80" s="688"/>
      <c r="U80" s="691">
        <v>60529160</v>
      </c>
      <c r="V80" s="691">
        <v>124283528</v>
      </c>
    </row>
    <row r="81" spans="1:22">
      <c r="A81" s="588" t="s">
        <v>280</v>
      </c>
      <c r="B81" s="688">
        <v>38312100</v>
      </c>
      <c r="C81" s="688">
        <v>39460800</v>
      </c>
      <c r="D81" s="688">
        <v>43812000</v>
      </c>
      <c r="E81" s="688">
        <v>40389000</v>
      </c>
      <c r="F81" s="688">
        <v>47838000</v>
      </c>
      <c r="G81" s="688">
        <v>105297146</v>
      </c>
      <c r="H81" s="688">
        <v>136005341</v>
      </c>
      <c r="I81" s="688">
        <v>149062833</v>
      </c>
      <c r="J81" s="688">
        <v>114279934</v>
      </c>
      <c r="K81" s="688">
        <v>114422299</v>
      </c>
      <c r="L81" s="688">
        <v>114079782</v>
      </c>
      <c r="M81" s="688">
        <v>109608410</v>
      </c>
      <c r="N81" s="688">
        <v>91433888</v>
      </c>
      <c r="O81" s="688">
        <v>74382123</v>
      </c>
      <c r="P81" s="688">
        <v>78954429</v>
      </c>
      <c r="Q81" s="688">
        <v>76090939</v>
      </c>
      <c r="R81" s="688">
        <v>93057394</v>
      </c>
      <c r="S81" s="688">
        <v>84523171</v>
      </c>
      <c r="T81" s="688">
        <v>65693775</v>
      </c>
      <c r="U81" s="688">
        <f>SUM(U79:U80)</f>
        <v>63304874</v>
      </c>
      <c r="V81" s="688">
        <f>SUM(V79:V80)</f>
        <v>127343113</v>
      </c>
    </row>
    <row r="82" spans="1:22">
      <c r="A82" s="588" t="s">
        <v>279</v>
      </c>
      <c r="B82" s="688">
        <v>17056000</v>
      </c>
      <c r="C82" s="688">
        <v>12787700</v>
      </c>
      <c r="D82" s="688">
        <v>11334000</v>
      </c>
      <c r="E82" s="688">
        <v>11221000</v>
      </c>
      <c r="F82" s="688">
        <v>12818000</v>
      </c>
      <c r="G82" s="688">
        <v>12746461</v>
      </c>
      <c r="H82" s="688">
        <v>12375125</v>
      </c>
      <c r="I82" s="688">
        <v>14426098</v>
      </c>
      <c r="J82" s="688">
        <v>13226511</v>
      </c>
      <c r="K82" s="688">
        <v>13129274</v>
      </c>
      <c r="L82" s="688">
        <v>14289362</v>
      </c>
      <c r="M82" s="688">
        <v>14669375</v>
      </c>
      <c r="N82" s="688">
        <v>16007273</v>
      </c>
      <c r="O82" s="688">
        <v>16613753</v>
      </c>
      <c r="P82" s="688">
        <v>15366431</v>
      </c>
      <c r="Q82" s="688">
        <v>16999198</v>
      </c>
      <c r="R82" s="688">
        <v>19301843</v>
      </c>
      <c r="S82" s="688">
        <v>19224747</v>
      </c>
      <c r="T82" s="688">
        <v>19359712</v>
      </c>
      <c r="U82" s="688">
        <v>19079909</v>
      </c>
      <c r="V82" s="688">
        <v>17555948</v>
      </c>
    </row>
    <row r="83" spans="1:22">
      <c r="A83" s="588" t="s">
        <v>281</v>
      </c>
      <c r="B83" s="688">
        <v>1137100</v>
      </c>
      <c r="C83" s="688">
        <v>1165900</v>
      </c>
      <c r="D83" s="688">
        <v>1035000</v>
      </c>
      <c r="E83" s="688">
        <v>1381000</v>
      </c>
      <c r="F83" s="688">
        <v>934000</v>
      </c>
      <c r="G83" s="688">
        <v>776498</v>
      </c>
      <c r="H83" s="688">
        <v>733278</v>
      </c>
      <c r="I83" s="688">
        <v>830524</v>
      </c>
      <c r="J83" s="688">
        <v>677786</v>
      </c>
      <c r="K83" s="688">
        <v>632139</v>
      </c>
      <c r="L83" s="688">
        <v>753882</v>
      </c>
      <c r="M83" s="688">
        <v>753243</v>
      </c>
      <c r="N83" s="688">
        <v>990386</v>
      </c>
      <c r="O83" s="688">
        <v>964124</v>
      </c>
      <c r="P83" s="688">
        <v>1010706</v>
      </c>
      <c r="Q83" s="688">
        <v>1072510</v>
      </c>
      <c r="R83" s="688">
        <v>1361968</v>
      </c>
      <c r="S83" s="688">
        <v>1210286</v>
      </c>
      <c r="T83" s="688">
        <v>1325010</v>
      </c>
      <c r="U83" s="688">
        <v>1270685</v>
      </c>
      <c r="V83" s="688">
        <v>1286175</v>
      </c>
    </row>
    <row r="84" spans="1:22">
      <c r="A84" s="588" t="s">
        <v>282</v>
      </c>
      <c r="B84" s="688">
        <v>2771300</v>
      </c>
      <c r="C84" s="688">
        <v>2479100</v>
      </c>
      <c r="D84" s="688">
        <v>3298000</v>
      </c>
      <c r="E84" s="688">
        <v>3139000</v>
      </c>
      <c r="F84" s="688">
        <v>570000</v>
      </c>
      <c r="G84" s="688">
        <v>476383</v>
      </c>
      <c r="H84" s="688">
        <v>368857</v>
      </c>
      <c r="I84" s="688">
        <v>509431</v>
      </c>
      <c r="J84" s="688">
        <v>456755</v>
      </c>
      <c r="K84" s="688">
        <v>515122</v>
      </c>
      <c r="L84" s="688">
        <v>482946</v>
      </c>
      <c r="M84" s="688">
        <v>567049</v>
      </c>
      <c r="N84" s="688">
        <v>506237</v>
      </c>
      <c r="O84" s="688">
        <v>363558</v>
      </c>
      <c r="P84" s="688">
        <v>446266</v>
      </c>
      <c r="Q84" s="688">
        <v>355220</v>
      </c>
      <c r="R84" s="688">
        <v>327367</v>
      </c>
      <c r="S84" s="688">
        <v>270438</v>
      </c>
      <c r="T84" s="688">
        <v>206284</v>
      </c>
      <c r="U84" s="688">
        <v>240143</v>
      </c>
      <c r="V84" s="688">
        <v>758974</v>
      </c>
    </row>
    <row r="85" spans="1:22">
      <c r="A85" s="699" t="s">
        <v>283</v>
      </c>
      <c r="B85" s="690">
        <v>59276500</v>
      </c>
      <c r="C85" s="690">
        <v>55893500</v>
      </c>
      <c r="D85" s="690">
        <v>59479000</v>
      </c>
      <c r="E85" s="690">
        <v>56130000</v>
      </c>
      <c r="F85" s="690">
        <v>62160000</v>
      </c>
      <c r="G85" s="690">
        <v>119296488</v>
      </c>
      <c r="H85" s="690">
        <v>149482601</v>
      </c>
      <c r="I85" s="690">
        <v>164828886</v>
      </c>
      <c r="J85" s="690">
        <v>128640986</v>
      </c>
      <c r="K85" s="690">
        <v>128698834</v>
      </c>
      <c r="L85" s="690">
        <v>129605972</v>
      </c>
      <c r="M85" s="690">
        <v>125598077</v>
      </c>
      <c r="N85" s="690">
        <v>108937784</v>
      </c>
      <c r="O85" s="690">
        <v>92323558</v>
      </c>
      <c r="P85" s="690">
        <v>95777832</v>
      </c>
      <c r="Q85" s="690">
        <v>94517867</v>
      </c>
      <c r="R85" s="690">
        <v>114048572</v>
      </c>
      <c r="S85" s="690">
        <v>105228642</v>
      </c>
      <c r="T85" s="690">
        <v>86584781</v>
      </c>
      <c r="U85" s="690">
        <v>83895611</v>
      </c>
      <c r="V85" s="690">
        <v>146944210</v>
      </c>
    </row>
    <row r="86" spans="1:22">
      <c r="A86" s="588"/>
      <c r="B86" s="697"/>
      <c r="C86" s="697"/>
      <c r="D86" s="697"/>
      <c r="E86" s="697"/>
      <c r="F86" s="697"/>
      <c r="G86" s="697"/>
      <c r="H86" s="697"/>
      <c r="I86" s="697"/>
      <c r="J86" s="697"/>
      <c r="K86" s="697"/>
      <c r="L86" s="697"/>
      <c r="M86" s="697"/>
      <c r="N86" s="697"/>
      <c r="O86" s="697"/>
      <c r="P86" s="697"/>
      <c r="Q86" s="697"/>
      <c r="R86" s="697"/>
      <c r="S86" s="697"/>
      <c r="T86" s="697"/>
      <c r="U86" s="588"/>
      <c r="V86" s="588"/>
    </row>
    <row r="87" spans="1:22">
      <c r="A87" s="699" t="s">
        <v>259</v>
      </c>
      <c r="B87" s="688"/>
      <c r="C87" s="688"/>
      <c r="D87" s="688"/>
      <c r="E87" s="688"/>
      <c r="F87" s="688"/>
      <c r="G87" s="688"/>
      <c r="H87" s="688"/>
      <c r="I87" s="688"/>
      <c r="J87" s="688"/>
      <c r="K87" s="688"/>
      <c r="L87" s="688"/>
      <c r="M87" s="688"/>
      <c r="N87" s="688"/>
      <c r="O87" s="688"/>
      <c r="P87" s="688"/>
      <c r="Q87" s="688"/>
      <c r="R87" s="688"/>
      <c r="S87" s="688"/>
      <c r="T87" s="688"/>
      <c r="U87" s="688"/>
      <c r="V87" s="688"/>
    </row>
    <row r="88" spans="1:22">
      <c r="A88" s="588" t="s">
        <v>284</v>
      </c>
      <c r="B88" s="688"/>
      <c r="C88" s="688"/>
      <c r="D88" s="688"/>
      <c r="E88" s="688"/>
      <c r="F88" s="688">
        <v>83668000</v>
      </c>
      <c r="G88" s="688">
        <v>75959520</v>
      </c>
      <c r="H88" s="688">
        <v>73095568</v>
      </c>
      <c r="I88" s="688">
        <v>61997948</v>
      </c>
      <c r="J88" s="688">
        <v>40327989</v>
      </c>
      <c r="K88" s="688">
        <v>44389066</v>
      </c>
      <c r="L88" s="688">
        <v>42983601</v>
      </c>
      <c r="M88" s="688">
        <v>40553570</v>
      </c>
      <c r="N88" s="688">
        <v>34076440</v>
      </c>
      <c r="O88" s="688">
        <v>34571816</v>
      </c>
      <c r="P88" s="688">
        <v>33677392</v>
      </c>
      <c r="Q88" s="688">
        <v>30889710</v>
      </c>
      <c r="R88" s="688">
        <v>31643199</v>
      </c>
      <c r="S88" s="688">
        <v>30141768</v>
      </c>
      <c r="T88" s="688">
        <v>28961280</v>
      </c>
      <c r="U88" s="688">
        <v>29281132</v>
      </c>
      <c r="V88" s="688">
        <v>29572425</v>
      </c>
    </row>
    <row r="89" spans="1:22">
      <c r="A89" s="588" t="s">
        <v>285</v>
      </c>
      <c r="B89" s="688"/>
      <c r="C89" s="688"/>
      <c r="D89" s="688"/>
      <c r="E89" s="688"/>
      <c r="F89" s="688">
        <v>3231000</v>
      </c>
      <c r="G89" s="688">
        <v>3471524</v>
      </c>
      <c r="H89" s="688">
        <v>4190013</v>
      </c>
      <c r="I89" s="688">
        <v>4450004</v>
      </c>
      <c r="J89" s="688">
        <v>4681693</v>
      </c>
      <c r="K89" s="688">
        <v>5079706</v>
      </c>
      <c r="L89" s="688">
        <v>4987859</v>
      </c>
      <c r="M89" s="688">
        <v>6707179</v>
      </c>
      <c r="N89" s="688">
        <v>7398468</v>
      </c>
      <c r="O89" s="688">
        <v>7428631</v>
      </c>
      <c r="P89" s="688">
        <v>7735047</v>
      </c>
      <c r="Q89" s="688">
        <v>8381243</v>
      </c>
      <c r="R89" s="688">
        <v>8998732</v>
      </c>
      <c r="S89" s="688">
        <v>9648239</v>
      </c>
      <c r="T89" s="688">
        <v>9905764</v>
      </c>
      <c r="U89" s="688">
        <v>9998449</v>
      </c>
      <c r="V89" s="688">
        <v>8532849</v>
      </c>
    </row>
    <row r="90" spans="1:22">
      <c r="A90" s="588" t="s">
        <v>286</v>
      </c>
      <c r="B90" s="688"/>
      <c r="C90" s="688"/>
      <c r="D90" s="688"/>
      <c r="E90" s="688"/>
      <c r="F90" s="688">
        <v>19732000</v>
      </c>
      <c r="G90" s="688">
        <v>19709153</v>
      </c>
      <c r="H90" s="688">
        <v>14515232</v>
      </c>
      <c r="I90" s="688">
        <v>17230230</v>
      </c>
      <c r="J90" s="688">
        <v>18276852</v>
      </c>
      <c r="K90" s="688">
        <v>26681760</v>
      </c>
      <c r="L90" s="688">
        <v>25628168</v>
      </c>
      <c r="M90" s="688">
        <v>27013124</v>
      </c>
      <c r="N90" s="688">
        <v>23939295</v>
      </c>
      <c r="O90" s="688">
        <v>21621921</v>
      </c>
      <c r="P90" s="688">
        <v>27581480</v>
      </c>
      <c r="Q90" s="688">
        <v>31216180</v>
      </c>
      <c r="R90" s="688">
        <v>41211574</v>
      </c>
      <c r="S90" s="688">
        <v>40022658</v>
      </c>
      <c r="T90" s="688">
        <v>57272899</v>
      </c>
      <c r="U90" s="688">
        <v>40855063</v>
      </c>
      <c r="V90" s="688">
        <v>43337077</v>
      </c>
    </row>
    <row r="91" spans="1:22">
      <c r="A91" s="699" t="s">
        <v>263</v>
      </c>
      <c r="B91" s="690">
        <v>85608900</v>
      </c>
      <c r="C91" s="690">
        <v>90077100</v>
      </c>
      <c r="D91" s="690">
        <v>118483000</v>
      </c>
      <c r="E91" s="690">
        <v>108552000</v>
      </c>
      <c r="F91" s="690">
        <v>106631000</v>
      </c>
      <c r="G91" s="690">
        <v>99140197</v>
      </c>
      <c r="H91" s="690">
        <v>91800813</v>
      </c>
      <c r="I91" s="690">
        <v>83678182</v>
      </c>
      <c r="J91" s="690">
        <v>63286534</v>
      </c>
      <c r="K91" s="690">
        <v>76150532</v>
      </c>
      <c r="L91" s="690">
        <v>73599628</v>
      </c>
      <c r="M91" s="690">
        <v>74273873</v>
      </c>
      <c r="N91" s="690">
        <v>65414203</v>
      </c>
      <c r="O91" s="690">
        <v>63622368</v>
      </c>
      <c r="P91" s="690">
        <v>68993919</v>
      </c>
      <c r="Q91" s="690">
        <v>70487133</v>
      </c>
      <c r="R91" s="690">
        <v>81853505</v>
      </c>
      <c r="S91" s="690">
        <v>79812665</v>
      </c>
      <c r="T91" s="690">
        <v>96139943</v>
      </c>
      <c r="U91" s="690">
        <v>80134644</v>
      </c>
      <c r="V91" s="690">
        <v>81442351</v>
      </c>
    </row>
    <row r="92" spans="1:22">
      <c r="A92" s="588"/>
      <c r="B92" s="688"/>
      <c r="C92" s="688"/>
      <c r="D92" s="688"/>
      <c r="E92" s="688"/>
      <c r="F92" s="688"/>
      <c r="G92" s="688"/>
      <c r="H92" s="688"/>
      <c r="I92" s="688"/>
      <c r="J92" s="688"/>
      <c r="K92" s="688"/>
      <c r="L92" s="688"/>
      <c r="M92" s="688"/>
      <c r="N92" s="688"/>
      <c r="O92" s="688"/>
      <c r="P92" s="688"/>
      <c r="Q92" s="688"/>
      <c r="R92" s="688"/>
      <c r="S92" s="688"/>
      <c r="T92" s="688"/>
      <c r="U92" s="588"/>
      <c r="V92" s="588"/>
    </row>
    <row r="93" spans="1:22">
      <c r="A93" s="699" t="s">
        <v>287</v>
      </c>
      <c r="B93" s="690">
        <v>397970300</v>
      </c>
      <c r="C93" s="690">
        <v>474512400</v>
      </c>
      <c r="D93" s="690">
        <v>548138000</v>
      </c>
      <c r="E93" s="690">
        <v>539801000</v>
      </c>
      <c r="F93" s="690">
        <v>635757000</v>
      </c>
      <c r="G93" s="690">
        <v>661902491</v>
      </c>
      <c r="H93" s="690">
        <v>689636945</v>
      </c>
      <c r="I93" s="690">
        <v>783228512</v>
      </c>
      <c r="J93" s="690">
        <v>793109968</v>
      </c>
      <c r="K93" s="690">
        <v>817331905</v>
      </c>
      <c r="L93" s="690">
        <v>864883025</v>
      </c>
      <c r="M93" s="690">
        <v>941884970</v>
      </c>
      <c r="N93" s="690">
        <v>1001986610</v>
      </c>
      <c r="O93" s="690">
        <v>1017979336</v>
      </c>
      <c r="P93" s="690">
        <v>1089709961</v>
      </c>
      <c r="Q93" s="690">
        <v>1218998332</v>
      </c>
      <c r="R93" s="690">
        <v>1245736630</v>
      </c>
      <c r="S93" s="690">
        <v>1306572387</v>
      </c>
      <c r="T93" s="690">
        <v>1306373985</v>
      </c>
      <c r="U93" s="690">
        <v>1410007231</v>
      </c>
      <c r="V93" s="690">
        <v>1533079026</v>
      </c>
    </row>
    <row r="94" spans="1:22">
      <c r="A94" s="588"/>
      <c r="B94" s="688"/>
      <c r="C94" s="688"/>
      <c r="D94" s="688"/>
      <c r="E94" s="688"/>
      <c r="F94" s="688"/>
      <c r="G94" s="688"/>
      <c r="H94" s="688"/>
      <c r="I94" s="688"/>
      <c r="J94" s="688"/>
      <c r="K94" s="688"/>
      <c r="L94" s="688"/>
      <c r="M94" s="688"/>
      <c r="N94" s="688"/>
      <c r="O94" s="688"/>
      <c r="P94" s="688"/>
      <c r="Q94" s="688"/>
      <c r="R94" s="688"/>
      <c r="S94" s="688"/>
      <c r="T94" s="688"/>
      <c r="U94" s="688"/>
      <c r="V94" s="688"/>
    </row>
    <row r="95" spans="1:22">
      <c r="A95" s="588" t="s">
        <v>288</v>
      </c>
      <c r="B95" s="697"/>
      <c r="C95" s="697">
        <v>642046</v>
      </c>
      <c r="D95" s="697">
        <v>761042</v>
      </c>
      <c r="E95" s="697">
        <v>772348</v>
      </c>
      <c r="F95" s="697">
        <v>667700</v>
      </c>
      <c r="G95" s="697">
        <v>681253</v>
      </c>
      <c r="H95" s="697">
        <v>711000</v>
      </c>
      <c r="I95" s="697">
        <v>750223</v>
      </c>
      <c r="J95" s="697">
        <v>692924</v>
      </c>
      <c r="K95" s="697">
        <v>551305</v>
      </c>
      <c r="L95" s="697">
        <v>561067</v>
      </c>
      <c r="M95" s="697">
        <v>580573</v>
      </c>
      <c r="N95" s="697">
        <v>605444</v>
      </c>
      <c r="O95" s="697">
        <v>658532</v>
      </c>
      <c r="P95" s="697">
        <v>879654</v>
      </c>
      <c r="Q95" s="697">
        <v>1264341</v>
      </c>
      <c r="R95" s="697">
        <v>1221219</v>
      </c>
      <c r="S95" s="697">
        <v>1342312</v>
      </c>
      <c r="T95" s="697">
        <v>1365214</v>
      </c>
      <c r="U95" s="697">
        <v>1434811</v>
      </c>
      <c r="V95" s="697">
        <v>1512846</v>
      </c>
    </row>
    <row r="96" spans="1:22">
      <c r="A96" s="588" t="s">
        <v>289</v>
      </c>
      <c r="B96" s="687"/>
      <c r="C96" s="687"/>
      <c r="D96" s="687"/>
      <c r="E96" s="687"/>
      <c r="F96" s="687"/>
      <c r="G96" s="687"/>
      <c r="H96" s="697">
        <v>2011</v>
      </c>
      <c r="I96" s="697">
        <v>6154</v>
      </c>
      <c r="J96" s="697">
        <v>8863</v>
      </c>
      <c r="K96" s="697">
        <v>8947</v>
      </c>
      <c r="L96" s="697">
        <v>9336</v>
      </c>
      <c r="M96" s="697">
        <v>9936</v>
      </c>
      <c r="N96" s="697">
        <v>10054</v>
      </c>
      <c r="O96" s="697">
        <v>10357</v>
      </c>
      <c r="P96" s="697">
        <v>12126</v>
      </c>
      <c r="Q96" s="697">
        <v>16275</v>
      </c>
      <c r="R96" s="697">
        <v>16292</v>
      </c>
      <c r="S96" s="697">
        <v>29088</v>
      </c>
      <c r="T96" s="697">
        <v>16146</v>
      </c>
      <c r="U96" s="697">
        <v>16756</v>
      </c>
      <c r="V96" s="697">
        <v>17840</v>
      </c>
    </row>
    <row r="98" spans="2:22">
      <c r="Q98" s="688"/>
      <c r="R98" s="688"/>
      <c r="S98" s="688"/>
      <c r="T98" s="688"/>
      <c r="U98" s="688"/>
      <c r="V98" s="688"/>
    </row>
    <row r="99" spans="2:22">
      <c r="B99" s="687"/>
      <c r="C99" s="687"/>
      <c r="D99" s="687"/>
      <c r="E99" s="687"/>
      <c r="F99" s="687"/>
      <c r="G99" s="687"/>
      <c r="H99" s="687"/>
      <c r="I99" s="687"/>
      <c r="J99" s="687"/>
      <c r="K99" s="687"/>
      <c r="L99" s="687"/>
      <c r="M99" s="687"/>
      <c r="N99" s="687"/>
      <c r="O99" s="687"/>
      <c r="P99" s="687"/>
      <c r="Q99" s="687"/>
      <c r="R99" s="687"/>
      <c r="S99" s="687"/>
      <c r="T99" s="687"/>
      <c r="U99" s="687"/>
      <c r="V99" s="687"/>
    </row>
    <row r="100" spans="2:22">
      <c r="B100" s="687"/>
      <c r="C100" s="687"/>
      <c r="D100" s="687"/>
      <c r="E100" s="687"/>
      <c r="F100" s="687"/>
      <c r="G100" s="687"/>
      <c r="H100" s="687"/>
      <c r="I100" s="687"/>
      <c r="J100" s="687"/>
      <c r="K100" s="687"/>
      <c r="L100" s="687"/>
      <c r="M100" s="687"/>
      <c r="N100" s="687"/>
      <c r="O100" s="687"/>
      <c r="P100" s="687"/>
      <c r="Q100" s="687"/>
      <c r="R100" s="687"/>
      <c r="S100" s="687"/>
      <c r="T100" s="687"/>
      <c r="U100" s="687"/>
      <c r="V100" s="687"/>
    </row>
    <row r="101" spans="2:22">
      <c r="B101" s="686"/>
      <c r="C101" s="686"/>
      <c r="D101" s="686"/>
      <c r="E101" s="686"/>
      <c r="F101" s="686"/>
      <c r="G101" s="686"/>
      <c r="H101" s="686"/>
      <c r="I101" s="686"/>
      <c r="J101" s="686"/>
      <c r="K101" s="686"/>
      <c r="L101" s="686"/>
      <c r="M101" s="686"/>
      <c r="N101" s="686"/>
      <c r="O101" s="686"/>
      <c r="P101" s="686"/>
      <c r="Q101" s="686"/>
      <c r="R101" s="686"/>
      <c r="S101" s="686"/>
      <c r="T101" s="686"/>
      <c r="U101" s="686"/>
      <c r="V101" s="686"/>
    </row>
  </sheetData>
  <pageMargins left="0.23622047244094491" right="0.23622047244094491" top="0.74803149606299213" bottom="0.74803149606299213" header="0.31496062992125984" footer="0.31496062992125984"/>
  <pageSetup paperSize="9" scale="52" fitToHeight="0" orientation="landscape" r:id="rId1"/>
  <headerFooter alignWithMargins="0"/>
  <rowBreaks count="1" manualBreakCount="1">
    <brk id="61"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5"/>
  <sheetViews>
    <sheetView zoomScaleNormal="100" workbookViewId="0">
      <pane xSplit="1" topLeftCell="B1" activePane="topRight" state="frozen"/>
      <selection activeCell="F49" sqref="F49"/>
      <selection pane="topRight" activeCell="F49" sqref="F49"/>
    </sheetView>
  </sheetViews>
  <sheetFormatPr defaultRowHeight="12.75"/>
  <cols>
    <col min="1" max="1" width="36.33203125" style="200" customWidth="1"/>
    <col min="2" max="10" width="8.33203125" style="692" bestFit="1" customWidth="1"/>
    <col min="11" max="13" width="8.33203125" style="200" bestFit="1" customWidth="1"/>
    <col min="14" max="16" width="9.1640625" style="200" bestFit="1" customWidth="1"/>
    <col min="17" max="22" width="9.83203125" style="200" bestFit="1" customWidth="1"/>
    <col min="23" max="16384" width="9.33203125" style="200"/>
  </cols>
  <sheetData>
    <row r="1" spans="1:22">
      <c r="A1" s="1" t="s">
        <v>2055</v>
      </c>
    </row>
    <row r="2" spans="1:22">
      <c r="A2" s="1" t="s">
        <v>2054</v>
      </c>
    </row>
    <row r="3" spans="1:22">
      <c r="A3" s="7" t="s">
        <v>2053</v>
      </c>
    </row>
    <row r="4" spans="1:22">
      <c r="A4" s="712" t="s">
        <v>2047</v>
      </c>
    </row>
    <row r="5" spans="1:22" ht="13.5" thickBot="1">
      <c r="A5" s="736" t="s">
        <v>2046</v>
      </c>
      <c r="B5" s="737" t="s">
        <v>1506</v>
      </c>
      <c r="C5" s="737" t="s">
        <v>1507</v>
      </c>
      <c r="D5" s="737">
        <v>1996</v>
      </c>
      <c r="E5" s="737">
        <v>1997</v>
      </c>
      <c r="F5" s="737" t="s">
        <v>290</v>
      </c>
      <c r="G5" s="737" t="s">
        <v>291</v>
      </c>
      <c r="H5" s="737" t="s">
        <v>292</v>
      </c>
      <c r="I5" s="737" t="s">
        <v>293</v>
      </c>
      <c r="J5" s="737" t="s">
        <v>294</v>
      </c>
      <c r="K5" s="737" t="s">
        <v>295</v>
      </c>
      <c r="L5" s="737" t="s">
        <v>296</v>
      </c>
      <c r="M5" s="737" t="s">
        <v>297</v>
      </c>
      <c r="N5" s="737" t="s">
        <v>298</v>
      </c>
      <c r="O5" s="737" t="s">
        <v>299</v>
      </c>
      <c r="P5" s="737" t="s">
        <v>300</v>
      </c>
      <c r="Q5" s="737">
        <v>2009</v>
      </c>
      <c r="R5" s="737" t="s">
        <v>2048</v>
      </c>
      <c r="S5" s="737">
        <v>2011</v>
      </c>
      <c r="T5" s="737" t="s">
        <v>1754</v>
      </c>
      <c r="U5" s="737">
        <v>2013</v>
      </c>
      <c r="V5" s="737">
        <v>2014</v>
      </c>
    </row>
    <row r="6" spans="1:22" ht="8.25" customHeight="1">
      <c r="A6" s="703"/>
      <c r="B6" s="702"/>
      <c r="C6" s="702"/>
      <c r="D6" s="702"/>
      <c r="E6" s="702"/>
      <c r="F6" s="702"/>
      <c r="G6" s="702"/>
      <c r="H6" s="702"/>
      <c r="I6" s="702"/>
      <c r="J6" s="702"/>
      <c r="K6" s="703"/>
      <c r="L6" s="703"/>
      <c r="M6" s="703"/>
      <c r="N6" s="703"/>
      <c r="O6" s="703"/>
      <c r="P6" s="703"/>
      <c r="Q6" s="703"/>
      <c r="R6" s="703"/>
      <c r="S6" s="703"/>
      <c r="T6" s="703"/>
      <c r="U6" s="703"/>
      <c r="V6" s="703"/>
    </row>
    <row r="7" spans="1:22">
      <c r="A7" s="712" t="s">
        <v>301</v>
      </c>
      <c r="B7" s="704"/>
      <c r="C7" s="704"/>
      <c r="D7" s="704"/>
      <c r="E7" s="704"/>
      <c r="F7" s="704"/>
      <c r="G7" s="704"/>
      <c r="H7" s="704"/>
      <c r="I7" s="704"/>
      <c r="J7" s="704"/>
      <c r="K7" s="703"/>
      <c r="L7" s="703"/>
      <c r="M7" s="703"/>
      <c r="N7" s="703"/>
      <c r="O7" s="703"/>
      <c r="P7" s="703"/>
      <c r="Q7" s="703"/>
      <c r="R7" s="703"/>
      <c r="S7" s="703"/>
      <c r="T7" s="703"/>
      <c r="U7" s="703"/>
      <c r="V7" s="703"/>
    </row>
    <row r="8" spans="1:22">
      <c r="A8" s="703" t="s">
        <v>302</v>
      </c>
      <c r="B8" s="705">
        <v>465069900</v>
      </c>
      <c r="C8" s="705">
        <v>544426200</v>
      </c>
      <c r="D8" s="705">
        <v>644107000</v>
      </c>
      <c r="E8" s="705">
        <v>676240000</v>
      </c>
      <c r="F8" s="705">
        <v>742253000</v>
      </c>
      <c r="G8" s="705">
        <v>772787919</v>
      </c>
      <c r="H8" s="705">
        <v>792310297</v>
      </c>
      <c r="I8" s="705">
        <v>867661939</v>
      </c>
      <c r="J8" s="705">
        <v>827484520</v>
      </c>
      <c r="K8" s="705">
        <v>796586662</v>
      </c>
      <c r="L8" s="705">
        <v>838622837</v>
      </c>
      <c r="M8" s="705">
        <v>902039428</v>
      </c>
      <c r="N8" s="705">
        <v>963939993</v>
      </c>
      <c r="O8" s="705">
        <v>989853878</v>
      </c>
      <c r="P8" s="705">
        <v>967576278</v>
      </c>
      <c r="Q8" s="706">
        <v>903453735</v>
      </c>
      <c r="R8" s="706">
        <v>964899044</v>
      </c>
      <c r="S8" s="706">
        <v>1001552912</v>
      </c>
      <c r="T8" s="706">
        <v>971171847</v>
      </c>
      <c r="U8" s="706">
        <v>998810534</v>
      </c>
      <c r="V8" s="706">
        <v>1022832007</v>
      </c>
    </row>
    <row r="9" spans="1:22">
      <c r="A9" s="703" t="s">
        <v>303</v>
      </c>
      <c r="B9" s="705">
        <v>54782500</v>
      </c>
      <c r="C9" s="705">
        <v>37659900</v>
      </c>
      <c r="D9" s="705">
        <v>59441000</v>
      </c>
      <c r="E9" s="705">
        <v>50780000</v>
      </c>
      <c r="F9" s="705">
        <v>44495000</v>
      </c>
      <c r="G9" s="705">
        <v>46230790</v>
      </c>
      <c r="H9" s="705">
        <v>47347113</v>
      </c>
      <c r="I9" s="705">
        <v>36326623</v>
      </c>
      <c r="J9" s="705">
        <v>35551879</v>
      </c>
      <c r="K9" s="705">
        <v>35975154</v>
      </c>
      <c r="L9" s="705">
        <v>40503508</v>
      </c>
      <c r="M9" s="705">
        <v>43857963</v>
      </c>
      <c r="N9" s="705">
        <v>45407271</v>
      </c>
      <c r="O9" s="705">
        <v>54284720</v>
      </c>
      <c r="P9" s="705">
        <v>58242690</v>
      </c>
      <c r="Q9" s="707">
        <v>55715663</v>
      </c>
      <c r="R9" s="707">
        <v>58351269</v>
      </c>
      <c r="S9" s="707">
        <v>57029960</v>
      </c>
      <c r="T9" s="707">
        <v>53884893</v>
      </c>
      <c r="U9" s="707">
        <v>54354926</v>
      </c>
      <c r="V9" s="707">
        <v>51903684</v>
      </c>
    </row>
    <row r="10" spans="1:22">
      <c r="A10" s="703" t="s">
        <v>304</v>
      </c>
      <c r="B10" s="705">
        <v>39874400</v>
      </c>
      <c r="C10" s="705">
        <v>37426500</v>
      </c>
      <c r="D10" s="705">
        <v>36278000</v>
      </c>
      <c r="E10" s="705">
        <v>45851000</v>
      </c>
      <c r="F10" s="705">
        <v>49859000</v>
      </c>
      <c r="G10" s="705">
        <v>49426916</v>
      </c>
      <c r="H10" s="705">
        <v>16912102</v>
      </c>
      <c r="I10" s="705">
        <v>22873261</v>
      </c>
      <c r="J10" s="705">
        <v>23460360</v>
      </c>
      <c r="K10" s="705">
        <v>24727279</v>
      </c>
      <c r="L10" s="705">
        <v>24590563</v>
      </c>
      <c r="M10" s="705">
        <v>24699972</v>
      </c>
      <c r="N10" s="705">
        <v>25546715</v>
      </c>
      <c r="O10" s="705">
        <v>26656693</v>
      </c>
      <c r="P10" s="705">
        <v>25608586</v>
      </c>
      <c r="Q10" s="707">
        <v>39365539</v>
      </c>
      <c r="R10" s="707">
        <v>43072614</v>
      </c>
      <c r="S10" s="707">
        <v>31586329</v>
      </c>
      <c r="T10" s="707">
        <v>45684848</v>
      </c>
      <c r="U10" s="707">
        <v>57428305</v>
      </c>
      <c r="V10" s="707">
        <v>49062214</v>
      </c>
    </row>
    <row r="11" spans="1:22">
      <c r="A11" s="712" t="s">
        <v>305</v>
      </c>
      <c r="B11" s="708">
        <f>SUM(B8:B10)</f>
        <v>559726800</v>
      </c>
      <c r="C11" s="708">
        <f>SUM(C8:C10)</f>
        <v>619512600</v>
      </c>
      <c r="D11" s="708">
        <f>SUM(D8:D10)</f>
        <v>739826000</v>
      </c>
      <c r="E11" s="708">
        <f>SUM(E8:E10)</f>
        <v>772871000</v>
      </c>
      <c r="F11" s="708">
        <f>SUM(F8:F10)</f>
        <v>836607000</v>
      </c>
      <c r="G11" s="708">
        <v>868445625</v>
      </c>
      <c r="H11" s="708">
        <v>856569512</v>
      </c>
      <c r="I11" s="708">
        <v>926861823</v>
      </c>
      <c r="J11" s="708">
        <v>886496759</v>
      </c>
      <c r="K11" s="708">
        <v>857289095</v>
      </c>
      <c r="L11" s="708">
        <v>903716908</v>
      </c>
      <c r="M11" s="708">
        <v>970597363</v>
      </c>
      <c r="N11" s="708">
        <v>1034893979</v>
      </c>
      <c r="O11" s="708">
        <v>1070795291</v>
      </c>
      <c r="P11" s="708">
        <v>1051427554</v>
      </c>
      <c r="Q11" s="709">
        <v>998534937</v>
      </c>
      <c r="R11" s="709">
        <v>1066322927</v>
      </c>
      <c r="S11" s="709">
        <v>1090169201</v>
      </c>
      <c r="T11" s="709">
        <v>1070741588</v>
      </c>
      <c r="U11" s="709">
        <v>1110593765</v>
      </c>
      <c r="V11" s="709">
        <v>1123797905</v>
      </c>
    </row>
    <row r="12" spans="1:22" ht="19.5" customHeight="1">
      <c r="A12" s="712"/>
      <c r="B12" s="708"/>
      <c r="C12" s="708"/>
      <c r="D12" s="708"/>
      <c r="E12" s="708"/>
      <c r="F12" s="708"/>
      <c r="G12" s="708"/>
      <c r="H12" s="708"/>
      <c r="I12" s="708"/>
      <c r="J12" s="708"/>
      <c r="K12" s="708"/>
      <c r="L12" s="708"/>
      <c r="M12" s="708"/>
      <c r="N12" s="708"/>
      <c r="O12" s="708"/>
      <c r="P12" s="708"/>
      <c r="Q12" s="709"/>
      <c r="R12" s="709"/>
      <c r="S12" s="709"/>
      <c r="T12" s="709"/>
      <c r="U12" s="709"/>
      <c r="V12" s="709"/>
    </row>
    <row r="13" spans="1:22" ht="12.75" customHeight="1">
      <c r="A13" s="712" t="s">
        <v>306</v>
      </c>
      <c r="B13" s="708"/>
      <c r="C13" s="708"/>
      <c r="D13" s="708"/>
      <c r="E13" s="708"/>
      <c r="F13" s="708"/>
      <c r="G13" s="708"/>
      <c r="H13" s="708"/>
      <c r="I13" s="708"/>
      <c r="J13" s="708"/>
      <c r="K13" s="708"/>
      <c r="L13" s="708"/>
      <c r="M13" s="708"/>
      <c r="N13" s="708"/>
      <c r="O13" s="708"/>
      <c r="P13" s="708"/>
      <c r="Q13" s="709"/>
      <c r="R13" s="709"/>
      <c r="S13" s="709"/>
      <c r="T13" s="709"/>
      <c r="U13" s="709"/>
      <c r="V13" s="709"/>
    </row>
    <row r="14" spans="1:22" ht="6" customHeight="1">
      <c r="A14" s="703"/>
      <c r="B14" s="705"/>
      <c r="C14" s="705"/>
      <c r="D14" s="705"/>
      <c r="E14" s="705"/>
      <c r="F14" s="705"/>
      <c r="G14" s="705"/>
      <c r="H14" s="705"/>
      <c r="I14" s="705"/>
      <c r="J14" s="705"/>
      <c r="K14" s="705"/>
      <c r="L14" s="705"/>
      <c r="M14" s="705"/>
      <c r="N14" s="705"/>
      <c r="O14" s="705"/>
      <c r="P14" s="705"/>
      <c r="Q14" s="707"/>
      <c r="R14" s="707"/>
      <c r="S14" s="707"/>
      <c r="T14" s="707"/>
      <c r="U14" s="707"/>
      <c r="V14" s="707"/>
    </row>
    <row r="15" spans="1:22">
      <c r="A15" s="712" t="s">
        <v>307</v>
      </c>
      <c r="B15" s="705"/>
      <c r="C15" s="705"/>
      <c r="D15" s="705"/>
      <c r="E15" s="705"/>
      <c r="F15" s="705"/>
      <c r="G15" s="705"/>
      <c r="H15" s="705"/>
      <c r="I15" s="705"/>
      <c r="J15" s="705"/>
      <c r="K15" s="705"/>
      <c r="L15" s="705"/>
      <c r="M15" s="705"/>
      <c r="N15" s="705"/>
      <c r="O15" s="705"/>
      <c r="P15" s="705"/>
      <c r="Q15" s="707"/>
      <c r="R15" s="707"/>
      <c r="S15" s="707"/>
      <c r="T15" s="707"/>
      <c r="U15" s="707"/>
      <c r="V15" s="707"/>
    </row>
    <row r="16" spans="1:22">
      <c r="A16" s="703" t="s">
        <v>665</v>
      </c>
      <c r="B16" s="705"/>
      <c r="C16" s="705"/>
      <c r="D16" s="705"/>
      <c r="E16" s="705"/>
      <c r="F16" s="705">
        <v>0</v>
      </c>
      <c r="G16" s="710"/>
      <c r="H16" s="705">
        <v>-406954169</v>
      </c>
      <c r="I16" s="705">
        <v>-413658721</v>
      </c>
      <c r="J16" s="705">
        <v>-433879095</v>
      </c>
      <c r="K16" s="711">
        <v>-467737723</v>
      </c>
      <c r="L16" s="711">
        <v>-490041505</v>
      </c>
      <c r="M16" s="711">
        <v>-483923965</v>
      </c>
      <c r="N16" s="705">
        <v>-500003319</v>
      </c>
      <c r="O16" s="705">
        <v>-496451303</v>
      </c>
      <c r="P16" s="705">
        <v>-501846418</v>
      </c>
      <c r="Q16" s="707">
        <v>-532449785</v>
      </c>
      <c r="R16" s="707">
        <v>-536592922</v>
      </c>
      <c r="S16" s="707">
        <v>-536304865</v>
      </c>
      <c r="T16" s="707">
        <v>-559457111</v>
      </c>
      <c r="U16" s="707">
        <v>-584565647</v>
      </c>
      <c r="V16" s="707">
        <v>-590036041</v>
      </c>
    </row>
    <row r="17" spans="1:22" ht="12.75" customHeight="1">
      <c r="A17" s="703" t="s">
        <v>308</v>
      </c>
      <c r="B17" s="705"/>
      <c r="C17" s="705"/>
      <c r="D17" s="705"/>
      <c r="E17" s="705"/>
      <c r="F17" s="705"/>
      <c r="G17" s="710"/>
      <c r="H17" s="705">
        <v>-30260993</v>
      </c>
      <c r="I17" s="705">
        <v>-32511472</v>
      </c>
      <c r="J17" s="705">
        <v>-31510201</v>
      </c>
      <c r="K17" s="705">
        <v>-30807470</v>
      </c>
      <c r="L17" s="705">
        <v>-32409953</v>
      </c>
      <c r="M17" s="705">
        <v>-38546866</v>
      </c>
      <c r="N17" s="705">
        <v>-38083756</v>
      </c>
      <c r="O17" s="705">
        <v>-37862861</v>
      </c>
      <c r="P17" s="705">
        <v>-36606936</v>
      </c>
      <c r="Q17" s="707">
        <v>-36802958</v>
      </c>
      <c r="R17" s="707">
        <v>-38977026</v>
      </c>
      <c r="S17" s="707">
        <v>-39151564</v>
      </c>
      <c r="T17" s="707">
        <v>-39215938</v>
      </c>
      <c r="U17" s="707">
        <v>-41495087</v>
      </c>
      <c r="V17" s="707">
        <v>-42664343</v>
      </c>
    </row>
    <row r="18" spans="1:22" ht="12.75" customHeight="1">
      <c r="A18" s="703" t="s">
        <v>309</v>
      </c>
      <c r="B18" s="705"/>
      <c r="C18" s="705"/>
      <c r="D18" s="705"/>
      <c r="E18" s="705"/>
      <c r="F18" s="705">
        <v>0</v>
      </c>
      <c r="G18" s="710"/>
      <c r="H18" s="705">
        <v>-135865740</v>
      </c>
      <c r="I18" s="705">
        <v>-136051791</v>
      </c>
      <c r="J18" s="705">
        <v>-145192574</v>
      </c>
      <c r="K18" s="705">
        <v>-146386989</v>
      </c>
      <c r="L18" s="705">
        <v>-150691759</v>
      </c>
      <c r="M18" s="705">
        <v>-164812606</v>
      </c>
      <c r="N18" s="705">
        <v>-165239876</v>
      </c>
      <c r="O18" s="705">
        <v>-173300430</v>
      </c>
      <c r="P18" s="705">
        <v>-170375495</v>
      </c>
      <c r="Q18" s="707">
        <v>-175182498</v>
      </c>
      <c r="R18" s="707">
        <v>-201173469</v>
      </c>
      <c r="S18" s="707">
        <v>-204492420</v>
      </c>
      <c r="T18" s="707">
        <v>-200368648</v>
      </c>
      <c r="U18" s="707">
        <v>-209630515</v>
      </c>
      <c r="V18" s="707">
        <v>-221437078</v>
      </c>
    </row>
    <row r="19" spans="1:22" ht="12.75" customHeight="1">
      <c r="A19" s="703" t="s">
        <v>310</v>
      </c>
      <c r="B19" s="705"/>
      <c r="C19" s="705"/>
      <c r="D19" s="705"/>
      <c r="E19" s="705"/>
      <c r="F19" s="705">
        <v>0</v>
      </c>
      <c r="G19" s="710"/>
      <c r="H19" s="705">
        <v>-36166039</v>
      </c>
      <c r="I19" s="705">
        <v>-36767206</v>
      </c>
      <c r="J19" s="705">
        <v>-32946520</v>
      </c>
      <c r="K19" s="705">
        <v>-37831040</v>
      </c>
      <c r="L19" s="705">
        <v>-40918228</v>
      </c>
      <c r="M19" s="705">
        <v>-45131944</v>
      </c>
      <c r="N19" s="705">
        <v>-48376147</v>
      </c>
      <c r="O19" s="705">
        <v>-48215816</v>
      </c>
      <c r="P19" s="705">
        <v>-55167703</v>
      </c>
      <c r="Q19" s="707">
        <v>-44700202</v>
      </c>
      <c r="R19" s="707">
        <v>-54710192</v>
      </c>
      <c r="S19" s="707">
        <v>-57377262</v>
      </c>
      <c r="T19" s="707">
        <v>-58248236</v>
      </c>
      <c r="U19" s="707">
        <v>-65786125</v>
      </c>
      <c r="V19" s="707">
        <v>-66880028</v>
      </c>
    </row>
    <row r="20" spans="1:22" ht="12.75" customHeight="1">
      <c r="A20" s="703" t="s">
        <v>311</v>
      </c>
      <c r="B20" s="705"/>
      <c r="C20" s="705"/>
      <c r="D20" s="705"/>
      <c r="E20" s="705"/>
      <c r="F20" s="705">
        <v>0</v>
      </c>
      <c r="G20" s="710">
        <v>0</v>
      </c>
      <c r="H20" s="705">
        <v>-5558000</v>
      </c>
      <c r="I20" s="705">
        <v>-13372000</v>
      </c>
      <c r="J20" s="705">
        <v>-8596000</v>
      </c>
      <c r="K20" s="705">
        <v>-9845000</v>
      </c>
      <c r="L20" s="705">
        <v>-7620000</v>
      </c>
      <c r="M20" s="705">
        <v>-9577000</v>
      </c>
      <c r="N20" s="705">
        <v>-7333604</v>
      </c>
      <c r="O20" s="705">
        <v>-5915802</v>
      </c>
      <c r="P20" s="705">
        <v>-3542211</v>
      </c>
      <c r="Q20" s="707">
        <v>0</v>
      </c>
      <c r="R20" s="707">
        <v>0</v>
      </c>
      <c r="S20" s="707">
        <v>0</v>
      </c>
      <c r="T20" s="707">
        <v>0</v>
      </c>
      <c r="U20" s="707">
        <v>0</v>
      </c>
      <c r="V20" s="707">
        <v>0</v>
      </c>
    </row>
    <row r="21" spans="1:22" ht="12.75" customHeight="1">
      <c r="A21" s="703" t="s">
        <v>540</v>
      </c>
      <c r="B21" s="705">
        <v>-531361000</v>
      </c>
      <c r="C21" s="705">
        <v>-532559700</v>
      </c>
      <c r="D21" s="705">
        <v>-545057000</v>
      </c>
      <c r="E21" s="705">
        <v>-550064000</v>
      </c>
      <c r="F21" s="705">
        <v>-572560000</v>
      </c>
      <c r="G21" s="705">
        <v>-604670605</v>
      </c>
      <c r="H21" s="705"/>
      <c r="I21" s="705"/>
      <c r="J21" s="705"/>
      <c r="K21" s="705"/>
      <c r="L21" s="705"/>
      <c r="M21" s="705"/>
      <c r="N21" s="705"/>
      <c r="O21" s="705"/>
      <c r="P21" s="705"/>
      <c r="Q21" s="707"/>
      <c r="R21" s="707"/>
      <c r="S21" s="707"/>
      <c r="T21" s="707"/>
      <c r="U21" s="707"/>
      <c r="V21" s="707"/>
    </row>
    <row r="22" spans="1:22">
      <c r="A22" s="703" t="s">
        <v>312</v>
      </c>
      <c r="B22" s="705"/>
      <c r="C22" s="705"/>
      <c r="D22" s="705"/>
      <c r="E22" s="705"/>
      <c r="F22" s="705">
        <v>-8045000</v>
      </c>
      <c r="G22" s="705">
        <v>-4212354</v>
      </c>
      <c r="H22" s="705">
        <v>-5348731</v>
      </c>
      <c r="I22" s="705">
        <v>-4293030</v>
      </c>
      <c r="J22" s="705">
        <v>-4218919</v>
      </c>
      <c r="K22" s="705">
        <v>-4678526</v>
      </c>
      <c r="L22" s="705">
        <v>-3743327</v>
      </c>
      <c r="M22" s="705">
        <v>1523961</v>
      </c>
      <c r="N22" s="705">
        <v>-3603442</v>
      </c>
      <c r="O22" s="705">
        <v>-2010015</v>
      </c>
      <c r="P22" s="705">
        <v>-3294323</v>
      </c>
      <c r="Q22" s="707">
        <v>-4091434</v>
      </c>
      <c r="R22" s="707">
        <v>-7802473</v>
      </c>
      <c r="S22" s="707">
        <v>-8705028</v>
      </c>
      <c r="T22" s="707">
        <v>-9165992</v>
      </c>
      <c r="U22" s="707">
        <v>-23960249</v>
      </c>
      <c r="V22" s="707">
        <v>-8375351</v>
      </c>
    </row>
    <row r="23" spans="1:22">
      <c r="A23" s="712" t="s">
        <v>313</v>
      </c>
      <c r="B23" s="708">
        <f>SUM(B16:B22)</f>
        <v>-531361000</v>
      </c>
      <c r="C23" s="708">
        <f>SUM(C16:C22)</f>
        <v>-532559700</v>
      </c>
      <c r="D23" s="708">
        <f>SUM(D16:D22)</f>
        <v>-545057000</v>
      </c>
      <c r="E23" s="708">
        <f>SUM(E16:E22)</f>
        <v>-550064000</v>
      </c>
      <c r="F23" s="708">
        <f>SUM(F16:F22)</f>
        <v>-580605000</v>
      </c>
      <c r="G23" s="708">
        <v>-608882959</v>
      </c>
      <c r="H23" s="708">
        <v>-620153672</v>
      </c>
      <c r="I23" s="708">
        <v>-636654220</v>
      </c>
      <c r="J23" s="708">
        <v>-656343309</v>
      </c>
      <c r="K23" s="708">
        <v>-697286796</v>
      </c>
      <c r="L23" s="708">
        <v>-725424480</v>
      </c>
      <c r="M23" s="708">
        <v>-740468414</v>
      </c>
      <c r="N23" s="708">
        <v>-762640144</v>
      </c>
      <c r="O23" s="708">
        <v>-763756227</v>
      </c>
      <c r="P23" s="708">
        <v>-770833086</v>
      </c>
      <c r="Q23" s="709">
        <v>-793226877</v>
      </c>
      <c r="R23" s="709">
        <v>-839256082</v>
      </c>
      <c r="S23" s="709">
        <v>-846031139</v>
      </c>
      <c r="T23" s="709">
        <v>-866455925</v>
      </c>
      <c r="U23" s="709">
        <v>-925437623</v>
      </c>
      <c r="V23" s="709">
        <v>-929392841</v>
      </c>
    </row>
    <row r="24" spans="1:22">
      <c r="A24" s="703"/>
      <c r="B24" s="705"/>
      <c r="C24" s="705"/>
      <c r="D24" s="705"/>
      <c r="E24" s="705"/>
      <c r="F24" s="705"/>
      <c r="G24" s="705"/>
      <c r="H24" s="705"/>
      <c r="I24" s="705"/>
      <c r="J24" s="705"/>
      <c r="K24" s="705"/>
      <c r="L24" s="705"/>
      <c r="M24" s="705"/>
      <c r="N24" s="705"/>
      <c r="O24" s="705"/>
      <c r="P24" s="705"/>
      <c r="Q24" s="707"/>
      <c r="R24" s="707"/>
      <c r="S24" s="707"/>
      <c r="T24" s="707"/>
      <c r="U24" s="707"/>
      <c r="V24" s="707"/>
    </row>
    <row r="25" spans="1:22">
      <c r="A25" s="712" t="s">
        <v>314</v>
      </c>
      <c r="B25" s="708"/>
      <c r="C25" s="708"/>
      <c r="D25" s="708"/>
      <c r="E25" s="708"/>
      <c r="F25" s="708"/>
      <c r="G25" s="708"/>
      <c r="H25" s="708"/>
      <c r="I25" s="708"/>
      <c r="J25" s="708"/>
      <c r="K25" s="708"/>
      <c r="L25" s="708"/>
      <c r="M25" s="708"/>
      <c r="N25" s="708"/>
      <c r="O25" s="708"/>
      <c r="P25" s="708"/>
      <c r="Q25" s="709"/>
      <c r="R25" s="709"/>
      <c r="S25" s="709"/>
      <c r="T25" s="709"/>
      <c r="U25" s="709"/>
      <c r="V25" s="709"/>
    </row>
    <row r="26" spans="1:22">
      <c r="A26" s="703" t="s">
        <v>315</v>
      </c>
      <c r="B26" s="705"/>
      <c r="C26" s="710">
        <v>-71451600</v>
      </c>
      <c r="D26" s="705">
        <v>-70080000</v>
      </c>
      <c r="E26" s="705">
        <v>-69025000</v>
      </c>
      <c r="F26" s="705">
        <v>-68546000</v>
      </c>
      <c r="G26" s="705">
        <v>-72518850</v>
      </c>
      <c r="H26" s="705">
        <v>-76789935</v>
      </c>
      <c r="I26" s="705">
        <v>-77582432</v>
      </c>
      <c r="J26" s="705">
        <v>-86190040</v>
      </c>
      <c r="K26" s="705">
        <v>-83151856</v>
      </c>
      <c r="L26" s="705">
        <v>-85173292</v>
      </c>
      <c r="M26" s="705">
        <v>-86380597</v>
      </c>
      <c r="N26" s="705">
        <v>-100160032</v>
      </c>
      <c r="O26" s="705">
        <v>-93498174</v>
      </c>
      <c r="P26" s="705">
        <v>-99040297</v>
      </c>
      <c r="Q26" s="707">
        <v>-104409445</v>
      </c>
      <c r="R26" s="707">
        <v>-95564883</v>
      </c>
      <c r="S26" s="707">
        <v>-111293948</v>
      </c>
      <c r="T26" s="707">
        <v>-116264216</v>
      </c>
      <c r="U26" s="707">
        <v>-117282037</v>
      </c>
      <c r="V26" s="707">
        <v>-120093476</v>
      </c>
    </row>
    <row r="27" spans="1:22">
      <c r="A27" s="703" t="s">
        <v>316</v>
      </c>
      <c r="B27" s="705"/>
      <c r="C27" s="705"/>
      <c r="D27" s="705">
        <v>-10793000</v>
      </c>
      <c r="E27" s="705">
        <v>-9828000</v>
      </c>
      <c r="F27" s="705">
        <v>-10839000</v>
      </c>
      <c r="G27" s="705">
        <v>-10804119</v>
      </c>
      <c r="H27" s="705">
        <v>-10705790</v>
      </c>
      <c r="I27" s="705">
        <v>-11817421</v>
      </c>
      <c r="J27" s="705">
        <v>-13325222</v>
      </c>
      <c r="K27" s="705">
        <v>-14160332</v>
      </c>
      <c r="L27" s="705">
        <v>-14581167</v>
      </c>
      <c r="M27" s="705">
        <v>-14877048</v>
      </c>
      <c r="N27" s="705">
        <v>-15214339</v>
      </c>
      <c r="O27" s="705">
        <v>-15364623</v>
      </c>
      <c r="P27" s="705">
        <v>-15948729</v>
      </c>
      <c r="Q27" s="707">
        <v>-16333984</v>
      </c>
      <c r="R27" s="707">
        <v>-16778011</v>
      </c>
      <c r="S27" s="707">
        <v>-17506352</v>
      </c>
      <c r="T27" s="707">
        <v>-18083289</v>
      </c>
      <c r="U27" s="707">
        <v>-18346119</v>
      </c>
      <c r="V27" s="707">
        <v>-19597305</v>
      </c>
    </row>
    <row r="28" spans="1:22" ht="12.75" customHeight="1">
      <c r="A28" s="703" t="s">
        <v>317</v>
      </c>
      <c r="B28" s="705"/>
      <c r="C28" s="705"/>
      <c r="D28" s="705"/>
      <c r="E28" s="705"/>
      <c r="F28" s="705">
        <v>0</v>
      </c>
      <c r="G28" s="705">
        <v>0</v>
      </c>
      <c r="H28" s="705">
        <v>0</v>
      </c>
      <c r="I28" s="705">
        <v>0</v>
      </c>
      <c r="J28" s="705">
        <v>0</v>
      </c>
      <c r="K28" s="705">
        <v>0</v>
      </c>
      <c r="L28" s="705">
        <v>0</v>
      </c>
      <c r="M28" s="705">
        <v>-2369608</v>
      </c>
      <c r="N28" s="705">
        <v>-995448</v>
      </c>
      <c r="O28" s="705">
        <v>2597158</v>
      </c>
      <c r="P28" s="705">
        <v>-1792772</v>
      </c>
      <c r="Q28" s="707">
        <v>-1433392</v>
      </c>
      <c r="R28" s="707">
        <v>-2466374</v>
      </c>
      <c r="S28" s="707">
        <v>96328</v>
      </c>
      <c r="T28" s="707">
        <v>-448619</v>
      </c>
      <c r="U28" s="707">
        <v>-624595</v>
      </c>
      <c r="V28" s="707">
        <v>-423409</v>
      </c>
    </row>
    <row r="29" spans="1:22">
      <c r="A29" s="703" t="s">
        <v>318</v>
      </c>
      <c r="B29" s="705">
        <v>-141827000</v>
      </c>
      <c r="C29" s="705">
        <v>-81842900</v>
      </c>
      <c r="D29" s="705">
        <v>-59776000</v>
      </c>
      <c r="E29" s="705">
        <v>-60289000</v>
      </c>
      <c r="F29" s="705">
        <v>-63913000</v>
      </c>
      <c r="G29" s="705">
        <v>-53278000</v>
      </c>
      <c r="H29" s="705">
        <v>-57919183</v>
      </c>
      <c r="I29" s="705">
        <v>-57021303</v>
      </c>
      <c r="J29" s="705">
        <v>-57433183</v>
      </c>
      <c r="K29" s="705">
        <v>-52635700</v>
      </c>
      <c r="L29" s="705">
        <v>-56648435</v>
      </c>
      <c r="M29" s="705">
        <v>-62717954</v>
      </c>
      <c r="N29" s="705">
        <v>-62310999</v>
      </c>
      <c r="O29" s="705">
        <v>-62935108</v>
      </c>
      <c r="P29" s="705">
        <v>-69315118</v>
      </c>
      <c r="Q29" s="707">
        <v>-72737486</v>
      </c>
      <c r="R29" s="707">
        <v>-84312672</v>
      </c>
      <c r="S29" s="707">
        <v>-81856469</v>
      </c>
      <c r="T29" s="707">
        <v>-82662271</v>
      </c>
      <c r="U29" s="707">
        <v>-85095732</v>
      </c>
      <c r="V29" s="707">
        <v>-85410636</v>
      </c>
    </row>
    <row r="30" spans="1:22">
      <c r="A30" s="703" t="s">
        <v>319</v>
      </c>
      <c r="B30" s="705">
        <v>-18209500</v>
      </c>
      <c r="C30" s="705">
        <v>-16179000</v>
      </c>
      <c r="D30" s="705">
        <v>-9682000</v>
      </c>
      <c r="E30" s="705">
        <v>-11129000</v>
      </c>
      <c r="F30" s="705">
        <v>-15077000</v>
      </c>
      <c r="G30" s="705">
        <v>-15819272</v>
      </c>
      <c r="H30" s="705">
        <v>-16825378</v>
      </c>
      <c r="I30" s="705">
        <v>-15703123</v>
      </c>
      <c r="J30" s="705">
        <v>-20721569</v>
      </c>
      <c r="K30" s="705">
        <v>-19890464</v>
      </c>
      <c r="L30" s="705">
        <v>-21343789</v>
      </c>
      <c r="M30" s="705">
        <v>-27714991</v>
      </c>
      <c r="N30" s="705">
        <v>-23772940</v>
      </c>
      <c r="O30" s="705">
        <v>-26117957</v>
      </c>
      <c r="P30" s="705">
        <v>-23698884</v>
      </c>
      <c r="Q30" s="707">
        <v>-22463758</v>
      </c>
      <c r="R30" s="707">
        <v>-22339445</v>
      </c>
      <c r="S30" s="707">
        <v>-23184778</v>
      </c>
      <c r="T30" s="707">
        <v>-24390993</v>
      </c>
      <c r="U30" s="707">
        <v>-25952010</v>
      </c>
      <c r="V30" s="707">
        <v>-26820961</v>
      </c>
    </row>
    <row r="31" spans="1:22" s="693" customFormat="1">
      <c r="A31" s="712" t="s">
        <v>320</v>
      </c>
      <c r="B31" s="708">
        <f t="shared" ref="B31:G31" si="0">SUM(B26:B30)</f>
        <v>-160036500</v>
      </c>
      <c r="C31" s="708">
        <f t="shared" si="0"/>
        <v>-169473500</v>
      </c>
      <c r="D31" s="708">
        <f t="shared" si="0"/>
        <v>-150331000</v>
      </c>
      <c r="E31" s="708">
        <f t="shared" si="0"/>
        <v>-150271000</v>
      </c>
      <c r="F31" s="708">
        <f t="shared" si="0"/>
        <v>-158375000</v>
      </c>
      <c r="G31" s="708">
        <f t="shared" si="0"/>
        <v>-152420241</v>
      </c>
      <c r="H31" s="708">
        <v>-162240286</v>
      </c>
      <c r="I31" s="708">
        <v>-162124279</v>
      </c>
      <c r="J31" s="708">
        <v>-177670014</v>
      </c>
      <c r="K31" s="708">
        <v>-169838352</v>
      </c>
      <c r="L31" s="708">
        <v>-177746683</v>
      </c>
      <c r="M31" s="708">
        <v>-194060198</v>
      </c>
      <c r="N31" s="708">
        <v>-202453758</v>
      </c>
      <c r="O31" s="708">
        <v>-195318704</v>
      </c>
      <c r="P31" s="708">
        <v>-209795800</v>
      </c>
      <c r="Q31" s="709">
        <v>-217378065</v>
      </c>
      <c r="R31" s="709">
        <v>-221461385</v>
      </c>
      <c r="S31" s="709">
        <v>-233745219</v>
      </c>
      <c r="T31" s="709">
        <v>-241849388</v>
      </c>
      <c r="U31" s="709">
        <v>-247300493</v>
      </c>
      <c r="V31" s="709">
        <v>-252345787</v>
      </c>
    </row>
    <row r="32" spans="1:22" s="693" customFormat="1" ht="12.75" customHeight="1">
      <c r="A32" s="712"/>
      <c r="B32" s="708"/>
      <c r="C32" s="708"/>
      <c r="D32" s="708"/>
      <c r="E32" s="708"/>
      <c r="F32" s="708"/>
      <c r="G32" s="708"/>
      <c r="H32" s="708"/>
      <c r="I32" s="708"/>
      <c r="J32" s="708"/>
      <c r="K32" s="708"/>
      <c r="L32" s="708"/>
      <c r="M32" s="708"/>
      <c r="N32" s="708"/>
      <c r="O32" s="708"/>
      <c r="P32" s="708"/>
      <c r="Q32" s="709"/>
      <c r="R32" s="709"/>
      <c r="S32" s="709"/>
      <c r="T32" s="709"/>
      <c r="U32" s="709"/>
      <c r="V32" s="709"/>
    </row>
    <row r="33" spans="1:22" s="693" customFormat="1" ht="12.75" customHeight="1">
      <c r="A33" s="712" t="s">
        <v>321</v>
      </c>
      <c r="B33" s="708">
        <f t="shared" ref="B33:J33" si="1">B23+B31</f>
        <v>-691397500</v>
      </c>
      <c r="C33" s="708">
        <f t="shared" si="1"/>
        <v>-702033200</v>
      </c>
      <c r="D33" s="708">
        <f t="shared" si="1"/>
        <v>-695388000</v>
      </c>
      <c r="E33" s="708">
        <f t="shared" si="1"/>
        <v>-700335000</v>
      </c>
      <c r="F33" s="708">
        <f t="shared" si="1"/>
        <v>-738980000</v>
      </c>
      <c r="G33" s="708">
        <f t="shared" si="1"/>
        <v>-761303200</v>
      </c>
      <c r="H33" s="708">
        <f t="shared" si="1"/>
        <v>-782393958</v>
      </c>
      <c r="I33" s="708">
        <f t="shared" si="1"/>
        <v>-798778499</v>
      </c>
      <c r="J33" s="708">
        <f t="shared" si="1"/>
        <v>-834013323</v>
      </c>
      <c r="K33" s="708">
        <v>-867125148</v>
      </c>
      <c r="L33" s="708">
        <v>-903171163</v>
      </c>
      <c r="M33" s="708">
        <v>-934528612</v>
      </c>
      <c r="N33" s="708">
        <v>-965093902</v>
      </c>
      <c r="O33" s="708">
        <v>-959074931</v>
      </c>
      <c r="P33" s="708">
        <v>-980628886</v>
      </c>
      <c r="Q33" s="709">
        <v>-1010604942</v>
      </c>
      <c r="R33" s="709">
        <v>-1060717467</v>
      </c>
      <c r="S33" s="709">
        <v>-1079776358</v>
      </c>
      <c r="T33" s="709">
        <v>-1108305313</v>
      </c>
      <c r="U33" s="709">
        <v>-1172738116</v>
      </c>
      <c r="V33" s="709">
        <v>-1181738628</v>
      </c>
    </row>
    <row r="34" spans="1:22" s="693" customFormat="1" ht="12.75" customHeight="1">
      <c r="A34" s="712"/>
      <c r="B34" s="708"/>
      <c r="C34" s="708"/>
      <c r="D34" s="708"/>
      <c r="E34" s="708"/>
      <c r="F34" s="708"/>
      <c r="G34" s="708"/>
      <c r="H34" s="708"/>
      <c r="I34" s="708"/>
      <c r="J34" s="708"/>
      <c r="K34" s="708"/>
      <c r="L34" s="708"/>
      <c r="M34" s="708"/>
      <c r="N34" s="708"/>
      <c r="O34" s="708"/>
      <c r="P34" s="708"/>
      <c r="Q34" s="709"/>
      <c r="R34" s="709"/>
      <c r="S34" s="709"/>
      <c r="T34" s="709"/>
      <c r="U34" s="709"/>
      <c r="V34" s="709"/>
    </row>
    <row r="35" spans="1:22" s="693" customFormat="1" ht="12.75" customHeight="1">
      <c r="A35" s="712" t="s">
        <v>322</v>
      </c>
      <c r="B35" s="708">
        <f t="shared" ref="B35:J35" si="2">B11+B33</f>
        <v>-131670700</v>
      </c>
      <c r="C35" s="708">
        <f t="shared" si="2"/>
        <v>-82520600</v>
      </c>
      <c r="D35" s="708">
        <f t="shared" si="2"/>
        <v>44438000</v>
      </c>
      <c r="E35" s="708">
        <f t="shared" si="2"/>
        <v>72536000</v>
      </c>
      <c r="F35" s="708">
        <f t="shared" si="2"/>
        <v>97627000</v>
      </c>
      <c r="G35" s="708">
        <f t="shared" si="2"/>
        <v>107142425</v>
      </c>
      <c r="H35" s="708">
        <f t="shared" si="2"/>
        <v>74175554</v>
      </c>
      <c r="I35" s="708">
        <f t="shared" si="2"/>
        <v>128083324</v>
      </c>
      <c r="J35" s="708">
        <f t="shared" si="2"/>
        <v>52483436</v>
      </c>
      <c r="K35" s="708">
        <v>-9836053</v>
      </c>
      <c r="L35" s="708">
        <v>545745</v>
      </c>
      <c r="M35" s="708">
        <v>36068751</v>
      </c>
      <c r="N35" s="708">
        <v>69800077</v>
      </c>
      <c r="O35" s="708">
        <v>111720360</v>
      </c>
      <c r="P35" s="708">
        <v>70798668</v>
      </c>
      <c r="Q35" s="709">
        <v>-12070005</v>
      </c>
      <c r="R35" s="709">
        <v>5605460</v>
      </c>
      <c r="S35" s="709">
        <v>10392843</v>
      </c>
      <c r="T35" s="709">
        <v>-37563725</v>
      </c>
      <c r="U35" s="709">
        <v>-62144351</v>
      </c>
      <c r="V35" s="709">
        <v>-57940723</v>
      </c>
    </row>
    <row r="36" spans="1:22" s="693" customFormat="1" ht="12.75" customHeight="1">
      <c r="A36" s="712"/>
      <c r="B36" s="708"/>
      <c r="C36" s="708"/>
      <c r="D36" s="708"/>
      <c r="E36" s="708"/>
      <c r="F36" s="708"/>
      <c r="G36" s="708"/>
      <c r="H36" s="708"/>
      <c r="I36" s="708"/>
      <c r="J36" s="708"/>
      <c r="K36" s="708"/>
      <c r="L36" s="708"/>
      <c r="M36" s="708"/>
      <c r="N36" s="708"/>
      <c r="O36" s="708"/>
      <c r="P36" s="708"/>
      <c r="Q36" s="709"/>
      <c r="R36" s="709"/>
      <c r="S36" s="709"/>
      <c r="T36" s="709"/>
      <c r="U36" s="709"/>
      <c r="V36" s="709"/>
    </row>
    <row r="37" spans="1:22" s="693" customFormat="1">
      <c r="A37" s="712" t="s">
        <v>323</v>
      </c>
      <c r="B37" s="708"/>
      <c r="C37" s="708"/>
      <c r="D37" s="708">
        <v>8374000</v>
      </c>
      <c r="E37" s="708">
        <v>11909000</v>
      </c>
      <c r="F37" s="708">
        <v>14914000</v>
      </c>
      <c r="G37" s="708">
        <v>18776994</v>
      </c>
      <c r="H37" s="708">
        <v>8221590</v>
      </c>
      <c r="I37" s="708">
        <v>11869228</v>
      </c>
      <c r="J37" s="708">
        <v>5653919</v>
      </c>
      <c r="K37" s="708">
        <v>17519565</v>
      </c>
      <c r="L37" s="708">
        <v>24723730</v>
      </c>
      <c r="M37" s="708">
        <v>45895977</v>
      </c>
      <c r="N37" s="708">
        <v>48448658</v>
      </c>
      <c r="O37" s="708">
        <v>46817735</v>
      </c>
      <c r="P37" s="708">
        <v>34850874</v>
      </c>
      <c r="Q37" s="709">
        <v>29008603</v>
      </c>
      <c r="R37" s="709">
        <v>46105795</v>
      </c>
      <c r="S37" s="709">
        <v>36335390</v>
      </c>
      <c r="T37" s="709">
        <v>43659699</v>
      </c>
      <c r="U37" s="709">
        <v>6874493</v>
      </c>
      <c r="V37" s="709">
        <v>11571266</v>
      </c>
    </row>
    <row r="38" spans="1:22" ht="12.75" customHeight="1">
      <c r="A38" s="703"/>
      <c r="B38" s="705"/>
      <c r="C38" s="705"/>
      <c r="D38" s="705"/>
      <c r="E38" s="705"/>
      <c r="F38" s="705"/>
      <c r="G38" s="705"/>
      <c r="H38" s="705"/>
      <c r="I38" s="705"/>
      <c r="J38" s="705"/>
      <c r="K38" s="705"/>
      <c r="L38" s="705"/>
      <c r="M38" s="705"/>
      <c r="N38" s="705"/>
      <c r="O38" s="705"/>
      <c r="P38" s="705"/>
      <c r="Q38" s="707"/>
      <c r="R38" s="707"/>
      <c r="S38" s="707"/>
      <c r="T38" s="707"/>
      <c r="U38" s="707"/>
      <c r="V38" s="707"/>
    </row>
    <row r="39" spans="1:22" ht="12.75" customHeight="1">
      <c r="A39" s="712" t="s">
        <v>324</v>
      </c>
      <c r="B39" s="708"/>
      <c r="C39" s="708"/>
      <c r="D39" s="708"/>
      <c r="E39" s="708"/>
      <c r="F39" s="708"/>
      <c r="G39" s="708"/>
      <c r="H39" s="708"/>
      <c r="I39" s="708"/>
      <c r="J39" s="708"/>
      <c r="K39" s="708"/>
      <c r="L39" s="708"/>
      <c r="M39" s="708"/>
      <c r="N39" s="708"/>
      <c r="O39" s="708"/>
      <c r="P39" s="708"/>
      <c r="Q39" s="709"/>
      <c r="R39" s="709"/>
      <c r="S39" s="709"/>
      <c r="T39" s="709"/>
      <c r="U39" s="709"/>
      <c r="V39" s="709"/>
    </row>
    <row r="40" spans="1:22" ht="12.75" customHeight="1">
      <c r="A40" s="703" t="s">
        <v>2049</v>
      </c>
      <c r="B40" s="705"/>
      <c r="C40" s="705"/>
      <c r="D40" s="705"/>
      <c r="E40" s="705"/>
      <c r="F40" s="705">
        <v>0</v>
      </c>
      <c r="G40" s="705">
        <v>0</v>
      </c>
      <c r="H40" s="705">
        <v>0</v>
      </c>
      <c r="I40" s="705">
        <v>0</v>
      </c>
      <c r="J40" s="705">
        <v>0</v>
      </c>
      <c r="K40" s="705">
        <v>-34557622</v>
      </c>
      <c r="L40" s="705">
        <v>-48785303</v>
      </c>
      <c r="M40" s="705">
        <v>-66906272</v>
      </c>
      <c r="N40" s="705">
        <v>-28123236</v>
      </c>
      <c r="O40" s="705">
        <v>-54136719</v>
      </c>
      <c r="P40" s="705">
        <v>-75909463</v>
      </c>
      <c r="Q40" s="707">
        <v>-5494526</v>
      </c>
      <c r="R40" s="707">
        <v>-12140914</v>
      </c>
      <c r="S40" s="707">
        <v>-35241944</v>
      </c>
      <c r="T40" s="707">
        <v>-20044515</v>
      </c>
      <c r="U40" s="707">
        <v>-17893997</v>
      </c>
      <c r="V40" s="707">
        <v>-32075098</v>
      </c>
    </row>
    <row r="41" spans="1:22">
      <c r="A41" s="703" t="s">
        <v>325</v>
      </c>
      <c r="B41" s="705">
        <v>59668700</v>
      </c>
      <c r="C41" s="705">
        <v>71526800</v>
      </c>
      <c r="D41" s="705">
        <v>105460000</v>
      </c>
      <c r="E41" s="705">
        <v>66633000</v>
      </c>
      <c r="F41" s="705">
        <v>78536000</v>
      </c>
      <c r="G41" s="705">
        <v>85331156</v>
      </c>
      <c r="H41" s="705">
        <v>107330581</v>
      </c>
      <c r="I41" s="705">
        <v>48272034</v>
      </c>
      <c r="J41" s="705">
        <v>87194522</v>
      </c>
      <c r="K41" s="705">
        <v>8979585</v>
      </c>
      <c r="L41" s="705">
        <v>8233134</v>
      </c>
      <c r="M41" s="705">
        <v>22468890</v>
      </c>
      <c r="N41" s="705">
        <v>15391392</v>
      </c>
      <c r="O41" s="705">
        <v>24961616</v>
      </c>
      <c r="P41" s="705">
        <v>63624087</v>
      </c>
      <c r="Q41" s="707">
        <v>17152042</v>
      </c>
      <c r="R41" s="707">
        <v>16495904</v>
      </c>
      <c r="S41" s="707">
        <v>32712316</v>
      </c>
      <c r="T41" s="707">
        <v>16068514</v>
      </c>
      <c r="U41" s="707">
        <v>49935332</v>
      </c>
      <c r="V41" s="707">
        <v>11943115</v>
      </c>
    </row>
    <row r="42" spans="1:22">
      <c r="A42" s="703" t="s">
        <v>326</v>
      </c>
      <c r="B42" s="705">
        <v>-148230200</v>
      </c>
      <c r="C42" s="705">
        <v>-178348200</v>
      </c>
      <c r="D42" s="705">
        <v>-203392000</v>
      </c>
      <c r="E42" s="705">
        <v>-176178000</v>
      </c>
      <c r="F42" s="705">
        <v>-222460000</v>
      </c>
      <c r="G42" s="705">
        <v>-152677789</v>
      </c>
      <c r="H42" s="705">
        <v>-164516788</v>
      </c>
      <c r="I42" s="705">
        <v>-135719436</v>
      </c>
      <c r="J42" s="705">
        <v>-124631038</v>
      </c>
      <c r="K42" s="705">
        <v>-1056233</v>
      </c>
      <c r="L42" s="705">
        <v>-3131151</v>
      </c>
      <c r="M42" s="705">
        <v>-865353</v>
      </c>
      <c r="N42" s="705">
        <v>-1601602</v>
      </c>
      <c r="O42" s="705">
        <v>-1916748</v>
      </c>
      <c r="P42" s="705">
        <v>-1519215</v>
      </c>
      <c r="Q42" s="707">
        <v>-1906071</v>
      </c>
      <c r="R42" s="707">
        <v>-2071439</v>
      </c>
      <c r="S42" s="707">
        <v>-1464108</v>
      </c>
      <c r="T42" s="707">
        <v>-1495483</v>
      </c>
      <c r="U42" s="707">
        <v>-656049</v>
      </c>
      <c r="V42" s="707">
        <v>-1270482</v>
      </c>
    </row>
    <row r="43" spans="1:22">
      <c r="A43" s="712" t="s">
        <v>327</v>
      </c>
      <c r="B43" s="708">
        <f>SUM(B41:B42)</f>
        <v>-88561500</v>
      </c>
      <c r="C43" s="708">
        <f>SUM(C41:C42)</f>
        <v>-106821400</v>
      </c>
      <c r="D43" s="708">
        <f>SUM(D41:D42)</f>
        <v>-97932000</v>
      </c>
      <c r="E43" s="708">
        <f>SUM(E41:E42)</f>
        <v>-109545000</v>
      </c>
      <c r="F43" s="708">
        <v>-143924000</v>
      </c>
      <c r="G43" s="708">
        <v>-67346633</v>
      </c>
      <c r="H43" s="708">
        <v>-57186207</v>
      </c>
      <c r="I43" s="708">
        <v>-87447402</v>
      </c>
      <c r="J43" s="708">
        <v>-37436516</v>
      </c>
      <c r="K43" s="708">
        <v>-26634270</v>
      </c>
      <c r="L43" s="708">
        <v>-43683320</v>
      </c>
      <c r="M43" s="708">
        <v>-45302735</v>
      </c>
      <c r="N43" s="708">
        <v>-14333446</v>
      </c>
      <c r="O43" s="708">
        <v>-31091851</v>
      </c>
      <c r="P43" s="708">
        <v>-13804591</v>
      </c>
      <c r="Q43" s="709">
        <v>9751445</v>
      </c>
      <c r="R43" s="709">
        <v>2283551</v>
      </c>
      <c r="S43" s="709">
        <v>-3993736</v>
      </c>
      <c r="T43" s="709">
        <v>-5471484</v>
      </c>
      <c r="U43" s="709">
        <v>31385286</v>
      </c>
      <c r="V43" s="709">
        <v>-21402465</v>
      </c>
    </row>
    <row r="44" spans="1:22">
      <c r="A44" s="703"/>
      <c r="B44" s="705"/>
      <c r="C44" s="705"/>
      <c r="D44" s="705"/>
      <c r="E44" s="705"/>
      <c r="F44" s="705"/>
      <c r="G44" s="705"/>
      <c r="H44" s="705"/>
      <c r="I44" s="705"/>
      <c r="J44" s="705"/>
      <c r="K44" s="705"/>
      <c r="L44" s="705"/>
      <c r="M44" s="705"/>
      <c r="N44" s="705"/>
      <c r="O44" s="705"/>
      <c r="P44" s="705"/>
      <c r="Q44" s="707"/>
      <c r="R44" s="707"/>
      <c r="S44" s="707"/>
      <c r="T44" s="707"/>
      <c r="U44" s="707"/>
      <c r="V44" s="707"/>
    </row>
    <row r="45" spans="1:22">
      <c r="A45" s="712" t="s">
        <v>328</v>
      </c>
      <c r="B45" s="708">
        <f>B35+B37+B43</f>
        <v>-220232200</v>
      </c>
      <c r="C45" s="708">
        <f>C35+C37+C43</f>
        <v>-189342000</v>
      </c>
      <c r="D45" s="708">
        <f>D35+D37+D43</f>
        <v>-45120000</v>
      </c>
      <c r="E45" s="708">
        <f>E35+E37+E43</f>
        <v>-25100000</v>
      </c>
      <c r="F45" s="708">
        <f>F35+F37+F43</f>
        <v>-31383000</v>
      </c>
      <c r="G45" s="708">
        <f>G11+G23+G31+G37+G43</f>
        <v>58572786</v>
      </c>
      <c r="H45" s="708">
        <v>25210937</v>
      </c>
      <c r="I45" s="708">
        <v>52505150</v>
      </c>
      <c r="J45" s="708">
        <v>20700839</v>
      </c>
      <c r="K45" s="708">
        <v>-18950758</v>
      </c>
      <c r="L45" s="708">
        <v>-18413845</v>
      </c>
      <c r="M45" s="708">
        <v>36661993</v>
      </c>
      <c r="N45" s="708">
        <v>103915289</v>
      </c>
      <c r="O45" s="708">
        <v>127446244</v>
      </c>
      <c r="P45" s="708">
        <v>91844951</v>
      </c>
      <c r="Q45" s="709">
        <v>26690043</v>
      </c>
      <c r="R45" s="709">
        <v>53994806</v>
      </c>
      <c r="S45" s="709">
        <v>42734497</v>
      </c>
      <c r="T45" s="709">
        <v>624490</v>
      </c>
      <c r="U45" s="709">
        <v>-23884572</v>
      </c>
      <c r="V45" s="709">
        <v>-67771922</v>
      </c>
    </row>
  </sheetData>
  <printOptions horizontalCentered="1" verticalCentered="1"/>
  <pageMargins left="0.43307086614173229" right="0.23622047244094491" top="0.74803149606299213" bottom="0.74803149606299213" header="0.31496062992125984" footer="0.31496062992125984"/>
  <pageSetup paperSize="9"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96</vt:i4>
      </vt:variant>
      <vt:variant>
        <vt:lpstr>Namngivna områden</vt:lpstr>
      </vt:variant>
      <vt:variant>
        <vt:i4>62</vt:i4>
      </vt:variant>
    </vt:vector>
  </HeadingPairs>
  <TitlesOfParts>
    <vt:vector size="158" baseType="lpstr">
      <vt:lpstr>1</vt:lpstr>
      <vt:lpstr>2</vt:lpstr>
      <vt:lpstr>Diagram 2</vt:lpstr>
      <vt:lpstr>3</vt:lpstr>
      <vt:lpstr>4</vt:lpstr>
      <vt:lpstr>5</vt:lpstr>
      <vt:lpstr>6.1</vt:lpstr>
      <vt:lpstr>6.2</vt:lpstr>
      <vt:lpstr>6.3</vt:lpstr>
      <vt:lpstr>7.1</vt:lpstr>
      <vt:lpstr>7.2</vt:lpstr>
      <vt:lpstr>7.3</vt:lpstr>
      <vt:lpstr>7.4</vt:lpstr>
      <vt:lpstr>8.1</vt:lpstr>
      <vt:lpstr>8.2</vt:lpstr>
      <vt:lpstr>9.1</vt:lpstr>
      <vt:lpstr>9.2</vt:lpstr>
      <vt:lpstr>10.1</vt:lpstr>
      <vt:lpstr>10.2</vt:lpstr>
      <vt:lpstr>10.3</vt:lpstr>
      <vt:lpstr>10.4</vt:lpstr>
      <vt:lpstr>10.5</vt:lpstr>
      <vt:lpstr>11.1</vt:lpstr>
      <vt:lpstr>11.2</vt:lpstr>
      <vt:lpstr>12.1</vt:lpstr>
      <vt:lpstr>12.2</vt:lpstr>
      <vt:lpstr>13.1</vt:lpstr>
      <vt:lpstr>13.2</vt:lpstr>
      <vt:lpstr>14.1</vt:lpstr>
      <vt:lpstr>14.2</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19.1</vt:lpstr>
      <vt:lpstr>19.2</vt:lpstr>
      <vt:lpstr>Diagram 19</vt:lpstr>
      <vt:lpstr>20</vt:lpstr>
      <vt:lpstr>21.1</vt:lpstr>
      <vt:lpstr>21.2</vt:lpstr>
      <vt:lpstr>22.1</vt:lpstr>
      <vt:lpstr>22.2</vt:lpstr>
      <vt:lpstr>Diagram 22</vt:lpstr>
      <vt:lpstr>23.1</vt:lpstr>
      <vt:lpstr>23.2</vt:lpstr>
      <vt:lpstr>24.1</vt:lpstr>
      <vt:lpstr>24.2</vt:lpstr>
      <vt:lpstr>25</vt:lpstr>
      <vt:lpstr>26</vt:lpstr>
      <vt:lpstr>'10.4'!Utskriftsområde</vt:lpstr>
      <vt:lpstr>'10.5'!Utskriftsområde</vt:lpstr>
      <vt:lpstr>'11.1'!Utskriftsområde</vt:lpstr>
      <vt:lpstr>'11.2'!Utskriftsområde</vt:lpstr>
      <vt:lpstr>'12.1'!Utskriftsområde</vt:lpstr>
      <vt:lpstr>'12.2'!Utskriftsområde</vt:lpstr>
      <vt:lpstr>'13.2'!Utskriftsområde</vt:lpstr>
      <vt:lpstr>'14.1'!Utskriftsområde</vt:lpstr>
      <vt:lpstr>'14.2'!Utskriftsområde</vt:lpstr>
      <vt:lpstr>'15.2'!Utskriftsområde</vt:lpstr>
      <vt:lpstr>'18.1'!Utskriftsområde</vt:lpstr>
      <vt:lpstr>'18.10'!Utskriftsområde</vt:lpstr>
      <vt:lpstr>'18.11'!Utskriftsområde</vt:lpstr>
      <vt:lpstr>'18.12'!Utskriftsområde</vt:lpstr>
      <vt:lpstr>'18.13'!Utskriftsområde</vt:lpstr>
      <vt:lpstr>'18.14'!Utskriftsområde</vt:lpstr>
      <vt:lpstr>'18.2'!Utskriftsområde</vt:lpstr>
      <vt:lpstr>'18.3'!Utskriftsområde</vt:lpstr>
      <vt:lpstr>'18.4'!Utskriftsområde</vt:lpstr>
      <vt:lpstr>'18.5'!Utskriftsområde</vt:lpstr>
      <vt:lpstr>'18.6'!Utskriftsområde</vt:lpstr>
      <vt:lpstr>'18.7'!Utskriftsområde</vt:lpstr>
      <vt:lpstr>'18.8'!Utskriftsområde</vt:lpstr>
      <vt:lpstr>'2'!Utskriftsområde</vt:lpstr>
      <vt:lpstr>'20'!Utskriftsområde</vt:lpstr>
      <vt:lpstr>'21.1'!Utskriftsområde</vt:lpstr>
      <vt:lpstr>'22.1'!Utskriftsområde</vt:lpstr>
      <vt:lpstr>'22.2'!Utskriftsområde</vt:lpstr>
      <vt:lpstr>'23.1'!Utskriftsområde</vt:lpstr>
      <vt:lpstr>'23.2'!Utskriftsområde</vt:lpstr>
      <vt:lpstr>'24.1'!Utskriftsområde</vt:lpstr>
      <vt:lpstr>'24.2'!Utskriftsområde</vt:lpstr>
      <vt:lpstr>'25'!Utskriftsområde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19'!Utskriftsområde</vt:lpstr>
      <vt:lpstr>'Diagram 2'!Utskriftsområde</vt:lpstr>
      <vt:lpstr>'Diagram 22'!Utskriftsområde</vt:lpstr>
      <vt:lpstr>'1'!Utskriftsrubriker</vt:lpstr>
      <vt:lpstr>'10.4'!Utskriftsrubriker</vt:lpstr>
      <vt:lpstr>'11.1'!Utskriftsrubriker</vt:lpstr>
      <vt:lpstr>'11.2'!Utskriftsrubriker</vt:lpstr>
      <vt:lpstr>'14.1'!Utskriftsrubriker</vt:lpstr>
      <vt:lpstr>'14.2'!Utskriftsrubriker</vt:lpstr>
      <vt:lpstr>'15.1'!Utskriftsrubriker</vt:lpstr>
      <vt:lpstr>'15.2'!Utskriftsrubriker</vt:lpstr>
      <vt:lpstr>'4'!Utskriftsrubriker</vt:lpstr>
      <vt:lpstr>'6.1'!Utskriftsrubriker</vt:lpstr>
      <vt:lpstr>'6.2'!Utskriftsrubriker</vt:lpstr>
      <vt:lpstr>'6.3'!Utskriftsrubriker</vt:lpstr>
      <vt:lpstr>'7.1'!Utskriftsrubriker</vt:lpstr>
      <vt:lpstr>'7.2'!Utskriftsrubriker</vt:lpstr>
      <vt:lpstr>'7.3'!Utskriftsrubriker</vt:lpstr>
      <vt:lpstr>'7.4'!Utskriftsrubriker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 Davidson</dc:creator>
  <cp:lastModifiedBy>Michael Lemdal</cp:lastModifiedBy>
  <cp:lastPrinted>2015-06-11T07:18:32Z</cp:lastPrinted>
  <dcterms:created xsi:type="dcterms:W3CDTF">2001-03-30T06:47:32Z</dcterms:created>
  <dcterms:modified xsi:type="dcterms:W3CDTF">2015-06-15T09:05:36Z</dcterms:modified>
</cp:coreProperties>
</file>