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790" yWindow="600" windowWidth="15285" windowHeight="11805"/>
  </bookViews>
  <sheets>
    <sheet name="Försvaret" sheetId="14" r:id="rId1"/>
  </sheets>
  <definedNames>
    <definedName name="_xlnm.Print_Area" localSheetId="0">Försvaret!$A$1:$CW$109</definedName>
    <definedName name="_xlnm.Print_Titles" localSheetId="0">Försvaret!$1:$4</definedName>
  </definedNames>
  <calcPr calcId="145621"/>
</workbook>
</file>

<file path=xl/calcChain.xml><?xml version="1.0" encoding="utf-8"?>
<calcChain xmlns="http://schemas.openxmlformats.org/spreadsheetml/2006/main">
  <c r="CS83" i="14" l="1"/>
  <c r="CM37" i="14" l="1"/>
  <c r="CS8" i="14"/>
  <c r="CS90" i="14" s="1"/>
  <c r="CT90" i="14" s="1"/>
  <c r="CU90" i="14" s="1"/>
  <c r="CK86" i="14"/>
  <c r="CK55" i="14"/>
  <c r="CS85" i="14"/>
  <c r="CS74" i="14"/>
  <c r="CT74" i="14" s="1"/>
  <c r="CU74" i="14" s="1"/>
  <c r="CS72" i="14"/>
  <c r="CT72" i="14" s="1"/>
  <c r="CS70" i="14"/>
  <c r="CS79" i="14"/>
  <c r="CS65" i="14"/>
  <c r="CT65" i="14" s="1"/>
  <c r="CU65" i="14" s="1"/>
  <c r="CS59" i="14"/>
  <c r="CS63" i="14" s="1"/>
  <c r="CT63" i="14" s="1"/>
  <c r="CU63" i="14" s="1"/>
  <c r="CS49" i="14"/>
  <c r="CS43" i="14"/>
  <c r="CT43" i="14" s="1"/>
  <c r="CU43" i="14" s="1"/>
  <c r="CS35" i="14"/>
  <c r="CT35" i="14" s="1"/>
  <c r="CU35" i="14" s="1"/>
  <c r="CS23" i="14"/>
  <c r="CS20" i="14"/>
  <c r="CT94" i="14"/>
  <c r="CU94" i="14" s="1"/>
  <c r="CT83" i="14"/>
  <c r="CU83" i="14" s="1"/>
  <c r="CT80" i="14"/>
  <c r="CU80" i="14" s="1"/>
  <c r="CT79" i="14"/>
  <c r="CU79" i="14" s="1"/>
  <c r="CT77" i="14"/>
  <c r="CT76" i="14"/>
  <c r="CU76" i="14" s="1"/>
  <c r="CT75" i="14"/>
  <c r="CU75" i="14" s="1"/>
  <c r="CT73" i="14"/>
  <c r="CT71" i="14"/>
  <c r="CU71" i="14" s="1"/>
  <c r="CT70" i="14"/>
  <c r="CU70" i="14" s="1"/>
  <c r="CT67" i="14"/>
  <c r="CU67" i="14" s="1"/>
  <c r="CT66" i="14"/>
  <c r="CT61" i="14"/>
  <c r="CU61" i="14" s="1"/>
  <c r="CT60" i="14"/>
  <c r="CU60" i="14" s="1"/>
  <c r="CT59" i="14"/>
  <c r="CU59" i="14" s="1"/>
  <c r="CT55" i="14"/>
  <c r="CU55" i="14" s="1"/>
  <c r="CT54" i="14"/>
  <c r="CU54" i="14" s="1"/>
  <c r="CT53" i="14"/>
  <c r="CU53" i="14" s="1"/>
  <c r="CT52" i="14"/>
  <c r="CU52" i="14" s="1"/>
  <c r="CT51" i="14"/>
  <c r="CU51" i="14" s="1"/>
  <c r="CT50" i="14"/>
  <c r="CU50" i="14" s="1"/>
  <c r="CT45" i="14"/>
  <c r="CU45" i="14" s="1"/>
  <c r="CT44" i="14"/>
  <c r="CU44" i="14" s="1"/>
  <c r="CT41" i="14"/>
  <c r="CU41" i="14" s="1"/>
  <c r="CT40" i="14"/>
  <c r="CU40" i="14" s="1"/>
  <c r="CT39" i="14"/>
  <c r="CU39" i="14" s="1"/>
  <c r="CT38" i="14"/>
  <c r="CU38" i="14" s="1"/>
  <c r="CT37" i="14"/>
  <c r="CU37" i="14" s="1"/>
  <c r="CT36" i="14"/>
  <c r="CU36" i="14" s="1"/>
  <c r="CT33" i="14"/>
  <c r="CT32" i="14"/>
  <c r="CT31" i="14"/>
  <c r="CU31" i="14" s="1"/>
  <c r="CT30" i="14"/>
  <c r="CU30" i="14" s="1"/>
  <c r="CT29" i="14"/>
  <c r="CT28" i="14"/>
  <c r="CU28" i="14" s="1"/>
  <c r="CT27" i="14"/>
  <c r="CU27" i="14" s="1"/>
  <c r="CT26" i="14"/>
  <c r="CU26" i="14" s="1"/>
  <c r="CT25" i="14"/>
  <c r="CU25" i="14" s="1"/>
  <c r="CT24" i="14"/>
  <c r="CU24" i="14" s="1"/>
  <c r="CT20" i="14"/>
  <c r="CT8" i="14"/>
  <c r="CU8" i="14" s="1"/>
  <c r="CT7" i="14"/>
  <c r="CU7" i="14" s="1"/>
  <c r="CT6" i="14"/>
  <c r="CU6" i="14" s="1"/>
  <c r="CS14" i="14"/>
  <c r="CT14" i="14" s="1"/>
  <c r="CU14" i="14" s="1"/>
  <c r="CS57" i="14" l="1"/>
  <c r="CS47" i="14"/>
  <c r="CT47" i="14" s="1"/>
  <c r="CU47" i="14" s="1"/>
  <c r="CT23" i="14"/>
  <c r="CU23" i="14" s="1"/>
  <c r="CS15" i="14"/>
  <c r="CT86" i="14"/>
  <c r="CU86" i="14" s="1"/>
  <c r="CS69" i="14"/>
  <c r="CT69" i="14" s="1"/>
  <c r="CU69" i="14" s="1"/>
  <c r="CS13" i="14"/>
  <c r="CT13" i="14" s="1"/>
  <c r="CU13" i="14" s="1"/>
  <c r="CQ24" i="14"/>
  <c r="CS88" i="14" l="1"/>
  <c r="CS92" i="14" s="1"/>
  <c r="CS12" i="14"/>
  <c r="CS11" i="14"/>
  <c r="CT11" i="14" s="1"/>
  <c r="CU11" i="14" s="1"/>
  <c r="CL52" i="14"/>
  <c r="CL50" i="14"/>
  <c r="CJ52" i="14"/>
  <c r="CJ50" i="14"/>
  <c r="CS16" i="14" l="1"/>
  <c r="CV6" i="14" l="1"/>
  <c r="CV7" i="14"/>
  <c r="CV24" i="14"/>
  <c r="CV25" i="14"/>
  <c r="CV27" i="14"/>
  <c r="CV28" i="14"/>
  <c r="CV29" i="14"/>
  <c r="CV30" i="14"/>
  <c r="CV31" i="14"/>
  <c r="CV32" i="14"/>
  <c r="CV33" i="14"/>
  <c r="CV36" i="14"/>
  <c r="CV37" i="14"/>
  <c r="CV38" i="14"/>
  <c r="CV39" i="14"/>
  <c r="CV40" i="14"/>
  <c r="CV41" i="14"/>
  <c r="CV44" i="14"/>
  <c r="CV45" i="14"/>
  <c r="CV50" i="14"/>
  <c r="CV51" i="14"/>
  <c r="CV52" i="14"/>
  <c r="CV53" i="14"/>
  <c r="CV54" i="14"/>
  <c r="CV55" i="14"/>
  <c r="CV60" i="14"/>
  <c r="CV61" i="14"/>
  <c r="CV66" i="14"/>
  <c r="CV71" i="14"/>
  <c r="CV73" i="14"/>
  <c r="CV75" i="14"/>
  <c r="CV77" i="14"/>
  <c r="CV80" i="14"/>
  <c r="CV86" i="14"/>
  <c r="CV94" i="14"/>
  <c r="CQ85" i="14"/>
  <c r="CQ79" i="14"/>
  <c r="CQ74" i="14"/>
  <c r="CQ72" i="14"/>
  <c r="CQ70" i="14"/>
  <c r="CQ65" i="14"/>
  <c r="CQ59" i="14"/>
  <c r="CQ63" i="14" s="1"/>
  <c r="CQ13" i="14" s="1"/>
  <c r="CQ49" i="14"/>
  <c r="CQ57" i="14" s="1"/>
  <c r="CQ12" i="14" s="1"/>
  <c r="CQ43" i="14"/>
  <c r="CQ35" i="14"/>
  <c r="CQ23" i="14"/>
  <c r="CQ20" i="14"/>
  <c r="CQ15" i="14"/>
  <c r="CQ8" i="14"/>
  <c r="CQ90" i="14" s="1"/>
  <c r="CR94" i="14"/>
  <c r="CR86" i="14"/>
  <c r="CR80" i="14"/>
  <c r="CR77" i="14"/>
  <c r="CR75" i="14"/>
  <c r="CR73" i="14"/>
  <c r="CR71" i="14"/>
  <c r="CR66" i="14"/>
  <c r="CR61" i="14"/>
  <c r="CR60" i="14"/>
  <c r="CR55" i="14"/>
  <c r="CR54" i="14"/>
  <c r="CR53" i="14"/>
  <c r="CR52" i="14"/>
  <c r="CR51" i="14"/>
  <c r="CR50" i="14"/>
  <c r="CR45" i="14"/>
  <c r="CR44" i="14"/>
  <c r="CR41" i="14"/>
  <c r="CR40" i="14"/>
  <c r="CR39" i="14"/>
  <c r="CR38" i="14"/>
  <c r="CR37" i="14"/>
  <c r="CR36" i="14"/>
  <c r="CR33" i="14"/>
  <c r="CR32" i="14"/>
  <c r="CR31" i="14"/>
  <c r="CR30" i="14"/>
  <c r="CR29" i="14"/>
  <c r="CR28" i="14"/>
  <c r="CR27" i="14"/>
  <c r="CR26" i="14"/>
  <c r="CR25" i="14"/>
  <c r="CR24" i="14"/>
  <c r="CR7" i="14"/>
  <c r="CR6" i="14"/>
  <c r="CW39" i="14" l="1"/>
  <c r="CW75" i="14"/>
  <c r="CW37" i="14"/>
  <c r="CW41" i="14"/>
  <c r="CW71" i="14"/>
  <c r="CW80" i="14"/>
  <c r="CW7" i="14"/>
  <c r="CW55" i="14"/>
  <c r="CW51" i="14"/>
  <c r="CW31" i="14"/>
  <c r="CW27" i="14"/>
  <c r="CW94" i="14"/>
  <c r="CW61" i="14"/>
  <c r="CW53" i="14"/>
  <c r="CW45" i="14"/>
  <c r="CW29" i="14"/>
  <c r="CW25" i="14"/>
  <c r="CW30" i="14"/>
  <c r="CW50" i="14"/>
  <c r="CW66" i="14"/>
  <c r="CW24" i="14"/>
  <c r="CW28" i="14"/>
  <c r="CW52" i="14"/>
  <c r="CW38" i="14"/>
  <c r="CQ69" i="14"/>
  <c r="CQ47" i="14"/>
  <c r="CW6" i="14" l="1"/>
  <c r="CW86" i="14"/>
  <c r="CW44" i="14"/>
  <c r="CW40" i="14"/>
  <c r="CW54" i="14"/>
  <c r="CW36" i="14"/>
  <c r="CW60" i="14"/>
  <c r="CQ11" i="14"/>
  <c r="CQ83" i="14"/>
  <c r="CQ88" i="14"/>
  <c r="CQ92" i="14" l="1"/>
  <c r="CQ14" i="14"/>
  <c r="CP70" i="14"/>
  <c r="CP72" i="14"/>
  <c r="CP74" i="14"/>
  <c r="CP79" i="14"/>
  <c r="CP85" i="14"/>
  <c r="CP65" i="14"/>
  <c r="CP59" i="14"/>
  <c r="CP49" i="14"/>
  <c r="CP43" i="14"/>
  <c r="CP35" i="14"/>
  <c r="CP23" i="14"/>
  <c r="CP20" i="14"/>
  <c r="CP15" i="14"/>
  <c r="CP8" i="14"/>
  <c r="CP57" i="14" l="1"/>
  <c r="CP63" i="14"/>
  <c r="CP90" i="14"/>
  <c r="CQ16" i="14"/>
  <c r="CP69" i="14"/>
  <c r="CP47" i="14"/>
  <c r="CJ67" i="14"/>
  <c r="CP13" i="14" l="1"/>
  <c r="CP12" i="14"/>
  <c r="CP88" i="14"/>
  <c r="CP11" i="14"/>
  <c r="CP83" i="14"/>
  <c r="CL65" i="14"/>
  <c r="CI65" i="14"/>
  <c r="CH65" i="14"/>
  <c r="CG65" i="14"/>
  <c r="CJ65" i="14"/>
  <c r="CK66" i="14"/>
  <c r="CM67" i="14"/>
  <c r="CV67" i="14" s="1"/>
  <c r="CF76" i="14"/>
  <c r="CF74" i="14" s="1"/>
  <c r="CJ76" i="14"/>
  <c r="CI74" i="14"/>
  <c r="CG74" i="14"/>
  <c r="CH76" i="14"/>
  <c r="CH74" i="14" s="1"/>
  <c r="CK75" i="14"/>
  <c r="CM76" i="14"/>
  <c r="CM74" i="14" s="1"/>
  <c r="CL76" i="14"/>
  <c r="CM85" i="14"/>
  <c r="CM79" i="14"/>
  <c r="CM72" i="14"/>
  <c r="CM70" i="14"/>
  <c r="CM59" i="14"/>
  <c r="CM49" i="14"/>
  <c r="CM57" i="14" s="1"/>
  <c r="CM12" i="14" s="1"/>
  <c r="CM43" i="14"/>
  <c r="CM35" i="14"/>
  <c r="CM23" i="14"/>
  <c r="CM20" i="14"/>
  <c r="CM15" i="14"/>
  <c r="CM8" i="14"/>
  <c r="CM90" i="14" s="1"/>
  <c r="CV76" i="14" l="1"/>
  <c r="CJ74" i="14"/>
  <c r="CR67" i="14"/>
  <c r="CW67" i="14" s="1"/>
  <c r="CL74" i="14"/>
  <c r="CR76" i="14"/>
  <c r="CP92" i="14"/>
  <c r="CM65" i="14"/>
  <c r="CR65" i="14" s="1"/>
  <c r="CP14" i="14"/>
  <c r="CM69" i="14"/>
  <c r="CM63" i="14"/>
  <c r="CM47" i="14"/>
  <c r="CL20" i="14"/>
  <c r="CL85" i="14"/>
  <c r="CT85" i="14" s="1"/>
  <c r="CU85" i="14" s="1"/>
  <c r="CL79" i="14"/>
  <c r="CL72" i="14"/>
  <c r="CL70" i="14"/>
  <c r="CL59" i="14"/>
  <c r="CL49" i="14"/>
  <c r="CT49" i="14" s="1"/>
  <c r="CU49" i="14" s="1"/>
  <c r="CL43" i="14"/>
  <c r="CL35" i="14"/>
  <c r="CL23" i="14"/>
  <c r="CL15" i="14"/>
  <c r="CT15" i="14" s="1"/>
  <c r="CU15" i="14" s="1"/>
  <c r="CL8" i="14"/>
  <c r="CV65" i="14" l="1"/>
  <c r="CW65" i="14" s="1"/>
  <c r="CV74" i="14"/>
  <c r="CW76" i="14"/>
  <c r="CR15" i="14"/>
  <c r="CR49" i="14"/>
  <c r="CR79" i="14"/>
  <c r="CR23" i="14"/>
  <c r="CR59" i="14"/>
  <c r="CR85" i="14"/>
  <c r="CR35" i="14"/>
  <c r="CR70" i="14"/>
  <c r="CR20" i="14"/>
  <c r="CR74" i="14"/>
  <c r="CR8" i="14"/>
  <c r="CR43" i="14"/>
  <c r="CR72" i="14"/>
  <c r="CL57" i="14"/>
  <c r="CT57" i="14" s="1"/>
  <c r="CU57" i="14" s="1"/>
  <c r="CL63" i="14"/>
  <c r="CP16" i="14"/>
  <c r="CM88" i="14"/>
  <c r="CM83" i="14"/>
  <c r="CM13" i="14"/>
  <c r="CM11" i="14"/>
  <c r="CL90" i="14"/>
  <c r="CL69" i="14"/>
  <c r="CL47" i="14"/>
  <c r="CJ20" i="14"/>
  <c r="CJ15" i="14"/>
  <c r="CJ8" i="14"/>
  <c r="CJ85" i="14"/>
  <c r="CJ79" i="14"/>
  <c r="CJ72" i="14"/>
  <c r="CJ70" i="14"/>
  <c r="CJ59" i="14"/>
  <c r="CJ49" i="14"/>
  <c r="CJ43" i="14"/>
  <c r="CJ23" i="14"/>
  <c r="CJ35" i="14"/>
  <c r="CK94" i="14"/>
  <c r="CK80" i="14"/>
  <c r="CK77" i="14"/>
  <c r="CK76" i="14"/>
  <c r="CK73" i="14"/>
  <c r="CK71" i="14"/>
  <c r="CK67" i="14"/>
  <c r="CK61" i="14"/>
  <c r="CK60" i="14"/>
  <c r="CK54" i="14"/>
  <c r="CK53" i="14"/>
  <c r="CK52" i="14"/>
  <c r="CK51" i="14"/>
  <c r="CK50" i="14"/>
  <c r="CK45" i="14"/>
  <c r="CK44" i="14"/>
  <c r="CK41" i="14"/>
  <c r="CK40" i="14"/>
  <c r="CK39" i="14"/>
  <c r="CK38" i="14"/>
  <c r="CK37" i="14"/>
  <c r="CK36" i="14"/>
  <c r="CK33" i="14"/>
  <c r="CK32" i="14"/>
  <c r="CK31" i="14"/>
  <c r="CK30" i="14"/>
  <c r="CK29" i="14"/>
  <c r="CK28" i="14"/>
  <c r="CK27" i="14"/>
  <c r="CK25" i="14"/>
  <c r="CK24" i="14"/>
  <c r="CK7" i="14"/>
  <c r="CK6" i="14"/>
  <c r="CR90" i="14" l="1"/>
  <c r="CJ57" i="14"/>
  <c r="CJ63" i="14"/>
  <c r="CR47" i="14"/>
  <c r="CR63" i="14"/>
  <c r="CJ90" i="14"/>
  <c r="CR69" i="14"/>
  <c r="CR57" i="14"/>
  <c r="CL12" i="14"/>
  <c r="CT12" i="14" s="1"/>
  <c r="CU12" i="14" s="1"/>
  <c r="CL13" i="14"/>
  <c r="CL83" i="14"/>
  <c r="CM92" i="14"/>
  <c r="CM14" i="14"/>
  <c r="CM16" i="14" s="1"/>
  <c r="CL88" i="14"/>
  <c r="CT88" i="14" s="1"/>
  <c r="CU88" i="14" s="1"/>
  <c r="CL11" i="14"/>
  <c r="CJ69" i="14"/>
  <c r="CJ47" i="14"/>
  <c r="CE112" i="14"/>
  <c r="CC112" i="14"/>
  <c r="CD115" i="14"/>
  <c r="CE115" i="14"/>
  <c r="CI85" i="14"/>
  <c r="CI79" i="14"/>
  <c r="CI72" i="14"/>
  <c r="CI70" i="14"/>
  <c r="CI59" i="14"/>
  <c r="CI49" i="14"/>
  <c r="CI43" i="14"/>
  <c r="CI35" i="14"/>
  <c r="CI23" i="14"/>
  <c r="CI20" i="14"/>
  <c r="CI15" i="14"/>
  <c r="CI8" i="14"/>
  <c r="CW74" i="14" l="1"/>
  <c r="CJ83" i="14"/>
  <c r="CR11" i="14"/>
  <c r="CJ12" i="14"/>
  <c r="CR88" i="14"/>
  <c r="CR13" i="14"/>
  <c r="CJ11" i="14"/>
  <c r="CR12" i="14"/>
  <c r="CJ13" i="14"/>
  <c r="CL14" i="14"/>
  <c r="CR83" i="14"/>
  <c r="CI90" i="14"/>
  <c r="CL92" i="14"/>
  <c r="CT92" i="14" s="1"/>
  <c r="CU92" i="14" s="1"/>
  <c r="CI57" i="14"/>
  <c r="CJ88" i="14"/>
  <c r="CI63" i="14"/>
  <c r="CI69" i="14"/>
  <c r="CI47" i="14"/>
  <c r="CR14" i="14" l="1"/>
  <c r="CR92" i="14"/>
  <c r="CJ14" i="14"/>
  <c r="CJ92" i="14"/>
  <c r="CL16" i="14"/>
  <c r="CT16" i="14" s="1"/>
  <c r="CU16" i="14" s="1"/>
  <c r="CI12" i="14"/>
  <c r="CI83" i="14"/>
  <c r="CI88" i="14"/>
  <c r="CI13" i="14"/>
  <c r="CI11" i="14"/>
  <c r="CJ16" i="14" l="1"/>
  <c r="CR16" i="14"/>
  <c r="CI14" i="14"/>
  <c r="CI92" i="14"/>
  <c r="CH26" i="14"/>
  <c r="CH49" i="14"/>
  <c r="CG49" i="14"/>
  <c r="CE49" i="14"/>
  <c r="CD49" i="14"/>
  <c r="CC49" i="14"/>
  <c r="CB49" i="14"/>
  <c r="CF55" i="14"/>
  <c r="CH85" i="14"/>
  <c r="CH79" i="14"/>
  <c r="CH72" i="14"/>
  <c r="CH70" i="14"/>
  <c r="CH59" i="14"/>
  <c r="CH63" i="14" s="1"/>
  <c r="CH43" i="14"/>
  <c r="CH35" i="14"/>
  <c r="CH8" i="14"/>
  <c r="CH90" i="14" s="1"/>
  <c r="CH20" i="14"/>
  <c r="CH15" i="14"/>
  <c r="CV49" i="14" l="1"/>
  <c r="CW49" i="14" s="1"/>
  <c r="CV26" i="14"/>
  <c r="CW26" i="14" s="1"/>
  <c r="CI16" i="14"/>
  <c r="CK26" i="14"/>
  <c r="CK49" i="14"/>
  <c r="CH23" i="14"/>
  <c r="CH47" i="14" s="1"/>
  <c r="CH57" i="14"/>
  <c r="CH69" i="14"/>
  <c r="CH13" i="14"/>
  <c r="CB115" i="14"/>
  <c r="CH12" i="14" l="1"/>
  <c r="CH83" i="14"/>
  <c r="CH88" i="14"/>
  <c r="CH11" i="14"/>
  <c r="CG85" i="14"/>
  <c r="CG79" i="14"/>
  <c r="CG72" i="14"/>
  <c r="CG70" i="14"/>
  <c r="CG59" i="14"/>
  <c r="CG57" i="14"/>
  <c r="CG43" i="14"/>
  <c r="CG35" i="14"/>
  <c r="CG23" i="14"/>
  <c r="CG20" i="14"/>
  <c r="CG15" i="14"/>
  <c r="CG8" i="14"/>
  <c r="CV23" i="14" l="1"/>
  <c r="CW23" i="14" s="1"/>
  <c r="CV59" i="14"/>
  <c r="CW59" i="14" s="1"/>
  <c r="CV85" i="14"/>
  <c r="CW85" i="14" s="1"/>
  <c r="CV8" i="14"/>
  <c r="CW8" i="14" s="1"/>
  <c r="CV35" i="14"/>
  <c r="CW35" i="14" s="1"/>
  <c r="CV70" i="14"/>
  <c r="CW70" i="14" s="1"/>
  <c r="CV15" i="14"/>
  <c r="CW15" i="14" s="1"/>
  <c r="CV43" i="14"/>
  <c r="CW43" i="14" s="1"/>
  <c r="CV72" i="14"/>
  <c r="CV20" i="14"/>
  <c r="CV57" i="14"/>
  <c r="CW57" i="14" s="1"/>
  <c r="CV79" i="14"/>
  <c r="CW79" i="14" s="1"/>
  <c r="CH14" i="14"/>
  <c r="CH16" i="14" s="1"/>
  <c r="CH92" i="14"/>
  <c r="CK15" i="14"/>
  <c r="CK70" i="14"/>
  <c r="CK23" i="14"/>
  <c r="CK43" i="14"/>
  <c r="CK59" i="14"/>
  <c r="CK74" i="14"/>
  <c r="CK85" i="14"/>
  <c r="CK8" i="14"/>
  <c r="CK20" i="14"/>
  <c r="CK35" i="14"/>
  <c r="CK57" i="14"/>
  <c r="CK65" i="14"/>
  <c r="CK72" i="14"/>
  <c r="CK79" i="14"/>
  <c r="CG63" i="14"/>
  <c r="CG90" i="14"/>
  <c r="CG69" i="14"/>
  <c r="CG47" i="14"/>
  <c r="CG12" i="14"/>
  <c r="CV90" i="14" l="1"/>
  <c r="CW90" i="14" s="1"/>
  <c r="CV12" i="14"/>
  <c r="CW12" i="14" s="1"/>
  <c r="CV63" i="14"/>
  <c r="CW63" i="14" s="1"/>
  <c r="CV47" i="14"/>
  <c r="CW47" i="14" s="1"/>
  <c r="CV69" i="14"/>
  <c r="CW69" i="14" s="1"/>
  <c r="CK90" i="14"/>
  <c r="CK12" i="14"/>
  <c r="CK69" i="14"/>
  <c r="CK47" i="14"/>
  <c r="CK63" i="14"/>
  <c r="CG13" i="14"/>
  <c r="CG88" i="14"/>
  <c r="CG11" i="14"/>
  <c r="CG83" i="14"/>
  <c r="BQ54" i="14"/>
  <c r="CE74" i="14"/>
  <c r="CE72" i="14"/>
  <c r="CE70" i="14"/>
  <c r="CF94" i="14"/>
  <c r="CE114" i="14" s="1"/>
  <c r="CE116" i="14" s="1"/>
  <c r="CF86" i="14"/>
  <c r="CF80" i="14"/>
  <c r="CF77" i="14"/>
  <c r="CF73" i="14"/>
  <c r="CF71" i="14"/>
  <c r="CF67" i="14"/>
  <c r="CF61" i="14"/>
  <c r="CF60" i="14"/>
  <c r="CF54" i="14"/>
  <c r="CF53" i="14"/>
  <c r="CF52" i="14"/>
  <c r="CF51" i="14"/>
  <c r="CF50" i="14"/>
  <c r="CF45" i="14"/>
  <c r="CF44" i="14"/>
  <c r="CF41" i="14"/>
  <c r="CF40" i="14"/>
  <c r="CF39" i="14"/>
  <c r="CF38" i="14"/>
  <c r="CF37" i="14"/>
  <c r="CF36" i="14"/>
  <c r="CF33" i="14"/>
  <c r="CF32" i="14"/>
  <c r="CF31" i="14"/>
  <c r="CF30" i="14"/>
  <c r="CF29" i="14"/>
  <c r="CF28" i="14"/>
  <c r="CF27" i="14"/>
  <c r="CF26" i="14"/>
  <c r="CF25" i="14"/>
  <c r="CF7" i="14"/>
  <c r="CF6" i="14"/>
  <c r="CE85" i="14"/>
  <c r="CE79" i="14"/>
  <c r="CE65" i="14"/>
  <c r="CE59" i="14"/>
  <c r="CE57" i="14"/>
  <c r="CE43" i="14"/>
  <c r="CE35" i="14"/>
  <c r="CE23" i="14"/>
  <c r="CE20" i="14"/>
  <c r="CE15" i="14"/>
  <c r="CE8" i="14"/>
  <c r="CV13" i="14" l="1"/>
  <c r="CW13" i="14" s="1"/>
  <c r="CV83" i="14"/>
  <c r="CW83" i="14" s="1"/>
  <c r="CV11" i="14"/>
  <c r="CW11" i="14" s="1"/>
  <c r="CV88" i="14"/>
  <c r="CW88" i="14" s="1"/>
  <c r="CK83" i="14"/>
  <c r="CK88" i="14"/>
  <c r="CK11" i="14"/>
  <c r="CK13" i="14"/>
  <c r="CE90" i="14"/>
  <c r="CE12" i="14"/>
  <c r="CE63" i="14"/>
  <c r="CB114" i="14"/>
  <c r="CB116" i="14" s="1"/>
  <c r="CD114" i="14"/>
  <c r="CD116" i="14" s="1"/>
  <c r="CG92" i="14"/>
  <c r="CG14" i="14"/>
  <c r="CF49" i="14"/>
  <c r="CE69" i="14"/>
  <c r="CE47" i="14"/>
  <c r="CD70" i="14"/>
  <c r="CD72" i="14"/>
  <c r="CD74" i="14"/>
  <c r="CD15" i="14"/>
  <c r="CD8" i="14"/>
  <c r="CD85" i="14"/>
  <c r="CD79" i="14"/>
  <c r="CD65" i="14"/>
  <c r="CD59" i="14"/>
  <c r="CD57" i="14"/>
  <c r="CD43" i="14"/>
  <c r="CD35" i="14"/>
  <c r="CD23" i="14"/>
  <c r="CD20" i="14"/>
  <c r="CV14" i="14" l="1"/>
  <c r="CW14" i="14" s="1"/>
  <c r="CV92" i="14"/>
  <c r="CW92" i="14" s="1"/>
  <c r="CK92" i="14"/>
  <c r="CK14" i="14"/>
  <c r="CE13" i="14"/>
  <c r="CD63" i="14"/>
  <c r="CD12" i="14"/>
  <c r="CD90" i="14"/>
  <c r="CG16" i="14"/>
  <c r="CE88" i="14"/>
  <c r="CE83" i="14"/>
  <c r="CE11" i="14"/>
  <c r="CD69" i="14"/>
  <c r="CD47" i="14"/>
  <c r="CV16" i="14" l="1"/>
  <c r="CW16" i="14" s="1"/>
  <c r="CK16" i="14"/>
  <c r="CE92" i="14"/>
  <c r="CD11" i="14"/>
  <c r="CD13" i="14"/>
  <c r="CE14" i="14"/>
  <c r="CD88" i="14"/>
  <c r="CD83" i="14"/>
  <c r="CC85" i="14"/>
  <c r="CC79" i="14"/>
  <c r="CC74" i="14"/>
  <c r="CC72" i="14"/>
  <c r="CC70" i="14"/>
  <c r="CC65" i="14"/>
  <c r="CC59" i="14"/>
  <c r="CC57" i="14"/>
  <c r="CC43" i="14"/>
  <c r="CC35" i="14"/>
  <c r="CC23" i="14"/>
  <c r="CC20" i="14"/>
  <c r="CC15" i="14"/>
  <c r="CC8" i="14"/>
  <c r="CE16" i="14" l="1"/>
  <c r="CD92" i="14"/>
  <c r="CD14" i="14"/>
  <c r="CD16" i="14" s="1"/>
  <c r="CC90" i="14"/>
  <c r="CC63" i="14"/>
  <c r="CC13" i="14" s="1"/>
  <c r="CC69" i="14"/>
  <c r="CC12" i="14"/>
  <c r="CC47" i="14"/>
  <c r="CC11" i="14" l="1"/>
  <c r="CC83" i="14"/>
  <c r="CC88" i="14"/>
  <c r="CB24" i="14"/>
  <c r="CB85" i="14"/>
  <c r="CB79" i="14"/>
  <c r="CB74" i="14"/>
  <c r="CB72" i="14"/>
  <c r="CB70" i="14"/>
  <c r="CB65" i="14"/>
  <c r="CB59" i="14"/>
  <c r="CB57" i="14"/>
  <c r="CB43" i="14"/>
  <c r="CB35" i="14"/>
  <c r="CB20" i="14"/>
  <c r="CB15" i="14"/>
  <c r="CB8" i="14"/>
  <c r="CA94" i="14"/>
  <c r="BT85" i="14"/>
  <c r="BT79" i="14"/>
  <c r="BT74" i="14"/>
  <c r="BT72" i="14"/>
  <c r="BT70" i="14"/>
  <c r="BT65" i="14"/>
  <c r="BT59" i="14"/>
  <c r="BT49" i="14"/>
  <c r="BT43" i="14"/>
  <c r="BT35" i="14"/>
  <c r="BT23" i="14"/>
  <c r="BT20" i="14"/>
  <c r="BT15" i="14"/>
  <c r="BT8" i="14"/>
  <c r="CA6" i="14"/>
  <c r="CA24" i="14"/>
  <c r="CA25" i="14"/>
  <c r="CA26" i="14"/>
  <c r="CA27" i="14"/>
  <c r="CA28" i="14"/>
  <c r="CA29" i="14"/>
  <c r="CA30" i="14"/>
  <c r="CA31" i="14"/>
  <c r="CA32" i="14"/>
  <c r="CA33" i="14"/>
  <c r="CA36" i="14"/>
  <c r="CA37" i="14"/>
  <c r="CA38" i="14"/>
  <c r="CA39" i="14"/>
  <c r="CA40" i="14"/>
  <c r="CA41" i="14"/>
  <c r="CA44" i="14"/>
  <c r="CA50" i="14"/>
  <c r="CA51" i="14"/>
  <c r="CA52" i="14"/>
  <c r="CA53" i="14"/>
  <c r="CA54" i="14"/>
  <c r="CA60" i="14"/>
  <c r="CA61" i="14"/>
  <c r="CA67" i="14"/>
  <c r="CA71" i="14"/>
  <c r="CA73" i="14"/>
  <c r="CA76" i="14"/>
  <c r="CA77" i="14"/>
  <c r="CA80" i="14"/>
  <c r="CA86" i="14"/>
  <c r="BW94" i="14"/>
  <c r="BW86" i="14"/>
  <c r="BW80" i="14"/>
  <c r="BW77" i="14"/>
  <c r="BW76" i="14"/>
  <c r="BW73" i="14"/>
  <c r="BW71" i="14"/>
  <c r="BW67" i="14"/>
  <c r="BW61" i="14"/>
  <c r="BW60" i="14"/>
  <c r="BW54" i="14"/>
  <c r="BW53" i="14"/>
  <c r="BW52" i="14"/>
  <c r="BW51" i="14"/>
  <c r="BW50" i="14"/>
  <c r="BW44" i="14"/>
  <c r="BW41" i="14"/>
  <c r="BW40" i="14"/>
  <c r="BW39" i="14"/>
  <c r="BW38" i="14"/>
  <c r="BW37" i="14"/>
  <c r="BW36" i="14"/>
  <c r="BW33" i="14"/>
  <c r="BW32" i="14"/>
  <c r="BW31" i="14"/>
  <c r="BW30" i="14"/>
  <c r="BW29" i="14"/>
  <c r="BW28" i="14"/>
  <c r="BW27" i="14"/>
  <c r="BW26" i="14"/>
  <c r="BW25" i="14"/>
  <c r="BW24" i="14"/>
  <c r="BW21" i="14"/>
  <c r="BW6" i="14"/>
  <c r="BS70" i="14"/>
  <c r="BS85" i="14"/>
  <c r="BS79" i="14"/>
  <c r="BS74" i="14"/>
  <c r="BS72" i="14"/>
  <c r="BS65" i="14"/>
  <c r="BS59" i="14"/>
  <c r="BS63" i="14" s="1"/>
  <c r="BS49" i="14"/>
  <c r="BS57" i="14" s="1"/>
  <c r="BS12" i="14" s="1"/>
  <c r="BS43" i="14"/>
  <c r="BS35" i="14"/>
  <c r="BS23" i="14"/>
  <c r="BS20" i="14"/>
  <c r="BS15" i="14"/>
  <c r="BS8" i="14"/>
  <c r="BS90" i="14" s="1"/>
  <c r="BR45" i="14"/>
  <c r="BX45" i="14" s="1"/>
  <c r="BZ45" i="14" s="1"/>
  <c r="BR15" i="14"/>
  <c r="BQ15" i="14"/>
  <c r="BV94" i="14"/>
  <c r="BV86" i="14"/>
  <c r="BV80" i="14"/>
  <c r="BV77" i="14"/>
  <c r="BV76" i="14"/>
  <c r="BV73" i="14"/>
  <c r="BV71" i="14"/>
  <c r="BV67" i="14"/>
  <c r="BV61" i="14"/>
  <c r="BV60" i="14"/>
  <c r="BV54" i="14"/>
  <c r="BV53" i="14"/>
  <c r="BV52" i="14"/>
  <c r="BV51" i="14"/>
  <c r="BV50" i="14"/>
  <c r="BV44" i="14"/>
  <c r="BV41" i="14"/>
  <c r="BV40" i="14"/>
  <c r="BV39" i="14"/>
  <c r="BV38" i="14"/>
  <c r="BV37" i="14"/>
  <c r="BV36" i="14"/>
  <c r="BV33" i="14"/>
  <c r="BV32" i="14"/>
  <c r="BV31" i="14"/>
  <c r="BV30" i="14"/>
  <c r="BV29" i="14"/>
  <c r="BV28" i="14"/>
  <c r="BV27" i="14"/>
  <c r="BV26" i="14"/>
  <c r="BV25" i="14"/>
  <c r="BV24" i="14"/>
  <c r="BV21" i="14"/>
  <c r="BV6" i="14"/>
  <c r="BX94" i="14"/>
  <c r="BZ94" i="14" s="1"/>
  <c r="BX80" i="14"/>
  <c r="BZ80" i="14" s="1"/>
  <c r="BX77" i="14"/>
  <c r="BX76" i="14"/>
  <c r="BZ76" i="14" s="1"/>
  <c r="BX73" i="14"/>
  <c r="BX71" i="14"/>
  <c r="BZ71" i="14" s="1"/>
  <c r="BX67" i="14"/>
  <c r="BZ67" i="14" s="1"/>
  <c r="BX61" i="14"/>
  <c r="BZ61" i="14" s="1"/>
  <c r="BX54" i="14"/>
  <c r="BZ54" i="14" s="1"/>
  <c r="BX53" i="14"/>
  <c r="BZ53" i="14" s="1"/>
  <c r="BX52" i="14"/>
  <c r="BZ52" i="14" s="1"/>
  <c r="BX51" i="14"/>
  <c r="BZ51" i="14" s="1"/>
  <c r="BX50" i="14"/>
  <c r="BZ50" i="14" s="1"/>
  <c r="BX44" i="14"/>
  <c r="BZ44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6" i="14"/>
  <c r="BZ36" i="14" s="1"/>
  <c r="BX33" i="14"/>
  <c r="BX32" i="14"/>
  <c r="BX31" i="14"/>
  <c r="BZ31" i="14" s="1"/>
  <c r="BX30" i="14"/>
  <c r="BZ30" i="14" s="1"/>
  <c r="BX29" i="14"/>
  <c r="BX28" i="14"/>
  <c r="BZ28" i="14" s="1"/>
  <c r="BX27" i="14"/>
  <c r="BZ27" i="14" s="1"/>
  <c r="BX26" i="14"/>
  <c r="BZ26" i="14" s="1"/>
  <c r="BX25" i="14"/>
  <c r="BZ25" i="14" s="1"/>
  <c r="BX24" i="14"/>
  <c r="BZ24" i="14" s="1"/>
  <c r="BX21" i="14"/>
  <c r="BZ21" i="14" s="1"/>
  <c r="BX7" i="14"/>
  <c r="BZ7" i="14" s="1"/>
  <c r="BX6" i="14"/>
  <c r="BZ6" i="14" s="1"/>
  <c r="BR85" i="14"/>
  <c r="BR79" i="14"/>
  <c r="BR74" i="14"/>
  <c r="BR72" i="14"/>
  <c r="BR70" i="14"/>
  <c r="BR65" i="14"/>
  <c r="BR59" i="14"/>
  <c r="BR63" i="14" s="1"/>
  <c r="BR13" i="14" s="1"/>
  <c r="BR49" i="14"/>
  <c r="BR35" i="14"/>
  <c r="BR23" i="14"/>
  <c r="BR20" i="14"/>
  <c r="BR8" i="14"/>
  <c r="BR90" i="14" s="1"/>
  <c r="BL54" i="14"/>
  <c r="BQ7" i="14"/>
  <c r="BW7" i="14" s="1"/>
  <c r="BQ85" i="14"/>
  <c r="BQ35" i="14"/>
  <c r="BU6" i="14"/>
  <c r="BY6" i="14" s="1"/>
  <c r="BU21" i="14"/>
  <c r="BY21" i="14" s="1"/>
  <c r="BU24" i="14"/>
  <c r="BY24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6" i="14"/>
  <c r="BY36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4" i="14"/>
  <c r="BY44" i="14" s="1"/>
  <c r="BU45" i="14"/>
  <c r="BY45" i="14" s="1"/>
  <c r="BU50" i="14"/>
  <c r="BY50" i="14" s="1"/>
  <c r="BU51" i="14"/>
  <c r="BY51" i="14" s="1"/>
  <c r="BU52" i="14"/>
  <c r="BY52" i="14" s="1"/>
  <c r="BU53" i="14"/>
  <c r="BY53" i="14" s="1"/>
  <c r="BU60" i="14"/>
  <c r="BY60" i="14" s="1"/>
  <c r="BU61" i="14"/>
  <c r="BY61" i="14" s="1"/>
  <c r="BU71" i="14"/>
  <c r="BY71" i="14" s="1"/>
  <c r="BU73" i="14"/>
  <c r="BY73" i="14" s="1"/>
  <c r="BU76" i="14"/>
  <c r="BY76" i="14" s="1"/>
  <c r="BU77" i="14"/>
  <c r="BY77" i="14" s="1"/>
  <c r="BU78" i="14"/>
  <c r="BU80" i="14"/>
  <c r="BY80" i="14" s="1"/>
  <c r="BU94" i="14"/>
  <c r="BY94" i="14" s="1"/>
  <c r="BQ79" i="14"/>
  <c r="BQ74" i="14"/>
  <c r="BV74" i="14" s="1"/>
  <c r="BQ72" i="14"/>
  <c r="BQ70" i="14"/>
  <c r="BQ65" i="14"/>
  <c r="BV65" i="14" s="1"/>
  <c r="BQ59" i="14"/>
  <c r="BQ63" i="14" s="1"/>
  <c r="BQ49" i="14"/>
  <c r="BQ43" i="14"/>
  <c r="BQ23" i="14"/>
  <c r="BV23" i="14" s="1"/>
  <c r="BQ20" i="14"/>
  <c r="BJ54" i="14"/>
  <c r="BJ49" i="14" s="1"/>
  <c r="BJ57" i="14" s="1"/>
  <c r="BJ12" i="14" s="1"/>
  <c r="BO70" i="14"/>
  <c r="BO72" i="14"/>
  <c r="BO74" i="14"/>
  <c r="BO79" i="14"/>
  <c r="BO65" i="14"/>
  <c r="BO59" i="14"/>
  <c r="BO49" i="14"/>
  <c r="BO57" i="14" s="1"/>
  <c r="BO12" i="14" s="1"/>
  <c r="BO43" i="14"/>
  <c r="BO35" i="14"/>
  <c r="BO23" i="14"/>
  <c r="BO20" i="14"/>
  <c r="BO8" i="14"/>
  <c r="BO90" i="14" s="1"/>
  <c r="BP94" i="14"/>
  <c r="BP80" i="14"/>
  <c r="BP77" i="14"/>
  <c r="BP76" i="14"/>
  <c r="BP73" i="14"/>
  <c r="BP71" i="14"/>
  <c r="BP61" i="14"/>
  <c r="BP53" i="14"/>
  <c r="BP52" i="14"/>
  <c r="BP51" i="14"/>
  <c r="BP50" i="14"/>
  <c r="BP45" i="14"/>
  <c r="BP44" i="14"/>
  <c r="BP41" i="14"/>
  <c r="BP40" i="14"/>
  <c r="BP39" i="14"/>
  <c r="BP38" i="14"/>
  <c r="BP37" i="14"/>
  <c r="BP36" i="14"/>
  <c r="BP33" i="14"/>
  <c r="BP32" i="14"/>
  <c r="BP31" i="14"/>
  <c r="BP30" i="14"/>
  <c r="BP29" i="14"/>
  <c r="BP28" i="14"/>
  <c r="BP27" i="14"/>
  <c r="BP26" i="14"/>
  <c r="BP25" i="14"/>
  <c r="BP24" i="14"/>
  <c r="BP21" i="14"/>
  <c r="BP7" i="14"/>
  <c r="BP6" i="14"/>
  <c r="BN79" i="14"/>
  <c r="BN74" i="14"/>
  <c r="BN72" i="14"/>
  <c r="BN70" i="14"/>
  <c r="BN65" i="14"/>
  <c r="BN59" i="14"/>
  <c r="BN63" i="14" s="1"/>
  <c r="BN13" i="14" s="1"/>
  <c r="BN49" i="14"/>
  <c r="BN57" i="14" s="1"/>
  <c r="BN12" i="14" s="1"/>
  <c r="BN8" i="14"/>
  <c r="BN90" i="14" s="1"/>
  <c r="BN20" i="14"/>
  <c r="BN23" i="14"/>
  <c r="BN35" i="14"/>
  <c r="BN43" i="14"/>
  <c r="BM60" i="14"/>
  <c r="BL67" i="14"/>
  <c r="BL65" i="14" s="1"/>
  <c r="BM79" i="14"/>
  <c r="BM74" i="14"/>
  <c r="BM72" i="14"/>
  <c r="BM70" i="14"/>
  <c r="BM65" i="14"/>
  <c r="BM49" i="14"/>
  <c r="BM57" i="14" s="1"/>
  <c r="BM12" i="14" s="1"/>
  <c r="BM43" i="14"/>
  <c r="BM35" i="14"/>
  <c r="BM23" i="14"/>
  <c r="BM20" i="14"/>
  <c r="BM8" i="14"/>
  <c r="BM90" i="14" s="1"/>
  <c r="BL8" i="14"/>
  <c r="BL90" i="14" s="1"/>
  <c r="BL20" i="14"/>
  <c r="BL23" i="14"/>
  <c r="BL35" i="14"/>
  <c r="BL43" i="14"/>
  <c r="BL59" i="14"/>
  <c r="BL63" i="14" s="1"/>
  <c r="BL70" i="14"/>
  <c r="BL72" i="14"/>
  <c r="BL74" i="14"/>
  <c r="BL79" i="14"/>
  <c r="BG8" i="14"/>
  <c r="BG90" i="14" s="1"/>
  <c r="BG20" i="14"/>
  <c r="BG23" i="14"/>
  <c r="BG35" i="14"/>
  <c r="BG43" i="14"/>
  <c r="BG54" i="14"/>
  <c r="BG59" i="14"/>
  <c r="BG63" i="14" s="1"/>
  <c r="BG13" i="14" s="1"/>
  <c r="BG65" i="14"/>
  <c r="BG70" i="14"/>
  <c r="BG72" i="14"/>
  <c r="BG74" i="14"/>
  <c r="BG79" i="14"/>
  <c r="BJ94" i="14"/>
  <c r="BJ79" i="14"/>
  <c r="BJ74" i="14"/>
  <c r="BJ72" i="14"/>
  <c r="BJ70" i="14"/>
  <c r="BJ65" i="14"/>
  <c r="BJ59" i="14"/>
  <c r="BJ63" i="14" s="1"/>
  <c r="BJ13" i="14" s="1"/>
  <c r="BJ43" i="14"/>
  <c r="BJ35" i="14"/>
  <c r="BJ23" i="14"/>
  <c r="BJ20" i="14"/>
  <c r="BJ8" i="14"/>
  <c r="BJ90" i="14" s="1"/>
  <c r="BE8" i="14"/>
  <c r="BE90" i="14" s="1"/>
  <c r="AE6" i="14"/>
  <c r="AE7" i="14"/>
  <c r="AE94" i="14"/>
  <c r="AR7" i="14"/>
  <c r="AR8" i="14" s="1"/>
  <c r="AR90" i="14" s="1"/>
  <c r="AR20" i="14"/>
  <c r="AR23" i="14"/>
  <c r="AR35" i="14"/>
  <c r="AR43" i="14"/>
  <c r="AR49" i="14"/>
  <c r="AR57" i="14" s="1"/>
  <c r="AR12" i="14" s="1"/>
  <c r="AR59" i="14"/>
  <c r="AR63" i="14" s="1"/>
  <c r="AR65" i="14"/>
  <c r="AR70" i="14"/>
  <c r="AR72" i="14"/>
  <c r="AR74" i="14"/>
  <c r="AR79" i="14"/>
  <c r="AS7" i="14"/>
  <c r="AS8" i="14" s="1"/>
  <c r="AS90" i="14" s="1"/>
  <c r="AS20" i="14"/>
  <c r="AS23" i="14"/>
  <c r="AS35" i="14"/>
  <c r="AS43" i="14"/>
  <c r="AS49" i="14"/>
  <c r="AS57" i="14" s="1"/>
  <c r="AS12" i="14" s="1"/>
  <c r="AS59" i="14"/>
  <c r="AS63" i="14" s="1"/>
  <c r="AS13" i="14" s="1"/>
  <c r="AS65" i="14"/>
  <c r="AS70" i="14"/>
  <c r="AS72" i="14"/>
  <c r="AS74" i="14"/>
  <c r="AS79" i="14"/>
  <c r="AW8" i="14"/>
  <c r="AW90" i="14" s="1"/>
  <c r="AW20" i="14"/>
  <c r="AW24" i="14"/>
  <c r="AW23" i="14" s="1"/>
  <c r="AW35" i="14"/>
  <c r="AW44" i="14"/>
  <c r="AW43" i="14" s="1"/>
  <c r="AW49" i="14"/>
  <c r="AW57" i="14" s="1"/>
  <c r="AW59" i="14"/>
  <c r="AW63" i="14" s="1"/>
  <c r="AW13" i="14" s="1"/>
  <c r="AW65" i="14"/>
  <c r="AW70" i="14"/>
  <c r="AW72" i="14"/>
  <c r="AW74" i="14"/>
  <c r="AW79" i="14"/>
  <c r="AX8" i="14"/>
  <c r="AX90" i="14" s="1"/>
  <c r="AX20" i="14"/>
  <c r="AX23" i="14"/>
  <c r="AX35" i="14"/>
  <c r="AX44" i="14"/>
  <c r="AX43" i="14" s="1"/>
  <c r="AX49" i="14"/>
  <c r="AX57" i="14" s="1"/>
  <c r="AX12" i="14" s="1"/>
  <c r="AX59" i="14"/>
  <c r="AX63" i="14" s="1"/>
  <c r="AX13" i="14" s="1"/>
  <c r="AX65" i="14"/>
  <c r="AX70" i="14"/>
  <c r="AX72" i="14"/>
  <c r="AX74" i="14"/>
  <c r="AX79" i="14"/>
  <c r="AE80" i="14"/>
  <c r="AE79" i="14" s="1"/>
  <c r="BE79" i="14"/>
  <c r="AE77" i="14"/>
  <c r="AE76" i="14"/>
  <c r="BE74" i="14"/>
  <c r="Z74" i="14"/>
  <c r="AA74" i="14"/>
  <c r="AB74" i="14"/>
  <c r="AC74" i="14"/>
  <c r="AE73" i="14"/>
  <c r="BE72" i="14"/>
  <c r="AE71" i="14"/>
  <c r="BE70" i="14"/>
  <c r="Z70" i="14"/>
  <c r="AA70" i="14"/>
  <c r="AB70" i="14"/>
  <c r="AC70" i="14"/>
  <c r="AE67" i="14"/>
  <c r="AE65" i="14" s="1"/>
  <c r="BE65" i="14"/>
  <c r="AE61" i="14"/>
  <c r="AE60" i="14"/>
  <c r="BE59" i="14"/>
  <c r="AE54" i="14"/>
  <c r="AE52" i="14"/>
  <c r="AE50" i="14"/>
  <c r="BE49" i="14"/>
  <c r="BE57" i="14" s="1"/>
  <c r="BE12" i="14" s="1"/>
  <c r="AE51" i="14"/>
  <c r="AE53" i="14"/>
  <c r="AE45" i="14"/>
  <c r="AE44" i="14"/>
  <c r="BE43" i="14"/>
  <c r="AE41" i="14"/>
  <c r="AE40" i="14"/>
  <c r="AE39" i="14"/>
  <c r="AE38" i="14"/>
  <c r="AE37" i="14"/>
  <c r="AE36" i="14"/>
  <c r="BE35" i="14"/>
  <c r="AE33" i="14"/>
  <c r="AE32" i="14"/>
  <c r="AE31" i="14"/>
  <c r="AE30" i="14"/>
  <c r="AE29" i="14"/>
  <c r="AE28" i="14"/>
  <c r="AE27" i="14"/>
  <c r="AE26" i="14"/>
  <c r="AE25" i="14"/>
  <c r="AE24" i="14"/>
  <c r="BE23" i="14"/>
  <c r="BE20" i="14"/>
  <c r="AE21" i="14"/>
  <c r="AE20" i="14" s="1"/>
  <c r="BK97" i="14"/>
  <c r="BH94" i="14"/>
  <c r="BI94" i="14" s="1"/>
  <c r="BK80" i="14"/>
  <c r="BH79" i="14"/>
  <c r="BI79" i="14"/>
  <c r="BK77" i="14"/>
  <c r="BK76" i="14"/>
  <c r="BH74" i="14"/>
  <c r="BI74" i="14"/>
  <c r="BK73" i="14"/>
  <c r="BH72" i="14"/>
  <c r="BI72" i="14"/>
  <c r="BK71" i="14"/>
  <c r="BK67" i="14"/>
  <c r="BH65" i="14"/>
  <c r="BI65" i="14"/>
  <c r="BK61" i="14"/>
  <c r="BK60" i="14"/>
  <c r="BH59" i="14"/>
  <c r="BH63" i="14" s="1"/>
  <c r="BH13" i="14" s="1"/>
  <c r="BI59" i="14"/>
  <c r="BI63" i="14" s="1"/>
  <c r="BI13" i="14" s="1"/>
  <c r="BK53" i="14"/>
  <c r="BK52" i="14"/>
  <c r="BK51" i="14"/>
  <c r="BK50" i="14"/>
  <c r="BK45" i="14"/>
  <c r="BK44" i="14"/>
  <c r="BK41" i="14"/>
  <c r="BK40" i="14"/>
  <c r="BK39" i="14"/>
  <c r="BK38" i="14"/>
  <c r="BK37" i="14"/>
  <c r="BK36" i="14"/>
  <c r="BH35" i="14"/>
  <c r="BI35" i="14"/>
  <c r="BK33" i="14"/>
  <c r="BK32" i="14"/>
  <c r="BK31" i="14"/>
  <c r="BK30" i="14"/>
  <c r="BK29" i="14"/>
  <c r="BK28" i="14"/>
  <c r="BK27" i="14"/>
  <c r="BK26" i="14"/>
  <c r="BK25" i="14"/>
  <c r="BK24" i="14"/>
  <c r="BH23" i="14"/>
  <c r="BI23" i="14"/>
  <c r="BK21" i="14"/>
  <c r="BH20" i="14"/>
  <c r="BI20" i="14"/>
  <c r="BK7" i="14"/>
  <c r="BK6" i="14"/>
  <c r="BF94" i="14"/>
  <c r="BI70" i="14"/>
  <c r="BI49" i="14"/>
  <c r="BI57" i="14" s="1"/>
  <c r="BI12" i="14" s="1"/>
  <c r="BI43" i="14"/>
  <c r="BI8" i="14"/>
  <c r="BI90" i="14" s="1"/>
  <c r="BH8" i="14"/>
  <c r="BH90" i="14" s="1"/>
  <c r="BH43" i="14"/>
  <c r="BH49" i="14"/>
  <c r="BH57" i="14" s="1"/>
  <c r="BH12" i="14" s="1"/>
  <c r="BH70" i="14"/>
  <c r="AV94" i="14"/>
  <c r="AY79" i="14"/>
  <c r="AZ79" i="14"/>
  <c r="AY8" i="14"/>
  <c r="AY90" i="14" s="1"/>
  <c r="AY20" i="14"/>
  <c r="AY24" i="14"/>
  <c r="AY23" i="14" s="1"/>
  <c r="AY35" i="14"/>
  <c r="AY43" i="14"/>
  <c r="AY49" i="14"/>
  <c r="AY57" i="14" s="1"/>
  <c r="AY12" i="14" s="1"/>
  <c r="AY59" i="14"/>
  <c r="AY65" i="14"/>
  <c r="AY70" i="14"/>
  <c r="AY72" i="14"/>
  <c r="AY74" i="14"/>
  <c r="AZ8" i="14"/>
  <c r="AZ21" i="14"/>
  <c r="AZ20" i="14" s="1"/>
  <c r="AZ24" i="14"/>
  <c r="AZ35" i="14"/>
  <c r="AZ43" i="14"/>
  <c r="AZ49" i="14"/>
  <c r="AZ57" i="14" s="1"/>
  <c r="AZ12" i="14" s="1"/>
  <c r="AZ59" i="14"/>
  <c r="AZ63" i="14" s="1"/>
  <c r="AZ13" i="14" s="1"/>
  <c r="AZ65" i="14"/>
  <c r="AZ70" i="14"/>
  <c r="AZ72" i="14"/>
  <c r="AZ74" i="14"/>
  <c r="AT8" i="14"/>
  <c r="AT90" i="14" s="1"/>
  <c r="AT20" i="14"/>
  <c r="AT23" i="14"/>
  <c r="AT35" i="14"/>
  <c r="AT43" i="14"/>
  <c r="AT49" i="14"/>
  <c r="AT57" i="14" s="1"/>
  <c r="AT12" i="14" s="1"/>
  <c r="AT59" i="14"/>
  <c r="AT65" i="14"/>
  <c r="AT70" i="14"/>
  <c r="AT72" i="14"/>
  <c r="AU72" i="14"/>
  <c r="AT74" i="14"/>
  <c r="AT79" i="14"/>
  <c r="AU7" i="14"/>
  <c r="AU8" i="14" s="1"/>
  <c r="AU90" i="14" s="1"/>
  <c r="AU20" i="14"/>
  <c r="AU24" i="14"/>
  <c r="AU23" i="14" s="1"/>
  <c r="AU35" i="14"/>
  <c r="AU43" i="14"/>
  <c r="AU49" i="14"/>
  <c r="AU57" i="14" s="1"/>
  <c r="AU12" i="14" s="1"/>
  <c r="AU59" i="14"/>
  <c r="AU63" i="14" s="1"/>
  <c r="AU13" i="14" s="1"/>
  <c r="AU65" i="14"/>
  <c r="AU70" i="14"/>
  <c r="AU74" i="14"/>
  <c r="AU79" i="14"/>
  <c r="BA94" i="14"/>
  <c r="AP94" i="14"/>
  <c r="AQ94" i="14" s="1"/>
  <c r="AK94" i="14"/>
  <c r="X94" i="14"/>
  <c r="H94" i="14"/>
  <c r="G94" i="14"/>
  <c r="AE93" i="14"/>
  <c r="X93" i="14"/>
  <c r="BB8" i="14"/>
  <c r="BB90" i="14" s="1"/>
  <c r="BB20" i="14"/>
  <c r="BB23" i="14"/>
  <c r="BB37" i="14"/>
  <c r="BB43" i="14"/>
  <c r="BB49" i="14"/>
  <c r="BB57" i="14" s="1"/>
  <c r="BB12" i="14" s="1"/>
  <c r="BB59" i="14"/>
  <c r="BB65" i="14"/>
  <c r="BB70" i="14"/>
  <c r="BB72" i="14"/>
  <c r="BB74" i="14"/>
  <c r="BB79" i="14"/>
  <c r="BC79" i="14"/>
  <c r="BD79" i="14"/>
  <c r="Z20" i="14"/>
  <c r="Z23" i="14"/>
  <c r="Z35" i="14"/>
  <c r="Z43" i="14"/>
  <c r="Z49" i="14"/>
  <c r="Z57" i="14" s="1"/>
  <c r="Z12" i="14" s="1"/>
  <c r="Z59" i="14"/>
  <c r="Z63" i="14" s="1"/>
  <c r="Z13" i="14" s="1"/>
  <c r="Z65" i="14"/>
  <c r="Z72" i="14"/>
  <c r="Z79" i="14"/>
  <c r="AA20" i="14"/>
  <c r="AA23" i="14"/>
  <c r="AA35" i="14"/>
  <c r="AA43" i="14"/>
  <c r="AA49" i="14"/>
  <c r="AA57" i="14" s="1"/>
  <c r="AA12" i="14" s="1"/>
  <c r="AA59" i="14"/>
  <c r="AA63" i="14" s="1"/>
  <c r="AA13" i="14" s="1"/>
  <c r="AA65" i="14"/>
  <c r="AA72" i="14"/>
  <c r="AA79" i="14"/>
  <c r="AB20" i="14"/>
  <c r="AB23" i="14"/>
  <c r="AB35" i="14"/>
  <c r="AB43" i="14"/>
  <c r="AB49" i="14"/>
  <c r="AB57" i="14" s="1"/>
  <c r="AB12" i="14" s="1"/>
  <c r="AB59" i="14"/>
  <c r="AB63" i="14" s="1"/>
  <c r="AB13" i="14" s="1"/>
  <c r="AB65" i="14"/>
  <c r="AB72" i="14"/>
  <c r="AB79" i="14"/>
  <c r="AC20" i="14"/>
  <c r="AC23" i="14"/>
  <c r="AC35" i="14"/>
  <c r="AC43" i="14"/>
  <c r="AC49" i="14"/>
  <c r="AC57" i="14" s="1"/>
  <c r="AC12" i="14" s="1"/>
  <c r="AC59" i="14"/>
  <c r="AC63" i="14" s="1"/>
  <c r="AC13" i="14" s="1"/>
  <c r="AC65" i="14"/>
  <c r="AC72" i="14"/>
  <c r="AC79" i="14"/>
  <c r="BC8" i="14"/>
  <c r="BC90" i="14" s="1"/>
  <c r="BC20" i="14"/>
  <c r="BC23" i="14"/>
  <c r="BC35" i="14"/>
  <c r="BC43" i="14"/>
  <c r="BC49" i="14"/>
  <c r="BC57" i="14" s="1"/>
  <c r="BC12" i="14" s="1"/>
  <c r="BC59" i="14"/>
  <c r="BC63" i="14" s="1"/>
  <c r="BC13" i="14" s="1"/>
  <c r="BC65" i="14"/>
  <c r="BC70" i="14"/>
  <c r="BC72" i="14"/>
  <c r="BC74" i="14"/>
  <c r="BD8" i="14"/>
  <c r="BD90" i="14" s="1"/>
  <c r="BD20" i="14"/>
  <c r="BD23" i="14"/>
  <c r="BD35" i="14"/>
  <c r="BD43" i="14"/>
  <c r="BD49" i="14"/>
  <c r="BD57" i="14" s="1"/>
  <c r="BD12" i="14" s="1"/>
  <c r="BD59" i="14"/>
  <c r="BD63" i="14" s="1"/>
  <c r="BD65" i="14"/>
  <c r="BD70" i="14"/>
  <c r="BD72" i="14"/>
  <c r="BD74" i="14"/>
  <c r="AM8" i="14"/>
  <c r="AM90" i="14" s="1"/>
  <c r="AM20" i="14"/>
  <c r="AM23" i="14"/>
  <c r="AM35" i="14"/>
  <c r="AM43" i="14"/>
  <c r="AM54" i="14"/>
  <c r="AM49" i="14" s="1"/>
  <c r="AM59" i="14"/>
  <c r="AM65" i="14"/>
  <c r="AM70" i="14"/>
  <c r="AM72" i="14"/>
  <c r="AM74" i="14"/>
  <c r="AM79" i="14"/>
  <c r="AN8" i="14"/>
  <c r="AN90" i="14" s="1"/>
  <c r="AN20" i="14"/>
  <c r="AN23" i="14"/>
  <c r="AN35" i="14"/>
  <c r="AN43" i="14"/>
  <c r="AN49" i="14"/>
  <c r="AN57" i="14" s="1"/>
  <c r="AN12" i="14" s="1"/>
  <c r="AN59" i="14"/>
  <c r="AN63" i="14" s="1"/>
  <c r="AN13" i="14" s="1"/>
  <c r="AN65" i="14"/>
  <c r="AN70" i="14"/>
  <c r="AN72" i="14"/>
  <c r="AN74" i="14"/>
  <c r="AN79" i="14"/>
  <c r="AO8" i="14"/>
  <c r="AO90" i="14" s="1"/>
  <c r="AO21" i="14"/>
  <c r="AO20" i="14" s="1"/>
  <c r="AO23" i="14"/>
  <c r="AO35" i="14"/>
  <c r="AO43" i="14"/>
  <c r="AO49" i="14"/>
  <c r="AO57" i="14" s="1"/>
  <c r="AO12" i="14" s="1"/>
  <c r="AO59" i="14"/>
  <c r="AO63" i="14" s="1"/>
  <c r="AO13" i="14" s="1"/>
  <c r="AO65" i="14"/>
  <c r="AO70" i="14"/>
  <c r="AO72" i="14"/>
  <c r="AO74" i="14"/>
  <c r="AO79" i="14"/>
  <c r="AP8" i="14"/>
  <c r="AP90" i="14" s="1"/>
  <c r="AP20" i="14"/>
  <c r="AP23" i="14"/>
  <c r="AP35" i="14"/>
  <c r="AP44" i="14"/>
  <c r="AP43" i="14" s="1"/>
  <c r="AP54" i="14"/>
  <c r="AP49" i="14" s="1"/>
  <c r="AP57" i="14" s="1"/>
  <c r="AP12" i="14" s="1"/>
  <c r="AP59" i="14"/>
  <c r="AP63" i="14" s="1"/>
  <c r="AP13" i="14" s="1"/>
  <c r="AP65" i="14"/>
  <c r="AQ65" i="14" s="1"/>
  <c r="AP70" i="14"/>
  <c r="AP72" i="14"/>
  <c r="AP74" i="14"/>
  <c r="AP79" i="14"/>
  <c r="AL59" i="14"/>
  <c r="AL88" i="14" s="1"/>
  <c r="AL92" i="14" s="1"/>
  <c r="AG8" i="14"/>
  <c r="AG90" i="14" s="1"/>
  <c r="AG20" i="14"/>
  <c r="AG23" i="14"/>
  <c r="AG35" i="14"/>
  <c r="AG43" i="14"/>
  <c r="AG49" i="14"/>
  <c r="AG57" i="14" s="1"/>
  <c r="AG12" i="14" s="1"/>
  <c r="AG59" i="14"/>
  <c r="AG63" i="14" s="1"/>
  <c r="AG13" i="14" s="1"/>
  <c r="AG65" i="14"/>
  <c r="AG70" i="14"/>
  <c r="AG72" i="14"/>
  <c r="AG74" i="14"/>
  <c r="AG79" i="14"/>
  <c r="AH8" i="14"/>
  <c r="AH90" i="14" s="1"/>
  <c r="AH20" i="14"/>
  <c r="AH23" i="14"/>
  <c r="AH35" i="14"/>
  <c r="AH43" i="14"/>
  <c r="AH49" i="14"/>
  <c r="AH57" i="14" s="1"/>
  <c r="AH12" i="14" s="1"/>
  <c r="AH59" i="14"/>
  <c r="AH63" i="14" s="1"/>
  <c r="AH13" i="14" s="1"/>
  <c r="AH65" i="14"/>
  <c r="AH70" i="14"/>
  <c r="AH72" i="14"/>
  <c r="AH74" i="14"/>
  <c r="AH79" i="14"/>
  <c r="AI8" i="14"/>
  <c r="AI20" i="14"/>
  <c r="AI23" i="14"/>
  <c r="AI35" i="14"/>
  <c r="AI43" i="14"/>
  <c r="AI49" i="14"/>
  <c r="AI57" i="14" s="1"/>
  <c r="AI12" i="14" s="1"/>
  <c r="AI59" i="14"/>
  <c r="AI63" i="14" s="1"/>
  <c r="AI13" i="14" s="1"/>
  <c r="AI65" i="14"/>
  <c r="AI70" i="14"/>
  <c r="AI74" i="14"/>
  <c r="AI79" i="14"/>
  <c r="AJ8" i="14"/>
  <c r="AJ90" i="14" s="1"/>
  <c r="AJ20" i="14"/>
  <c r="AJ26" i="14"/>
  <c r="AJ35" i="14"/>
  <c r="AJ43" i="14"/>
  <c r="AJ49" i="14"/>
  <c r="AJ57" i="14" s="1"/>
  <c r="AJ12" i="14" s="1"/>
  <c r="AJ59" i="14"/>
  <c r="AJ63" i="14" s="1"/>
  <c r="AJ13" i="14" s="1"/>
  <c r="AJ65" i="14"/>
  <c r="AJ70" i="14"/>
  <c r="AJ74" i="14"/>
  <c r="AJ79" i="14"/>
  <c r="AC8" i="14"/>
  <c r="AC90" i="14" s="1"/>
  <c r="AB8" i="14"/>
  <c r="AB90" i="14" s="1"/>
  <c r="AA8" i="14"/>
  <c r="AA90" i="14" s="1"/>
  <c r="Z8" i="14"/>
  <c r="Z90" i="14" s="1"/>
  <c r="X6" i="14"/>
  <c r="X7" i="14"/>
  <c r="S20" i="14"/>
  <c r="S23" i="14"/>
  <c r="S35" i="14"/>
  <c r="S43" i="14"/>
  <c r="S49" i="14"/>
  <c r="S57" i="14" s="1"/>
  <c r="S59" i="14"/>
  <c r="S63" i="14" s="1"/>
  <c r="S13" i="14" s="1"/>
  <c r="S65" i="14"/>
  <c r="S70" i="14"/>
  <c r="S72" i="14"/>
  <c r="S74" i="14"/>
  <c r="S79" i="14"/>
  <c r="T20" i="14"/>
  <c r="T23" i="14"/>
  <c r="T35" i="14"/>
  <c r="T43" i="14"/>
  <c r="T49" i="14"/>
  <c r="T59" i="14"/>
  <c r="T63" i="14" s="1"/>
  <c r="T13" i="14" s="1"/>
  <c r="T65" i="14"/>
  <c r="T70" i="14"/>
  <c r="T72" i="14"/>
  <c r="T74" i="14"/>
  <c r="T79" i="14"/>
  <c r="U20" i="14"/>
  <c r="U23" i="14"/>
  <c r="U35" i="14"/>
  <c r="U43" i="14"/>
  <c r="U49" i="14"/>
  <c r="U57" i="14" s="1"/>
  <c r="U12" i="14" s="1"/>
  <c r="U59" i="14"/>
  <c r="U63" i="14" s="1"/>
  <c r="U13" i="14" s="1"/>
  <c r="U65" i="14"/>
  <c r="U70" i="14"/>
  <c r="U72" i="14"/>
  <c r="U74" i="14"/>
  <c r="U79" i="14"/>
  <c r="U8" i="14"/>
  <c r="U90" i="14" s="1"/>
  <c r="V20" i="14"/>
  <c r="V23" i="14"/>
  <c r="V35" i="14"/>
  <c r="V43" i="14"/>
  <c r="V49" i="14"/>
  <c r="V57" i="14" s="1"/>
  <c r="V12" i="14" s="1"/>
  <c r="V59" i="14"/>
  <c r="V63" i="14" s="1"/>
  <c r="V65" i="14"/>
  <c r="V70" i="14"/>
  <c r="V72" i="14"/>
  <c r="V74" i="14"/>
  <c r="V79" i="14"/>
  <c r="V8" i="14"/>
  <c r="V90" i="14" s="1"/>
  <c r="T8" i="14"/>
  <c r="T90" i="14" s="1"/>
  <c r="S8" i="14"/>
  <c r="S90" i="14" s="1"/>
  <c r="R23" i="14"/>
  <c r="R35" i="14"/>
  <c r="R43" i="14"/>
  <c r="R49" i="14"/>
  <c r="R57" i="14" s="1"/>
  <c r="R12" i="14" s="1"/>
  <c r="R59" i="14"/>
  <c r="R63" i="14" s="1"/>
  <c r="R13" i="14" s="1"/>
  <c r="R65" i="14"/>
  <c r="R69" i="14"/>
  <c r="Q23" i="14"/>
  <c r="Q35" i="14"/>
  <c r="Q43" i="14"/>
  <c r="Q49" i="14"/>
  <c r="Q57" i="14" s="1"/>
  <c r="Q12" i="14" s="1"/>
  <c r="Q59" i="14"/>
  <c r="Q63" i="14" s="1"/>
  <c r="Q13" i="14" s="1"/>
  <c r="Q65" i="14"/>
  <c r="Q69" i="14"/>
  <c r="P23" i="14"/>
  <c r="P35" i="14"/>
  <c r="P43" i="14"/>
  <c r="P49" i="14"/>
  <c r="P57" i="14" s="1"/>
  <c r="P12" i="14" s="1"/>
  <c r="P59" i="14"/>
  <c r="P63" i="14" s="1"/>
  <c r="P13" i="14" s="1"/>
  <c r="P65" i="14"/>
  <c r="P74" i="14"/>
  <c r="P69" i="14" s="1"/>
  <c r="O23" i="14"/>
  <c r="O35" i="14"/>
  <c r="O43" i="14"/>
  <c r="O49" i="14"/>
  <c r="O57" i="14" s="1"/>
  <c r="O12" i="14" s="1"/>
  <c r="O65" i="14"/>
  <c r="O74" i="14"/>
  <c r="O69" i="14" s="1"/>
  <c r="F8" i="14"/>
  <c r="F90" i="14" s="1"/>
  <c r="F23" i="14"/>
  <c r="F35" i="14"/>
  <c r="F43" i="14"/>
  <c r="F49" i="14"/>
  <c r="F57" i="14" s="1"/>
  <c r="F59" i="14"/>
  <c r="F63" i="14" s="1"/>
  <c r="F74" i="14"/>
  <c r="F69" i="14" s="1"/>
  <c r="F83" i="14" s="1"/>
  <c r="AE91" i="14"/>
  <c r="X91" i="14"/>
  <c r="M8" i="14"/>
  <c r="M90" i="14" s="1"/>
  <c r="L8" i="14"/>
  <c r="L90" i="14" s="1"/>
  <c r="K8" i="14"/>
  <c r="K90" i="14" s="1"/>
  <c r="J8" i="14"/>
  <c r="H90" i="14"/>
  <c r="AE89" i="14"/>
  <c r="X89" i="14"/>
  <c r="M23" i="14"/>
  <c r="M35" i="14"/>
  <c r="M43" i="14"/>
  <c r="M49" i="14"/>
  <c r="M57" i="14" s="1"/>
  <c r="M12" i="14" s="1"/>
  <c r="M69" i="14"/>
  <c r="M83" i="14" s="1"/>
  <c r="M14" i="14" s="1"/>
  <c r="L23" i="14"/>
  <c r="L35" i="14"/>
  <c r="L43" i="14"/>
  <c r="L49" i="14"/>
  <c r="L57" i="14" s="1"/>
  <c r="L12" i="14" s="1"/>
  <c r="L69" i="14"/>
  <c r="L83" i="14" s="1"/>
  <c r="L14" i="14" s="1"/>
  <c r="K23" i="14"/>
  <c r="K35" i="14"/>
  <c r="K43" i="14"/>
  <c r="K49" i="14"/>
  <c r="K57" i="14" s="1"/>
  <c r="K12" i="14" s="1"/>
  <c r="K69" i="14"/>
  <c r="K83" i="14" s="1"/>
  <c r="K14" i="14" s="1"/>
  <c r="J23" i="14"/>
  <c r="J35" i="14"/>
  <c r="J43" i="14"/>
  <c r="J49" i="14"/>
  <c r="J57" i="14" s="1"/>
  <c r="J12" i="14" s="1"/>
  <c r="J69" i="14"/>
  <c r="J83" i="14" s="1"/>
  <c r="J14" i="14" s="1"/>
  <c r="AE85" i="14"/>
  <c r="X85" i="14"/>
  <c r="X71" i="14"/>
  <c r="X70" i="14" s="1"/>
  <c r="X73" i="14"/>
  <c r="X72" i="14" s="1"/>
  <c r="X77" i="14"/>
  <c r="X80" i="14"/>
  <c r="X79" i="14" s="1"/>
  <c r="G65" i="14"/>
  <c r="BF80" i="14"/>
  <c r="BA80" i="14"/>
  <c r="AV80" i="14"/>
  <c r="AQ80" i="14"/>
  <c r="AK80" i="14"/>
  <c r="AE78" i="14"/>
  <c r="X78" i="14"/>
  <c r="BF77" i="14"/>
  <c r="BA77" i="14"/>
  <c r="AV77" i="14"/>
  <c r="AQ77" i="14"/>
  <c r="AK77" i="14"/>
  <c r="H77" i="14"/>
  <c r="G77" i="14"/>
  <c r="BF76" i="14"/>
  <c r="BA76" i="14"/>
  <c r="AV76" i="14"/>
  <c r="AQ76" i="14"/>
  <c r="AK76" i="14"/>
  <c r="X76" i="14"/>
  <c r="H76" i="14"/>
  <c r="G76" i="14"/>
  <c r="G74" i="14"/>
  <c r="BF73" i="14"/>
  <c r="BA73" i="14"/>
  <c r="AV73" i="14"/>
  <c r="AQ73" i="14"/>
  <c r="AK73" i="14"/>
  <c r="BF71" i="14"/>
  <c r="BA71" i="14"/>
  <c r="AV71" i="14"/>
  <c r="AQ71" i="14"/>
  <c r="AK71" i="14"/>
  <c r="AE68" i="14"/>
  <c r="X68" i="14"/>
  <c r="BF67" i="14"/>
  <c r="BA67" i="14"/>
  <c r="AV67" i="14"/>
  <c r="AQ67" i="14"/>
  <c r="AK67" i="14"/>
  <c r="X67" i="14"/>
  <c r="H67" i="14"/>
  <c r="G67" i="14"/>
  <c r="AE64" i="14"/>
  <c r="X64" i="14"/>
  <c r="AL63" i="14"/>
  <c r="O63" i="14"/>
  <c r="O13" i="14" s="1"/>
  <c r="M63" i="14"/>
  <c r="M13" i="14" s="1"/>
  <c r="L63" i="14"/>
  <c r="L13" i="14" s="1"/>
  <c r="K63" i="14"/>
  <c r="K13" i="14" s="1"/>
  <c r="J63" i="14"/>
  <c r="J13" i="14" s="1"/>
  <c r="G59" i="14"/>
  <c r="G63" i="14" s="1"/>
  <c r="G13" i="14" s="1"/>
  <c r="AE62" i="14"/>
  <c r="X62" i="14"/>
  <c r="BF61" i="14"/>
  <c r="BA61" i="14"/>
  <c r="AV61" i="14"/>
  <c r="AQ61" i="14"/>
  <c r="AK61" i="14"/>
  <c r="BF60" i="14"/>
  <c r="BA60" i="14"/>
  <c r="AV60" i="14"/>
  <c r="AQ60" i="14"/>
  <c r="AK60" i="14"/>
  <c r="X60" i="14"/>
  <c r="H60" i="14"/>
  <c r="G60" i="14"/>
  <c r="AE58" i="14"/>
  <c r="X58" i="14"/>
  <c r="T57" i="14"/>
  <c r="T12" i="14" s="1"/>
  <c r="AE56" i="14"/>
  <c r="X56" i="14"/>
  <c r="BF54" i="14"/>
  <c r="BA54" i="14"/>
  <c r="AV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H51" i="14"/>
  <c r="G51" i="14"/>
  <c r="BF50" i="14"/>
  <c r="BA50" i="14"/>
  <c r="AV50" i="14"/>
  <c r="AQ50" i="14"/>
  <c r="AK50" i="14"/>
  <c r="X50" i="14"/>
  <c r="G50" i="14"/>
  <c r="AE48" i="14"/>
  <c r="X48" i="14"/>
  <c r="H20" i="14"/>
  <c r="AE46" i="14"/>
  <c r="X46" i="14"/>
  <c r="BF45" i="14"/>
  <c r="BA45" i="14"/>
  <c r="AV45" i="14"/>
  <c r="AQ45" i="14"/>
  <c r="AK45" i="14"/>
  <c r="X45" i="14"/>
  <c r="G45" i="14"/>
  <c r="BF44" i="14"/>
  <c r="AV44" i="14"/>
  <c r="AK44" i="14"/>
  <c r="X44" i="14"/>
  <c r="G44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BF39" i="14"/>
  <c r="BA39" i="14"/>
  <c r="AV39" i="14"/>
  <c r="AQ39" i="14"/>
  <c r="AK39" i="14"/>
  <c r="X39" i="14"/>
  <c r="H39" i="14"/>
  <c r="G39" i="14"/>
  <c r="BF38" i="14"/>
  <c r="BA38" i="14"/>
  <c r="AV38" i="14"/>
  <c r="AQ38" i="14"/>
  <c r="AK38" i="14"/>
  <c r="X38" i="14"/>
  <c r="G38" i="14"/>
  <c r="BA37" i="14"/>
  <c r="AV37" i="14"/>
  <c r="AQ37" i="14"/>
  <c r="AK37" i="14"/>
  <c r="X37" i="14"/>
  <c r="G37" i="14"/>
  <c r="BF36" i="14"/>
  <c r="BA36" i="14"/>
  <c r="AV36" i="14"/>
  <c r="AQ36" i="14"/>
  <c r="AK36" i="14"/>
  <c r="X36" i="14"/>
  <c r="G36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BF30" i="14"/>
  <c r="BA30" i="14"/>
  <c r="AV30" i="14"/>
  <c r="AQ30" i="14"/>
  <c r="AK30" i="14"/>
  <c r="X30" i="14"/>
  <c r="H30" i="14"/>
  <c r="G30" i="14"/>
  <c r="BF29" i="14"/>
  <c r="BA29" i="14"/>
  <c r="AV29" i="14"/>
  <c r="AQ29" i="14"/>
  <c r="AK29" i="14"/>
  <c r="BF28" i="14"/>
  <c r="BA28" i="14"/>
  <c r="AV28" i="14"/>
  <c r="AQ28" i="14"/>
  <c r="AK28" i="14"/>
  <c r="X28" i="14"/>
  <c r="BF27" i="14"/>
  <c r="BA27" i="14"/>
  <c r="AV27" i="14"/>
  <c r="AQ27" i="14"/>
  <c r="AK27" i="14"/>
  <c r="X27" i="14"/>
  <c r="H27" i="14"/>
  <c r="G27" i="14"/>
  <c r="BF26" i="14"/>
  <c r="BA26" i="14"/>
  <c r="AV26" i="14"/>
  <c r="AQ26" i="14"/>
  <c r="X26" i="14"/>
  <c r="G26" i="14"/>
  <c r="BF25" i="14"/>
  <c r="BA25" i="14"/>
  <c r="AV25" i="14"/>
  <c r="AQ25" i="14"/>
  <c r="AK25" i="14"/>
  <c r="X25" i="14"/>
  <c r="H25" i="14"/>
  <c r="G25" i="14"/>
  <c r="BF24" i="14"/>
  <c r="AQ24" i="14"/>
  <c r="AK24" i="14"/>
  <c r="X24" i="14"/>
  <c r="H24" i="14"/>
  <c r="G24" i="14"/>
  <c r="AE22" i="14"/>
  <c r="X22" i="14"/>
  <c r="BF21" i="14"/>
  <c r="AV21" i="14"/>
  <c r="AK21" i="14"/>
  <c r="X21" i="14"/>
  <c r="X20" i="14" s="1"/>
  <c r="H21" i="14"/>
  <c r="AE19" i="14"/>
  <c r="X19" i="14"/>
  <c r="AE18" i="14"/>
  <c r="X18" i="14"/>
  <c r="AE17" i="14"/>
  <c r="X17" i="14"/>
  <c r="H16" i="14"/>
  <c r="F16" i="14"/>
  <c r="AE10" i="14"/>
  <c r="X10" i="14"/>
  <c r="AE9" i="14"/>
  <c r="X9" i="14"/>
  <c r="H8" i="14"/>
  <c r="BF7" i="14"/>
  <c r="BA7" i="14"/>
  <c r="AQ7" i="14"/>
  <c r="AK7" i="14"/>
  <c r="G7" i="14"/>
  <c r="BF6" i="14"/>
  <c r="BA6" i="14"/>
  <c r="AV6" i="14"/>
  <c r="AQ6" i="14"/>
  <c r="AK6" i="14"/>
  <c r="H6" i="14"/>
  <c r="G6" i="14"/>
  <c r="BV45" i="14" l="1"/>
  <c r="BE69" i="14"/>
  <c r="BE83" i="14" s="1"/>
  <c r="BE14" i="14" s="1"/>
  <c r="BV85" i="14"/>
  <c r="BW49" i="14"/>
  <c r="BW70" i="14"/>
  <c r="BX60" i="14"/>
  <c r="BZ60" i="14" s="1"/>
  <c r="BP60" i="14"/>
  <c r="BT69" i="14"/>
  <c r="BT83" i="14" s="1"/>
  <c r="BT14" i="14" s="1"/>
  <c r="AA69" i="14"/>
  <c r="AA83" i="14" s="1"/>
  <c r="AA14" i="14" s="1"/>
  <c r="AE23" i="14"/>
  <c r="BG47" i="14"/>
  <c r="BG11" i="14" s="1"/>
  <c r="AQ49" i="14"/>
  <c r="H74" i="14"/>
  <c r="K88" i="14"/>
  <c r="AV90" i="14"/>
  <c r="BA44" i="14"/>
  <c r="BP67" i="14"/>
  <c r="AS69" i="14"/>
  <c r="AS88" i="14" s="1"/>
  <c r="AS92" i="14" s="1"/>
  <c r="AV70" i="14"/>
  <c r="AV43" i="14"/>
  <c r="BX23" i="14"/>
  <c r="BZ23" i="14" s="1"/>
  <c r="BV7" i="14"/>
  <c r="AQ44" i="14"/>
  <c r="AB69" i="14"/>
  <c r="AB88" i="14" s="1"/>
  <c r="AB92" i="14" s="1"/>
  <c r="Z69" i="14"/>
  <c r="Z88" i="14" s="1"/>
  <c r="Z92" i="14" s="1"/>
  <c r="BP72" i="14"/>
  <c r="BX72" i="14"/>
  <c r="BW20" i="14"/>
  <c r="BF90" i="14"/>
  <c r="AK65" i="14"/>
  <c r="AU47" i="14"/>
  <c r="AU11" i="14" s="1"/>
  <c r="AQ72" i="14"/>
  <c r="BJ47" i="14"/>
  <c r="BJ11" i="14" s="1"/>
  <c r="BJ69" i="14"/>
  <c r="BJ88" i="14" s="1"/>
  <c r="BJ92" i="14" s="1"/>
  <c r="BW35" i="14"/>
  <c r="BS47" i="14"/>
  <c r="BS11" i="14" s="1"/>
  <c r="BW59" i="14"/>
  <c r="G69" i="14"/>
  <c r="G83" i="14" s="1"/>
  <c r="G14" i="14" s="1"/>
  <c r="AK59" i="14"/>
  <c r="BM59" i="14"/>
  <c r="BM63" i="14" s="1"/>
  <c r="BX63" i="14" s="1"/>
  <c r="BZ63" i="14" s="1"/>
  <c r="BO47" i="14"/>
  <c r="BO11" i="14" s="1"/>
  <c r="BA70" i="14"/>
  <c r="BE47" i="14"/>
  <c r="BE11" i="14" s="1"/>
  <c r="M88" i="14"/>
  <c r="U69" i="14"/>
  <c r="U83" i="14" s="1"/>
  <c r="U14" i="14" s="1"/>
  <c r="AK72" i="14"/>
  <c r="AQ70" i="14"/>
  <c r="AE57" i="14"/>
  <c r="AE12" i="14" s="1"/>
  <c r="AQ8" i="14"/>
  <c r="BD47" i="14"/>
  <c r="BD11" i="14" s="1"/>
  <c r="BF20" i="14"/>
  <c r="AC69" i="14"/>
  <c r="AC88" i="14" s="1"/>
  <c r="AC92" i="14" s="1"/>
  <c r="BF79" i="14"/>
  <c r="AU69" i="14"/>
  <c r="AU83" i="14" s="1"/>
  <c r="AU14" i="14" s="1"/>
  <c r="BK43" i="14"/>
  <c r="BK65" i="14"/>
  <c r="AE35" i="14"/>
  <c r="BP74" i="14"/>
  <c r="BP23" i="14"/>
  <c r="BP20" i="14"/>
  <c r="BM69" i="14"/>
  <c r="BM83" i="14" s="1"/>
  <c r="BM14" i="14" s="1"/>
  <c r="BX74" i="14"/>
  <c r="BZ74" i="14" s="1"/>
  <c r="BP65" i="14"/>
  <c r="BN47" i="14"/>
  <c r="BN11" i="14" s="1"/>
  <c r="BN69" i="14"/>
  <c r="BN83" i="14" s="1"/>
  <c r="BN14" i="14" s="1"/>
  <c r="BO69" i="14"/>
  <c r="BO83" i="14" s="1"/>
  <c r="BO14" i="14" s="1"/>
  <c r="BW79" i="14"/>
  <c r="AV59" i="14"/>
  <c r="BC69" i="14"/>
  <c r="BC88" i="14" s="1"/>
  <c r="BC92" i="14" s="1"/>
  <c r="BG69" i="14"/>
  <c r="BG83" i="14" s="1"/>
  <c r="BG14" i="14" s="1"/>
  <c r="BU35" i="14"/>
  <c r="BY35" i="14" s="1"/>
  <c r="BX65" i="14"/>
  <c r="BZ65" i="14" s="1"/>
  <c r="BT47" i="14"/>
  <c r="BT11" i="14" s="1"/>
  <c r="AI69" i="14"/>
  <c r="AX47" i="14"/>
  <c r="AX11" i="14" s="1"/>
  <c r="BF72" i="14"/>
  <c r="BD69" i="14"/>
  <c r="BD88" i="14" s="1"/>
  <c r="BD92" i="14" s="1"/>
  <c r="AB47" i="14"/>
  <c r="AB11" i="14" s="1"/>
  <c r="AE72" i="14"/>
  <c r="Z47" i="14"/>
  <c r="Z11" i="14" s="1"/>
  <c r="BF74" i="14"/>
  <c r="BF70" i="14"/>
  <c r="BB63" i="14"/>
  <c r="BB13" i="14" s="1"/>
  <c r="BF59" i="14"/>
  <c r="AY69" i="14"/>
  <c r="AY83" i="14" s="1"/>
  <c r="AY14" i="14" s="1"/>
  <c r="BI47" i="14"/>
  <c r="BI11" i="14" s="1"/>
  <c r="BK13" i="14"/>
  <c r="AE49" i="14"/>
  <c r="BL69" i="14"/>
  <c r="BL83" i="14" s="1"/>
  <c r="BP43" i="14"/>
  <c r="BL47" i="14"/>
  <c r="BU43" i="14"/>
  <c r="BY43" i="14" s="1"/>
  <c r="BP90" i="14"/>
  <c r="BM47" i="14"/>
  <c r="BM11" i="14" s="1"/>
  <c r="BO63" i="14"/>
  <c r="BO13" i="14" s="1"/>
  <c r="BU72" i="14"/>
  <c r="BY72" i="14" s="1"/>
  <c r="BQ69" i="14"/>
  <c r="BQ83" i="14" s="1"/>
  <c r="BX49" i="14"/>
  <c r="BZ49" i="14" s="1"/>
  <c r="BV79" i="14"/>
  <c r="BU67" i="14"/>
  <c r="BY67" i="14" s="1"/>
  <c r="BV72" i="14"/>
  <c r="BA21" i="14"/>
  <c r="BX35" i="14"/>
  <c r="BZ35" i="14" s="1"/>
  <c r="BX8" i="14"/>
  <c r="BZ8" i="14" s="1"/>
  <c r="BU74" i="14"/>
  <c r="BY74" i="14" s="1"/>
  <c r="BP35" i="14"/>
  <c r="AT63" i="14"/>
  <c r="AT13" i="14" s="1"/>
  <c r="AN69" i="14"/>
  <c r="AN88" i="14" s="1"/>
  <c r="AN92" i="14" s="1"/>
  <c r="AM63" i="14"/>
  <c r="AQ59" i="14"/>
  <c r="AQ90" i="14"/>
  <c r="BE63" i="14"/>
  <c r="BE13" i="14" s="1"/>
  <c r="AE70" i="14"/>
  <c r="BA79" i="14"/>
  <c r="BA20" i="14"/>
  <c r="J47" i="14"/>
  <c r="J11" i="14" s="1"/>
  <c r="L47" i="14"/>
  <c r="L11" i="14" s="1"/>
  <c r="F47" i="14"/>
  <c r="X35" i="14"/>
  <c r="V69" i="14"/>
  <c r="V88" i="14" s="1"/>
  <c r="V92" i="14" s="1"/>
  <c r="V47" i="14"/>
  <c r="V11" i="14" s="1"/>
  <c r="T69" i="14"/>
  <c r="T88" i="14" s="1"/>
  <c r="X23" i="14"/>
  <c r="AI47" i="14"/>
  <c r="AI11" i="14" s="1"/>
  <c r="AO69" i="14"/>
  <c r="AO83" i="14" s="1"/>
  <c r="AO14" i="14" s="1"/>
  <c r="AQ79" i="14"/>
  <c r="AM69" i="14"/>
  <c r="AM83" i="14" s="1"/>
  <c r="AM14" i="14" s="1"/>
  <c r="AV79" i="14"/>
  <c r="AV35" i="14"/>
  <c r="BA24" i="14"/>
  <c r="BA72" i="14"/>
  <c r="BA65" i="14"/>
  <c r="BK23" i="14"/>
  <c r="AE74" i="14"/>
  <c r="AX69" i="14"/>
  <c r="AX88" i="14" s="1"/>
  <c r="AX92" i="14" s="1"/>
  <c r="AX98" i="14" s="1"/>
  <c r="AW69" i="14"/>
  <c r="AW83" i="14" s="1"/>
  <c r="AW14" i="14" s="1"/>
  <c r="AR69" i="14"/>
  <c r="AR83" i="14" s="1"/>
  <c r="AR14" i="14" s="1"/>
  <c r="AV8" i="14"/>
  <c r="AE8" i="14"/>
  <c r="AE90" i="14" s="1"/>
  <c r="BK72" i="14"/>
  <c r="BK20" i="14"/>
  <c r="BP79" i="14"/>
  <c r="BU20" i="14"/>
  <c r="BY20" i="14" s="1"/>
  <c r="BQ47" i="14"/>
  <c r="BQ11" i="14" s="1"/>
  <c r="BU70" i="14"/>
  <c r="BY70" i="14" s="1"/>
  <c r="BW74" i="14"/>
  <c r="BW85" i="14"/>
  <c r="BX20" i="14"/>
  <c r="BZ20" i="14" s="1"/>
  <c r="BV35" i="14"/>
  <c r="BW15" i="14"/>
  <c r="BS69" i="14"/>
  <c r="BS83" i="14" s="1"/>
  <c r="BS14" i="14" s="1"/>
  <c r="BU65" i="14"/>
  <c r="BY65" i="14" s="1"/>
  <c r="BK63" i="14"/>
  <c r="AY47" i="14"/>
  <c r="AY11" i="14" s="1"/>
  <c r="AR13" i="14"/>
  <c r="BV15" i="14"/>
  <c r="BV70" i="14"/>
  <c r="BV59" i="14"/>
  <c r="BW65" i="14"/>
  <c r="BV20" i="14"/>
  <c r="AK12" i="14"/>
  <c r="F88" i="14"/>
  <c r="F92" i="14" s="1"/>
  <c r="BK8" i="14"/>
  <c r="BF49" i="14"/>
  <c r="BF8" i="14"/>
  <c r="AV57" i="14"/>
  <c r="AV23" i="14"/>
  <c r="BX70" i="14"/>
  <c r="BZ70" i="14" s="1"/>
  <c r="BU59" i="14"/>
  <c r="BY59" i="14" s="1"/>
  <c r="BU79" i="14"/>
  <c r="BY79" i="14" s="1"/>
  <c r="BU23" i="14"/>
  <c r="BY23" i="14" s="1"/>
  <c r="BP8" i="14"/>
  <c r="BF57" i="14"/>
  <c r="BG49" i="14"/>
  <c r="BP70" i="14"/>
  <c r="BB69" i="14"/>
  <c r="BB83" i="14" s="1"/>
  <c r="AQ21" i="14"/>
  <c r="AV24" i="14"/>
  <c r="BA49" i="14"/>
  <c r="H23" i="14"/>
  <c r="Q83" i="14"/>
  <c r="Q14" i="14" s="1"/>
  <c r="Q47" i="14"/>
  <c r="Q11" i="14" s="1"/>
  <c r="AM47" i="14"/>
  <c r="AM11" i="14" s="1"/>
  <c r="BF43" i="14"/>
  <c r="BF23" i="14"/>
  <c r="BA35" i="14"/>
  <c r="BK54" i="14"/>
  <c r="BL49" i="14"/>
  <c r="BX79" i="14"/>
  <c r="BZ79" i="14" s="1"/>
  <c r="BP54" i="14"/>
  <c r="CA49" i="14"/>
  <c r="BW72" i="14"/>
  <c r="BR43" i="14"/>
  <c r="BR69" i="14"/>
  <c r="CC14" i="14"/>
  <c r="CC16" i="14" s="1"/>
  <c r="H69" i="14"/>
  <c r="O83" i="14"/>
  <c r="O14" i="14" s="1"/>
  <c r="O47" i="14"/>
  <c r="O11" i="14" s="1"/>
  <c r="H35" i="14"/>
  <c r="R47" i="14"/>
  <c r="R11" i="14" s="1"/>
  <c r="AJ69" i="14"/>
  <c r="AJ83" i="14" s="1"/>
  <c r="AJ14" i="14" s="1"/>
  <c r="CB90" i="14"/>
  <c r="CF8" i="14"/>
  <c r="CF43" i="14"/>
  <c r="CB63" i="14"/>
  <c r="CF59" i="14"/>
  <c r="CF70" i="14"/>
  <c r="CF85" i="14"/>
  <c r="BK35" i="14"/>
  <c r="BK74" i="14"/>
  <c r="BK79" i="14"/>
  <c r="AE59" i="14"/>
  <c r="AE63" i="14" s="1"/>
  <c r="AE13" i="14" s="1"/>
  <c r="CF15" i="14"/>
  <c r="CF35" i="14"/>
  <c r="CF65" i="14"/>
  <c r="CF72" i="14"/>
  <c r="CF79" i="14"/>
  <c r="CF24" i="14"/>
  <c r="CF20" i="14"/>
  <c r="CC92" i="14"/>
  <c r="CB12" i="14"/>
  <c r="CF57" i="14"/>
  <c r="H43" i="14"/>
  <c r="BH69" i="14"/>
  <c r="BH83" i="14" s="1"/>
  <c r="BH14" i="14" s="1"/>
  <c r="BI69" i="14"/>
  <c r="AW12" i="14"/>
  <c r="BA12" i="14" s="1"/>
  <c r="BA57" i="14"/>
  <c r="AW47" i="14"/>
  <c r="AW11" i="14" s="1"/>
  <c r="BA43" i="14"/>
  <c r="BL13" i="14"/>
  <c r="BV63" i="14"/>
  <c r="BW63" i="14"/>
  <c r="BU63" i="14"/>
  <c r="BY63" i="14" s="1"/>
  <c r="BQ13" i="14"/>
  <c r="BC47" i="14"/>
  <c r="BC11" i="14" s="1"/>
  <c r="AV12" i="14"/>
  <c r="BF12" i="14"/>
  <c r="L88" i="14"/>
  <c r="M47" i="14"/>
  <c r="M11" i="14" s="1"/>
  <c r="S69" i="14"/>
  <c r="S88" i="14" s="1"/>
  <c r="S92" i="14" s="1"/>
  <c r="X8" i="14"/>
  <c r="X90" i="14" s="1"/>
  <c r="AK13" i="14"/>
  <c r="AK74" i="14"/>
  <c r="AH69" i="14"/>
  <c r="AH88" i="14" s="1"/>
  <c r="AH92" i="14" s="1"/>
  <c r="AH47" i="14"/>
  <c r="AH11" i="14" s="1"/>
  <c r="AG69" i="14"/>
  <c r="AG83" i="14" s="1"/>
  <c r="AG14" i="14" s="1"/>
  <c r="AK35" i="14"/>
  <c r="AP69" i="14"/>
  <c r="AP83" i="14" s="1"/>
  <c r="AQ35" i="14"/>
  <c r="AV74" i="14"/>
  <c r="AT69" i="14"/>
  <c r="AT83" i="14" s="1"/>
  <c r="AT14" i="14" s="1"/>
  <c r="AV65" i="14"/>
  <c r="AV49" i="14"/>
  <c r="AV20" i="14"/>
  <c r="AZ69" i="14"/>
  <c r="AZ83" i="14" s="1"/>
  <c r="BH47" i="14"/>
  <c r="BH11" i="14" s="1"/>
  <c r="BK59" i="14"/>
  <c r="BK90" i="14"/>
  <c r="BX90" i="14"/>
  <c r="BZ90" i="14" s="1"/>
  <c r="BU54" i="14"/>
  <c r="BY54" i="14" s="1"/>
  <c r="BW45" i="14"/>
  <c r="G35" i="14"/>
  <c r="J88" i="14"/>
  <c r="G88" i="14" s="1"/>
  <c r="K47" i="14"/>
  <c r="K11" i="14" s="1"/>
  <c r="G23" i="14"/>
  <c r="U47" i="14"/>
  <c r="U11" i="14" s="1"/>
  <c r="X74" i="14"/>
  <c r="X69" i="14" s="1"/>
  <c r="AJ23" i="14"/>
  <c r="AK23" i="14" s="1"/>
  <c r="AK26" i="14"/>
  <c r="AK70" i="14"/>
  <c r="AK43" i="14"/>
  <c r="AI90" i="14"/>
  <c r="AK90" i="14" s="1"/>
  <c r="AK8" i="14"/>
  <c r="AK79" i="14"/>
  <c r="AK20" i="14"/>
  <c r="AQ20" i="14"/>
  <c r="AC47" i="14"/>
  <c r="AC11" i="14" s="1"/>
  <c r="AZ90" i="14"/>
  <c r="BA8" i="14"/>
  <c r="AO47" i="14"/>
  <c r="AO11" i="14" s="1"/>
  <c r="AG47" i="14"/>
  <c r="AG11" i="14" s="1"/>
  <c r="AQ54" i="14"/>
  <c r="AV72" i="14"/>
  <c r="AK63" i="14"/>
  <c r="BK70" i="14"/>
  <c r="AZ23" i="14"/>
  <c r="AV7" i="14"/>
  <c r="AK49" i="14"/>
  <c r="G49" i="14"/>
  <c r="G57" i="14" s="1"/>
  <c r="G12" i="14" s="1"/>
  <c r="J90" i="14"/>
  <c r="G90" i="14" s="1"/>
  <c r="G8" i="14"/>
  <c r="X65" i="14"/>
  <c r="AQ74" i="14"/>
  <c r="AQ23" i="14"/>
  <c r="AA47" i="14"/>
  <c r="AA11" i="14" s="1"/>
  <c r="BF65" i="14"/>
  <c r="BB35" i="14"/>
  <c r="BF37" i="14"/>
  <c r="BA74" i="14"/>
  <c r="AY63" i="14"/>
  <c r="BA59" i="14"/>
  <c r="AE43" i="14"/>
  <c r="AS47" i="14"/>
  <c r="AS11" i="14" s="1"/>
  <c r="AR47" i="14"/>
  <c r="G43" i="14"/>
  <c r="X49" i="14"/>
  <c r="T47" i="14"/>
  <c r="T11" i="14" s="1"/>
  <c r="AN47" i="14"/>
  <c r="AN11" i="14" s="1"/>
  <c r="AT47" i="14"/>
  <c r="AT11" i="14" s="1"/>
  <c r="CA65" i="14"/>
  <c r="CA74" i="14"/>
  <c r="CA23" i="14"/>
  <c r="CA59" i="14"/>
  <c r="CA72" i="14"/>
  <c r="CA79" i="14"/>
  <c r="BT63" i="14"/>
  <c r="CA63" i="14" s="1"/>
  <c r="CA15" i="14"/>
  <c r="BQ57" i="14"/>
  <c r="BQ12" i="14" s="1"/>
  <c r="CA35" i="14"/>
  <c r="AK57" i="14"/>
  <c r="AP47" i="14"/>
  <c r="AQ43" i="14"/>
  <c r="AM57" i="14"/>
  <c r="BD13" i="14"/>
  <c r="BK94" i="14"/>
  <c r="L16" i="14"/>
  <c r="P47" i="14"/>
  <c r="P11" i="14" s="1"/>
  <c r="R83" i="14"/>
  <c r="R14" i="14" s="1"/>
  <c r="S47" i="14"/>
  <c r="S11" i="14" s="1"/>
  <c r="BS13" i="14"/>
  <c r="P83" i="14"/>
  <c r="P14" i="14" s="1"/>
  <c r="CA7" i="14"/>
  <c r="BQ8" i="14"/>
  <c r="BW23" i="14"/>
  <c r="CA70" i="14"/>
  <c r="BU7" i="14"/>
  <c r="BY7" i="14" s="1"/>
  <c r="CA85" i="14"/>
  <c r="CA45" i="14"/>
  <c r="BT57" i="14"/>
  <c r="BT90" i="14"/>
  <c r="CB23" i="14"/>
  <c r="BV49" i="14"/>
  <c r="BR57" i="14"/>
  <c r="CB69" i="14"/>
  <c r="H49" i="14"/>
  <c r="H57" i="14" s="1"/>
  <c r="H12" i="14" s="1"/>
  <c r="Q88" i="14"/>
  <c r="Q92" i="14" s="1"/>
  <c r="P88" i="14"/>
  <c r="P92" i="14" s="1"/>
  <c r="O88" i="14"/>
  <c r="H88" i="14" s="1"/>
  <c r="J16" i="14"/>
  <c r="G16" i="14" s="1"/>
  <c r="H59" i="14"/>
  <c r="H63" i="14" s="1"/>
  <c r="H13" i="14" s="1"/>
  <c r="R88" i="14"/>
  <c r="R92" i="14" s="1"/>
  <c r="X59" i="14"/>
  <c r="H65" i="14"/>
  <c r="X43" i="14"/>
  <c r="K16" i="14"/>
  <c r="M16" i="14"/>
  <c r="V13" i="14"/>
  <c r="X63" i="14"/>
  <c r="X13" i="14" s="1"/>
  <c r="X57" i="14"/>
  <c r="X12" i="14" s="1"/>
  <c r="S12" i="14"/>
  <c r="BE88" i="14" l="1"/>
  <c r="BE92" i="14" s="1"/>
  <c r="BN88" i="14"/>
  <c r="BN92" i="14" s="1"/>
  <c r="AE69" i="14"/>
  <c r="AE83" i="14" s="1"/>
  <c r="AE14" i="14" s="1"/>
  <c r="AR88" i="14"/>
  <c r="AR92" i="14" s="1"/>
  <c r="AR98" i="14" s="1"/>
  <c r="Z83" i="14"/>
  <c r="Z14" i="14" s="1"/>
  <c r="Z16" i="14" s="1"/>
  <c r="AV63" i="14"/>
  <c r="AB83" i="14"/>
  <c r="AB14" i="14" s="1"/>
  <c r="AB16" i="14" s="1"/>
  <c r="AS83" i="14"/>
  <c r="AS14" i="14" s="1"/>
  <c r="AS16" i="14" s="1"/>
  <c r="BP69" i="14"/>
  <c r="BL88" i="14"/>
  <c r="BL92" i="14" s="1"/>
  <c r="BP59" i="14"/>
  <c r="BT88" i="14"/>
  <c r="BT92" i="14" s="1"/>
  <c r="U16" i="14"/>
  <c r="AA88" i="14"/>
  <c r="AA92" i="14" s="1"/>
  <c r="AU88" i="14"/>
  <c r="AU92" i="14" s="1"/>
  <c r="AU98" i="14" s="1"/>
  <c r="U88" i="14"/>
  <c r="U92" i="14" s="1"/>
  <c r="BW43" i="14"/>
  <c r="CB47" i="14"/>
  <c r="V83" i="14"/>
  <c r="V14" i="14" s="1"/>
  <c r="V16" i="14" s="1"/>
  <c r="BD83" i="14"/>
  <c r="BD14" i="14" s="1"/>
  <c r="BD16" i="14" s="1"/>
  <c r="BO88" i="14"/>
  <c r="BO92" i="14" s="1"/>
  <c r="AE47" i="14"/>
  <c r="AE11" i="14" s="1"/>
  <c r="AY88" i="14"/>
  <c r="AY92" i="14" s="1"/>
  <c r="AY98" i="14" s="1"/>
  <c r="BM13" i="14"/>
  <c r="BP13" i="14" s="1"/>
  <c r="AU16" i="14"/>
  <c r="BK11" i="14"/>
  <c r="BF69" i="14"/>
  <c r="AW16" i="14"/>
  <c r="BJ83" i="14"/>
  <c r="BJ14" i="14" s="1"/>
  <c r="BJ16" i="14" s="1"/>
  <c r="BM88" i="14"/>
  <c r="BM92" i="14" s="1"/>
  <c r="BE16" i="14"/>
  <c r="S83" i="14"/>
  <c r="S14" i="14" s="1"/>
  <c r="S16" i="14" s="1"/>
  <c r="BN16" i="14"/>
  <c r="BX59" i="14"/>
  <c r="BZ59" i="14" s="1"/>
  <c r="AC83" i="14"/>
  <c r="AC14" i="14" s="1"/>
  <c r="AC16" i="14" s="1"/>
  <c r="AO16" i="14"/>
  <c r="AO88" i="14"/>
  <c r="AO92" i="14" s="1"/>
  <c r="BQ88" i="14"/>
  <c r="BC83" i="14"/>
  <c r="BC14" i="14" s="1"/>
  <c r="BC16" i="14" s="1"/>
  <c r="BS88" i="14"/>
  <c r="BP63" i="14"/>
  <c r="T83" i="14"/>
  <c r="T14" i="14" s="1"/>
  <c r="T16" i="14" s="1"/>
  <c r="AV13" i="14"/>
  <c r="AH83" i="14"/>
  <c r="AH14" i="14" s="1"/>
  <c r="AH16" i="14" s="1"/>
  <c r="AT16" i="14"/>
  <c r="AA16" i="14"/>
  <c r="AT88" i="14"/>
  <c r="AT92" i="14" s="1"/>
  <c r="AT98" i="14" s="1"/>
  <c r="AV69" i="14"/>
  <c r="AJ88" i="14"/>
  <c r="AJ92" i="14" s="1"/>
  <c r="AQ69" i="14"/>
  <c r="AW88" i="14"/>
  <c r="AW92" i="14" s="1"/>
  <c r="AW98" i="14" s="1"/>
  <c r="BV69" i="14"/>
  <c r="AN83" i="14"/>
  <c r="AN14" i="14" s="1"/>
  <c r="AN16" i="14" s="1"/>
  <c r="AI83" i="14"/>
  <c r="AI14" i="14" s="1"/>
  <c r="AI16" i="14" s="1"/>
  <c r="AI88" i="14"/>
  <c r="AI92" i="14" s="1"/>
  <c r="AX83" i="14"/>
  <c r="AX14" i="14" s="1"/>
  <c r="AX16" i="14" s="1"/>
  <c r="AM13" i="14"/>
  <c r="AQ13" i="14" s="1"/>
  <c r="AQ63" i="14"/>
  <c r="H83" i="14"/>
  <c r="H14" i="14" s="1"/>
  <c r="BF63" i="14"/>
  <c r="AM88" i="14"/>
  <c r="AM92" i="14" s="1"/>
  <c r="BU69" i="14"/>
  <c r="BY69" i="14" s="1"/>
  <c r="BU47" i="14"/>
  <c r="BY47" i="14" s="1"/>
  <c r="AK69" i="14"/>
  <c r="BO16" i="14"/>
  <c r="BL11" i="14"/>
  <c r="BP47" i="14"/>
  <c r="AP14" i="14"/>
  <c r="AG16" i="14"/>
  <c r="BR47" i="14"/>
  <c r="BX43" i="14"/>
  <c r="BZ43" i="14" s="1"/>
  <c r="BR88" i="14"/>
  <c r="BV43" i="14"/>
  <c r="BK49" i="14"/>
  <c r="BG57" i="14"/>
  <c r="BG88" i="14"/>
  <c r="BG92" i="14" s="1"/>
  <c r="AP88" i="14"/>
  <c r="AP92" i="14" s="1"/>
  <c r="CA43" i="14"/>
  <c r="AG88" i="14"/>
  <c r="AG92" i="14" s="1"/>
  <c r="H47" i="14"/>
  <c r="H11" i="14" s="1"/>
  <c r="BX69" i="14"/>
  <c r="BZ69" i="14" s="1"/>
  <c r="BW69" i="14"/>
  <c r="CA69" i="14"/>
  <c r="BP49" i="14"/>
  <c r="BL57" i="14"/>
  <c r="BU57" i="14" s="1"/>
  <c r="BY57" i="14" s="1"/>
  <c r="BU49" i="14"/>
  <c r="BY49" i="14" s="1"/>
  <c r="BR83" i="14"/>
  <c r="CF23" i="14"/>
  <c r="BA69" i="14"/>
  <c r="CF90" i="14"/>
  <c r="CB83" i="14"/>
  <c r="CF69" i="14"/>
  <c r="CA57" i="14"/>
  <c r="CB13" i="14"/>
  <c r="CF63" i="14"/>
  <c r="CF12" i="14"/>
  <c r="BH88" i="14"/>
  <c r="BK69" i="14"/>
  <c r="BI88" i="14"/>
  <c r="BI92" i="14" s="1"/>
  <c r="BI83" i="14"/>
  <c r="BQ14" i="14"/>
  <c r="BQ16" i="14" s="1"/>
  <c r="AZ14" i="14"/>
  <c r="BK47" i="14"/>
  <c r="O92" i="14"/>
  <c r="H92" i="14" s="1"/>
  <c r="BT12" i="14"/>
  <c r="X83" i="14"/>
  <c r="X14" i="14" s="1"/>
  <c r="BV13" i="14"/>
  <c r="BU13" i="14"/>
  <c r="BY13" i="14" s="1"/>
  <c r="BT13" i="14"/>
  <c r="CA13" i="14" s="1"/>
  <c r="AY13" i="14"/>
  <c r="BA63" i="14"/>
  <c r="BP83" i="14"/>
  <c r="BL14" i="14"/>
  <c r="BU83" i="14"/>
  <c r="BY83" i="14" s="1"/>
  <c r="BA90" i="14"/>
  <c r="X47" i="14"/>
  <c r="X11" i="14" s="1"/>
  <c r="AJ47" i="14"/>
  <c r="AK47" i="14" s="1"/>
  <c r="AR11" i="14"/>
  <c r="AV47" i="14"/>
  <c r="BF35" i="14"/>
  <c r="BB88" i="14"/>
  <c r="BB47" i="14"/>
  <c r="BA23" i="14"/>
  <c r="AZ47" i="14"/>
  <c r="AZ88" i="14"/>
  <c r="AZ92" i="14" s="1"/>
  <c r="G47" i="14"/>
  <c r="G11" i="14" s="1"/>
  <c r="BH16" i="14"/>
  <c r="CA8" i="14"/>
  <c r="BQ90" i="14"/>
  <c r="BU8" i="14"/>
  <c r="BY8" i="14" s="1"/>
  <c r="BV8" i="14"/>
  <c r="BW8" i="14"/>
  <c r="BW13" i="14"/>
  <c r="BS16" i="14"/>
  <c r="BB14" i="14"/>
  <c r="AM12" i="14"/>
  <c r="AQ57" i="14"/>
  <c r="AS98" i="14"/>
  <c r="BF13" i="14"/>
  <c r="AP11" i="14"/>
  <c r="AQ47" i="14"/>
  <c r="BR12" i="14"/>
  <c r="BX57" i="14"/>
  <c r="BZ57" i="14" s="1"/>
  <c r="BV57" i="14"/>
  <c r="BW57" i="14"/>
  <c r="CB88" i="14"/>
  <c r="T92" i="14"/>
  <c r="BA83" i="14" l="1"/>
  <c r="AE16" i="14"/>
  <c r="BU88" i="14"/>
  <c r="BY88" i="14" s="1"/>
  <c r="AV83" i="14"/>
  <c r="AV14" i="14"/>
  <c r="X88" i="14"/>
  <c r="X92" i="14" s="1"/>
  <c r="AE88" i="14"/>
  <c r="AE92" i="14" s="1"/>
  <c r="BV83" i="14"/>
  <c r="CB11" i="14"/>
  <c r="CA12" i="14"/>
  <c r="CF47" i="14"/>
  <c r="AV98" i="14"/>
  <c r="CB14" i="14"/>
  <c r="AQ88" i="14"/>
  <c r="BF83" i="14"/>
  <c r="BM16" i="14"/>
  <c r="AK14" i="14"/>
  <c r="BA14" i="14"/>
  <c r="BX13" i="14"/>
  <c r="BZ13" i="14" s="1"/>
  <c r="BP88" i="14"/>
  <c r="AV92" i="14"/>
  <c r="BK83" i="14"/>
  <c r="BX88" i="14"/>
  <c r="BZ88" i="14" s="1"/>
  <c r="AQ83" i="14"/>
  <c r="AQ14" i="14"/>
  <c r="AK83" i="14"/>
  <c r="BS92" i="14"/>
  <c r="AV88" i="14"/>
  <c r="AK92" i="14"/>
  <c r="X16" i="14"/>
  <c r="AK88" i="14"/>
  <c r="BT16" i="14"/>
  <c r="BU11" i="14"/>
  <c r="BY11" i="14" s="1"/>
  <c r="BP11" i="14"/>
  <c r="BG12" i="14"/>
  <c r="BK57" i="14"/>
  <c r="BW88" i="14"/>
  <c r="CA88" i="14"/>
  <c r="BR92" i="14"/>
  <c r="BX92" i="14" s="1"/>
  <c r="BZ92" i="14" s="1"/>
  <c r="BV88" i="14"/>
  <c r="BR11" i="14"/>
  <c r="BX47" i="14"/>
  <c r="BZ47" i="14" s="1"/>
  <c r="CA47" i="14"/>
  <c r="BW47" i="14"/>
  <c r="BV47" i="14"/>
  <c r="AQ92" i="14"/>
  <c r="AJ11" i="14"/>
  <c r="AJ16" i="14" s="1"/>
  <c r="AK16" i="14" s="1"/>
  <c r="BR14" i="14"/>
  <c r="BX14" i="14" s="1"/>
  <c r="BZ14" i="14" s="1"/>
  <c r="BX83" i="14"/>
  <c r="BZ83" i="14" s="1"/>
  <c r="BP57" i="14"/>
  <c r="BL12" i="14"/>
  <c r="BL16" i="14" s="1"/>
  <c r="BW83" i="14"/>
  <c r="CA83" i="14"/>
  <c r="CF83" i="14"/>
  <c r="CF13" i="14"/>
  <c r="CF88" i="14"/>
  <c r="BI14" i="14"/>
  <c r="BH92" i="14"/>
  <c r="BK92" i="14" s="1"/>
  <c r="BK88" i="14"/>
  <c r="AZ98" i="14"/>
  <c r="BA98" i="14" s="1"/>
  <c r="BA92" i="14"/>
  <c r="BA88" i="14"/>
  <c r="AZ11" i="14"/>
  <c r="BA47" i="14"/>
  <c r="BF47" i="14"/>
  <c r="BB11" i="14"/>
  <c r="BF11" i="14" s="1"/>
  <c r="AR16" i="14"/>
  <c r="AV16" i="14" s="1"/>
  <c r="AV11" i="14"/>
  <c r="BB92" i="14"/>
  <c r="BF92" i="14" s="1"/>
  <c r="BF88" i="14"/>
  <c r="BP14" i="14"/>
  <c r="BU14" i="14"/>
  <c r="BY14" i="14" s="1"/>
  <c r="BA13" i="14"/>
  <c r="AY16" i="14"/>
  <c r="CB92" i="14"/>
  <c r="AQ11" i="14"/>
  <c r="AP16" i="14"/>
  <c r="BF14" i="14"/>
  <c r="BP92" i="14"/>
  <c r="AM16" i="14"/>
  <c r="AQ12" i="14"/>
  <c r="CA90" i="14"/>
  <c r="BU90" i="14"/>
  <c r="BY90" i="14" s="1"/>
  <c r="BV90" i="14"/>
  <c r="BW90" i="14"/>
  <c r="BQ92" i="14"/>
  <c r="BX12" i="14"/>
  <c r="BW12" i="14"/>
  <c r="BV12" i="14"/>
  <c r="CB16" i="14" l="1"/>
  <c r="CF11" i="14"/>
  <c r="CF14" i="14"/>
  <c r="CA14" i="14"/>
  <c r="AK11" i="14"/>
  <c r="AQ16" i="14"/>
  <c r="BR16" i="14"/>
  <c r="CA16" i="14" s="1"/>
  <c r="BW14" i="14"/>
  <c r="BV14" i="14"/>
  <c r="BB16" i="14"/>
  <c r="BF16" i="14" s="1"/>
  <c r="BP12" i="14"/>
  <c r="BU12" i="14"/>
  <c r="BX11" i="14"/>
  <c r="BZ11" i="14" s="1"/>
  <c r="BV11" i="14"/>
  <c r="BW11" i="14"/>
  <c r="CA11" i="14"/>
  <c r="BG16" i="14"/>
  <c r="BK12" i="14"/>
  <c r="CF92" i="14"/>
  <c r="BI16" i="14"/>
  <c r="BK14" i="14"/>
  <c r="AZ16" i="14"/>
  <c r="BA16" i="14" s="1"/>
  <c r="BA11" i="14"/>
  <c r="BP16" i="14"/>
  <c r="BU92" i="14"/>
  <c r="BY92" i="14" s="1"/>
  <c r="CA92" i="14"/>
  <c r="BV92" i="14"/>
  <c r="BW92" i="14"/>
  <c r="BZ12" i="14"/>
  <c r="BV16" i="14" l="1"/>
  <c r="CF16" i="14"/>
  <c r="BX16" i="14"/>
  <c r="BZ16" i="14" s="1"/>
  <c r="BW16" i="14"/>
  <c r="BK16" i="14"/>
  <c r="BY12" i="14"/>
  <c r="BU16" i="14"/>
  <c r="BY16" i="14" s="1"/>
</calcChain>
</file>

<file path=xl/sharedStrings.xml><?xml version="1.0" encoding="utf-8"?>
<sst xmlns="http://schemas.openxmlformats.org/spreadsheetml/2006/main" count="345" uniqueCount="131">
  <si>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</si>
  <si>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</si>
  <si>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</si>
  <si>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</si>
  <si>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</si>
  <si>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</si>
  <si>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</si>
  <si>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</si>
  <si>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</si>
  <si>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</si>
  <si>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</si>
  <si>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</si>
  <si>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</si>
  <si>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</si>
  <si>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</si>
  <si>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</si>
  <si>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</si>
  <si>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</si>
  <si>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</si>
  <si>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</si>
  <si>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</si>
  <si>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</si>
  <si>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</si>
  <si>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</si>
  <si>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</si>
  <si>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</si>
  <si>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</si>
  <si>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</si>
  <si>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</si>
  <si>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</si>
  <si>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</si>
  <si>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</si>
  <si>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</si>
  <si>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</si>
  <si>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</si>
  <si>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</si>
  <si>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</si>
  <si>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</si>
  <si>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</si>
  <si>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</si>
  <si>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</si>
  <si>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</si>
  <si>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</si>
  <si>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</si>
  <si>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</si>
  <si>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</si>
  <si>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</si>
  <si>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</si>
  <si>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</si>
  <si>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</si>
  <si>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</si>
  <si>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</si>
  <si>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</si>
  <si>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</si>
  <si>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</si>
  <si>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</si>
  <si>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</si>
  <si>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</si>
  <si>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</si>
  <si>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</si>
  <si>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</si>
  <si>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</si>
  <si>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</si>
  <si>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</si>
  <si>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</si>
  <si>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</si>
  <si>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</si>
  <si>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</si>
  <si>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</si>
  <si>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</si>
  <si>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</si>
  <si>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</si>
  <si>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</si>
  <si>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</si>
  <si>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</si>
  <si>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</si>
  <si>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</si>
  <si>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</si>
  <si>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</si>
  <si>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</si>
  <si>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</si>
  <si>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</si>
  <si>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</si>
  <si>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</si>
  <si>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</si>
  <si>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</si>
  <si>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</si>
  <si>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</si>
  <si>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</si>
  <si>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</si>
  <si>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</si>
  <si>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</si>
  <si>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</si>
  <si>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</si>
  <si>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</si>
  <si>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</si>
  <si>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</si>
  <si>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</si>
  <si>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</si>
  <si>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</si>
  <si>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r>
      <t xml:space="preserve">Bilaga: Försvaret (grupp av myndigheter i UFS) </t>
    </r>
    <r>
      <rPr>
        <sz val="16"/>
        <rFont val="Times New Roman"/>
        <family val="1"/>
      </rPr>
      <t>1</t>
    </r>
    <r>
      <rPr>
        <b/>
        <sz val="16"/>
        <rFont val="Times New Roman"/>
        <family val="1"/>
      </rPr>
      <t>)</t>
    </r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</si>
  <si>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</si>
  <si>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</si>
  <si>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</si>
  <si>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</si>
  <si>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</si>
  <si>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</si>
  <si>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</si>
  <si>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</si>
  <si>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</si>
  <si>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</si>
  <si>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</si>
  <si>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</si>
  <si>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</si>
  <si>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</si>
  <si>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</si>
  <si>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</si>
  <si>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S k i l l n a d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</si>
  <si>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</si>
  <si>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</si>
  <si>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</si>
  <si>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</si>
  <si>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</si>
  <si>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</si>
  <si>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</si>
  <si>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</si>
  <si>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</si>
  <si>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</si>
  <si>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</si>
  <si>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</si>
  <si>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t>Prognosen för 2016 är ca 44,3 mdkr enligt ESV:s Bp 2016:2. Utfallet under det första kvartalet uppgick till   17,4 procent av årstotalen. År 2015 uppgick andelen till 16,5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</si>
</sst>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-1]_-;\-* #,##0.00\ [$€-1]_-;_-* &quot;-&quot;??\ [$€-1]_-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4"/>
      <color indexed="10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5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4" xfId="0" applyNumberFormat="1" applyFont="1" applyFill="1" applyBorder="1" applyAlignment="1">
      <alignment horizontal="right"/>
    </xf>
    <xf numFmtId="0" fontId="3" fillId="0" borderId="4" xfId="0" applyFont="1" applyBorder="1"/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6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3" fillId="0" borderId="1" xfId="0" applyFont="1" applyFill="1" applyBorder="1"/>
    <xf numFmtId="3" fontId="3" fillId="0" borderId="4" xfId="0" applyNumberFormat="1" applyFont="1" applyBorder="1"/>
    <xf numFmtId="3" fontId="3" fillId="0" borderId="1" xfId="0" applyNumberFormat="1" applyFont="1" applyBorder="1"/>
    <xf numFmtId="0" fontId="4" fillId="0" borderId="0" xfId="0" applyFont="1" applyFill="1" applyBorder="1" applyAlignment="1"/>
    <xf numFmtId="3" fontId="4" fillId="0" borderId="4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4" fillId="0" borderId="1" xfId="0" applyNumberFormat="1" applyFont="1" applyBorder="1"/>
    <xf numFmtId="3" fontId="3" fillId="0" borderId="4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1" xfId="0" applyNumberFormat="1" applyFont="1" applyFill="1" applyBorder="1" applyAlignment="1">
      <alignment horizontal="right"/>
    </xf>
    <xf numFmtId="164" fontId="4" fillId="0" borderId="4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/>
    </xf>
    <xf numFmtId="165" fontId="3" fillId="0" borderId="0" xfId="2" applyNumberFormat="1" applyFont="1"/>
    <xf numFmtId="165" fontId="4" fillId="0" borderId="0" xfId="2" applyNumberFormat="1" applyFont="1"/>
    <xf numFmtId="0" fontId="4" fillId="0" borderId="7" xfId="0" applyFont="1" applyBorder="1" applyAlignment="1">
      <alignment horizontal="right"/>
    </xf>
    <xf numFmtId="9" fontId="3" fillId="0" borderId="0" xfId="2" applyFont="1"/>
    <xf numFmtId="165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/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Border="1" applyAlignment="1">
      <alignment horizontal="left" wrapText="1"/>
    </xf>
  </cellXfs>
  <cellStyles count="3">
    <cellStyle name="Euro" xfId="1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DJ459"/>
  <sheetViews>
    <sheetView tabSelected="1" zoomScaleNormal="100" workbookViewId="0">
      <pane xSplit="62" ySplit="4" topLeftCell="CK5" activePane="bottomRight" state="frozen"/>
      <selection pane="topRight" activeCell="BK1" sqref="BK1"/>
      <selection pane="bottomLeft" activeCell="A5" sqref="A5"/>
      <selection pane="bottomRight" activeCell="CL31" sqref="CL31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88" width="8.5703125" style="13" hidden="1" customWidth="1"/>
    <col min="89" max="91" width="8.5703125" style="13" customWidth="1"/>
    <col min="92" max="93" width="8.5703125" style="13" hidden="1" customWidth="1"/>
    <col min="94" max="97" width="8.5703125" style="13" customWidth="1"/>
    <col min="98" max="98" width="7.140625" style="13" customWidth="1"/>
    <col min="99" max="99" width="6.7109375" style="13" customWidth="1"/>
    <col min="100" max="101" width="6.7109375" style="13" hidden="1" customWidth="1"/>
    <col min="102" max="16384" width="9.140625" style="4"/>
  </cols>
  <sheetData>
    <row r="1" spans="1:114" ht="17.25" customHeight="1" x14ac:dyDescent="0.3">
      <c r="A1" s="39" t="s">
        <v>100</v>
      </c>
      <c r="B1" s="1"/>
      <c r="C1" s="1"/>
      <c r="D1" s="1"/>
      <c r="O1" s="3"/>
      <c r="P1" s="3"/>
      <c r="R1" s="22"/>
      <c r="S1" s="9"/>
      <c r="T1" s="9"/>
      <c r="U1" s="9"/>
      <c r="V1" s="9"/>
      <c r="X1" s="9"/>
      <c r="Z1" s="26"/>
      <c r="AC1" s="9"/>
      <c r="AE1" s="9"/>
      <c r="AG1" s="9"/>
      <c r="AN1" s="9"/>
      <c r="AP1" s="4"/>
      <c r="CX1" s="3"/>
      <c r="CY1" s="3"/>
      <c r="CZ1" s="3"/>
      <c r="DA1" s="3"/>
      <c r="DB1" s="3"/>
      <c r="DC1" s="3"/>
    </row>
    <row r="2" spans="1:114" ht="15" customHeight="1" x14ac:dyDescent="0.3">
      <c r="A2" s="16" t="s">
        <v>123</v>
      </c>
      <c r="C2" s="53"/>
      <c r="D2" s="15"/>
      <c r="E2" s="50"/>
      <c r="G2" s="112" t="s">
        <v>3</v>
      </c>
      <c r="H2" s="112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X2" s="3"/>
      <c r="Z2" s="60"/>
      <c r="AA2" s="4"/>
      <c r="AC2" s="50"/>
      <c r="AE2" s="3"/>
      <c r="AG2" s="50"/>
      <c r="AH2" s="4"/>
      <c r="AI2" s="4"/>
      <c r="AJ2" s="4"/>
      <c r="AN2" s="3"/>
      <c r="AP2" s="4"/>
      <c r="AQ2" s="4"/>
      <c r="AR2" s="4"/>
      <c r="AS2" s="4"/>
      <c r="AT2" s="4"/>
      <c r="AU2" s="4"/>
      <c r="AV2" s="4"/>
      <c r="AW2" s="4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01"/>
      <c r="BV2" s="101"/>
      <c r="BW2" s="101"/>
      <c r="BX2" s="101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3"/>
      <c r="CY2" s="3"/>
      <c r="CZ2" s="3"/>
      <c r="DA2" s="3"/>
      <c r="DB2" s="3"/>
      <c r="DC2" s="3"/>
    </row>
    <row r="3" spans="1:114" s="2" customFormat="1" ht="13.5" customHeight="1" x14ac:dyDescent="0.2">
      <c r="E3" s="5"/>
      <c r="F3" s="32">
        <v>1999</v>
      </c>
      <c r="G3" s="32">
        <v>2000</v>
      </c>
      <c r="H3" s="32">
        <v>2001</v>
      </c>
      <c r="I3" s="19"/>
      <c r="J3" s="32">
        <v>2000</v>
      </c>
      <c r="K3" s="32">
        <v>2000</v>
      </c>
      <c r="L3" s="32">
        <v>2000</v>
      </c>
      <c r="M3" s="32">
        <v>2000</v>
      </c>
      <c r="N3" s="5"/>
      <c r="O3" s="32">
        <v>2001</v>
      </c>
      <c r="P3" s="32">
        <v>2001</v>
      </c>
      <c r="Q3" s="19">
        <v>2001</v>
      </c>
      <c r="R3" s="19">
        <v>2001</v>
      </c>
      <c r="S3" s="101">
        <v>2003</v>
      </c>
      <c r="T3" s="101"/>
      <c r="U3" s="101"/>
      <c r="V3" s="101"/>
      <c r="X3" s="19"/>
      <c r="Z3" s="101">
        <v>2004</v>
      </c>
      <c r="AA3" s="113"/>
      <c r="AB3" s="113"/>
      <c r="AC3" s="113"/>
      <c r="AD3" s="67"/>
      <c r="AE3" s="66"/>
      <c r="AG3" s="101">
        <v>2005</v>
      </c>
      <c r="AH3" s="101"/>
      <c r="AI3" s="101"/>
      <c r="AJ3" s="102"/>
      <c r="AK3" s="102"/>
      <c r="AL3" s="69"/>
      <c r="AM3" s="101">
        <v>2006</v>
      </c>
      <c r="AN3" s="101"/>
      <c r="AO3" s="101"/>
      <c r="AP3" s="102"/>
      <c r="AQ3" s="102"/>
      <c r="AS3" s="66"/>
      <c r="AT3" s="66"/>
      <c r="AV3" s="66">
        <v>2007</v>
      </c>
      <c r="AW3" s="101">
        <v>2008</v>
      </c>
      <c r="AX3" s="101"/>
      <c r="AY3" s="102"/>
      <c r="AZ3" s="102"/>
      <c r="BA3" s="66">
        <v>2008</v>
      </c>
      <c r="BB3" s="101">
        <v>2009</v>
      </c>
      <c r="BC3" s="101"/>
      <c r="BD3" s="101"/>
      <c r="BE3" s="101"/>
      <c r="BF3" s="101"/>
      <c r="BG3" s="66">
        <v>2010</v>
      </c>
      <c r="BH3" s="66"/>
      <c r="BI3" s="66"/>
      <c r="BJ3" s="66"/>
      <c r="BK3" s="66">
        <v>2010</v>
      </c>
      <c r="BL3" s="103">
        <v>2011</v>
      </c>
      <c r="BM3" s="104"/>
      <c r="BN3" s="104"/>
      <c r="BO3" s="104"/>
      <c r="BP3" s="104"/>
      <c r="BQ3" s="103">
        <v>2012</v>
      </c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7">
        <v>2013</v>
      </c>
      <c r="CC3" s="108"/>
      <c r="CD3" s="108"/>
      <c r="CE3" s="108"/>
      <c r="CF3" s="108"/>
      <c r="CG3" s="107">
        <v>2014</v>
      </c>
      <c r="CH3" s="108"/>
      <c r="CI3" s="108"/>
      <c r="CJ3" s="108"/>
      <c r="CK3" s="109"/>
      <c r="CL3" s="107">
        <v>2015</v>
      </c>
      <c r="CM3" s="108"/>
      <c r="CN3" s="108"/>
      <c r="CO3" s="108"/>
      <c r="CP3" s="108"/>
      <c r="CQ3" s="108"/>
      <c r="CR3" s="109"/>
      <c r="CS3" s="100">
        <v>2016</v>
      </c>
      <c r="CT3" s="105" t="s">
        <v>117</v>
      </c>
      <c r="CU3" s="106"/>
      <c r="CV3" s="106"/>
      <c r="CW3" s="106"/>
      <c r="CX3" s="51"/>
      <c r="CY3" s="101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</row>
    <row r="4" spans="1:114" s="2" customFormat="1" ht="38.25" x14ac:dyDescent="0.2">
      <c r="E4" s="5"/>
      <c r="F4" s="5" t="s">
        <v>69</v>
      </c>
      <c r="G4" s="5" t="s">
        <v>69</v>
      </c>
      <c r="H4" s="5" t="s">
        <v>69</v>
      </c>
      <c r="I4" s="19"/>
      <c r="J4" s="5" t="s">
        <v>65</v>
      </c>
      <c r="K4" s="5" t="s">
        <v>66</v>
      </c>
      <c r="L4" s="5" t="s">
        <v>67</v>
      </c>
      <c r="M4" s="5" t="s">
        <v>68</v>
      </c>
      <c r="N4" s="5"/>
      <c r="O4" s="5" t="s">
        <v>65</v>
      </c>
      <c r="P4" s="5" t="s">
        <v>66</v>
      </c>
      <c r="Q4" s="5" t="s">
        <v>67</v>
      </c>
      <c r="R4" s="5" t="s">
        <v>68</v>
      </c>
      <c r="S4" s="35" t="s">
        <v>65</v>
      </c>
      <c r="T4" s="35" t="s">
        <v>66</v>
      </c>
      <c r="U4" s="35" t="s">
        <v>67</v>
      </c>
      <c r="V4" s="35" t="s">
        <v>68</v>
      </c>
      <c r="W4" s="35"/>
      <c r="X4" s="35" t="s">
        <v>91</v>
      </c>
      <c r="Z4" s="32" t="s">
        <v>65</v>
      </c>
      <c r="AA4" s="35" t="s">
        <v>66</v>
      </c>
      <c r="AB4" s="35" t="s">
        <v>67</v>
      </c>
      <c r="AC4" s="35" t="s">
        <v>68</v>
      </c>
      <c r="AD4" s="35"/>
      <c r="AE4" s="35" t="s">
        <v>3</v>
      </c>
      <c r="AG4" s="35" t="s">
        <v>65</v>
      </c>
      <c r="AH4" s="35" t="s">
        <v>66</v>
      </c>
      <c r="AI4" s="35" t="s">
        <v>67</v>
      </c>
      <c r="AJ4" s="32" t="s">
        <v>68</v>
      </c>
      <c r="AK4" s="35" t="s">
        <v>3</v>
      </c>
      <c r="AL4" s="35" t="s">
        <v>3</v>
      </c>
      <c r="AM4" s="35" t="s">
        <v>65</v>
      </c>
      <c r="AN4" s="35" t="s">
        <v>66</v>
      </c>
      <c r="AO4" s="35" t="s">
        <v>67</v>
      </c>
      <c r="AP4" s="35" t="s">
        <v>68</v>
      </c>
      <c r="AQ4" s="35" t="s">
        <v>3</v>
      </c>
      <c r="AR4" s="35" t="s">
        <v>65</v>
      </c>
      <c r="AS4" s="35" t="s">
        <v>66</v>
      </c>
      <c r="AT4" s="35" t="s">
        <v>67</v>
      </c>
      <c r="AU4" s="35" t="s">
        <v>68</v>
      </c>
      <c r="AV4" s="35" t="s">
        <v>3</v>
      </c>
      <c r="AW4" s="35" t="s">
        <v>65</v>
      </c>
      <c r="AX4" s="32" t="s">
        <v>66</v>
      </c>
      <c r="AY4" s="32" t="s">
        <v>67</v>
      </c>
      <c r="AZ4" s="32" t="s">
        <v>68</v>
      </c>
      <c r="BA4" s="32" t="s">
        <v>3</v>
      </c>
      <c r="BB4" s="35" t="s">
        <v>65</v>
      </c>
      <c r="BC4" s="35" t="s">
        <v>66</v>
      </c>
      <c r="BD4" s="35" t="s">
        <v>67</v>
      </c>
      <c r="BE4" s="35" t="s">
        <v>68</v>
      </c>
      <c r="BF4" s="35" t="s">
        <v>106</v>
      </c>
      <c r="BG4" s="35" t="s">
        <v>65</v>
      </c>
      <c r="BH4" s="35" t="s">
        <v>66</v>
      </c>
      <c r="BI4" s="35" t="s">
        <v>67</v>
      </c>
      <c r="BJ4" s="35" t="s">
        <v>68</v>
      </c>
      <c r="BK4" s="35" t="s">
        <v>106</v>
      </c>
      <c r="BL4" s="35" t="s">
        <v>65</v>
      </c>
      <c r="BM4" s="35" t="s">
        <v>66</v>
      </c>
      <c r="BN4" s="35" t="s">
        <v>67</v>
      </c>
      <c r="BO4" s="35" t="s">
        <v>68</v>
      </c>
      <c r="BP4" s="92" t="s">
        <v>106</v>
      </c>
      <c r="BQ4" s="35" t="s">
        <v>65</v>
      </c>
      <c r="BR4" s="35" t="s">
        <v>66</v>
      </c>
      <c r="BS4" s="35" t="s">
        <v>67</v>
      </c>
      <c r="BT4" s="35" t="s">
        <v>68</v>
      </c>
      <c r="BU4" s="79" t="s">
        <v>108</v>
      </c>
      <c r="BV4" s="54" t="s">
        <v>116</v>
      </c>
      <c r="BW4" s="54" t="s">
        <v>119</v>
      </c>
      <c r="BX4" s="79" t="s">
        <v>113</v>
      </c>
      <c r="BY4" s="63" t="s">
        <v>109</v>
      </c>
      <c r="BZ4" s="63" t="s">
        <v>114</v>
      </c>
      <c r="CA4" s="54" t="s">
        <v>106</v>
      </c>
      <c r="CB4" s="87" t="s">
        <v>65</v>
      </c>
      <c r="CC4" s="88" t="s">
        <v>66</v>
      </c>
      <c r="CD4" s="88" t="s">
        <v>67</v>
      </c>
      <c r="CE4" s="88" t="s">
        <v>68</v>
      </c>
      <c r="CF4" s="54" t="s">
        <v>106</v>
      </c>
      <c r="CG4" s="87" t="s">
        <v>65</v>
      </c>
      <c r="CH4" s="88" t="s">
        <v>66</v>
      </c>
      <c r="CI4" s="88" t="s">
        <v>67</v>
      </c>
      <c r="CJ4" s="88" t="s">
        <v>68</v>
      </c>
      <c r="CK4" s="95" t="s">
        <v>106</v>
      </c>
      <c r="CL4" s="88" t="s">
        <v>65</v>
      </c>
      <c r="CM4" s="88" t="s">
        <v>66</v>
      </c>
      <c r="CN4" s="88" t="s">
        <v>67</v>
      </c>
      <c r="CO4" s="88" t="s">
        <v>68</v>
      </c>
      <c r="CP4" s="88" t="s">
        <v>67</v>
      </c>
      <c r="CQ4" s="88" t="s">
        <v>68</v>
      </c>
      <c r="CR4" s="95" t="s">
        <v>106</v>
      </c>
      <c r="CS4" s="92" t="s">
        <v>65</v>
      </c>
      <c r="CT4" s="90" t="s">
        <v>108</v>
      </c>
      <c r="CU4" s="89" t="s">
        <v>109</v>
      </c>
      <c r="CV4" s="90" t="s">
        <v>128</v>
      </c>
      <c r="CW4" s="91" t="s">
        <v>129</v>
      </c>
      <c r="CX4" s="63"/>
    </row>
    <row r="5" spans="1:114" ht="15.75" x14ac:dyDescent="0.25">
      <c r="A5" s="40" t="s">
        <v>6</v>
      </c>
      <c r="E5" s="5"/>
      <c r="F5" s="6"/>
      <c r="G5" s="19"/>
      <c r="H5" s="19"/>
      <c r="I5" s="19"/>
      <c r="J5" s="5"/>
      <c r="K5" s="27"/>
      <c r="L5" s="27"/>
      <c r="M5" s="19"/>
      <c r="N5" s="5"/>
      <c r="O5" s="19"/>
      <c r="P5" s="19"/>
      <c r="Q5" s="27"/>
      <c r="R5" s="27"/>
      <c r="S5" s="12"/>
      <c r="T5" s="12"/>
      <c r="U5" s="12"/>
      <c r="V5" s="12"/>
      <c r="X5" s="12"/>
      <c r="Y5" s="12"/>
      <c r="Z5" s="23"/>
      <c r="AA5" s="44"/>
      <c r="AB5" s="44"/>
      <c r="AC5" s="12"/>
      <c r="AE5" s="12"/>
      <c r="AF5" s="12"/>
      <c r="AG5" s="12"/>
      <c r="AH5" s="44"/>
      <c r="AI5" s="44"/>
      <c r="AJ5" s="29"/>
      <c r="AK5" s="12"/>
      <c r="AL5" s="12"/>
      <c r="AM5" s="12"/>
      <c r="AN5" s="44"/>
      <c r="AO5" s="44"/>
      <c r="AP5" s="44"/>
      <c r="AQ5" s="12"/>
      <c r="AR5" s="12"/>
      <c r="AS5" s="12"/>
      <c r="AT5" s="12"/>
      <c r="AU5" s="12"/>
      <c r="AV5" s="12"/>
      <c r="AW5" s="12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</row>
    <row r="6" spans="1:114" x14ac:dyDescent="0.2">
      <c r="C6" s="7" t="s">
        <v>5</v>
      </c>
      <c r="E6" s="8"/>
      <c r="F6" s="8">
        <v>18</v>
      </c>
      <c r="G6" s="17">
        <f>SUM(J6:M6)</f>
        <v>24</v>
      </c>
      <c r="H6" s="17">
        <f>SUM(O6:R6)</f>
        <v>23</v>
      </c>
      <c r="I6" s="17"/>
      <c r="J6" s="8">
        <v>4</v>
      </c>
      <c r="K6" s="28">
        <v>7</v>
      </c>
      <c r="L6" s="28">
        <v>6</v>
      </c>
      <c r="M6" s="17">
        <v>7</v>
      </c>
      <c r="N6" s="8"/>
      <c r="O6" s="17">
        <v>7</v>
      </c>
      <c r="P6" s="17">
        <v>8</v>
      </c>
      <c r="Q6" s="28">
        <v>5</v>
      </c>
      <c r="R6" s="28">
        <v>3</v>
      </c>
      <c r="S6" s="12">
        <v>1.3680349999999999</v>
      </c>
      <c r="T6" s="44">
        <v>2.5105339999999998</v>
      </c>
      <c r="U6" s="44">
        <v>0.90588800000000003</v>
      </c>
      <c r="V6" s="12">
        <v>4.7217370000000001</v>
      </c>
      <c r="W6" s="12"/>
      <c r="X6" s="12">
        <f>SUM(S6:V6)</f>
        <v>9.5061940000000007</v>
      </c>
      <c r="Z6" s="23">
        <v>1.6836869999999999</v>
      </c>
      <c r="AA6" s="44">
        <v>2.2778209999999999</v>
      </c>
      <c r="AB6" s="44">
        <v>1.1000000000000001</v>
      </c>
      <c r="AC6" s="12">
        <v>2.8</v>
      </c>
      <c r="AD6" s="12"/>
      <c r="AE6" s="12">
        <f>SUM(Z6:AC6)</f>
        <v>7.8615079999999997</v>
      </c>
      <c r="AG6" s="12">
        <v>1.3</v>
      </c>
      <c r="AH6" s="44">
        <v>1.8</v>
      </c>
      <c r="AI6" s="44">
        <v>2.5</v>
      </c>
      <c r="AJ6" s="29">
        <v>5</v>
      </c>
      <c r="AK6" s="12">
        <f>+AG6+AH6+AI6+AJ6</f>
        <v>10.6</v>
      </c>
      <c r="AL6" s="12">
        <v>10.6</v>
      </c>
      <c r="AM6" s="29">
        <v>4.7</v>
      </c>
      <c r="AN6" s="44">
        <v>9.3000000000000007</v>
      </c>
      <c r="AO6" s="44">
        <v>5</v>
      </c>
      <c r="AP6" s="44">
        <v>10.199999999999999</v>
      </c>
      <c r="AQ6" s="12">
        <f>+AM6+AN6+AO6+AP6</f>
        <v>29.2</v>
      </c>
      <c r="AR6" s="12">
        <v>8</v>
      </c>
      <c r="AS6" s="12">
        <v>4.5999999999999996</v>
      </c>
      <c r="AT6" s="12">
        <v>3.7</v>
      </c>
      <c r="AU6" s="12">
        <v>11.986000000000001</v>
      </c>
      <c r="AV6" s="12">
        <f>+AR6+AS6+AT6+AU6</f>
        <v>28.286000000000001</v>
      </c>
      <c r="AW6" s="12">
        <v>10</v>
      </c>
      <c r="AX6" s="23">
        <v>3.5</v>
      </c>
      <c r="AY6" s="23">
        <v>12.1</v>
      </c>
      <c r="AZ6" s="23">
        <v>66.400000000000006</v>
      </c>
      <c r="BA6" s="12">
        <f>+AW6+AX6+AY6+AZ6</f>
        <v>92</v>
      </c>
      <c r="BB6" s="12">
        <v>9</v>
      </c>
      <c r="BC6" s="12">
        <v>5.0999999999999996</v>
      </c>
      <c r="BD6" s="12">
        <v>0.3</v>
      </c>
      <c r="BE6" s="12">
        <v>1.7</v>
      </c>
      <c r="BF6" s="12">
        <f>+BB6+BC6+BD6+BE6</f>
        <v>16.100000000000001</v>
      </c>
      <c r="BG6" s="12">
        <v>2</v>
      </c>
      <c r="BH6" s="12">
        <v>2.1</v>
      </c>
      <c r="BI6" s="12">
        <v>0.3</v>
      </c>
      <c r="BJ6" s="12">
        <v>0.3</v>
      </c>
      <c r="BK6" s="12">
        <f>+BG6+BH6+BI6+BJ6</f>
        <v>4.6999999999999993</v>
      </c>
      <c r="BL6" s="12">
        <v>0.7</v>
      </c>
      <c r="BM6" s="12">
        <v>0.28999999999999998</v>
      </c>
      <c r="BN6" s="12">
        <v>4.2</v>
      </c>
      <c r="BO6" s="12">
        <v>1.1000000000000001</v>
      </c>
      <c r="BP6" s="12">
        <f>+BL6+BM6+BN6+BO6</f>
        <v>6.2900000000000009</v>
      </c>
      <c r="BQ6" s="12">
        <v>1.6</v>
      </c>
      <c r="BR6" s="12">
        <v>0.2</v>
      </c>
      <c r="BS6" s="12">
        <v>0.4</v>
      </c>
      <c r="BT6" s="12">
        <v>0.5</v>
      </c>
      <c r="BU6" s="12">
        <f>+BQ6-BL6</f>
        <v>0.90000000000000013</v>
      </c>
      <c r="BV6" s="12">
        <f>+BQ6+BR6</f>
        <v>1.8</v>
      </c>
      <c r="BW6" s="12">
        <f>SUM(BQ6:BS6)</f>
        <v>2.2000000000000002</v>
      </c>
      <c r="BX6" s="12">
        <f>+BR6-BM6</f>
        <v>-8.9999999999999969E-2</v>
      </c>
      <c r="BY6" s="12">
        <f>+BU6/(BL6)*100</f>
        <v>128.57142857142861</v>
      </c>
      <c r="BZ6" s="12">
        <f>+BX6/(BM6)*100</f>
        <v>-31.03448275862068</v>
      </c>
      <c r="CA6" s="12">
        <f>SUM(BQ6:BT6)</f>
        <v>2.7</v>
      </c>
      <c r="CB6" s="12">
        <v>0.3</v>
      </c>
      <c r="CC6" s="12">
        <v>3</v>
      </c>
      <c r="CD6" s="12">
        <v>1.5</v>
      </c>
      <c r="CE6" s="12">
        <v>23.5</v>
      </c>
      <c r="CF6" s="12">
        <f>SUM(CB6:CE6)</f>
        <v>28.3</v>
      </c>
      <c r="CG6" s="12">
        <v>4</v>
      </c>
      <c r="CH6" s="12">
        <v>4.7</v>
      </c>
      <c r="CI6" s="12">
        <v>0.6</v>
      </c>
      <c r="CJ6" s="12">
        <v>5.4</v>
      </c>
      <c r="CK6" s="12">
        <f>+CG6+CH6+CI6+CJ6</f>
        <v>14.7</v>
      </c>
      <c r="CL6" s="12">
        <v>1.5</v>
      </c>
      <c r="CM6" s="12">
        <v>-8.8000000000000007</v>
      </c>
      <c r="CN6" s="12"/>
      <c r="CO6" s="12"/>
      <c r="CP6" s="12">
        <v>1.8</v>
      </c>
      <c r="CQ6" s="12">
        <v>1</v>
      </c>
      <c r="CR6" s="12">
        <f>+CL6+CM6+CP6+CQ6</f>
        <v>-4.5000000000000009</v>
      </c>
      <c r="CS6" s="12">
        <v>1.8</v>
      </c>
      <c r="CT6" s="12">
        <f>+CS6-CL6</f>
        <v>0.30000000000000004</v>
      </c>
      <c r="CU6" s="12">
        <f>+CT6/CL6*100</f>
        <v>20.000000000000004</v>
      </c>
      <c r="CV6" s="12">
        <f>+CL6+CM6+CP6+CQ6-CG6-CH6-CI6-CJ6</f>
        <v>-19.2</v>
      </c>
      <c r="CW6" s="12">
        <f>+CV6/(CG6+CH6+CI6+CJ6)*100</f>
        <v>-130.61224489795919</v>
      </c>
      <c r="CX6" s="12"/>
    </row>
    <row r="7" spans="1:114" x14ac:dyDescent="0.2">
      <c r="C7" s="7" t="s">
        <v>4</v>
      </c>
      <c r="E7" s="8"/>
      <c r="F7" s="8">
        <v>7</v>
      </c>
      <c r="G7" s="17">
        <f>SUM(J7:M7)</f>
        <v>6</v>
      </c>
      <c r="H7" s="17">
        <v>8</v>
      </c>
      <c r="I7" s="17"/>
      <c r="J7" s="8">
        <v>1</v>
      </c>
      <c r="K7" s="28">
        <v>2</v>
      </c>
      <c r="L7" s="28">
        <v>1</v>
      </c>
      <c r="M7" s="17">
        <v>2</v>
      </c>
      <c r="N7" s="8"/>
      <c r="O7" s="17">
        <v>3</v>
      </c>
      <c r="P7" s="17">
        <v>1</v>
      </c>
      <c r="Q7" s="28">
        <v>1</v>
      </c>
      <c r="R7" s="28">
        <v>2</v>
      </c>
      <c r="S7" s="12">
        <v>1.200426</v>
      </c>
      <c r="T7" s="44">
        <v>9.4071400000000001</v>
      </c>
      <c r="U7" s="44">
        <v>1.2123900000000001</v>
      </c>
      <c r="V7" s="44">
        <v>4.8</v>
      </c>
      <c r="W7" s="44"/>
      <c r="X7" s="12">
        <f>SUM(S7:V7)</f>
        <v>16.619956000000002</v>
      </c>
      <c r="Z7" s="23">
        <v>3.5</v>
      </c>
      <c r="AA7" s="44">
        <v>0.5</v>
      </c>
      <c r="AB7" s="44">
        <v>0.4</v>
      </c>
      <c r="AC7" s="44">
        <v>0.7</v>
      </c>
      <c r="AD7" s="44"/>
      <c r="AE7" s="12">
        <f>SUM(Z7:AC7)</f>
        <v>5.1000000000000005</v>
      </c>
      <c r="AG7" s="12">
        <v>1</v>
      </c>
      <c r="AH7" s="44">
        <v>4.7</v>
      </c>
      <c r="AI7" s="44">
        <v>8.8000000000000007</v>
      </c>
      <c r="AJ7" s="29">
        <v>0</v>
      </c>
      <c r="AK7" s="12">
        <f>+AG7+AH7+AI7+AJ7</f>
        <v>14.5</v>
      </c>
      <c r="AL7" s="12">
        <v>14.5</v>
      </c>
      <c r="AM7" s="29">
        <v>1.7</v>
      </c>
      <c r="AN7" s="44">
        <v>4.5</v>
      </c>
      <c r="AO7" s="44">
        <v>3.8</v>
      </c>
      <c r="AP7" s="44">
        <v>5.9</v>
      </c>
      <c r="AQ7" s="12">
        <f>+AM7+AN7+AO7+AP7</f>
        <v>15.9</v>
      </c>
      <c r="AR7" s="12">
        <f>3.3+1.7</f>
        <v>5</v>
      </c>
      <c r="AS7" s="12">
        <f>2.013+1.4</f>
        <v>3.4129999999999998</v>
      </c>
      <c r="AT7" s="12">
        <v>1.2</v>
      </c>
      <c r="AU7" s="12">
        <f>-1.791+0.221+0.294+0.41</f>
        <v>-0.86599999999999988</v>
      </c>
      <c r="AV7" s="12">
        <f>+AR7+AS7+AT7+AU7</f>
        <v>8.7469999999999999</v>
      </c>
      <c r="AW7" s="12">
        <v>2</v>
      </c>
      <c r="AX7" s="23">
        <v>-1.4</v>
      </c>
      <c r="AY7" s="23">
        <v>2.6</v>
      </c>
      <c r="AZ7" s="23">
        <v>0.5</v>
      </c>
      <c r="BA7" s="12">
        <f>+AW7+AX7+AY7+AZ7</f>
        <v>3.7</v>
      </c>
      <c r="BB7" s="12">
        <v>4</v>
      </c>
      <c r="BC7" s="12">
        <v>2.6</v>
      </c>
      <c r="BD7" s="12">
        <v>0.6</v>
      </c>
      <c r="BE7" s="12">
        <v>3.5</v>
      </c>
      <c r="BF7" s="12">
        <f>+BB7+BC7+BD7+BE7</f>
        <v>10.7</v>
      </c>
      <c r="BG7" s="12">
        <v>5</v>
      </c>
      <c r="BH7" s="12">
        <v>2.1</v>
      </c>
      <c r="BI7" s="12">
        <v>3.1</v>
      </c>
      <c r="BJ7" s="12">
        <v>4</v>
      </c>
      <c r="BK7" s="12">
        <f>+BG7+BH7+BI7+BJ7</f>
        <v>14.2</v>
      </c>
      <c r="BL7" s="12">
        <v>5.0999999999999996</v>
      </c>
      <c r="BM7" s="12">
        <v>1.54</v>
      </c>
      <c r="BN7" s="12">
        <v>0.8</v>
      </c>
      <c r="BO7" s="12">
        <v>9.6</v>
      </c>
      <c r="BP7" s="12">
        <f>+BL7+BM7+BN7+BO7</f>
        <v>17.04</v>
      </c>
      <c r="BQ7" s="12">
        <f>2.6+2.7</f>
        <v>5.3000000000000007</v>
      </c>
      <c r="BR7" s="12">
        <v>1.6</v>
      </c>
      <c r="BS7" s="12">
        <v>1.6</v>
      </c>
      <c r="BT7" s="12">
        <v>3.7</v>
      </c>
      <c r="BU7" s="12">
        <f>+BQ7-BL7</f>
        <v>0.20000000000000107</v>
      </c>
      <c r="BV7" s="12">
        <f t="shared" ref="BV7:BV73" si="0">+BQ7+BR7</f>
        <v>6.9</v>
      </c>
      <c r="BW7" s="12">
        <f>SUM(BQ7:BS7)</f>
        <v>8.5</v>
      </c>
      <c r="BX7" s="12">
        <f>+BR7-BM7</f>
        <v>6.0000000000000053E-2</v>
      </c>
      <c r="BY7" s="12">
        <f>+BU7/(BL7)*100</f>
        <v>3.921568627451002</v>
      </c>
      <c r="BZ7" s="12">
        <f>+BX7/(BM7)*100</f>
        <v>3.8961038961038996</v>
      </c>
      <c r="CA7" s="12">
        <f t="shared" ref="CA7:CA72" si="1">SUM(BQ7:BT7)</f>
        <v>12.2</v>
      </c>
      <c r="CB7" s="12">
        <v>15.7</v>
      </c>
      <c r="CC7" s="12">
        <v>2</v>
      </c>
      <c r="CD7" s="12">
        <v>3.3</v>
      </c>
      <c r="CE7" s="12">
        <v>2.7</v>
      </c>
      <c r="CF7" s="12">
        <f>SUM(CB7:CE7)</f>
        <v>23.7</v>
      </c>
      <c r="CG7" s="12">
        <v>1.8</v>
      </c>
      <c r="CH7" s="12">
        <v>1.1000000000000001</v>
      </c>
      <c r="CI7" s="12">
        <v>0.8</v>
      </c>
      <c r="CJ7" s="12">
        <v>2.9</v>
      </c>
      <c r="CK7" s="12">
        <f t="shared" ref="CK7:CK71" si="2">+CG7+CH7+CI7+CJ7</f>
        <v>6.6</v>
      </c>
      <c r="CL7" s="12">
        <v>2</v>
      </c>
      <c r="CM7" s="12">
        <v>16</v>
      </c>
      <c r="CN7" s="12"/>
      <c r="CO7" s="12"/>
      <c r="CP7" s="12">
        <v>2.1</v>
      </c>
      <c r="CQ7" s="12">
        <v>10.8</v>
      </c>
      <c r="CR7" s="12">
        <f>+CL7+CM7+CP7+CQ7</f>
        <v>30.900000000000002</v>
      </c>
      <c r="CS7" s="12">
        <v>2.6</v>
      </c>
      <c r="CT7" s="12">
        <f t="shared" ref="CT7:CT8" si="3">+CS7-CL7</f>
        <v>0.60000000000000009</v>
      </c>
      <c r="CU7" s="12">
        <f t="shared" ref="CU7:CU8" si="4">+CT7/CL7*100</f>
        <v>30.000000000000004</v>
      </c>
      <c r="CV7" s="12">
        <f t="shared" ref="CV7:CV70" si="5">+CL7+CM7+CP7+CQ7-CG7-CH7-CI7-CJ7</f>
        <v>24.3</v>
      </c>
      <c r="CW7" s="12">
        <f t="shared" ref="CW7:CW70" si="6">+CV7/(CG7+CH7+CI7+CJ7)*100</f>
        <v>368.18181818181819</v>
      </c>
      <c r="CX7" s="12"/>
    </row>
    <row r="8" spans="1:114" ht="13.5" thickBot="1" x14ac:dyDescent="0.25">
      <c r="C8" s="7" t="s">
        <v>1</v>
      </c>
      <c r="E8" s="8"/>
      <c r="F8" s="52">
        <f>SUM(F6:F7)</f>
        <v>25</v>
      </c>
      <c r="G8" s="33">
        <f>SUM(J8:M8)</f>
        <v>30</v>
      </c>
      <c r="H8" s="33">
        <f>SUM(O8:R8)</f>
        <v>30</v>
      </c>
      <c r="I8" s="17"/>
      <c r="J8" s="34">
        <f>J6+J7</f>
        <v>5</v>
      </c>
      <c r="K8" s="34">
        <f>K6+K7</f>
        <v>9</v>
      </c>
      <c r="L8" s="34">
        <f>L6+L7</f>
        <v>7</v>
      </c>
      <c r="M8" s="34">
        <f>M6+M7</f>
        <v>9</v>
      </c>
      <c r="N8" s="8"/>
      <c r="O8" s="33">
        <v>10</v>
      </c>
      <c r="P8" s="33">
        <v>9</v>
      </c>
      <c r="Q8" s="55">
        <v>6</v>
      </c>
      <c r="R8" s="33">
        <v>5</v>
      </c>
      <c r="S8" s="49">
        <f>S6+S7</f>
        <v>2.5684610000000001</v>
      </c>
      <c r="T8" s="49">
        <f>T6+T7</f>
        <v>11.917674</v>
      </c>
      <c r="U8" s="49">
        <f>U6+U7</f>
        <v>2.1182780000000001</v>
      </c>
      <c r="V8" s="49">
        <f>V6+V7</f>
        <v>9.5217369999999999</v>
      </c>
      <c r="W8" s="49"/>
      <c r="X8" s="49">
        <f>X6+X7</f>
        <v>26.126150000000003</v>
      </c>
      <c r="Y8" s="44"/>
      <c r="Z8" s="61">
        <f>Z6+Z7</f>
        <v>5.1836869999999999</v>
      </c>
      <c r="AA8" s="49">
        <f>AA6+AA7</f>
        <v>2.7778209999999999</v>
      </c>
      <c r="AB8" s="49">
        <f>AB6+AB7</f>
        <v>1.5</v>
      </c>
      <c r="AC8" s="49">
        <f>AC6+AC7</f>
        <v>3.5</v>
      </c>
      <c r="AD8" s="49"/>
      <c r="AE8" s="49">
        <f>SUM(AE6:AE7)</f>
        <v>12.961508</v>
      </c>
      <c r="AF8" s="44"/>
      <c r="AG8" s="49">
        <f>AG6+AG7</f>
        <v>2.2999999999999998</v>
      </c>
      <c r="AH8" s="49">
        <f>AH6+AH7</f>
        <v>6.5</v>
      </c>
      <c r="AI8" s="49">
        <f>AI6+AI7</f>
        <v>11.3</v>
      </c>
      <c r="AJ8" s="61">
        <f>AJ6+AJ7</f>
        <v>5</v>
      </c>
      <c r="AK8" s="49">
        <f>+AG8+AH8+AI8+AJ8</f>
        <v>25.1</v>
      </c>
      <c r="AL8" s="49">
        <v>25.1</v>
      </c>
      <c r="AM8" s="61">
        <f>AM6+AM7</f>
        <v>6.4</v>
      </c>
      <c r="AN8" s="49">
        <f>AN6+AN7</f>
        <v>13.8</v>
      </c>
      <c r="AO8" s="49">
        <f>AO6+AO7</f>
        <v>8.8000000000000007</v>
      </c>
      <c r="AP8" s="49">
        <f>AP6+AP7</f>
        <v>16.100000000000001</v>
      </c>
      <c r="AQ8" s="49">
        <f>+AM8+AN8+AO8+AP8</f>
        <v>45.100000000000009</v>
      </c>
      <c r="AR8" s="49">
        <f>AR6+AR7</f>
        <v>13</v>
      </c>
      <c r="AS8" s="49">
        <f>AS6+AS7</f>
        <v>8.0129999999999999</v>
      </c>
      <c r="AT8" s="49">
        <f>AT6+AT7</f>
        <v>4.9000000000000004</v>
      </c>
      <c r="AU8" s="49">
        <f>AU6+AU7</f>
        <v>11.120000000000001</v>
      </c>
      <c r="AV8" s="49">
        <f>+AR8+AS8+AT8+AU8</f>
        <v>37.033000000000001</v>
      </c>
      <c r="AW8" s="49">
        <f>AW6+AW7</f>
        <v>12</v>
      </c>
      <c r="AX8" s="61">
        <f>AX6+AX7</f>
        <v>2.1</v>
      </c>
      <c r="AY8" s="61">
        <f>AY6+AY7</f>
        <v>14.7</v>
      </c>
      <c r="AZ8" s="61">
        <f>AZ6+AZ7</f>
        <v>66.900000000000006</v>
      </c>
      <c r="BA8" s="49">
        <f>+AW8+AX8+AY8+AZ8</f>
        <v>95.7</v>
      </c>
      <c r="BB8" s="61">
        <f>BB6+BB7</f>
        <v>13</v>
      </c>
      <c r="BC8" s="61">
        <f>BC6+BC7</f>
        <v>7.6999999999999993</v>
      </c>
      <c r="BD8" s="61">
        <f>BD6+BD7</f>
        <v>0.89999999999999991</v>
      </c>
      <c r="BE8" s="61">
        <f>BE6+BE7</f>
        <v>5.2</v>
      </c>
      <c r="BF8" s="61">
        <f>+BB8+BC8+BD8+BE8</f>
        <v>26.799999999999997</v>
      </c>
      <c r="BG8" s="61">
        <f>BG6+BG7</f>
        <v>7</v>
      </c>
      <c r="BH8" s="61">
        <f>BH6+BH7</f>
        <v>4.2</v>
      </c>
      <c r="BI8" s="61">
        <f>BI6+BI7</f>
        <v>3.4</v>
      </c>
      <c r="BJ8" s="61">
        <f>BJ6+BJ7</f>
        <v>4.3</v>
      </c>
      <c r="BK8" s="61">
        <f>+BG8+BH8+BI8+BJ8</f>
        <v>18.899999999999999</v>
      </c>
      <c r="BL8" s="61">
        <f>BL6+BL7</f>
        <v>5.8</v>
      </c>
      <c r="BM8" s="61">
        <f>BM6+BM7</f>
        <v>1.83</v>
      </c>
      <c r="BN8" s="61">
        <f>BN6+BN7</f>
        <v>5</v>
      </c>
      <c r="BO8" s="61">
        <f>BO6+BO7</f>
        <v>10.7</v>
      </c>
      <c r="BP8" s="61">
        <f>+BL8+BM8+BN8+BO8</f>
        <v>23.33</v>
      </c>
      <c r="BQ8" s="61">
        <f>BQ6+BQ7</f>
        <v>6.9</v>
      </c>
      <c r="BR8" s="61">
        <f>BR6+BR7</f>
        <v>1.8</v>
      </c>
      <c r="BS8" s="61">
        <f>BS6+BS7</f>
        <v>2</v>
      </c>
      <c r="BT8" s="61">
        <f>BT6+BT7</f>
        <v>4.2</v>
      </c>
      <c r="BU8" s="61">
        <f>+BQ8-BL8</f>
        <v>1.1000000000000005</v>
      </c>
      <c r="BV8" s="61">
        <f t="shared" si="0"/>
        <v>8.7000000000000011</v>
      </c>
      <c r="BW8" s="61">
        <f>SUM(BQ8:BS8)</f>
        <v>10.700000000000001</v>
      </c>
      <c r="BX8" s="61">
        <f>+BR8-BM8</f>
        <v>-3.0000000000000027E-2</v>
      </c>
      <c r="BY8" s="61">
        <f>+BU8/(BL8)*100</f>
        <v>18.96551724137932</v>
      </c>
      <c r="BZ8" s="61">
        <f>+BX8/(BM8)*100</f>
        <v>-1.6393442622950833</v>
      </c>
      <c r="CA8" s="61">
        <f t="shared" si="1"/>
        <v>14.900000000000002</v>
      </c>
      <c r="CB8" s="61">
        <f>CB6+CB7</f>
        <v>16</v>
      </c>
      <c r="CC8" s="61">
        <f>CC6+CC7</f>
        <v>5</v>
      </c>
      <c r="CD8" s="61">
        <f>CD6+CD7</f>
        <v>4.8</v>
      </c>
      <c r="CE8" s="61">
        <f>CE6+CE7</f>
        <v>26.2</v>
      </c>
      <c r="CF8" s="61">
        <f>SUM(CB8:CE8)</f>
        <v>52</v>
      </c>
      <c r="CG8" s="61">
        <f>CG6+CG7</f>
        <v>5.8</v>
      </c>
      <c r="CH8" s="61">
        <f>CH6+CH7</f>
        <v>5.8000000000000007</v>
      </c>
      <c r="CI8" s="61">
        <f>CI6+CI7</f>
        <v>1.4</v>
      </c>
      <c r="CJ8" s="61">
        <f>CJ6+CJ7</f>
        <v>8.3000000000000007</v>
      </c>
      <c r="CK8" s="61">
        <f t="shared" si="2"/>
        <v>21.300000000000004</v>
      </c>
      <c r="CL8" s="61">
        <f>CL6+CL7</f>
        <v>3.5</v>
      </c>
      <c r="CM8" s="61">
        <f>CM6+CM7</f>
        <v>7.1999999999999993</v>
      </c>
      <c r="CN8" s="61"/>
      <c r="CO8" s="61"/>
      <c r="CP8" s="61">
        <f>CP6+CP7</f>
        <v>3.9000000000000004</v>
      </c>
      <c r="CQ8" s="61">
        <f>CQ6+CQ7</f>
        <v>11.8</v>
      </c>
      <c r="CR8" s="61">
        <f>+CL8+CM8+CP8+CQ8</f>
        <v>26.4</v>
      </c>
      <c r="CS8" s="61">
        <f>CS6+CS7</f>
        <v>4.4000000000000004</v>
      </c>
      <c r="CT8" s="61">
        <f t="shared" si="3"/>
        <v>0.90000000000000036</v>
      </c>
      <c r="CU8" s="61">
        <f t="shared" si="4"/>
        <v>25.714285714285722</v>
      </c>
      <c r="CV8" s="61">
        <f t="shared" si="5"/>
        <v>5.0999999999999961</v>
      </c>
      <c r="CW8" s="61">
        <f t="shared" si="6"/>
        <v>23.943661971830963</v>
      </c>
    </row>
    <row r="9" spans="1:114" ht="10.5" customHeight="1" thickTop="1" x14ac:dyDescent="0.2">
      <c r="B9" s="7"/>
      <c r="C9" s="7"/>
      <c r="E9" s="8"/>
      <c r="F9" s="18"/>
      <c r="G9" s="17"/>
      <c r="H9" s="17" t="s">
        <v>10</v>
      </c>
      <c r="I9" s="17"/>
      <c r="J9" s="8"/>
      <c r="K9" s="17"/>
      <c r="L9" s="17"/>
      <c r="M9" s="17"/>
      <c r="N9" s="8"/>
      <c r="O9" s="17"/>
      <c r="P9" s="17"/>
      <c r="Q9" s="17"/>
      <c r="R9" s="17"/>
      <c r="S9" s="12"/>
      <c r="T9" s="12"/>
      <c r="U9" s="12"/>
      <c r="V9" s="12"/>
      <c r="W9" s="44"/>
      <c r="X9" s="12" t="str">
        <f>IF(O9="","",(O9+P9+Q9+R9))</f>
        <v/>
      </c>
      <c r="Z9" s="23"/>
      <c r="AA9" s="44"/>
      <c r="AC9" s="12"/>
      <c r="AD9" s="44"/>
      <c r="AE9" s="12" t="str">
        <f>IF(Y9="","",(Y9+Z9+AA9+AB9))</f>
        <v/>
      </c>
      <c r="AG9" s="12"/>
      <c r="AH9" s="44"/>
      <c r="AI9" s="44"/>
      <c r="AJ9" s="29"/>
      <c r="AK9" s="12" t="s">
        <v>10</v>
      </c>
      <c r="AL9" s="12" t="s">
        <v>10</v>
      </c>
      <c r="AM9" s="29"/>
      <c r="AN9" s="44"/>
      <c r="AO9" s="44"/>
      <c r="AP9" s="44"/>
      <c r="AQ9" s="12" t="s">
        <v>10</v>
      </c>
      <c r="AR9" s="12"/>
      <c r="AS9" s="12"/>
      <c r="AT9" s="12"/>
      <c r="AU9" s="12"/>
      <c r="AV9" s="12" t="s">
        <v>10</v>
      </c>
      <c r="AW9" s="12"/>
      <c r="AX9" s="23"/>
      <c r="AY9" s="23"/>
      <c r="AZ9" s="23"/>
      <c r="BA9" s="12" t="s">
        <v>10</v>
      </c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</row>
    <row r="10" spans="1:114" ht="15.75" x14ac:dyDescent="0.25">
      <c r="A10" s="40" t="s">
        <v>7</v>
      </c>
      <c r="B10" s="40"/>
      <c r="C10" s="7"/>
      <c r="E10" s="8"/>
      <c r="F10" s="18"/>
      <c r="G10" s="17"/>
      <c r="H10" s="17"/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44"/>
      <c r="X10" s="12" t="str">
        <f>IF(O10="","",(O10+P10+Q10+R10))</f>
        <v/>
      </c>
      <c r="Z10" s="23"/>
      <c r="AA10" s="44"/>
      <c r="AC10" s="12"/>
      <c r="AD10" s="44"/>
      <c r="AE10" s="12" t="str">
        <f>IF(Y10="","",(Y10+Z10+AA10+AB10))</f>
        <v/>
      </c>
      <c r="AG10" s="12"/>
      <c r="AH10" s="44"/>
      <c r="AI10" s="44"/>
      <c r="AJ10" s="29"/>
      <c r="AK10" s="12" t="s">
        <v>10</v>
      </c>
      <c r="AL10" s="12" t="s">
        <v>10</v>
      </c>
      <c r="AM10" s="29"/>
      <c r="AN10" s="44"/>
      <c r="AO10" s="44"/>
      <c r="AP10" s="44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</row>
    <row r="11" spans="1:114" x14ac:dyDescent="0.2">
      <c r="B11" s="7"/>
      <c r="C11" s="7" t="s">
        <v>61</v>
      </c>
      <c r="E11" s="17"/>
      <c r="F11" s="18"/>
      <c r="G11" s="17">
        <f>G47</f>
        <v>39449.342000000004</v>
      </c>
      <c r="H11" s="17">
        <f>H47</f>
        <v>37715</v>
      </c>
      <c r="I11" s="17"/>
      <c r="J11" s="17">
        <f t="shared" ref="J11:T11" si="7">J47</f>
        <v>7679</v>
      </c>
      <c r="K11" s="17">
        <f t="shared" si="7"/>
        <v>10737.791999999999</v>
      </c>
      <c r="L11" s="17">
        <f t="shared" si="7"/>
        <v>8828.0329999999994</v>
      </c>
      <c r="M11" s="17">
        <f t="shared" si="7"/>
        <v>12204.517</v>
      </c>
      <c r="N11" s="17"/>
      <c r="O11" s="17">
        <f t="shared" si="7"/>
        <v>7084</v>
      </c>
      <c r="P11" s="17">
        <f t="shared" si="7"/>
        <v>10187</v>
      </c>
      <c r="Q11" s="17">
        <f t="shared" si="7"/>
        <v>9159</v>
      </c>
      <c r="R11" s="17">
        <f t="shared" si="7"/>
        <v>11285</v>
      </c>
      <c r="S11" s="17">
        <f t="shared" si="7"/>
        <v>7937.2226590000018</v>
      </c>
      <c r="T11" s="17">
        <f t="shared" si="7"/>
        <v>9961.0460000000021</v>
      </c>
      <c r="U11" s="17">
        <f>U47</f>
        <v>7724.3</v>
      </c>
      <c r="V11" s="17">
        <f>V47</f>
        <v>11775.88</v>
      </c>
      <c r="W11" s="44"/>
      <c r="X11" s="17">
        <f>X47</f>
        <v>37398.448659000001</v>
      </c>
      <c r="Y11" s="17"/>
      <c r="Z11" s="17">
        <f>Z47</f>
        <v>7946.9658889999992</v>
      </c>
      <c r="AA11" s="17">
        <f>AA47</f>
        <v>9531.9785830000001</v>
      </c>
      <c r="AB11" s="17">
        <f>AB47</f>
        <v>7791</v>
      </c>
      <c r="AC11" s="17">
        <f>AC47</f>
        <v>11260.3</v>
      </c>
      <c r="AD11" s="44"/>
      <c r="AE11" s="17">
        <f>+AE47</f>
        <v>36531.165782999997</v>
      </c>
      <c r="AF11" s="17"/>
      <c r="AG11" s="17">
        <f>AG47</f>
        <v>8364.3900000000012</v>
      </c>
      <c r="AH11" s="17">
        <f>AH47</f>
        <v>9694.48</v>
      </c>
      <c r="AI11" s="17">
        <f>AI47</f>
        <v>6720.83</v>
      </c>
      <c r="AJ11" s="17">
        <f>AJ47</f>
        <v>10053.209999999999</v>
      </c>
      <c r="AK11" s="12">
        <f>+AG11+AH11+AI11+AJ11</f>
        <v>34832.910000000003</v>
      </c>
      <c r="AL11" s="12">
        <v>34834.199999999997</v>
      </c>
      <c r="AM11" s="17">
        <f>AM47</f>
        <v>7021.2847949999996</v>
      </c>
      <c r="AN11" s="17">
        <f>AN47</f>
        <v>12201.147002</v>
      </c>
      <c r="AO11" s="17">
        <f>AO47</f>
        <v>6398</v>
      </c>
      <c r="AP11" s="17">
        <f>AP47</f>
        <v>9759.4</v>
      </c>
      <c r="AQ11" s="12">
        <f>+AM11+AN11+AO11+AP11</f>
        <v>35379.831796999999</v>
      </c>
      <c r="AR11" s="17">
        <f>AR47</f>
        <v>7008.5</v>
      </c>
      <c r="AS11" s="17">
        <f>AS47</f>
        <v>9618.8119999999999</v>
      </c>
      <c r="AT11" s="17">
        <f>AT47</f>
        <v>6637.6440000000002</v>
      </c>
      <c r="AU11" s="17">
        <f>AU47</f>
        <v>10845.599999999999</v>
      </c>
      <c r="AV11" s="12">
        <f>+AR11+AS11+AT11+AU11</f>
        <v>34110.555999999997</v>
      </c>
      <c r="AW11" s="17">
        <f>AW47</f>
        <v>7342.7</v>
      </c>
      <c r="AX11" s="17">
        <f>AX47</f>
        <v>7669.9000000000005</v>
      </c>
      <c r="AY11" s="17">
        <f>AY47</f>
        <v>6291.2</v>
      </c>
      <c r="AZ11" s="17">
        <f>AZ47</f>
        <v>9726.5800000000017</v>
      </c>
      <c r="BA11" s="12">
        <f>+AW11+AX11+AY11+AZ11</f>
        <v>31030.38</v>
      </c>
      <c r="BB11" s="17">
        <f>BB47</f>
        <v>6716.2</v>
      </c>
      <c r="BC11" s="17">
        <f>BC47</f>
        <v>8477.7000000000007</v>
      </c>
      <c r="BD11" s="17">
        <f>BD47</f>
        <v>6246.0999999999995</v>
      </c>
      <c r="BE11" s="17">
        <f>BE47</f>
        <v>10401.100000000002</v>
      </c>
      <c r="BF11" s="17">
        <f>+BB11+BC11+BD11+BE11</f>
        <v>31841.100000000002</v>
      </c>
      <c r="BG11" s="17">
        <f>BG47</f>
        <v>7025.3000000000011</v>
      </c>
      <c r="BH11" s="17">
        <f>BH47</f>
        <v>10641.877</v>
      </c>
      <c r="BI11" s="17">
        <f>BI47</f>
        <v>7053.8</v>
      </c>
      <c r="BJ11" s="17">
        <f>BJ47</f>
        <v>11954.900000000001</v>
      </c>
      <c r="BK11" s="17">
        <f>+BG11+BH11+BI11+BJ11</f>
        <v>36675.877000000008</v>
      </c>
      <c r="BL11" s="17">
        <f>BL47</f>
        <v>8439.1999999999989</v>
      </c>
      <c r="BM11" s="17">
        <f>BM47</f>
        <v>11077.420000000002</v>
      </c>
      <c r="BN11" s="17">
        <f>BN47</f>
        <v>7663.2999999999993</v>
      </c>
      <c r="BO11" s="17">
        <f>BO47</f>
        <v>11815</v>
      </c>
      <c r="BP11" s="17">
        <f>+BL11+BM11+BN11+BO11</f>
        <v>38994.92</v>
      </c>
      <c r="BQ11" s="17">
        <f>BQ47</f>
        <v>8481.9</v>
      </c>
      <c r="BR11" s="17">
        <f>BR47</f>
        <v>10194.5</v>
      </c>
      <c r="BS11" s="17">
        <f>BS47</f>
        <v>8035</v>
      </c>
      <c r="BT11" s="17">
        <f>BT47</f>
        <v>10968.199999999999</v>
      </c>
      <c r="BU11" s="17">
        <f>+BQ11-BL11</f>
        <v>42.700000000000728</v>
      </c>
      <c r="BV11" s="17">
        <f t="shared" si="0"/>
        <v>18676.400000000001</v>
      </c>
      <c r="BW11" s="17">
        <f t="shared" ref="BW11:BW16" si="8">SUM(BQ11:BS11)</f>
        <v>26711.4</v>
      </c>
      <c r="BX11" s="17">
        <f>+BR11-BM11</f>
        <v>-882.92000000000189</v>
      </c>
      <c r="BY11" s="17">
        <f>+BU11/(BL11)*100</f>
        <v>0.50597213005972996</v>
      </c>
      <c r="BZ11" s="17">
        <f>+BX11/(BM11)*100</f>
        <v>-7.970447992402578</v>
      </c>
      <c r="CA11" s="17">
        <f t="shared" si="1"/>
        <v>37679.599999999999</v>
      </c>
      <c r="CB11" s="17">
        <f>CB47</f>
        <v>7101.5000000000009</v>
      </c>
      <c r="CC11" s="17">
        <f>CC47</f>
        <v>8168</v>
      </c>
      <c r="CD11" s="17">
        <f>CD47</f>
        <v>6572.5</v>
      </c>
      <c r="CE11" s="17">
        <f>CE47</f>
        <v>8833.5999999999985</v>
      </c>
      <c r="CF11" s="17">
        <f t="shared" ref="CF11:CF16" si="9">SUM(CB11:CE11)</f>
        <v>30675.599999999999</v>
      </c>
      <c r="CG11" s="17">
        <f>CG47</f>
        <v>6984.0999999999995</v>
      </c>
      <c r="CH11" s="17">
        <f>CH47</f>
        <v>8343.5999999999985</v>
      </c>
      <c r="CI11" s="17">
        <f>CI47</f>
        <v>6559.2999999999993</v>
      </c>
      <c r="CJ11" s="17">
        <f>CJ47</f>
        <v>9708.9</v>
      </c>
      <c r="CK11" s="17">
        <f t="shared" si="2"/>
        <v>31595.899999999994</v>
      </c>
      <c r="CL11" s="17">
        <f>CL47</f>
        <v>7918.0999999999985</v>
      </c>
      <c r="CM11" s="17">
        <f>CM47</f>
        <v>7696.8099999999995</v>
      </c>
      <c r="CN11" s="17"/>
      <c r="CO11" s="17"/>
      <c r="CP11" s="17">
        <f>CP47</f>
        <v>7911.9599999999991</v>
      </c>
      <c r="CQ11" s="17">
        <f>CQ47</f>
        <v>9973.6999999999989</v>
      </c>
      <c r="CR11" s="17">
        <f>+CL11+CM11+CP11+CQ11</f>
        <v>33500.569999999992</v>
      </c>
      <c r="CS11" s="17">
        <f>CS47</f>
        <v>8094.7</v>
      </c>
      <c r="CT11" s="17">
        <f>+CS11-CL11</f>
        <v>176.60000000000127</v>
      </c>
      <c r="CU11" s="17">
        <f>+CT11/CL11*100</f>
        <v>2.2303330344400969</v>
      </c>
      <c r="CV11" s="17">
        <f t="shared" si="5"/>
        <v>1904.6699999999964</v>
      </c>
      <c r="CW11" s="17">
        <f t="shared" si="6"/>
        <v>6.0282188511800481</v>
      </c>
    </row>
    <row r="12" spans="1:114" x14ac:dyDescent="0.2">
      <c r="B12" s="7"/>
      <c r="C12" s="7" t="s">
        <v>64</v>
      </c>
      <c r="E12" s="17"/>
      <c r="F12" s="18"/>
      <c r="G12" s="17">
        <f>G57</f>
        <v>1814</v>
      </c>
      <c r="H12" s="17">
        <f>H57</f>
        <v>1233.2860000000001</v>
      </c>
      <c r="I12" s="17"/>
      <c r="J12" s="17">
        <f t="shared" ref="J12:S12" si="10">J57</f>
        <v>252</v>
      </c>
      <c r="K12" s="17">
        <f t="shared" si="10"/>
        <v>79</v>
      </c>
      <c r="L12" s="17">
        <f t="shared" si="10"/>
        <v>204</v>
      </c>
      <c r="M12" s="17">
        <f t="shared" si="10"/>
        <v>1279</v>
      </c>
      <c r="N12" s="17"/>
      <c r="O12" s="17">
        <f t="shared" si="10"/>
        <v>203.286</v>
      </c>
      <c r="P12" s="17">
        <f t="shared" si="10"/>
        <v>10</v>
      </c>
      <c r="Q12" s="17">
        <f t="shared" si="10"/>
        <v>221</v>
      </c>
      <c r="R12" s="17">
        <f t="shared" si="10"/>
        <v>799</v>
      </c>
      <c r="S12" s="17">
        <f t="shared" si="10"/>
        <v>266.96434199999999</v>
      </c>
      <c r="T12" s="17">
        <f>T57</f>
        <v>353.40000000000003</v>
      </c>
      <c r="U12" s="17">
        <f>U57</f>
        <v>152</v>
      </c>
      <c r="V12" s="17">
        <f>V57</f>
        <v>805.1</v>
      </c>
      <c r="W12" s="44"/>
      <c r="X12" s="17">
        <f>X57</f>
        <v>1577.4643420000002</v>
      </c>
      <c r="Y12" s="17"/>
      <c r="Z12" s="17">
        <f>Z57</f>
        <v>225.50000000000003</v>
      </c>
      <c r="AA12" s="17">
        <f>AA57</f>
        <v>385.50977800000004</v>
      </c>
      <c r="AB12" s="17">
        <f>AB57</f>
        <v>229</v>
      </c>
      <c r="AC12" s="17">
        <f>AC57</f>
        <v>687.30000000000007</v>
      </c>
      <c r="AD12" s="44"/>
      <c r="AE12" s="17">
        <f>AE57</f>
        <v>1527.3097780000003</v>
      </c>
      <c r="AF12" s="17"/>
      <c r="AG12" s="17">
        <f>AG57</f>
        <v>135.71</v>
      </c>
      <c r="AH12" s="17">
        <f>AH57</f>
        <v>407.67</v>
      </c>
      <c r="AI12" s="17">
        <f>AI57</f>
        <v>160.55000000000001</v>
      </c>
      <c r="AJ12" s="17">
        <f>AJ57</f>
        <v>662.41000000000008</v>
      </c>
      <c r="AK12" s="12">
        <f>+AG12+AH12+AI12+AJ12</f>
        <v>1366.3400000000001</v>
      </c>
      <c r="AL12" s="12">
        <v>1366.4</v>
      </c>
      <c r="AM12" s="17">
        <f>AM57</f>
        <v>275.39999999999998</v>
      </c>
      <c r="AN12" s="17">
        <f>AN57</f>
        <v>567.10000000000014</v>
      </c>
      <c r="AO12" s="17">
        <f>AO57</f>
        <v>268.99999999999994</v>
      </c>
      <c r="AP12" s="17">
        <f>AP57</f>
        <v>1370.0000000000002</v>
      </c>
      <c r="AQ12" s="12">
        <f>+AM12+AN12+AO12+AP12</f>
        <v>2481.5</v>
      </c>
      <c r="AR12" s="17">
        <f>AR57</f>
        <v>309.09999999999997</v>
      </c>
      <c r="AS12" s="17">
        <f>AS57</f>
        <v>482.85200000000003</v>
      </c>
      <c r="AT12" s="17">
        <f>AT57</f>
        <v>228.76</v>
      </c>
      <c r="AU12" s="17">
        <f>AU57</f>
        <v>869.7</v>
      </c>
      <c r="AV12" s="12">
        <f>+AR12+AS12+AT12+AU12</f>
        <v>1890.412</v>
      </c>
      <c r="AW12" s="17">
        <f>AW57</f>
        <v>319.7</v>
      </c>
      <c r="AX12" s="17">
        <f>AX57</f>
        <v>674.59999999999991</v>
      </c>
      <c r="AY12" s="17">
        <f>AY57</f>
        <v>253.79999999999998</v>
      </c>
      <c r="AZ12" s="17">
        <f>AZ57</f>
        <v>702.90000000000009</v>
      </c>
      <c r="BA12" s="12">
        <f>+AW12+AX12+AY12+AZ12</f>
        <v>1951</v>
      </c>
      <c r="BB12" s="17">
        <f>BB57</f>
        <v>189.29999999999998</v>
      </c>
      <c r="BC12" s="17">
        <f>BC57</f>
        <v>600.30300000000011</v>
      </c>
      <c r="BD12" s="17">
        <f>BD57</f>
        <v>234.4</v>
      </c>
      <c r="BE12" s="17">
        <f>BE57</f>
        <v>556</v>
      </c>
      <c r="BF12" s="17">
        <f>+BB12+BC12+BD12+BE12</f>
        <v>1580.0030000000002</v>
      </c>
      <c r="BG12" s="17">
        <f>BG57</f>
        <v>191.5</v>
      </c>
      <c r="BH12" s="17">
        <f>BH57</f>
        <v>537</v>
      </c>
      <c r="BI12" s="17">
        <f>BI57</f>
        <v>398.59999999999997</v>
      </c>
      <c r="BJ12" s="17">
        <f>BJ57</f>
        <v>750.3</v>
      </c>
      <c r="BK12" s="17">
        <f>+BG12+BH12+BI12+BJ12</f>
        <v>1877.3999999999999</v>
      </c>
      <c r="BL12" s="17">
        <f>BL57</f>
        <v>271.60000000000002</v>
      </c>
      <c r="BM12" s="17">
        <f>BM57</f>
        <v>882.29999999999984</v>
      </c>
      <c r="BN12" s="17">
        <f>BN57</f>
        <v>397.79999999999995</v>
      </c>
      <c r="BO12" s="17">
        <f>BO57</f>
        <v>819.59999999999991</v>
      </c>
      <c r="BP12" s="17">
        <f>+BL12+BM12+BN12+BO12</f>
        <v>2371.2999999999997</v>
      </c>
      <c r="BQ12" s="17">
        <f>BQ57</f>
        <v>238.10000000000002</v>
      </c>
      <c r="BR12" s="17">
        <f>BR57</f>
        <v>515.5</v>
      </c>
      <c r="BS12" s="17">
        <f>BS57</f>
        <v>417.3</v>
      </c>
      <c r="BT12" s="17">
        <f>BT57</f>
        <v>701.7</v>
      </c>
      <c r="BU12" s="17">
        <f>+BQ12-BL12</f>
        <v>-33.5</v>
      </c>
      <c r="BV12" s="17">
        <f t="shared" si="0"/>
        <v>753.6</v>
      </c>
      <c r="BW12" s="17">
        <f t="shared" si="8"/>
        <v>1170.9000000000001</v>
      </c>
      <c r="BX12" s="17">
        <f>+BR12-BM12</f>
        <v>-366.79999999999984</v>
      </c>
      <c r="BY12" s="17">
        <f>+BU12/(BL12)*100</f>
        <v>-12.334315169366715</v>
      </c>
      <c r="BZ12" s="17">
        <f>+BX12/(BM12)*100</f>
        <v>-41.573161056330036</v>
      </c>
      <c r="CA12" s="17">
        <f t="shared" si="1"/>
        <v>1872.6000000000001</v>
      </c>
      <c r="CB12" s="17">
        <f>CB57</f>
        <v>1644.1000000000001</v>
      </c>
      <c r="CC12" s="17">
        <f>CC57</f>
        <v>3153.2</v>
      </c>
      <c r="CD12" s="17">
        <f>CD57</f>
        <v>1824.1</v>
      </c>
      <c r="CE12" s="17">
        <f>CE57</f>
        <v>5506.6</v>
      </c>
      <c r="CF12" s="17">
        <f t="shared" si="9"/>
        <v>12128</v>
      </c>
      <c r="CG12" s="17">
        <f>CG57</f>
        <v>1963.6</v>
      </c>
      <c r="CH12" s="17">
        <f>CH57</f>
        <v>3635.7999999999997</v>
      </c>
      <c r="CI12" s="17">
        <f>CI57</f>
        <v>1321.7</v>
      </c>
      <c r="CJ12" s="17">
        <f>CJ57</f>
        <v>2043.2999999999997</v>
      </c>
      <c r="CK12" s="17">
        <f t="shared" si="2"/>
        <v>8964.4</v>
      </c>
      <c r="CL12" s="17">
        <f>CL57</f>
        <v>792.2</v>
      </c>
      <c r="CM12" s="17">
        <f>CM57</f>
        <v>2900</v>
      </c>
      <c r="CN12" s="17"/>
      <c r="CO12" s="17"/>
      <c r="CP12" s="17">
        <f>CP57</f>
        <v>450.5</v>
      </c>
      <c r="CQ12" s="17">
        <f>CQ57</f>
        <v>734.1</v>
      </c>
      <c r="CR12" s="17">
        <f t="shared" ref="CR12:CR16" si="11">+CL12+CM12+CP12+CQ12</f>
        <v>4876.8</v>
      </c>
      <c r="CS12" s="17">
        <f>CS57</f>
        <v>1459.5</v>
      </c>
      <c r="CT12" s="17">
        <f t="shared" ref="CT12:CT16" si="12">+CS12-CL12</f>
        <v>667.3</v>
      </c>
      <c r="CU12" s="17">
        <f t="shared" ref="CU12:CU16" si="13">+CT12/CL12*100</f>
        <v>84.233779348649321</v>
      </c>
      <c r="CV12" s="17">
        <f t="shared" si="5"/>
        <v>-4087.5999999999995</v>
      </c>
      <c r="CW12" s="17">
        <f t="shared" si="6"/>
        <v>-45.59814376868502</v>
      </c>
    </row>
    <row r="13" spans="1:114" x14ac:dyDescent="0.2">
      <c r="B13" s="7"/>
      <c r="C13" s="7" t="s">
        <v>62</v>
      </c>
      <c r="E13" s="17"/>
      <c r="F13" s="18"/>
      <c r="G13" s="17">
        <f>G63</f>
        <v>664</v>
      </c>
      <c r="H13" s="17">
        <f>H63</f>
        <v>752</v>
      </c>
      <c r="I13" s="17"/>
      <c r="J13" s="17">
        <f t="shared" ref="J13:S13" si="14">J63</f>
        <v>169</v>
      </c>
      <c r="K13" s="17">
        <f t="shared" si="14"/>
        <v>179</v>
      </c>
      <c r="L13" s="17">
        <f t="shared" si="14"/>
        <v>232</v>
      </c>
      <c r="M13" s="17">
        <f t="shared" si="14"/>
        <v>84</v>
      </c>
      <c r="N13" s="17"/>
      <c r="O13" s="17">
        <f t="shared" si="14"/>
        <v>165</v>
      </c>
      <c r="P13" s="17">
        <f t="shared" si="14"/>
        <v>196</v>
      </c>
      <c r="Q13" s="17">
        <f t="shared" si="14"/>
        <v>202</v>
      </c>
      <c r="R13" s="17">
        <f t="shared" si="14"/>
        <v>189</v>
      </c>
      <c r="S13" s="17">
        <f t="shared" si="14"/>
        <v>176.5</v>
      </c>
      <c r="T13" s="17">
        <f>T63</f>
        <v>162.5</v>
      </c>
      <c r="U13" s="17">
        <f>U63</f>
        <v>138.69999999999999</v>
      </c>
      <c r="V13" s="17">
        <f>V63</f>
        <v>184.03671399999999</v>
      </c>
      <c r="W13" s="44"/>
      <c r="X13" s="17">
        <f>X63</f>
        <v>661.73671400000001</v>
      </c>
      <c r="Y13" s="17"/>
      <c r="Z13" s="17">
        <f>Z63</f>
        <v>174.9</v>
      </c>
      <c r="AA13" s="17">
        <f>AA63</f>
        <v>154.6</v>
      </c>
      <c r="AB13" s="17">
        <f>AB63</f>
        <v>121.3</v>
      </c>
      <c r="AC13" s="17">
        <f>AC63</f>
        <v>128.1</v>
      </c>
      <c r="AD13" s="44"/>
      <c r="AE13" s="17">
        <f>AE63</f>
        <v>578.29999999999995</v>
      </c>
      <c r="AF13" s="17"/>
      <c r="AG13" s="17">
        <f>AG63</f>
        <v>102.8</v>
      </c>
      <c r="AH13" s="17">
        <f>AH63</f>
        <v>57.515700000000002</v>
      </c>
      <c r="AI13" s="17">
        <f>AI63</f>
        <v>92.111729999999994</v>
      </c>
      <c r="AJ13" s="17">
        <f>AJ63</f>
        <v>47.930799999999998</v>
      </c>
      <c r="AK13" s="12">
        <f>+AG13+AH13+AI13+AJ13</f>
        <v>300.35822999999999</v>
      </c>
      <c r="AL13" s="12">
        <v>300.3</v>
      </c>
      <c r="AM13" s="17">
        <f>AM63</f>
        <v>90.4</v>
      </c>
      <c r="AN13" s="17">
        <f>AN63</f>
        <v>46.7</v>
      </c>
      <c r="AO13" s="17">
        <f>AO63</f>
        <v>88.600000000000009</v>
      </c>
      <c r="AP13" s="17">
        <f>AP63</f>
        <v>68.7</v>
      </c>
      <c r="AQ13" s="12">
        <f>+AM13+AN13+AO13+AP13</f>
        <v>294.40000000000003</v>
      </c>
      <c r="AR13" s="17">
        <f>AR63</f>
        <v>105.2</v>
      </c>
      <c r="AS13" s="17">
        <f>AS63</f>
        <v>141.11900000000003</v>
      </c>
      <c r="AT13" s="17">
        <f>AT63</f>
        <v>113.914</v>
      </c>
      <c r="AU13" s="17">
        <f>AU63</f>
        <v>157.4</v>
      </c>
      <c r="AV13" s="12">
        <f>+AR13+AS13+AT13+AU13</f>
        <v>517.63300000000004</v>
      </c>
      <c r="AW13" s="17">
        <f>AW63</f>
        <v>122</v>
      </c>
      <c r="AX13" s="17">
        <f>AX63</f>
        <v>113</v>
      </c>
      <c r="AY13" s="17">
        <f>AY63</f>
        <v>111.9</v>
      </c>
      <c r="AZ13" s="17">
        <f>AZ63</f>
        <v>78.100000000000009</v>
      </c>
      <c r="BA13" s="12">
        <f>+AW13+AX13+AY13+AZ13</f>
        <v>425</v>
      </c>
      <c r="BB13" s="17">
        <f>BB63</f>
        <v>94</v>
      </c>
      <c r="BC13" s="17">
        <f>BC63</f>
        <v>93.9</v>
      </c>
      <c r="BD13" s="17">
        <f>BD63</f>
        <v>102.4</v>
      </c>
      <c r="BE13" s="17">
        <f>BE63</f>
        <v>104.3</v>
      </c>
      <c r="BF13" s="17">
        <f>+BB13+BC13+BD13+BE13</f>
        <v>394.6</v>
      </c>
      <c r="BG13" s="17">
        <f>BG63</f>
        <v>63.5</v>
      </c>
      <c r="BH13" s="17">
        <f>BH63</f>
        <v>66.7</v>
      </c>
      <c r="BI13" s="17">
        <f>BI63</f>
        <v>67</v>
      </c>
      <c r="BJ13" s="17">
        <f>BJ63</f>
        <v>37.799999999999997</v>
      </c>
      <c r="BK13" s="17">
        <f>+BG13+BH13+BI13+BJ13</f>
        <v>235</v>
      </c>
      <c r="BL13" s="17">
        <f>BL63</f>
        <v>54.4</v>
      </c>
      <c r="BM13" s="17">
        <f>BM63</f>
        <v>59.1</v>
      </c>
      <c r="BN13" s="17">
        <f>BN63</f>
        <v>57.500000000000007</v>
      </c>
      <c r="BO13" s="17">
        <f>BO63</f>
        <v>63.300000000000004</v>
      </c>
      <c r="BP13" s="17">
        <f>+BL13+BM13+BN13+BO13</f>
        <v>234.3</v>
      </c>
      <c r="BQ13" s="17">
        <f>BQ63</f>
        <v>36.599999999999994</v>
      </c>
      <c r="BR13" s="17">
        <f>BR63</f>
        <v>50.199999999999996</v>
      </c>
      <c r="BS13" s="17">
        <f>BS63</f>
        <v>51.7</v>
      </c>
      <c r="BT13" s="17">
        <f>BT63</f>
        <v>47.2</v>
      </c>
      <c r="BU13" s="17">
        <f>+BQ13-BL13</f>
        <v>-17.800000000000004</v>
      </c>
      <c r="BV13" s="17">
        <f t="shared" si="0"/>
        <v>86.799999999999983</v>
      </c>
      <c r="BW13" s="17">
        <f t="shared" si="8"/>
        <v>138.5</v>
      </c>
      <c r="BX13" s="17">
        <f>+BR13-BM13</f>
        <v>-8.9000000000000057</v>
      </c>
      <c r="BY13" s="17">
        <f>+BU13/(BL13)*100</f>
        <v>-32.72058823529413</v>
      </c>
      <c r="BZ13" s="17">
        <f>+BX13/(BM13)*100</f>
        <v>-15.05922165820644</v>
      </c>
      <c r="CA13" s="17">
        <f t="shared" si="1"/>
        <v>185.7</v>
      </c>
      <c r="CB13" s="17">
        <f>CB63</f>
        <v>43.199999999999996</v>
      </c>
      <c r="CC13" s="17">
        <f>CC63</f>
        <v>46.4</v>
      </c>
      <c r="CD13" s="17">
        <f>CD63</f>
        <v>47.6</v>
      </c>
      <c r="CE13" s="17">
        <f>CE63</f>
        <v>45.800000000000004</v>
      </c>
      <c r="CF13" s="17">
        <f t="shared" si="9"/>
        <v>183</v>
      </c>
      <c r="CG13" s="17">
        <f>CG63</f>
        <v>48.9</v>
      </c>
      <c r="CH13" s="17">
        <f>CH63</f>
        <v>51.9</v>
      </c>
      <c r="CI13" s="17">
        <f>CI63</f>
        <v>40.1</v>
      </c>
      <c r="CJ13" s="17">
        <f>CJ63</f>
        <v>37</v>
      </c>
      <c r="CK13" s="17">
        <f t="shared" si="2"/>
        <v>177.9</v>
      </c>
      <c r="CL13" s="17">
        <f>CL63</f>
        <v>34.800000000000004</v>
      </c>
      <c r="CM13" s="17">
        <f>CM63</f>
        <v>30.9</v>
      </c>
      <c r="CN13" s="17"/>
      <c r="CO13" s="17"/>
      <c r="CP13" s="17">
        <f>CP63</f>
        <v>20.7</v>
      </c>
      <c r="CQ13" s="17">
        <f>CQ63</f>
        <v>17.899999999999999</v>
      </c>
      <c r="CR13" s="17">
        <f t="shared" si="11"/>
        <v>104.30000000000001</v>
      </c>
      <c r="CS13" s="17">
        <f>CS63</f>
        <v>21.8</v>
      </c>
      <c r="CT13" s="17">
        <f t="shared" si="12"/>
        <v>-13.000000000000004</v>
      </c>
      <c r="CU13" s="17">
        <f t="shared" si="13"/>
        <v>-37.356321839080465</v>
      </c>
      <c r="CV13" s="17">
        <f t="shared" si="5"/>
        <v>-73.599999999999994</v>
      </c>
      <c r="CW13" s="17">
        <f t="shared" si="6"/>
        <v>-41.371557054525013</v>
      </c>
    </row>
    <row r="14" spans="1:114" x14ac:dyDescent="0.2">
      <c r="B14" s="7"/>
      <c r="C14" s="7" t="s">
        <v>63</v>
      </c>
      <c r="E14" s="17"/>
      <c r="F14" s="18"/>
      <c r="G14" s="17" t="e">
        <f>G83</f>
        <v>#REF!</v>
      </c>
      <c r="H14" s="17" t="e">
        <f>H83</f>
        <v>#REF!</v>
      </c>
      <c r="I14" s="17"/>
      <c r="J14" s="17" t="e">
        <f t="shared" ref="J14:V14" si="15">J83</f>
        <v>#REF!</v>
      </c>
      <c r="K14" s="17" t="e">
        <f t="shared" si="15"/>
        <v>#REF!</v>
      </c>
      <c r="L14" s="17" t="e">
        <f t="shared" si="15"/>
        <v>#REF!</v>
      </c>
      <c r="M14" s="17" t="e">
        <f t="shared" si="15"/>
        <v>#REF!</v>
      </c>
      <c r="N14" s="17"/>
      <c r="O14" s="17" t="e">
        <f t="shared" si="15"/>
        <v>#REF!</v>
      </c>
      <c r="P14" s="17" t="e">
        <f t="shared" si="15"/>
        <v>#REF!</v>
      </c>
      <c r="Q14" s="17" t="e">
        <f t="shared" si="15"/>
        <v>#REF!</v>
      </c>
      <c r="R14" s="17" t="e">
        <f t="shared" si="15"/>
        <v>#REF!</v>
      </c>
      <c r="S14" s="17">
        <f t="shared" si="15"/>
        <v>407.04243000000002</v>
      </c>
      <c r="T14" s="17">
        <f t="shared" si="15"/>
        <v>635.9</v>
      </c>
      <c r="U14" s="17">
        <f t="shared" si="15"/>
        <v>385.00000000000006</v>
      </c>
      <c r="V14" s="17">
        <f t="shared" si="15"/>
        <v>647.6</v>
      </c>
      <c r="W14" s="44"/>
      <c r="X14" s="17">
        <f>X83</f>
        <v>2075.54243</v>
      </c>
      <c r="Y14" s="17"/>
      <c r="Z14" s="17">
        <f>Z83</f>
        <v>393.86570799999998</v>
      </c>
      <c r="AA14" s="17">
        <f>AA83</f>
        <v>550.45991700000002</v>
      </c>
      <c r="AB14" s="17">
        <f>AB83</f>
        <v>451.2</v>
      </c>
      <c r="AC14" s="17">
        <f>AC83</f>
        <v>547.6</v>
      </c>
      <c r="AD14" s="44"/>
      <c r="AE14" s="17">
        <f>AE83</f>
        <v>1943.1256250000001</v>
      </c>
      <c r="AF14" s="17"/>
      <c r="AG14" s="17">
        <f>AG83</f>
        <v>508.09375700000004</v>
      </c>
      <c r="AH14" s="17">
        <f>AH83</f>
        <v>730.80624299999999</v>
      </c>
      <c r="AI14" s="17">
        <f>AI83</f>
        <v>504.52</v>
      </c>
      <c r="AJ14" s="17">
        <f>AJ83</f>
        <v>818.73</v>
      </c>
      <c r="AK14" s="12">
        <f>+AG14+AH14+AI14+AJ14</f>
        <v>2562.15</v>
      </c>
      <c r="AL14" s="12">
        <v>2561.9</v>
      </c>
      <c r="AM14" s="17">
        <f>AM83</f>
        <v>690.49999999999989</v>
      </c>
      <c r="AN14" s="17">
        <f>AN83</f>
        <v>721</v>
      </c>
      <c r="AO14" s="17">
        <f>AO83</f>
        <v>652.19999999999993</v>
      </c>
      <c r="AP14" s="17">
        <f>AP83</f>
        <v>793.5</v>
      </c>
      <c r="AQ14" s="12">
        <f>+AM14+AN14+AO14+AP14</f>
        <v>2857.2</v>
      </c>
      <c r="AR14" s="17">
        <f>AR83</f>
        <v>820.8</v>
      </c>
      <c r="AS14" s="17">
        <f>AS83</f>
        <v>798.94899999999996</v>
      </c>
      <c r="AT14" s="17">
        <f>AT83</f>
        <v>747.5139999999999</v>
      </c>
      <c r="AU14" s="17">
        <f>AU83</f>
        <v>909.5</v>
      </c>
      <c r="AV14" s="12">
        <f>+AR14+AS14+AT14+AU14</f>
        <v>3276.7629999999999</v>
      </c>
      <c r="AW14" s="17">
        <f>AW83</f>
        <v>820.8</v>
      </c>
      <c r="AX14" s="17">
        <f>AX83</f>
        <v>918.1</v>
      </c>
      <c r="AY14" s="17">
        <f>AY83</f>
        <v>720.59999999999991</v>
      </c>
      <c r="AZ14" s="17">
        <f>AZ83</f>
        <v>1172.1000000000001</v>
      </c>
      <c r="BA14" s="12">
        <f>+AW14+AX14+AY14+AZ14</f>
        <v>3631.6000000000004</v>
      </c>
      <c r="BB14" s="17">
        <f>BB83</f>
        <v>577.89</v>
      </c>
      <c r="BC14" s="17">
        <f>BC83</f>
        <v>911.09999999999991</v>
      </c>
      <c r="BD14" s="17">
        <f>BD83</f>
        <v>721.39999999999986</v>
      </c>
      <c r="BE14" s="17">
        <f>BE83</f>
        <v>1173.5</v>
      </c>
      <c r="BF14" s="17">
        <f>+BB14+BC14+BD14+BE14</f>
        <v>3383.8899999999994</v>
      </c>
      <c r="BG14" s="17">
        <f>BG83</f>
        <v>642.09400000000005</v>
      </c>
      <c r="BH14" s="17">
        <f>BH83</f>
        <v>488.79899999999998</v>
      </c>
      <c r="BI14" s="17">
        <f>BI83</f>
        <v>516.4</v>
      </c>
      <c r="BJ14" s="17">
        <f>BJ83</f>
        <v>829.5</v>
      </c>
      <c r="BK14" s="17">
        <f>+BG14+BH14+BI14+BJ14</f>
        <v>2476.7930000000001</v>
      </c>
      <c r="BL14" s="17">
        <f>BL83</f>
        <v>381.99999999999994</v>
      </c>
      <c r="BM14" s="17">
        <f>BM83</f>
        <v>338.2</v>
      </c>
      <c r="BN14" s="17">
        <f>BN83</f>
        <v>230.3</v>
      </c>
      <c r="BO14" s="17">
        <f>BO83</f>
        <v>336.59999999999997</v>
      </c>
      <c r="BP14" s="17">
        <f>+BL14+BM14+BN14+BO14</f>
        <v>1287.0999999999999</v>
      </c>
      <c r="BQ14" s="17">
        <f>BQ83</f>
        <v>248.3</v>
      </c>
      <c r="BR14" s="17">
        <f>BR83</f>
        <v>306.40000000000003</v>
      </c>
      <c r="BS14" s="17">
        <f>BS83</f>
        <v>244.79999999999998</v>
      </c>
      <c r="BT14" s="17">
        <f>BT83</f>
        <v>388.99999999999994</v>
      </c>
      <c r="BU14" s="17">
        <f>+BQ14-BL14</f>
        <v>-133.69999999999993</v>
      </c>
      <c r="BV14" s="17">
        <f t="shared" si="0"/>
        <v>554.70000000000005</v>
      </c>
      <c r="BW14" s="17">
        <f t="shared" si="8"/>
        <v>799.5</v>
      </c>
      <c r="BX14" s="17">
        <f>+BR14-BM14</f>
        <v>-31.799999999999955</v>
      </c>
      <c r="BY14" s="17">
        <f>+BU14/(BL14)*100</f>
        <v>-34.999999999999986</v>
      </c>
      <c r="BZ14" s="17">
        <f>+BX14/(BM14)*100</f>
        <v>-9.4027202838556931</v>
      </c>
      <c r="CA14" s="17">
        <f t="shared" si="1"/>
        <v>1188.5</v>
      </c>
      <c r="CB14" s="17">
        <f>CB83</f>
        <v>200.7</v>
      </c>
      <c r="CC14" s="17">
        <f>CC83</f>
        <v>338.09999999999997</v>
      </c>
      <c r="CD14" s="17">
        <f>CD83</f>
        <v>321.5</v>
      </c>
      <c r="CE14" s="17">
        <f>CE83</f>
        <v>403.2</v>
      </c>
      <c r="CF14" s="17">
        <f t="shared" si="9"/>
        <v>1263.5</v>
      </c>
      <c r="CG14" s="17">
        <f>CG83</f>
        <v>198.4</v>
      </c>
      <c r="CH14" s="17">
        <f>CH83</f>
        <v>249.79999999999998</v>
      </c>
      <c r="CI14" s="17">
        <f>CI83</f>
        <v>180.2</v>
      </c>
      <c r="CJ14" s="17">
        <f>CJ83</f>
        <v>298.7</v>
      </c>
      <c r="CK14" s="17">
        <f t="shared" si="2"/>
        <v>927.09999999999991</v>
      </c>
      <c r="CL14" s="17">
        <f>CL83</f>
        <v>197.89999999999998</v>
      </c>
      <c r="CM14" s="17">
        <f>CM83</f>
        <v>154.49999999999997</v>
      </c>
      <c r="CN14" s="17"/>
      <c r="CO14" s="17"/>
      <c r="CP14" s="17">
        <f>CP83</f>
        <v>98.600000000000009</v>
      </c>
      <c r="CQ14" s="17">
        <f>CQ83</f>
        <v>197.39999999999998</v>
      </c>
      <c r="CR14" s="17">
        <f t="shared" si="11"/>
        <v>648.4</v>
      </c>
      <c r="CS14" s="17">
        <f>CS83</f>
        <v>192.8</v>
      </c>
      <c r="CT14" s="17">
        <f t="shared" si="12"/>
        <v>-5.0999999999999659</v>
      </c>
      <c r="CU14" s="17">
        <f t="shared" si="13"/>
        <v>-2.5770591207680478</v>
      </c>
      <c r="CV14" s="17">
        <f t="shared" si="5"/>
        <v>-278.69999999999993</v>
      </c>
      <c r="CW14" s="17">
        <f t="shared" si="6"/>
        <v>-30.061482040772297</v>
      </c>
    </row>
    <row r="15" spans="1:114" x14ac:dyDescent="0.2">
      <c r="B15" s="7"/>
      <c r="C15" s="7" t="s">
        <v>118</v>
      </c>
      <c r="E15" s="17"/>
      <c r="F15" s="18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44"/>
      <c r="X15" s="17"/>
      <c r="Y15" s="17"/>
      <c r="Z15" s="17"/>
      <c r="AA15" s="17"/>
      <c r="AB15" s="17"/>
      <c r="AC15" s="17"/>
      <c r="AD15" s="44"/>
      <c r="AE15" s="17"/>
      <c r="AF15" s="17"/>
      <c r="AG15" s="17"/>
      <c r="AH15" s="17"/>
      <c r="AI15" s="17"/>
      <c r="AJ15" s="17"/>
      <c r="AK15" s="12"/>
      <c r="AL15" s="12"/>
      <c r="AM15" s="17"/>
      <c r="AN15" s="17"/>
      <c r="AO15" s="17"/>
      <c r="AP15" s="17"/>
      <c r="AQ15" s="12"/>
      <c r="AR15" s="17"/>
      <c r="AS15" s="17"/>
      <c r="AT15" s="17"/>
      <c r="AU15" s="17"/>
      <c r="AV15" s="12"/>
      <c r="AW15" s="17"/>
      <c r="AX15" s="17"/>
      <c r="AY15" s="17"/>
      <c r="AZ15" s="17"/>
      <c r="BA15" s="12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>
        <f>+BQ86</f>
        <v>-15.7</v>
      </c>
      <c r="BR15" s="17">
        <f>+BR86</f>
        <v>-33</v>
      </c>
      <c r="BS15" s="17">
        <f>+BS86</f>
        <v>-54.7</v>
      </c>
      <c r="BT15" s="17">
        <f>+BT86</f>
        <v>560.1</v>
      </c>
      <c r="BU15" s="17"/>
      <c r="BV15" s="17">
        <f t="shared" si="0"/>
        <v>-48.7</v>
      </c>
      <c r="BW15" s="17">
        <f t="shared" si="8"/>
        <v>-103.4</v>
      </c>
      <c r="BX15" s="86" t="s">
        <v>115</v>
      </c>
      <c r="BY15" s="86" t="s">
        <v>115</v>
      </c>
      <c r="BZ15" s="86" t="s">
        <v>115</v>
      </c>
      <c r="CA15" s="17">
        <f t="shared" si="1"/>
        <v>456.70000000000005</v>
      </c>
      <c r="CB15" s="17">
        <f>+CB86</f>
        <v>-33.4</v>
      </c>
      <c r="CC15" s="17">
        <f>+CC86</f>
        <v>-142.19999999999999</v>
      </c>
      <c r="CD15" s="17">
        <f>+CD86</f>
        <v>1</v>
      </c>
      <c r="CE15" s="17">
        <f>+CE86</f>
        <v>354.1</v>
      </c>
      <c r="CF15" s="17">
        <f t="shared" si="9"/>
        <v>179.50000000000003</v>
      </c>
      <c r="CG15" s="17">
        <f>+CG86</f>
        <v>-110.4</v>
      </c>
      <c r="CH15" s="17">
        <f>+CH86</f>
        <v>337.2</v>
      </c>
      <c r="CI15" s="17">
        <f>+CI86</f>
        <v>-68.8</v>
      </c>
      <c r="CJ15" s="17">
        <f>+CJ86</f>
        <v>254.9</v>
      </c>
      <c r="CK15" s="17">
        <f t="shared" si="2"/>
        <v>412.9</v>
      </c>
      <c r="CL15" s="17">
        <f>+CL86</f>
        <v>557.79999999999995</v>
      </c>
      <c r="CM15" s="17">
        <f>+CM86</f>
        <v>1197</v>
      </c>
      <c r="CN15" s="17"/>
      <c r="CO15" s="17"/>
      <c r="CP15" s="17">
        <f>+CP86</f>
        <v>637.29999999999995</v>
      </c>
      <c r="CQ15" s="17">
        <f>+CQ86</f>
        <v>968.7</v>
      </c>
      <c r="CR15" s="17">
        <f t="shared" si="11"/>
        <v>3360.8</v>
      </c>
      <c r="CS15" s="17">
        <f>+CS86</f>
        <v>-14.6</v>
      </c>
      <c r="CT15" s="17">
        <f t="shared" si="12"/>
        <v>-572.4</v>
      </c>
      <c r="CU15" s="17">
        <f t="shared" si="13"/>
        <v>-102.6174256005737</v>
      </c>
      <c r="CV15" s="17">
        <f t="shared" si="5"/>
        <v>2947.9000000000005</v>
      </c>
      <c r="CW15" s="17">
        <f t="shared" si="6"/>
        <v>713.95010898522662</v>
      </c>
    </row>
    <row r="16" spans="1:114" ht="13.5" thickBot="1" x14ac:dyDescent="0.25">
      <c r="C16" s="7" t="s">
        <v>0</v>
      </c>
      <c r="E16" s="8"/>
      <c r="F16" s="52">
        <f>SUM(F13:F14)</f>
        <v>0</v>
      </c>
      <c r="G16" s="33" t="e">
        <f>SUM(J16:M16)</f>
        <v>#REF!</v>
      </c>
      <c r="H16" s="33">
        <f>SUM(O16:R16)</f>
        <v>30</v>
      </c>
      <c r="I16" s="17"/>
      <c r="J16" s="34" t="e">
        <f>J13+J14</f>
        <v>#REF!</v>
      </c>
      <c r="K16" s="34" t="e">
        <f>K13+K14</f>
        <v>#REF!</v>
      </c>
      <c r="L16" s="34" t="e">
        <f>L13+L14</f>
        <v>#REF!</v>
      </c>
      <c r="M16" s="34" t="e">
        <f>M13+M14</f>
        <v>#REF!</v>
      </c>
      <c r="N16" s="8"/>
      <c r="O16" s="33">
        <v>10</v>
      </c>
      <c r="P16" s="33">
        <v>9</v>
      </c>
      <c r="Q16" s="55">
        <v>6</v>
      </c>
      <c r="R16" s="33">
        <v>5</v>
      </c>
      <c r="S16" s="49">
        <f>SUM(S11:S14)</f>
        <v>8787.7294310000016</v>
      </c>
      <c r="T16" s="49">
        <f t="shared" ref="T16:AB16" si="16">SUM(T11:T14)</f>
        <v>11112.846000000001</v>
      </c>
      <c r="U16" s="49">
        <f t="shared" si="16"/>
        <v>8400</v>
      </c>
      <c r="V16" s="49">
        <f t="shared" si="16"/>
        <v>13412.616714</v>
      </c>
      <c r="W16" s="49"/>
      <c r="X16" s="49">
        <f t="shared" si="16"/>
        <v>41713.192145000001</v>
      </c>
      <c r="Y16" s="44"/>
      <c r="Z16" s="61">
        <f t="shared" si="16"/>
        <v>8741.2315969999981</v>
      </c>
      <c r="AA16" s="49">
        <f t="shared" si="16"/>
        <v>10622.548278</v>
      </c>
      <c r="AB16" s="49">
        <f t="shared" si="16"/>
        <v>8592.5</v>
      </c>
      <c r="AC16" s="49">
        <f>SUM(AC11:AC14)</f>
        <v>12623.3</v>
      </c>
      <c r="AD16" s="49"/>
      <c r="AE16" s="49">
        <f>SUM(AE11:AE14)</f>
        <v>40579.901186000003</v>
      </c>
      <c r="AF16" s="44"/>
      <c r="AG16" s="49">
        <f>SUM(AG11:AG14)</f>
        <v>9110.9937570000002</v>
      </c>
      <c r="AH16" s="49">
        <f>SUM(AH11:AH14)</f>
        <v>10890.471943</v>
      </c>
      <c r="AI16" s="49">
        <f>SUM(AI11:AI14)</f>
        <v>7478.0117300000002</v>
      </c>
      <c r="AJ16" s="61">
        <f>SUM(AJ11:AJ14)</f>
        <v>11582.280799999999</v>
      </c>
      <c r="AK16" s="49">
        <f>+AG16+AH16+AI16+AJ16</f>
        <v>39061.758229999999</v>
      </c>
      <c r="AL16" s="49">
        <v>39062.800000000003</v>
      </c>
      <c r="AM16" s="61">
        <f>SUM(AM11:AM14)</f>
        <v>8077.5847949999988</v>
      </c>
      <c r="AN16" s="49">
        <f>SUM(AN11:AN14)</f>
        <v>13535.947002000001</v>
      </c>
      <c r="AO16" s="49">
        <f>SUM(AO11:AO14)</f>
        <v>7407.8</v>
      </c>
      <c r="AP16" s="49">
        <f>SUM(AP11:AP14)</f>
        <v>11991.6</v>
      </c>
      <c r="AQ16" s="49">
        <f>+AM16+AN16+AO16+AP16</f>
        <v>41012.931796999997</v>
      </c>
      <c r="AR16" s="49">
        <f>SUM(AR11:AR14)</f>
        <v>8243.6</v>
      </c>
      <c r="AS16" s="49">
        <f>SUM(AS11:AS14)</f>
        <v>11041.732000000002</v>
      </c>
      <c r="AT16" s="49">
        <f>SUM(AT11:AT14)</f>
        <v>7727.8320000000003</v>
      </c>
      <c r="AU16" s="49">
        <f>SUM(AU11:AU14)</f>
        <v>12782.199999999999</v>
      </c>
      <c r="AV16" s="49">
        <f>+AR16+AS16+AT16+AU16</f>
        <v>39795.364000000001</v>
      </c>
      <c r="AW16" s="49">
        <f>SUM(AW11:AW14)</f>
        <v>8605.1999999999989</v>
      </c>
      <c r="AX16" s="61">
        <f>SUM(AX11:AX14)</f>
        <v>9375.6</v>
      </c>
      <c r="AY16" s="61">
        <f>SUM(AY11:AY14)</f>
        <v>7377.5</v>
      </c>
      <c r="AZ16" s="61">
        <f>SUM(AZ11:AZ14)</f>
        <v>11679.680000000002</v>
      </c>
      <c r="BA16" s="49">
        <f>+AW16+AX16+AY16+AZ16</f>
        <v>37037.980000000003</v>
      </c>
      <c r="BB16" s="61">
        <f>SUM(BB11:BB14)</f>
        <v>7577.39</v>
      </c>
      <c r="BC16" s="61">
        <f>SUM(BC11:BC14)</f>
        <v>10083.003000000001</v>
      </c>
      <c r="BD16" s="61">
        <f>SUM(BD11:BD14)</f>
        <v>7304.2999999999984</v>
      </c>
      <c r="BE16" s="61">
        <f>SUM(BE11:BE14)</f>
        <v>12234.900000000001</v>
      </c>
      <c r="BF16" s="61">
        <f>+BB16+BC16+BD16+BE16</f>
        <v>37199.593000000001</v>
      </c>
      <c r="BG16" s="61">
        <f>SUM(BG11:BG14)</f>
        <v>7922.3940000000011</v>
      </c>
      <c r="BH16" s="61">
        <f>SUM(BH11:BH14)</f>
        <v>11734.376</v>
      </c>
      <c r="BI16" s="61">
        <f>SUM(BI11:BI14)</f>
        <v>8035.8</v>
      </c>
      <c r="BJ16" s="61">
        <f>SUM(BJ11:BJ14)</f>
        <v>13572.5</v>
      </c>
      <c r="BK16" s="61">
        <f>+BG16+BH16+BI16+BJ16</f>
        <v>41265.07</v>
      </c>
      <c r="BL16" s="61">
        <f>SUM(BL11:BL14)</f>
        <v>9147.1999999999989</v>
      </c>
      <c r="BM16" s="61">
        <f>SUM(BM11:BM14)</f>
        <v>12357.020000000002</v>
      </c>
      <c r="BN16" s="61">
        <f>SUM(BN11:BN14)</f>
        <v>8348.9</v>
      </c>
      <c r="BO16" s="61">
        <f>SUM(BO11:BO14)</f>
        <v>13034.5</v>
      </c>
      <c r="BP16" s="61">
        <f>+BL16+BM16+BN16+BO16</f>
        <v>42887.62</v>
      </c>
      <c r="BQ16" s="61">
        <f t="shared" ref="BQ16:BV16" si="17">SUM(BQ11:BQ15)</f>
        <v>8989.1999999999989</v>
      </c>
      <c r="BR16" s="61">
        <f t="shared" si="17"/>
        <v>11033.6</v>
      </c>
      <c r="BS16" s="61">
        <f t="shared" si="17"/>
        <v>8694.0999999999985</v>
      </c>
      <c r="BT16" s="61">
        <f t="shared" si="17"/>
        <v>12666.2</v>
      </c>
      <c r="BU16" s="61">
        <f t="shared" si="17"/>
        <v>-142.29999999999922</v>
      </c>
      <c r="BV16" s="61">
        <f t="shared" si="17"/>
        <v>20022.8</v>
      </c>
      <c r="BW16" s="61">
        <f t="shared" si="8"/>
        <v>28716.899999999998</v>
      </c>
      <c r="BX16" s="61">
        <f>SUM(BX11:BX15)</f>
        <v>-1290.4200000000017</v>
      </c>
      <c r="BY16" s="61">
        <f>+BU16/(BL16)*100</f>
        <v>-1.5556673080286778</v>
      </c>
      <c r="BZ16" s="61">
        <f>+BX16/(BM16)*100</f>
        <v>-10.442809026771839</v>
      </c>
      <c r="CA16" s="61">
        <f t="shared" si="1"/>
        <v>41383.1</v>
      </c>
      <c r="CB16" s="61">
        <f t="shared" ref="CB16:CC16" si="18">SUM(CB11:CB15)</f>
        <v>8956.1000000000022</v>
      </c>
      <c r="CC16" s="61">
        <f t="shared" si="18"/>
        <v>11563.5</v>
      </c>
      <c r="CD16" s="61">
        <f t="shared" ref="CD16:CE16" si="19">SUM(CD11:CD15)</f>
        <v>8766.7000000000007</v>
      </c>
      <c r="CE16" s="61">
        <f t="shared" si="19"/>
        <v>15143.3</v>
      </c>
      <c r="CF16" s="61">
        <f t="shared" si="9"/>
        <v>44429.600000000006</v>
      </c>
      <c r="CG16" s="61">
        <f t="shared" ref="CG16:CH16" si="20">SUM(CG11:CG15)</f>
        <v>9084.5999999999985</v>
      </c>
      <c r="CH16" s="61">
        <f t="shared" si="20"/>
        <v>12618.299999999997</v>
      </c>
      <c r="CI16" s="61">
        <f t="shared" ref="CI16:CJ16" si="21">SUM(CI11:CI15)</f>
        <v>8032.4999999999991</v>
      </c>
      <c r="CJ16" s="61">
        <f t="shared" si="21"/>
        <v>12342.8</v>
      </c>
      <c r="CK16" s="61">
        <f t="shared" si="2"/>
        <v>42078.2</v>
      </c>
      <c r="CL16" s="61">
        <f t="shared" ref="CL16:CM16" si="22">SUM(CL11:CL15)</f>
        <v>9500.7999999999975</v>
      </c>
      <c r="CM16" s="61">
        <f t="shared" si="22"/>
        <v>11979.21</v>
      </c>
      <c r="CN16" s="61"/>
      <c r="CO16" s="61"/>
      <c r="CP16" s="61">
        <f t="shared" ref="CP16:CQ16" si="23">SUM(CP11:CP15)</f>
        <v>9119.06</v>
      </c>
      <c r="CQ16" s="61">
        <f t="shared" si="23"/>
        <v>11891.8</v>
      </c>
      <c r="CR16" s="61">
        <f t="shared" si="11"/>
        <v>42490.869999999995</v>
      </c>
      <c r="CS16" s="61">
        <f t="shared" ref="CS16" si="24">SUM(CS11:CS15)</f>
        <v>9754.1999999999989</v>
      </c>
      <c r="CT16" s="61">
        <f t="shared" si="12"/>
        <v>253.40000000000146</v>
      </c>
      <c r="CU16" s="61">
        <f t="shared" si="13"/>
        <v>2.6671438194678503</v>
      </c>
      <c r="CV16" s="61">
        <f t="shared" si="5"/>
        <v>412.67000000000189</v>
      </c>
      <c r="CW16" s="61">
        <f t="shared" si="6"/>
        <v>0.98072160881406989</v>
      </c>
    </row>
    <row r="17" spans="1:109" ht="12.75" customHeight="1" thickTop="1" x14ac:dyDescent="0.2">
      <c r="B17" s="7"/>
      <c r="C17" s="7"/>
      <c r="E17" s="8"/>
      <c r="F17" s="18"/>
      <c r="G17" s="17"/>
      <c r="H17" s="17"/>
      <c r="I17" s="17"/>
      <c r="J17" s="8"/>
      <c r="K17" s="17"/>
      <c r="L17" s="17"/>
      <c r="M17" s="17"/>
      <c r="N17" s="8"/>
      <c r="O17" s="17"/>
      <c r="P17" s="17"/>
      <c r="Q17" s="17"/>
      <c r="R17" s="17"/>
      <c r="S17" s="12"/>
      <c r="T17" s="12"/>
      <c r="U17" s="12"/>
      <c r="V17" s="12"/>
      <c r="X17" s="12" t="str">
        <f>IF(O17="","",(O17+P17+Q17+R17))</f>
        <v/>
      </c>
      <c r="Z17" s="23"/>
      <c r="AA17" s="44"/>
      <c r="AC17" s="12"/>
      <c r="AE17" s="12" t="str">
        <f>IF(Y17="","",(Y17+Z17+AA17+AB17))</f>
        <v/>
      </c>
      <c r="AG17" s="12"/>
      <c r="AH17" s="44"/>
      <c r="AI17" s="44"/>
      <c r="AJ17" s="29"/>
      <c r="AK17" s="12" t="s">
        <v>10</v>
      </c>
      <c r="AL17" s="12" t="s">
        <v>10</v>
      </c>
      <c r="AM17" s="29"/>
      <c r="AN17" s="44"/>
      <c r="AO17" s="44"/>
      <c r="AP17" s="44"/>
      <c r="AQ17" s="12" t="s">
        <v>10</v>
      </c>
      <c r="AR17" s="12"/>
      <c r="AS17" s="12"/>
      <c r="AT17" s="12"/>
      <c r="AU17" s="12"/>
      <c r="AV17" s="12" t="s">
        <v>10</v>
      </c>
      <c r="AW17" s="12"/>
      <c r="AX17" s="23"/>
      <c r="AY17" s="23"/>
      <c r="AZ17" s="23"/>
      <c r="BA17" s="12" t="s">
        <v>10</v>
      </c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</row>
    <row r="18" spans="1:109" ht="9.75" customHeight="1" x14ac:dyDescent="0.2">
      <c r="B18" s="7"/>
      <c r="C18" s="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44"/>
      <c r="AC18" s="12"/>
      <c r="AE18" s="12" t="str">
        <f>IF(Y18="","",(Y18+Z18+AA18+AB18))</f>
        <v/>
      </c>
      <c r="AG18" s="12"/>
      <c r="AH18" s="44"/>
      <c r="AI18" s="44"/>
      <c r="AJ18" s="29"/>
      <c r="AK18" s="12" t="s">
        <v>10</v>
      </c>
      <c r="AL18" s="12" t="s">
        <v>10</v>
      </c>
      <c r="AM18" s="29"/>
      <c r="AN18" s="44"/>
      <c r="AO18" s="44"/>
      <c r="AP18" s="44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</row>
    <row r="19" spans="1:109" ht="15.75" x14ac:dyDescent="0.25">
      <c r="A19" s="40" t="s">
        <v>7</v>
      </c>
      <c r="B19" s="7"/>
      <c r="C19" s="7"/>
      <c r="E19" s="8"/>
      <c r="F19" s="8"/>
      <c r="G19" s="17"/>
      <c r="H19" s="17" t="s">
        <v>10</v>
      </c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44"/>
      <c r="AC19" s="12"/>
      <c r="AE19" s="12" t="str">
        <f>IF(Y19="","",(Y19+Z19+AA19+AB19))</f>
        <v/>
      </c>
      <c r="AG19" s="12"/>
      <c r="AH19" s="44"/>
      <c r="AI19" s="44"/>
      <c r="AJ19" s="29"/>
      <c r="AK19" s="12" t="s">
        <v>10</v>
      </c>
      <c r="AL19" s="12" t="s">
        <v>10</v>
      </c>
      <c r="AM19" s="29"/>
      <c r="AN19" s="44"/>
      <c r="AO19" s="44"/>
      <c r="AP19" s="44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</row>
    <row r="20" spans="1:109" s="7" customFormat="1" x14ac:dyDescent="0.2">
      <c r="A20" s="41">
        <v>1</v>
      </c>
      <c r="B20" s="7" t="s">
        <v>122</v>
      </c>
      <c r="E20" s="8"/>
      <c r="F20" s="8">
        <v>13344</v>
      </c>
      <c r="G20" s="17">
        <v>12005.452000000001</v>
      </c>
      <c r="H20" s="17">
        <f>SUM(O20:R20)</f>
        <v>13206</v>
      </c>
      <c r="I20" s="17"/>
      <c r="J20" s="8">
        <v>1542</v>
      </c>
      <c r="K20" s="17">
        <v>3534</v>
      </c>
      <c r="L20" s="17">
        <v>2241.7159999999999</v>
      </c>
      <c r="M20" s="17">
        <v>4687.7360000000008</v>
      </c>
      <c r="N20" s="8"/>
      <c r="O20" s="17">
        <v>1497</v>
      </c>
      <c r="P20" s="17">
        <v>3903</v>
      </c>
      <c r="Q20" s="17">
        <v>3903</v>
      </c>
      <c r="R20" s="17">
        <v>3903</v>
      </c>
      <c r="S20" s="17">
        <f>S21</f>
        <v>1635</v>
      </c>
      <c r="T20" s="17">
        <f>T21</f>
        <v>3874.846</v>
      </c>
      <c r="U20" s="17">
        <f>U21</f>
        <v>2100.1999999999998</v>
      </c>
      <c r="V20" s="17">
        <f>V21</f>
        <v>4318</v>
      </c>
      <c r="X20" s="12">
        <f>+X21</f>
        <v>11928.045999999998</v>
      </c>
      <c r="Z20" s="17">
        <f>Z21</f>
        <v>1635.8658889999999</v>
      </c>
      <c r="AA20" s="17">
        <f>AA21</f>
        <v>3795</v>
      </c>
      <c r="AB20" s="17">
        <f>AB21</f>
        <v>1901.3</v>
      </c>
      <c r="AC20" s="17">
        <f>AC21</f>
        <v>3714</v>
      </c>
      <c r="AE20" s="12">
        <f>+AE21</f>
        <v>11046.165889</v>
      </c>
      <c r="AG20" s="17">
        <f>AG21</f>
        <v>1725.8</v>
      </c>
      <c r="AH20" s="17">
        <f>+AH21</f>
        <v>3865.5</v>
      </c>
      <c r="AI20" s="17">
        <f>+AI21</f>
        <v>1425</v>
      </c>
      <c r="AJ20" s="17">
        <f>+AJ21</f>
        <v>3469</v>
      </c>
      <c r="AK20" s="12">
        <f>+AG20+AH20+AI20+AJ20</f>
        <v>10485.299999999999</v>
      </c>
      <c r="AL20" s="12">
        <v>10485.299999999999</v>
      </c>
      <c r="AM20" s="17">
        <f>+AM21</f>
        <v>1237.0999999999999</v>
      </c>
      <c r="AN20" s="17">
        <f>+AN21</f>
        <v>5648.9</v>
      </c>
      <c r="AO20" s="17">
        <f>+AO21</f>
        <v>981.59999999999991</v>
      </c>
      <c r="AP20" s="17">
        <f>+AP21</f>
        <v>3347.1</v>
      </c>
      <c r="AQ20" s="12">
        <f>+AM20+AN20+AO20+AP20</f>
        <v>11214.7</v>
      </c>
      <c r="AR20" s="17">
        <f>+AR21</f>
        <v>1559</v>
      </c>
      <c r="AS20" s="17">
        <f>+AS21</f>
        <v>3707.6</v>
      </c>
      <c r="AT20" s="17">
        <f>+AT21</f>
        <v>1045.529</v>
      </c>
      <c r="AU20" s="17">
        <f>+AU21</f>
        <v>3835.7</v>
      </c>
      <c r="AV20" s="12">
        <f>+AR20+AS20+AT20+AU20</f>
        <v>10147.829000000002</v>
      </c>
      <c r="AW20" s="17">
        <f>+AW21</f>
        <v>1738</v>
      </c>
      <c r="AX20" s="17">
        <f>+AX21</f>
        <v>1903.5</v>
      </c>
      <c r="AY20" s="17">
        <f>+AY21</f>
        <v>1125</v>
      </c>
      <c r="AZ20" s="17">
        <f>+AZ21</f>
        <v>3784.2</v>
      </c>
      <c r="BA20" s="12">
        <f>+AW20+AX20+AY20+AZ20</f>
        <v>8550.7000000000007</v>
      </c>
      <c r="BB20" s="17">
        <f>+BB21</f>
        <v>1211</v>
      </c>
      <c r="BC20" s="17">
        <f>+BC21</f>
        <v>3032.3</v>
      </c>
      <c r="BD20" s="17">
        <f>+BD21</f>
        <v>697.2</v>
      </c>
      <c r="BE20" s="17">
        <f>+BE21</f>
        <v>2252.3000000000002</v>
      </c>
      <c r="BF20" s="17">
        <f t="shared" ref="BF20:BF90" si="25">+BB20+BC20+BD20+BE20</f>
        <v>7192.8</v>
      </c>
      <c r="BG20" s="17">
        <f>+BG21</f>
        <v>800.6</v>
      </c>
      <c r="BH20" s="17">
        <f>+BH21</f>
        <v>2816</v>
      </c>
      <c r="BI20" s="17">
        <f>+BI21</f>
        <v>1038.5</v>
      </c>
      <c r="BJ20" s="17">
        <f>+BJ21</f>
        <v>4143.1000000000004</v>
      </c>
      <c r="BK20" s="17">
        <f t="shared" ref="BK20:BK90" si="26">+BG20+BH20+BI20+BJ20</f>
        <v>8798.2000000000007</v>
      </c>
      <c r="BL20" s="17">
        <f>+BL21</f>
        <v>1258.3</v>
      </c>
      <c r="BM20" s="17">
        <f>+BM21</f>
        <v>2860.8</v>
      </c>
      <c r="BN20" s="17">
        <f>+BN21</f>
        <v>1148.7</v>
      </c>
      <c r="BO20" s="17">
        <f>+BO21</f>
        <v>2884.2</v>
      </c>
      <c r="BP20" s="17">
        <f t="shared" ref="BP20:BP90" si="27">+BL20+BM20+BN20+BO20</f>
        <v>8152</v>
      </c>
      <c r="BQ20" s="17">
        <f>+BQ21</f>
        <v>1637</v>
      </c>
      <c r="BR20" s="17">
        <f>+BR21</f>
        <v>2568.1999999999998</v>
      </c>
      <c r="BS20" s="17">
        <f>+BS21</f>
        <v>1178.5</v>
      </c>
      <c r="BT20" s="17">
        <f>+BT21</f>
        <v>2031</v>
      </c>
      <c r="BU20" s="17">
        <f>+BQ20-BL20</f>
        <v>378.70000000000005</v>
      </c>
      <c r="BV20" s="17">
        <f t="shared" si="0"/>
        <v>4205.2</v>
      </c>
      <c r="BW20" s="17">
        <f t="shared" ref="BW20:BW86" si="28">SUM(BQ20:BS20)</f>
        <v>5383.7</v>
      </c>
      <c r="BX20" s="17">
        <f>+BR20-BM20</f>
        <v>-292.60000000000036</v>
      </c>
      <c r="BY20" s="17">
        <f>+BU20/(BL20)*100</f>
        <v>30.096161487721535</v>
      </c>
      <c r="BZ20" s="17">
        <f>+BX20/(BM20)*100</f>
        <v>-10.227908277404934</v>
      </c>
      <c r="CA20" s="17"/>
      <c r="CB20" s="17">
        <f>+CB21</f>
        <v>0</v>
      </c>
      <c r="CC20" s="17">
        <f>+CC21</f>
        <v>0</v>
      </c>
      <c r="CD20" s="17">
        <f>+CD21</f>
        <v>0</v>
      </c>
      <c r="CE20" s="17">
        <f>+CE21</f>
        <v>0</v>
      </c>
      <c r="CF20" s="17">
        <f t="shared" ref="CF20:CF86" si="29">SUM(CB20:CE20)</f>
        <v>0</v>
      </c>
      <c r="CG20" s="17">
        <f>+CG21</f>
        <v>0</v>
      </c>
      <c r="CH20" s="17">
        <f>+CH21</f>
        <v>0</v>
      </c>
      <c r="CI20" s="17">
        <f>+CI21</f>
        <v>0</v>
      </c>
      <c r="CJ20" s="17">
        <f>+CJ21</f>
        <v>0</v>
      </c>
      <c r="CK20" s="17">
        <f t="shared" si="2"/>
        <v>0</v>
      </c>
      <c r="CL20" s="17">
        <f>CL89</f>
        <v>0</v>
      </c>
      <c r="CM20" s="17">
        <f>CM89</f>
        <v>0</v>
      </c>
      <c r="CN20" s="17"/>
      <c r="CO20" s="17"/>
      <c r="CP20" s="17">
        <f>CP89</f>
        <v>0</v>
      </c>
      <c r="CQ20" s="17">
        <f>CQ89</f>
        <v>0</v>
      </c>
      <c r="CR20" s="12">
        <f t="shared" ref="CR20" si="30">+CL20+CM20+CP20+CQ20</f>
        <v>0</v>
      </c>
      <c r="CS20" s="17">
        <f>CS89</f>
        <v>0</v>
      </c>
      <c r="CT20" s="12">
        <f t="shared" ref="CT20" si="31">+CS20-CL20</f>
        <v>0</v>
      </c>
      <c r="CU20" s="12"/>
      <c r="CV20" s="12">
        <f t="shared" si="5"/>
        <v>0</v>
      </c>
      <c r="CW20" s="12"/>
      <c r="CX20" s="9"/>
      <c r="CY20" s="9"/>
      <c r="CZ20" s="9"/>
      <c r="DA20" s="9"/>
      <c r="DB20" s="9"/>
      <c r="DC20" s="9"/>
      <c r="DD20" s="9"/>
      <c r="DE20" s="9"/>
    </row>
    <row r="21" spans="1:109" x14ac:dyDescent="0.2">
      <c r="E21" s="8"/>
      <c r="F21" s="10">
        <v>13344</v>
      </c>
      <c r="G21" s="20">
        <v>12005.452000000001</v>
      </c>
      <c r="H21" s="20">
        <f>SUM(O21:R21)</f>
        <v>13635</v>
      </c>
      <c r="I21" s="20"/>
      <c r="J21" s="14">
        <v>1542</v>
      </c>
      <c r="K21" s="24">
        <v>3534</v>
      </c>
      <c r="L21" s="25">
        <v>2241.7159999999999</v>
      </c>
      <c r="M21" s="25">
        <v>4687.7360000000008</v>
      </c>
      <c r="N21" s="8"/>
      <c r="O21" s="25">
        <v>1497</v>
      </c>
      <c r="P21" s="25">
        <v>3903</v>
      </c>
      <c r="Q21" s="25">
        <v>2147</v>
      </c>
      <c r="R21" s="25">
        <v>6088</v>
      </c>
      <c r="S21" s="11">
        <v>1635</v>
      </c>
      <c r="T21" s="14">
        <v>3874.846</v>
      </c>
      <c r="U21" s="14">
        <v>2100.1999999999998</v>
      </c>
      <c r="V21" s="11">
        <v>4318</v>
      </c>
      <c r="W21" s="14"/>
      <c r="X21" s="11">
        <f>SUM(S21:V21)</f>
        <v>11928.045999999998</v>
      </c>
      <c r="Y21" s="14"/>
      <c r="Z21" s="24">
        <v>1635.8658889999999</v>
      </c>
      <c r="AA21" s="14">
        <v>3795</v>
      </c>
      <c r="AB21" s="14">
        <v>1901.3</v>
      </c>
      <c r="AC21" s="11">
        <v>3714</v>
      </c>
      <c r="AD21" s="14"/>
      <c r="AE21" s="11">
        <f>SUM(Z21:AC21)</f>
        <v>11046.165889</v>
      </c>
      <c r="AF21" s="14"/>
      <c r="AG21" s="11">
        <v>1725.8</v>
      </c>
      <c r="AH21" s="14">
        <v>3865.5</v>
      </c>
      <c r="AI21" s="14">
        <v>1425</v>
      </c>
      <c r="AJ21" s="25">
        <v>3469</v>
      </c>
      <c r="AK21" s="11">
        <f>+AG21+AH21+AI21+AJ21</f>
        <v>10485.299999999999</v>
      </c>
      <c r="AL21" s="73">
        <v>10485.299999999999</v>
      </c>
      <c r="AM21" s="25">
        <v>1237.0999999999999</v>
      </c>
      <c r="AN21" s="14">
        <v>5648.9</v>
      </c>
      <c r="AO21" s="14">
        <f>1230.6-249</f>
        <v>981.59999999999991</v>
      </c>
      <c r="AP21" s="14">
        <v>3347.1</v>
      </c>
      <c r="AQ21" s="11">
        <f>+AM21+AN21+AO21+AP21</f>
        <v>11214.7</v>
      </c>
      <c r="AR21" s="11">
        <v>1559</v>
      </c>
      <c r="AS21" s="11">
        <v>3707.6</v>
      </c>
      <c r="AT21" s="11">
        <v>1045.529</v>
      </c>
      <c r="AU21" s="11">
        <v>3835.7</v>
      </c>
      <c r="AV21" s="11">
        <f>+AR21+AS21+AT21+AU21</f>
        <v>10147.829000000002</v>
      </c>
      <c r="AW21" s="11">
        <v>1738</v>
      </c>
      <c r="AX21" s="24">
        <v>1903.5</v>
      </c>
      <c r="AY21" s="24">
        <v>1125</v>
      </c>
      <c r="AZ21" s="24">
        <f>3671.2+113</f>
        <v>3784.2</v>
      </c>
      <c r="BA21" s="11">
        <f>+AW21+AX21+AY21+AZ21</f>
        <v>8550.7000000000007</v>
      </c>
      <c r="BB21" s="11">
        <v>1211</v>
      </c>
      <c r="BC21" s="11">
        <v>3032.3</v>
      </c>
      <c r="BD21" s="11">
        <v>697.2</v>
      </c>
      <c r="BE21" s="11">
        <v>2252.3000000000002</v>
      </c>
      <c r="BF21" s="11">
        <f t="shared" si="25"/>
        <v>7192.8</v>
      </c>
      <c r="BG21" s="11">
        <v>800.6</v>
      </c>
      <c r="BH21" s="11">
        <v>2816</v>
      </c>
      <c r="BI21" s="11">
        <v>1038.5</v>
      </c>
      <c r="BJ21" s="11">
        <v>4143.1000000000004</v>
      </c>
      <c r="BK21" s="73">
        <f t="shared" si="26"/>
        <v>8798.2000000000007</v>
      </c>
      <c r="BL21" s="11">
        <v>1258.3</v>
      </c>
      <c r="BM21" s="11">
        <v>2860.8</v>
      </c>
      <c r="BN21" s="11">
        <v>1148.7</v>
      </c>
      <c r="BO21" s="11">
        <v>2884.2</v>
      </c>
      <c r="BP21" s="11">
        <f t="shared" si="27"/>
        <v>8152</v>
      </c>
      <c r="BQ21" s="11">
        <v>1637</v>
      </c>
      <c r="BR21" s="11">
        <v>2568.1999999999998</v>
      </c>
      <c r="BS21" s="11">
        <v>1178.5</v>
      </c>
      <c r="BT21" s="11">
        <v>2031</v>
      </c>
      <c r="BU21" s="11">
        <f>+BQ21-BL21</f>
        <v>378.70000000000005</v>
      </c>
      <c r="BV21" s="11">
        <f t="shared" si="0"/>
        <v>4205.2</v>
      </c>
      <c r="BW21" s="11">
        <f t="shared" si="28"/>
        <v>5383.7</v>
      </c>
      <c r="BX21" s="11">
        <f>+BR21-BM21</f>
        <v>-292.60000000000036</v>
      </c>
      <c r="BY21" s="11">
        <f>+BU21/(BL21)*100</f>
        <v>30.096161487721535</v>
      </c>
      <c r="BZ21" s="11">
        <f>+BX21/(BM21)*100</f>
        <v>-10.227908277404934</v>
      </c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3"/>
      <c r="DB21" s="3"/>
      <c r="DC21" s="3"/>
      <c r="DD21" s="3"/>
      <c r="DE21" s="3"/>
    </row>
    <row r="22" spans="1:109" ht="10.5" customHeight="1" x14ac:dyDescent="0.2">
      <c r="E22" s="8"/>
      <c r="F22" s="10"/>
      <c r="G22" s="20"/>
      <c r="H22" s="17" t="s">
        <v>10</v>
      </c>
      <c r="I22" s="17"/>
      <c r="J22" s="14"/>
      <c r="K22" s="24"/>
      <c r="L22" s="25"/>
      <c r="M22" s="25"/>
      <c r="N22" s="8"/>
      <c r="O22" s="25"/>
      <c r="P22" s="25"/>
      <c r="Q22" s="25"/>
      <c r="R22" s="25"/>
      <c r="S22" s="12"/>
      <c r="T22" s="12"/>
      <c r="U22" s="12"/>
      <c r="V22" s="12"/>
      <c r="W22" s="14"/>
      <c r="X22" s="12" t="str">
        <f>IF(O22="","",(O22+P22+Q22+R22))</f>
        <v/>
      </c>
      <c r="Y22" s="14"/>
      <c r="Z22" s="23"/>
      <c r="AA22" s="44"/>
      <c r="AC22" s="12"/>
      <c r="AD22" s="14"/>
      <c r="AE22" s="12" t="str">
        <f>IF(Y22="","",(Y22+Z22+AA22+AB22))</f>
        <v/>
      </c>
      <c r="AF22" s="14"/>
      <c r="AG22" s="12"/>
      <c r="AH22" s="44"/>
      <c r="AI22" s="44"/>
      <c r="AJ22" s="29"/>
      <c r="AK22" s="12" t="s">
        <v>10</v>
      </c>
      <c r="AL22" s="72" t="s">
        <v>10</v>
      </c>
      <c r="AM22" s="29"/>
      <c r="AN22" s="44"/>
      <c r="AO22" s="44"/>
      <c r="AP22" s="44"/>
      <c r="AQ22" s="12" t="s">
        <v>10</v>
      </c>
      <c r="AR22" s="12"/>
      <c r="AS22" s="12"/>
      <c r="AT22" s="12"/>
      <c r="AU22" s="12"/>
      <c r="AV22" s="12" t="s">
        <v>10</v>
      </c>
      <c r="AW22" s="12"/>
      <c r="AX22" s="23"/>
      <c r="AY22" s="23"/>
      <c r="AZ22" s="23"/>
      <c r="BA22" s="12" t="s">
        <v>10</v>
      </c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1"/>
      <c r="CY22" s="11"/>
      <c r="CZ22" s="11"/>
      <c r="DA22" s="3"/>
      <c r="DB22" s="3"/>
      <c r="DC22" s="3"/>
      <c r="DD22" s="3"/>
      <c r="DE22" s="3"/>
    </row>
    <row r="23" spans="1:109" s="7" customFormat="1" x14ac:dyDescent="0.2">
      <c r="A23" s="41">
        <v>2</v>
      </c>
      <c r="B23" s="7" t="s">
        <v>11</v>
      </c>
      <c r="E23" s="8"/>
      <c r="F23" s="8">
        <f>SUM(F24:F30)</f>
        <v>17963</v>
      </c>
      <c r="G23" s="17">
        <f t="shared" ref="G23:G30" si="32">SUM(J23:M23)</f>
        <v>16128</v>
      </c>
      <c r="H23" s="17">
        <f t="shared" ref="H23:H30" si="33">SUM(O23:R23)</f>
        <v>14170</v>
      </c>
      <c r="I23" s="17"/>
      <c r="J23" s="17">
        <f>SUM(J24:J30)</f>
        <v>3381</v>
      </c>
      <c r="K23" s="17">
        <f>SUM(K24:K30)</f>
        <v>4283</v>
      </c>
      <c r="L23" s="17">
        <f>SUM(L24:L30)</f>
        <v>3750</v>
      </c>
      <c r="M23" s="17">
        <f>SUM(M24:M30)</f>
        <v>4714</v>
      </c>
      <c r="N23" s="8"/>
      <c r="O23" s="17">
        <f>SUM(O24:O30)</f>
        <v>3007</v>
      </c>
      <c r="P23" s="17">
        <f>SUM(P24:P30)</f>
        <v>3541</v>
      </c>
      <c r="Q23" s="17">
        <f>SUM(Q24:Q30)</f>
        <v>2813</v>
      </c>
      <c r="R23" s="17">
        <f>SUM(R24:R30)</f>
        <v>4809</v>
      </c>
      <c r="S23" s="17">
        <f>SUM(S24:S33)</f>
        <v>3546.8780590000001</v>
      </c>
      <c r="T23" s="17">
        <f>SUM(T24:T33)</f>
        <v>3429.9</v>
      </c>
      <c r="U23" s="17">
        <f>SUM(U24:U33)</f>
        <v>2835.5000000000005</v>
      </c>
      <c r="V23" s="17">
        <f>SUM(V24:V33)</f>
        <v>4827.579999999999</v>
      </c>
      <c r="W23" s="14"/>
      <c r="X23" s="12">
        <f>SUM(S23:V23)</f>
        <v>14639.858058999998</v>
      </c>
      <c r="Y23" s="14"/>
      <c r="Z23" s="17">
        <f>SUM(Z24:Z33)</f>
        <v>3480.3</v>
      </c>
      <c r="AA23" s="17">
        <f>SUM(AA24:AA32)</f>
        <v>3367.358338</v>
      </c>
      <c r="AB23" s="17">
        <f>SUM(AB24:AB33)</f>
        <v>3174.5000000000005</v>
      </c>
      <c r="AC23" s="17">
        <f>SUM(AC24:AC33)</f>
        <v>4993.0999999999995</v>
      </c>
      <c r="AD23" s="14"/>
      <c r="AE23" s="12">
        <f>SUM(AE24:AE33)</f>
        <v>15016.179648999998</v>
      </c>
      <c r="AF23" s="14"/>
      <c r="AG23" s="17">
        <f>SUM(AG24:AG33)</f>
        <v>3593.05</v>
      </c>
      <c r="AH23" s="17">
        <f>SUM(AH24:AH33)</f>
        <v>3185.74</v>
      </c>
      <c r="AI23" s="17">
        <f>SUM(AI24:AI33)</f>
        <v>2719.9599999999996</v>
      </c>
      <c r="AJ23" s="17">
        <f>SUM(AJ24:AJ33)</f>
        <v>4179.8499999999995</v>
      </c>
      <c r="AK23" s="12">
        <f t="shared" ref="AK23:AK33" si="34">+AG23+AH23+AI23+AJ23</f>
        <v>13678.599999999999</v>
      </c>
      <c r="AL23" s="72">
        <v>13679.2</v>
      </c>
      <c r="AM23" s="17">
        <f>SUM(AM24:AM33)</f>
        <v>3149.5</v>
      </c>
      <c r="AN23" s="17">
        <f>SUM(AN24:AN33)</f>
        <v>3596.8999999999996</v>
      </c>
      <c r="AO23" s="17">
        <f>SUM(AO24:AO33)</f>
        <v>2936.8</v>
      </c>
      <c r="AP23" s="17">
        <f>SUM(AP24:AP33)</f>
        <v>3850.6999999999989</v>
      </c>
      <c r="AQ23" s="12">
        <f t="shared" ref="AQ23:AQ33" si="35">+AM23+AN23+AO23+AP23</f>
        <v>13533.9</v>
      </c>
      <c r="AR23" s="17">
        <f>SUM(AR24:AR33)</f>
        <v>3007.6</v>
      </c>
      <c r="AS23" s="17">
        <f>SUM(AS24:AS33)</f>
        <v>3428.0119999999997</v>
      </c>
      <c r="AT23" s="17">
        <f>SUM(AT24:AT33)</f>
        <v>2965.7669999999998</v>
      </c>
      <c r="AU23" s="17">
        <f>SUM(AU24:AU33)</f>
        <v>4591.7</v>
      </c>
      <c r="AV23" s="12">
        <f t="shared" ref="AV23:AV33" si="36">+AR23+AS23+AT23+AU23</f>
        <v>13993.078999999998</v>
      </c>
      <c r="AW23" s="17">
        <f>SUM(AW24:AW33)</f>
        <v>3543</v>
      </c>
      <c r="AX23" s="17">
        <f>SUM(AX24:AX33)</f>
        <v>3449.6000000000004</v>
      </c>
      <c r="AY23" s="17">
        <f>SUM(AY24:AY33)</f>
        <v>3125.6</v>
      </c>
      <c r="AZ23" s="17">
        <f>SUM(AZ24:AZ33)</f>
        <v>4837.0800000000008</v>
      </c>
      <c r="BA23" s="12">
        <f t="shared" ref="BA23:BA33" si="37">+AW23+AX23+AY23+AZ23</f>
        <v>14955.280000000002</v>
      </c>
      <c r="BB23" s="17">
        <f>SUM(BB24:BB33)</f>
        <v>3349.7</v>
      </c>
      <c r="BC23" s="17">
        <f>SUM(BC24:BC33)</f>
        <v>3383.8000000000006</v>
      </c>
      <c r="BD23" s="17">
        <f>SUM(BD24:BD33)</f>
        <v>3377.099999999999</v>
      </c>
      <c r="BE23" s="17">
        <f>SUM(BE24:BE33)</f>
        <v>5813.6</v>
      </c>
      <c r="BF23" s="17">
        <f t="shared" si="25"/>
        <v>15924.199999999999</v>
      </c>
      <c r="BG23" s="17">
        <f>SUM(BG24:BG33)</f>
        <v>3944.5</v>
      </c>
      <c r="BH23" s="17">
        <f>SUM(BH24:BH33)</f>
        <v>4736.9769999999999</v>
      </c>
      <c r="BI23" s="17">
        <f>SUM(BI24:BI33)</f>
        <v>3515</v>
      </c>
      <c r="BJ23" s="17">
        <f>SUM(BJ24:BJ33)</f>
        <v>5700.3</v>
      </c>
      <c r="BK23" s="17">
        <f t="shared" si="26"/>
        <v>17896.776999999998</v>
      </c>
      <c r="BL23" s="17">
        <f>SUM(BL24:BL33)</f>
        <v>4605.8</v>
      </c>
      <c r="BM23" s="17">
        <f>SUM(BM24:BM33)</f>
        <v>5073.0200000000004</v>
      </c>
      <c r="BN23" s="17">
        <f>SUM(BN24:BN33)</f>
        <v>3610.7</v>
      </c>
      <c r="BO23" s="17">
        <f>SUM(BO24:BO33)</f>
        <v>6087.7999999999993</v>
      </c>
      <c r="BP23" s="17">
        <f t="shared" si="27"/>
        <v>19377.32</v>
      </c>
      <c r="BQ23" s="17">
        <f>SUM(BQ24:BQ33)</f>
        <v>4247.7999999999993</v>
      </c>
      <c r="BR23" s="17">
        <f>SUM(BR24:BR33)</f>
        <v>4260.6000000000013</v>
      </c>
      <c r="BS23" s="17">
        <f>SUM(BS24:BS33)</f>
        <v>3954.7999999999997</v>
      </c>
      <c r="BT23" s="17">
        <f>SUM(BT24:BT33)</f>
        <v>6127.8999999999987</v>
      </c>
      <c r="BU23" s="17">
        <f t="shared" ref="BU23:BU33" si="38">+BQ23-BL23</f>
        <v>-358.00000000000091</v>
      </c>
      <c r="BV23" s="17">
        <f t="shared" si="0"/>
        <v>8508.4000000000015</v>
      </c>
      <c r="BW23" s="17">
        <f t="shared" si="28"/>
        <v>12463.2</v>
      </c>
      <c r="BX23" s="17">
        <f t="shared" ref="BX23:BX33" si="39">+BR23-BM23</f>
        <v>-812.41999999999916</v>
      </c>
      <c r="BY23" s="17">
        <f t="shared" ref="BY23:BY33" si="40">+BU23/(BL23)*100</f>
        <v>-7.7728081983586108</v>
      </c>
      <c r="BZ23" s="17">
        <f t="shared" ref="BZ23:BZ28" si="41">+BX23/(BM23)*100</f>
        <v>-16.01452389306565</v>
      </c>
      <c r="CA23" s="17">
        <f t="shared" si="1"/>
        <v>18591.099999999999</v>
      </c>
      <c r="CB23" s="17">
        <f>SUM(CB24:CB33)</f>
        <v>4045.4000000000005</v>
      </c>
      <c r="CC23" s="17">
        <f>SUM(CC24:CC33)</f>
        <v>4751.6000000000004</v>
      </c>
      <c r="CD23" s="17">
        <f>SUM(CD24:CD33)</f>
        <v>3503.6000000000004</v>
      </c>
      <c r="CE23" s="17">
        <f>SUM(CE24:CE33)</f>
        <v>5883.4</v>
      </c>
      <c r="CF23" s="17">
        <f t="shared" si="29"/>
        <v>18184</v>
      </c>
      <c r="CG23" s="17">
        <f>SUM(CG24:CG33)</f>
        <v>3788.1000000000004</v>
      </c>
      <c r="CH23" s="17">
        <f>SUM(CH24:CH33)</f>
        <v>4634.3999999999987</v>
      </c>
      <c r="CI23" s="17">
        <f>SUM(CI24:CI33)</f>
        <v>3248</v>
      </c>
      <c r="CJ23" s="17">
        <f>SUM(CJ24:CJ33)</f>
        <v>6872.9</v>
      </c>
      <c r="CK23" s="17">
        <f t="shared" si="2"/>
        <v>18543.400000000001</v>
      </c>
      <c r="CL23" s="17">
        <f>SUM(CL24:CL33)</f>
        <v>4468.2999999999993</v>
      </c>
      <c r="CM23" s="17">
        <f>SUM(CM24:CM33)</f>
        <v>4016.81</v>
      </c>
      <c r="CN23" s="17"/>
      <c r="CO23" s="17"/>
      <c r="CP23" s="17">
        <f>SUM(CP24:CP33)</f>
        <v>4329.7599999999993</v>
      </c>
      <c r="CQ23" s="17">
        <f>SUM(CQ24:CQ33)</f>
        <v>6767.8999999999987</v>
      </c>
      <c r="CR23" s="17">
        <f t="shared" ref="CR23:CR86" si="42">+CL23+CM23+CP23+CQ23</f>
        <v>19582.769999999997</v>
      </c>
      <c r="CS23" s="17">
        <f>SUM(CS24:CS33)</f>
        <v>4395.5999999999995</v>
      </c>
      <c r="CT23" s="17">
        <f t="shared" ref="CT23:CT86" si="43">+CS23-CL23</f>
        <v>-72.699999999999818</v>
      </c>
      <c r="CU23" s="17">
        <f t="shared" ref="CU23:CU86" si="44">+CT23/CL23*100</f>
        <v>-1.6270169863258921</v>
      </c>
      <c r="CV23" s="17">
        <f t="shared" si="5"/>
        <v>1039.3699999999972</v>
      </c>
      <c r="CW23" s="17">
        <f t="shared" si="6"/>
        <v>5.6050670319358753</v>
      </c>
      <c r="CX23" s="9"/>
      <c r="CY23" s="9"/>
      <c r="CZ23" s="9"/>
      <c r="DA23" s="9"/>
      <c r="DB23" s="9"/>
      <c r="DC23" s="9"/>
    </row>
    <row r="24" spans="1:109" x14ac:dyDescent="0.2">
      <c r="B24" s="4" t="s">
        <v>12</v>
      </c>
      <c r="C24" s="4" t="s">
        <v>50</v>
      </c>
      <c r="E24" s="8"/>
      <c r="F24" s="10">
        <v>17195</v>
      </c>
      <c r="G24" s="20">
        <f t="shared" si="32"/>
        <v>15109</v>
      </c>
      <c r="H24" s="20">
        <f t="shared" si="33"/>
        <v>13297</v>
      </c>
      <c r="I24" s="20"/>
      <c r="J24" s="10">
        <v>3251</v>
      </c>
      <c r="K24" s="20">
        <v>4034</v>
      </c>
      <c r="L24" s="20">
        <v>3544</v>
      </c>
      <c r="M24" s="20">
        <v>4280</v>
      </c>
      <c r="N24" s="8"/>
      <c r="O24" s="20">
        <v>2849</v>
      </c>
      <c r="P24" s="20">
        <v>3304</v>
      </c>
      <c r="Q24" s="20">
        <v>2586</v>
      </c>
      <c r="R24" s="20">
        <v>4558</v>
      </c>
      <c r="S24" s="11">
        <v>3400.2780590000002</v>
      </c>
      <c r="T24" s="14">
        <v>3107.1</v>
      </c>
      <c r="U24" s="14">
        <v>2621.1</v>
      </c>
      <c r="V24" s="11">
        <v>4459.3</v>
      </c>
      <c r="W24" s="14"/>
      <c r="X24" s="11">
        <f>SUM(S24:V24)</f>
        <v>13587.778059</v>
      </c>
      <c r="Y24" s="14"/>
      <c r="Z24" s="24">
        <v>3314.1</v>
      </c>
      <c r="AA24" s="14">
        <v>3068</v>
      </c>
      <c r="AB24" s="14">
        <v>2952</v>
      </c>
      <c r="AC24" s="11">
        <v>4582</v>
      </c>
      <c r="AD24" s="14"/>
      <c r="AE24" s="11">
        <f t="shared" ref="AE24:AE33" si="45">SUM(Z24:AC24)</f>
        <v>13916.1</v>
      </c>
      <c r="AF24" s="14"/>
      <c r="AG24" s="11">
        <v>3450.9</v>
      </c>
      <c r="AH24" s="14">
        <v>2880.3</v>
      </c>
      <c r="AI24" s="14">
        <v>2567.9</v>
      </c>
      <c r="AJ24" s="25">
        <v>3735.8</v>
      </c>
      <c r="AK24" s="11">
        <f t="shared" si="34"/>
        <v>12634.900000000001</v>
      </c>
      <c r="AL24" s="73">
        <v>12635</v>
      </c>
      <c r="AM24" s="25">
        <v>2816.5</v>
      </c>
      <c r="AN24" s="14">
        <v>3107</v>
      </c>
      <c r="AO24" s="14">
        <v>2695.9</v>
      </c>
      <c r="AP24" s="14">
        <v>3455.2</v>
      </c>
      <c r="AQ24" s="11">
        <f t="shared" si="35"/>
        <v>12074.599999999999</v>
      </c>
      <c r="AR24" s="14">
        <v>2758.9</v>
      </c>
      <c r="AS24" s="14">
        <v>3155.3119999999999</v>
      </c>
      <c r="AT24" s="14">
        <v>2791.752</v>
      </c>
      <c r="AU24" s="14">
        <f>4506.5-25-1</f>
        <v>4480.5</v>
      </c>
      <c r="AV24" s="11">
        <f t="shared" si="36"/>
        <v>13186.464</v>
      </c>
      <c r="AW24" s="14">
        <f>2971+400</f>
        <v>3371</v>
      </c>
      <c r="AX24" s="25">
        <v>3423.5</v>
      </c>
      <c r="AY24" s="25">
        <f>2364.8+600</f>
        <v>2964.8</v>
      </c>
      <c r="AZ24" s="25">
        <f>5435.8-600</f>
        <v>4835.8</v>
      </c>
      <c r="BA24" s="11">
        <f t="shared" si="37"/>
        <v>14595.099999999999</v>
      </c>
      <c r="BB24" s="11">
        <v>3237.1</v>
      </c>
      <c r="BC24" s="11">
        <v>3391.1</v>
      </c>
      <c r="BD24" s="11">
        <v>3274</v>
      </c>
      <c r="BE24" s="11">
        <v>5578</v>
      </c>
      <c r="BF24" s="11">
        <f t="shared" si="25"/>
        <v>15480.2</v>
      </c>
      <c r="BG24" s="11">
        <v>3777.8</v>
      </c>
      <c r="BH24" s="11">
        <v>4658</v>
      </c>
      <c r="BI24" s="11">
        <v>3447.7</v>
      </c>
      <c r="BJ24" s="11">
        <v>5514.4</v>
      </c>
      <c r="BK24" s="11">
        <f t="shared" si="26"/>
        <v>17397.900000000001</v>
      </c>
      <c r="BL24" s="11">
        <v>4460.1000000000004</v>
      </c>
      <c r="BM24" s="11">
        <v>4982.8999999999996</v>
      </c>
      <c r="BN24" s="11">
        <v>3500</v>
      </c>
      <c r="BO24" s="11">
        <v>5924.9</v>
      </c>
      <c r="BP24" s="11">
        <f t="shared" si="27"/>
        <v>18867.900000000001</v>
      </c>
      <c r="BQ24" s="11">
        <v>4061</v>
      </c>
      <c r="BR24" s="11">
        <v>4223.6000000000004</v>
      </c>
      <c r="BS24" s="11">
        <v>3767.1</v>
      </c>
      <c r="BT24" s="11">
        <v>5926.7</v>
      </c>
      <c r="BU24" s="11">
        <f t="shared" si="38"/>
        <v>-399.10000000000036</v>
      </c>
      <c r="BV24" s="11">
        <f t="shared" si="0"/>
        <v>8284.6</v>
      </c>
      <c r="BW24" s="11">
        <f t="shared" si="28"/>
        <v>12051.7</v>
      </c>
      <c r="BX24" s="11">
        <f t="shared" si="39"/>
        <v>-759.29999999999927</v>
      </c>
      <c r="BY24" s="11">
        <f t="shared" si="40"/>
        <v>-8.9482298603170403</v>
      </c>
      <c r="BZ24" s="11">
        <f t="shared" si="41"/>
        <v>-15.238114351080684</v>
      </c>
      <c r="CA24" s="11">
        <f t="shared" si="1"/>
        <v>17978.400000000001</v>
      </c>
      <c r="CB24" s="11">
        <f>3929.3+100</f>
        <v>4029.3</v>
      </c>
      <c r="CC24" s="11">
        <v>4634</v>
      </c>
      <c r="CD24" s="11">
        <v>3361.9</v>
      </c>
      <c r="CE24" s="11">
        <v>5821.5</v>
      </c>
      <c r="CF24" s="11">
        <f t="shared" si="29"/>
        <v>17846.699999999997</v>
      </c>
      <c r="CG24" s="11">
        <v>3748.9</v>
      </c>
      <c r="CH24" s="11">
        <v>4552.5</v>
      </c>
      <c r="CI24" s="11">
        <v>3174.3</v>
      </c>
      <c r="CJ24" s="11">
        <v>6686.7</v>
      </c>
      <c r="CK24" s="11">
        <f t="shared" si="2"/>
        <v>18162.400000000001</v>
      </c>
      <c r="CL24" s="11">
        <v>4366.8999999999996</v>
      </c>
      <c r="CM24" s="11">
        <v>3882.3</v>
      </c>
      <c r="CN24" s="11"/>
      <c r="CO24" s="11"/>
      <c r="CP24" s="11">
        <v>4233.8999999999996</v>
      </c>
      <c r="CQ24" s="11">
        <f>2111.9+3900+513</f>
        <v>6524.9</v>
      </c>
      <c r="CR24" s="11">
        <f t="shared" si="42"/>
        <v>19008</v>
      </c>
      <c r="CS24" s="11">
        <v>4212.7</v>
      </c>
      <c r="CT24" s="11">
        <f t="shared" si="43"/>
        <v>-154.19999999999982</v>
      </c>
      <c r="CU24" s="11">
        <f t="shared" si="44"/>
        <v>-3.5311090247085994</v>
      </c>
      <c r="CV24" s="11">
        <f t="shared" si="5"/>
        <v>845.60000000000036</v>
      </c>
      <c r="CW24" s="11">
        <f t="shared" si="6"/>
        <v>4.6557723648857001</v>
      </c>
      <c r="CX24" s="3"/>
      <c r="CY24" s="3"/>
      <c r="CZ24" s="3"/>
      <c r="DA24" s="3"/>
      <c r="DB24" s="3"/>
      <c r="DC24" s="3"/>
    </row>
    <row r="25" spans="1:109" x14ac:dyDescent="0.2">
      <c r="B25" s="4" t="s">
        <v>13</v>
      </c>
      <c r="C25" s="4" t="s">
        <v>14</v>
      </c>
      <c r="E25" s="8"/>
      <c r="F25" s="10">
        <v>634</v>
      </c>
      <c r="G25" s="20">
        <f t="shared" si="32"/>
        <v>855</v>
      </c>
      <c r="H25" s="20">
        <f t="shared" si="33"/>
        <v>691</v>
      </c>
      <c r="I25" s="20"/>
      <c r="J25" s="10">
        <v>97</v>
      </c>
      <c r="K25" s="20">
        <v>211</v>
      </c>
      <c r="L25" s="20">
        <v>169</v>
      </c>
      <c r="M25" s="20">
        <v>378</v>
      </c>
      <c r="N25" s="8"/>
      <c r="O25" s="20">
        <v>118</v>
      </c>
      <c r="P25" s="20">
        <v>187</v>
      </c>
      <c r="Q25" s="20">
        <v>156</v>
      </c>
      <c r="R25" s="20">
        <v>230</v>
      </c>
      <c r="S25" s="11">
        <v>99.9</v>
      </c>
      <c r="T25" s="14">
        <v>271.3</v>
      </c>
      <c r="U25" s="14">
        <v>137.9</v>
      </c>
      <c r="V25" s="11">
        <v>300.5</v>
      </c>
      <c r="W25" s="14"/>
      <c r="X25" s="11">
        <f t="shared" ref="X25:X33" si="46">SUM(S25:V25)</f>
        <v>809.6</v>
      </c>
      <c r="Y25" s="14"/>
      <c r="Z25" s="24">
        <v>103.5</v>
      </c>
      <c r="AA25" s="14">
        <v>260.443512</v>
      </c>
      <c r="AB25" s="14">
        <v>138.5</v>
      </c>
      <c r="AC25" s="11">
        <v>347.4</v>
      </c>
      <c r="AD25" s="14"/>
      <c r="AE25" s="11">
        <f t="shared" si="45"/>
        <v>849.84351199999992</v>
      </c>
      <c r="AF25" s="14"/>
      <c r="AG25" s="11">
        <v>64</v>
      </c>
      <c r="AH25" s="14">
        <v>264.5</v>
      </c>
      <c r="AI25" s="14">
        <v>82.9</v>
      </c>
      <c r="AJ25" s="25">
        <v>255.4</v>
      </c>
      <c r="AK25" s="11">
        <f t="shared" si="34"/>
        <v>666.8</v>
      </c>
      <c r="AL25" s="73">
        <v>666.8</v>
      </c>
      <c r="AM25" s="25">
        <v>82.3</v>
      </c>
      <c r="AN25" s="14">
        <v>263.10000000000002</v>
      </c>
      <c r="AO25" s="14">
        <v>69.5</v>
      </c>
      <c r="AP25" s="14">
        <v>251.6</v>
      </c>
      <c r="AQ25" s="11">
        <f t="shared" si="35"/>
        <v>666.5</v>
      </c>
      <c r="AR25" s="14">
        <v>82</v>
      </c>
      <c r="AS25" s="14">
        <v>146</v>
      </c>
      <c r="AT25" s="14">
        <v>73</v>
      </c>
      <c r="AU25" s="14">
        <v>179.5</v>
      </c>
      <c r="AV25" s="11">
        <f t="shared" si="36"/>
        <v>480.5</v>
      </c>
      <c r="AW25" s="14">
        <v>87</v>
      </c>
      <c r="AX25" s="25">
        <v>127.8</v>
      </c>
      <c r="AY25" s="25">
        <v>55.2</v>
      </c>
      <c r="AZ25" s="25">
        <v>126.5</v>
      </c>
      <c r="BA25" s="11">
        <f t="shared" si="37"/>
        <v>396.5</v>
      </c>
      <c r="BB25" s="11">
        <v>79</v>
      </c>
      <c r="BC25" s="11">
        <v>166.4</v>
      </c>
      <c r="BD25" s="11">
        <v>61.6</v>
      </c>
      <c r="BE25" s="11">
        <v>154.30000000000001</v>
      </c>
      <c r="BF25" s="11">
        <f t="shared" si="25"/>
        <v>461.3</v>
      </c>
      <c r="BG25" s="11">
        <v>92.9</v>
      </c>
      <c r="BH25" s="11">
        <v>174.9</v>
      </c>
      <c r="BI25" s="11">
        <v>85.1</v>
      </c>
      <c r="BJ25" s="11">
        <v>168.4</v>
      </c>
      <c r="BK25" s="11">
        <f t="shared" si="26"/>
        <v>521.29999999999995</v>
      </c>
      <c r="BL25" s="11">
        <v>94.4</v>
      </c>
      <c r="BM25" s="11">
        <v>181.2</v>
      </c>
      <c r="BN25" s="11">
        <v>86.3</v>
      </c>
      <c r="BO25" s="11">
        <v>249.3</v>
      </c>
      <c r="BP25" s="11">
        <f t="shared" si="27"/>
        <v>611.20000000000005</v>
      </c>
      <c r="BQ25" s="11">
        <v>120.9</v>
      </c>
      <c r="BR25" s="11">
        <v>166.1</v>
      </c>
      <c r="BS25" s="11">
        <v>130</v>
      </c>
      <c r="BT25" s="11">
        <v>168.5</v>
      </c>
      <c r="BU25" s="11">
        <f t="shared" si="38"/>
        <v>26.5</v>
      </c>
      <c r="BV25" s="11">
        <f t="shared" si="0"/>
        <v>287</v>
      </c>
      <c r="BW25" s="11">
        <f t="shared" si="28"/>
        <v>417</v>
      </c>
      <c r="BX25" s="11">
        <f t="shared" si="39"/>
        <v>-15.099999999999994</v>
      </c>
      <c r="BY25" s="11">
        <f t="shared" si="40"/>
        <v>28.072033898305083</v>
      </c>
      <c r="BZ25" s="11">
        <f t="shared" si="41"/>
        <v>-8.3333333333333304</v>
      </c>
      <c r="CA25" s="11">
        <f t="shared" si="1"/>
        <v>585.5</v>
      </c>
      <c r="CB25" s="11">
        <v>103.8</v>
      </c>
      <c r="CC25" s="11">
        <v>146.30000000000001</v>
      </c>
      <c r="CD25" s="11">
        <v>93.3</v>
      </c>
      <c r="CE25" s="11">
        <v>160.30000000000001</v>
      </c>
      <c r="CF25" s="11">
        <f t="shared" si="29"/>
        <v>503.70000000000005</v>
      </c>
      <c r="CG25" s="11">
        <v>95.5</v>
      </c>
      <c r="CH25" s="11">
        <v>98.2</v>
      </c>
      <c r="CI25" s="11">
        <v>75.2</v>
      </c>
      <c r="CJ25" s="11">
        <v>152</v>
      </c>
      <c r="CK25" s="11">
        <f t="shared" si="2"/>
        <v>420.9</v>
      </c>
      <c r="CL25" s="11">
        <v>83.4</v>
      </c>
      <c r="CM25" s="11">
        <v>128.1</v>
      </c>
      <c r="CN25" s="11"/>
      <c r="CO25" s="11"/>
      <c r="CP25" s="11">
        <v>63.9</v>
      </c>
      <c r="CQ25" s="11">
        <v>193.2</v>
      </c>
      <c r="CR25" s="11">
        <f t="shared" si="42"/>
        <v>468.59999999999997</v>
      </c>
      <c r="CS25" s="11">
        <v>92.8</v>
      </c>
      <c r="CT25" s="11">
        <f t="shared" si="43"/>
        <v>9.3999999999999915</v>
      </c>
      <c r="CU25" s="11">
        <f t="shared" si="44"/>
        <v>11.270983213429247</v>
      </c>
      <c r="CV25" s="11">
        <f t="shared" si="5"/>
        <v>47.699999999999989</v>
      </c>
      <c r="CW25" s="11">
        <f t="shared" si="6"/>
        <v>11.33285816108339</v>
      </c>
      <c r="CX25" s="3"/>
      <c r="CY25" s="3"/>
      <c r="CZ25" s="3"/>
      <c r="DA25" s="3"/>
      <c r="DB25" s="3"/>
      <c r="DC25" s="3"/>
    </row>
    <row r="26" spans="1:109" x14ac:dyDescent="0.2">
      <c r="B26" s="4" t="s">
        <v>15</v>
      </c>
      <c r="C26" s="4" t="s">
        <v>16</v>
      </c>
      <c r="E26" s="8"/>
      <c r="F26" s="10">
        <v>33</v>
      </c>
      <c r="G26" s="20">
        <f t="shared" si="32"/>
        <v>72</v>
      </c>
      <c r="H26" s="20">
        <v>150</v>
      </c>
      <c r="I26" s="20"/>
      <c r="J26" s="10">
        <v>20</v>
      </c>
      <c r="K26" s="20">
        <v>12</v>
      </c>
      <c r="L26" s="20">
        <v>18</v>
      </c>
      <c r="M26" s="20">
        <v>22</v>
      </c>
      <c r="N26" s="8"/>
      <c r="O26" s="20">
        <v>32</v>
      </c>
      <c r="P26" s="20">
        <v>36</v>
      </c>
      <c r="Q26" s="20">
        <v>64</v>
      </c>
      <c r="R26" s="20">
        <v>6</v>
      </c>
      <c r="S26" s="11">
        <v>32.700000000000003</v>
      </c>
      <c r="T26" s="14">
        <v>34.5</v>
      </c>
      <c r="U26" s="14">
        <v>63.3</v>
      </c>
      <c r="V26" s="11">
        <v>56.48</v>
      </c>
      <c r="W26" s="14"/>
      <c r="X26" s="11">
        <f t="shared" si="46"/>
        <v>186.98</v>
      </c>
      <c r="Y26" s="14"/>
      <c r="Z26" s="24">
        <v>40.6</v>
      </c>
      <c r="AA26" s="14">
        <v>47.2</v>
      </c>
      <c r="AB26" s="14">
        <v>70.8</v>
      </c>
      <c r="AC26" s="11">
        <v>72.599999999999994</v>
      </c>
      <c r="AD26" s="14"/>
      <c r="AE26" s="11">
        <f t="shared" si="45"/>
        <v>231.20000000000002</v>
      </c>
      <c r="AF26" s="14"/>
      <c r="AG26" s="11">
        <v>41.9</v>
      </c>
      <c r="AH26" s="14">
        <v>48.5</v>
      </c>
      <c r="AI26" s="14">
        <v>55</v>
      </c>
      <c r="AJ26" s="25">
        <f>205.4-0.08</f>
        <v>205.32</v>
      </c>
      <c r="AK26" s="11">
        <f t="shared" si="34"/>
        <v>350.72</v>
      </c>
      <c r="AL26" s="73">
        <v>350.8</v>
      </c>
      <c r="AM26" s="25">
        <v>221.3</v>
      </c>
      <c r="AN26" s="14">
        <v>220.6</v>
      </c>
      <c r="AO26" s="14">
        <v>158.4</v>
      </c>
      <c r="AP26" s="14">
        <v>158.4</v>
      </c>
      <c r="AQ26" s="11">
        <f t="shared" si="35"/>
        <v>758.69999999999993</v>
      </c>
      <c r="AR26" s="14">
        <v>155</v>
      </c>
      <c r="AS26" s="14">
        <v>125.6</v>
      </c>
      <c r="AT26" s="14">
        <v>105</v>
      </c>
      <c r="AU26" s="14">
        <v>105</v>
      </c>
      <c r="AV26" s="11">
        <f t="shared" si="36"/>
        <v>490.6</v>
      </c>
      <c r="AW26" s="14">
        <v>102</v>
      </c>
      <c r="AX26" s="25">
        <v>87.2</v>
      </c>
      <c r="AY26" s="25">
        <v>96.6</v>
      </c>
      <c r="AZ26" s="25">
        <v>95.6</v>
      </c>
      <c r="BA26" s="11">
        <f t="shared" si="37"/>
        <v>381.4</v>
      </c>
      <c r="BB26" s="11">
        <v>83</v>
      </c>
      <c r="BC26" s="11">
        <v>77.400000000000006</v>
      </c>
      <c r="BD26" s="11">
        <v>75.2</v>
      </c>
      <c r="BE26" s="11">
        <v>72.3</v>
      </c>
      <c r="BF26" s="11">
        <f t="shared" si="25"/>
        <v>307.90000000000003</v>
      </c>
      <c r="BG26" s="11">
        <v>80.2</v>
      </c>
      <c r="BH26" s="11">
        <v>81.599999999999994</v>
      </c>
      <c r="BI26" s="11">
        <v>90.8</v>
      </c>
      <c r="BJ26" s="11">
        <v>105.1</v>
      </c>
      <c r="BK26" s="11">
        <f t="shared" si="26"/>
        <v>357.70000000000005</v>
      </c>
      <c r="BL26" s="11">
        <v>79.099999999999994</v>
      </c>
      <c r="BM26" s="11">
        <v>72</v>
      </c>
      <c r="BN26" s="11">
        <v>71</v>
      </c>
      <c r="BO26" s="11">
        <v>95.6</v>
      </c>
      <c r="BP26" s="11">
        <f t="shared" si="27"/>
        <v>317.7</v>
      </c>
      <c r="BQ26" s="11">
        <v>90</v>
      </c>
      <c r="BR26" s="11">
        <v>74</v>
      </c>
      <c r="BS26" s="11">
        <v>79.7</v>
      </c>
      <c r="BT26" s="11">
        <v>90.4</v>
      </c>
      <c r="BU26" s="11">
        <f t="shared" si="38"/>
        <v>10.900000000000006</v>
      </c>
      <c r="BV26" s="11">
        <f t="shared" si="0"/>
        <v>164</v>
      </c>
      <c r="BW26" s="11">
        <f t="shared" si="28"/>
        <v>243.7</v>
      </c>
      <c r="BX26" s="11">
        <f t="shared" si="39"/>
        <v>2</v>
      </c>
      <c r="BY26" s="11">
        <f t="shared" si="40"/>
        <v>13.780025284450071</v>
      </c>
      <c r="BZ26" s="11">
        <f t="shared" si="41"/>
        <v>2.7777777777777777</v>
      </c>
      <c r="CA26" s="11">
        <f t="shared" si="1"/>
        <v>334.1</v>
      </c>
      <c r="CB26" s="11">
        <v>75</v>
      </c>
      <c r="CC26" s="11">
        <v>76.599999999999994</v>
      </c>
      <c r="CD26" s="11">
        <v>76.3</v>
      </c>
      <c r="CE26" s="11">
        <v>107.9</v>
      </c>
      <c r="CF26" s="11">
        <f t="shared" si="29"/>
        <v>335.79999999999995</v>
      </c>
      <c r="CG26" s="11">
        <v>85.5</v>
      </c>
      <c r="CH26" s="11">
        <f>152.7-68</f>
        <v>84.699999999999989</v>
      </c>
      <c r="CI26" s="11">
        <v>84.7</v>
      </c>
      <c r="CJ26" s="11">
        <v>78.400000000000006</v>
      </c>
      <c r="CK26" s="11">
        <f t="shared" si="2"/>
        <v>333.29999999999995</v>
      </c>
      <c r="CL26" s="11">
        <v>118.2</v>
      </c>
      <c r="CM26" s="11">
        <v>88.3</v>
      </c>
      <c r="CN26" s="11"/>
      <c r="CO26" s="11"/>
      <c r="CP26" s="11">
        <v>83.9</v>
      </c>
      <c r="CQ26" s="11">
        <v>82</v>
      </c>
      <c r="CR26" s="11">
        <f t="shared" si="42"/>
        <v>372.4</v>
      </c>
      <c r="CS26" s="11">
        <v>96.6</v>
      </c>
      <c r="CT26" s="11">
        <f t="shared" si="43"/>
        <v>-21.600000000000009</v>
      </c>
      <c r="CU26" s="11">
        <f t="shared" si="44"/>
        <v>-18.27411167512691</v>
      </c>
      <c r="CV26" s="11">
        <f t="shared" si="5"/>
        <v>39.09999999999998</v>
      </c>
      <c r="CW26" s="11">
        <f t="shared" si="6"/>
        <v>11.731173117311727</v>
      </c>
      <c r="CX26" s="3"/>
      <c r="CY26" s="3"/>
      <c r="CZ26" s="3"/>
      <c r="DA26" s="3"/>
      <c r="DB26" s="3"/>
      <c r="DC26" s="3"/>
    </row>
    <row r="27" spans="1:109" x14ac:dyDescent="0.2">
      <c r="B27" s="4" t="s">
        <v>17</v>
      </c>
      <c r="C27" s="4" t="s">
        <v>18</v>
      </c>
      <c r="E27" s="8"/>
      <c r="F27" s="10">
        <v>97</v>
      </c>
      <c r="G27" s="20">
        <f t="shared" si="32"/>
        <v>87</v>
      </c>
      <c r="H27" s="20">
        <f t="shared" si="33"/>
        <v>39</v>
      </c>
      <c r="I27" s="20"/>
      <c r="J27" s="10">
        <v>11</v>
      </c>
      <c r="K27" s="20">
        <v>25</v>
      </c>
      <c r="L27" s="20">
        <v>18</v>
      </c>
      <c r="M27" s="20">
        <v>33</v>
      </c>
      <c r="N27" s="8"/>
      <c r="O27" s="20">
        <v>6</v>
      </c>
      <c r="P27" s="20">
        <v>13</v>
      </c>
      <c r="Q27" s="20">
        <v>6</v>
      </c>
      <c r="R27" s="20">
        <v>14</v>
      </c>
      <c r="S27" s="11">
        <v>2</v>
      </c>
      <c r="T27" s="14">
        <v>6.1</v>
      </c>
      <c r="U27" s="14">
        <v>5.8</v>
      </c>
      <c r="V27" s="11">
        <v>36</v>
      </c>
      <c r="W27" s="14"/>
      <c r="X27" s="11">
        <f t="shared" si="46"/>
        <v>49.9</v>
      </c>
      <c r="Y27" s="14"/>
      <c r="Z27" s="24">
        <v>5.8</v>
      </c>
      <c r="AA27" s="14">
        <v>2.9112650000000002</v>
      </c>
      <c r="AB27" s="14">
        <v>5.3</v>
      </c>
      <c r="AC27" s="11">
        <v>20</v>
      </c>
      <c r="AD27" s="14"/>
      <c r="AE27" s="11">
        <f t="shared" si="45"/>
        <v>34.011265000000002</v>
      </c>
      <c r="AF27" s="14"/>
      <c r="AG27" s="11">
        <v>26.6</v>
      </c>
      <c r="AH27" s="14">
        <v>17.399999999999999</v>
      </c>
      <c r="AI27" s="14">
        <v>5.4</v>
      </c>
      <c r="AJ27" s="25">
        <v>31.6</v>
      </c>
      <c r="AK27" s="11">
        <f t="shared" si="34"/>
        <v>81</v>
      </c>
      <c r="AL27" s="73">
        <v>81.400000000000006</v>
      </c>
      <c r="AM27" s="25">
        <v>21.6</v>
      </c>
      <c r="AN27" s="14">
        <v>8.5</v>
      </c>
      <c r="AO27" s="14">
        <v>3.4</v>
      </c>
      <c r="AP27" s="14">
        <v>-2.9</v>
      </c>
      <c r="AQ27" s="11">
        <f t="shared" si="35"/>
        <v>30.6</v>
      </c>
      <c r="AR27" s="14">
        <v>3.1</v>
      </c>
      <c r="AS27" s="14">
        <v>4.5999999999999996</v>
      </c>
      <c r="AT27" s="14">
        <v>3.7829999999999999</v>
      </c>
      <c r="AU27" s="14">
        <v>7.4</v>
      </c>
      <c r="AV27" s="11">
        <f t="shared" si="36"/>
        <v>18.882999999999999</v>
      </c>
      <c r="AW27" s="14">
        <v>2</v>
      </c>
      <c r="AX27" s="25">
        <v>5.0999999999999996</v>
      </c>
      <c r="AY27" s="25">
        <v>3.1</v>
      </c>
      <c r="AZ27" s="25">
        <v>6.6</v>
      </c>
      <c r="BA27" s="11">
        <f t="shared" si="37"/>
        <v>16.799999999999997</v>
      </c>
      <c r="BB27" s="11">
        <v>2</v>
      </c>
      <c r="BC27" s="11">
        <v>4.5999999999999996</v>
      </c>
      <c r="BD27" s="11">
        <v>1.2</v>
      </c>
      <c r="BE27" s="11">
        <v>3.2</v>
      </c>
      <c r="BF27" s="11">
        <f t="shared" si="25"/>
        <v>11</v>
      </c>
      <c r="BG27" s="11">
        <v>2.6</v>
      </c>
      <c r="BH27" s="11">
        <v>1.5</v>
      </c>
      <c r="BI27" s="11">
        <v>2.2000000000000002</v>
      </c>
      <c r="BJ27" s="11">
        <v>3.6</v>
      </c>
      <c r="BK27" s="11">
        <f t="shared" si="26"/>
        <v>9.9</v>
      </c>
      <c r="BL27" s="11">
        <v>0.4</v>
      </c>
      <c r="BM27" s="11">
        <v>2.7</v>
      </c>
      <c r="BN27" s="11">
        <v>1.2</v>
      </c>
      <c r="BO27" s="11">
        <v>0.3</v>
      </c>
      <c r="BP27" s="11">
        <f t="shared" si="27"/>
        <v>4.5999999999999996</v>
      </c>
      <c r="BQ27" s="11">
        <v>2.1</v>
      </c>
      <c r="BR27" s="11">
        <v>4.3</v>
      </c>
      <c r="BS27" s="11">
        <v>1.5</v>
      </c>
      <c r="BT27" s="11">
        <v>2.2000000000000002</v>
      </c>
      <c r="BU27" s="11">
        <f t="shared" si="38"/>
        <v>1.7000000000000002</v>
      </c>
      <c r="BV27" s="11">
        <f t="shared" si="0"/>
        <v>6.4</v>
      </c>
      <c r="BW27" s="11">
        <f t="shared" si="28"/>
        <v>7.9</v>
      </c>
      <c r="BX27" s="11">
        <f t="shared" si="39"/>
        <v>1.5999999999999996</v>
      </c>
      <c r="BY27" s="11">
        <f t="shared" si="40"/>
        <v>425</v>
      </c>
      <c r="BZ27" s="11">
        <f t="shared" si="41"/>
        <v>59.259259259259245</v>
      </c>
      <c r="CA27" s="11">
        <f t="shared" si="1"/>
        <v>10.100000000000001</v>
      </c>
      <c r="CB27" s="11">
        <v>1.5</v>
      </c>
      <c r="CC27" s="11">
        <v>4</v>
      </c>
      <c r="CD27" s="11">
        <v>3.9</v>
      </c>
      <c r="CE27" s="11">
        <v>19.5</v>
      </c>
      <c r="CF27" s="11">
        <f t="shared" si="29"/>
        <v>28.9</v>
      </c>
      <c r="CG27" s="11">
        <v>3.4</v>
      </c>
      <c r="CH27" s="11">
        <v>5.9</v>
      </c>
      <c r="CI27" s="11">
        <v>2.1</v>
      </c>
      <c r="CJ27" s="11">
        <v>5.2</v>
      </c>
      <c r="CK27" s="11">
        <f t="shared" si="2"/>
        <v>16.600000000000001</v>
      </c>
      <c r="CL27" s="11">
        <v>2.1</v>
      </c>
      <c r="CM27" s="11">
        <v>6.5</v>
      </c>
      <c r="CN27" s="11"/>
      <c r="CO27" s="11"/>
      <c r="CP27" s="11">
        <v>2.5</v>
      </c>
      <c r="CQ27" s="11">
        <v>4.8</v>
      </c>
      <c r="CR27" s="11">
        <f t="shared" si="42"/>
        <v>15.899999999999999</v>
      </c>
      <c r="CS27" s="11">
        <v>0.4</v>
      </c>
      <c r="CT27" s="11">
        <f t="shared" si="43"/>
        <v>-1.7000000000000002</v>
      </c>
      <c r="CU27" s="11">
        <f t="shared" si="44"/>
        <v>-80.952380952380949</v>
      </c>
      <c r="CV27" s="11">
        <f t="shared" si="5"/>
        <v>-0.70000000000000195</v>
      </c>
      <c r="CW27" s="11">
        <f t="shared" si="6"/>
        <v>-4.2168674698795297</v>
      </c>
      <c r="CX27" s="3"/>
      <c r="CY27" s="3"/>
      <c r="CZ27" s="3"/>
      <c r="DA27" s="3"/>
      <c r="DB27" s="3"/>
      <c r="DC27" s="3"/>
    </row>
    <row r="28" spans="1:109" x14ac:dyDescent="0.2">
      <c r="B28" s="4" t="s">
        <v>74</v>
      </c>
      <c r="C28" s="4" t="s">
        <v>52</v>
      </c>
      <c r="E28" s="8"/>
      <c r="F28" s="10"/>
      <c r="G28" s="20"/>
      <c r="H28" s="20"/>
      <c r="I28" s="20"/>
      <c r="J28" s="10"/>
      <c r="K28" s="20"/>
      <c r="L28" s="20"/>
      <c r="M28" s="20"/>
      <c r="N28" s="8"/>
      <c r="O28" s="20"/>
      <c r="P28" s="20"/>
      <c r="Q28" s="20"/>
      <c r="R28" s="20"/>
      <c r="S28" s="11">
        <v>0.9</v>
      </c>
      <c r="T28" s="14">
        <v>3.5</v>
      </c>
      <c r="U28" s="14">
        <v>0.7</v>
      </c>
      <c r="V28" s="11">
        <v>-29.6</v>
      </c>
      <c r="W28" s="14"/>
      <c r="X28" s="11">
        <f t="shared" si="46"/>
        <v>-24.5</v>
      </c>
      <c r="Y28" s="14"/>
      <c r="Z28" s="24">
        <v>5.3</v>
      </c>
      <c r="AA28" s="14">
        <v>-16.308986000000001</v>
      </c>
      <c r="AB28" s="14">
        <v>0.7</v>
      </c>
      <c r="AC28" s="11">
        <v>-35.1</v>
      </c>
      <c r="AD28" s="14"/>
      <c r="AE28" s="11">
        <f t="shared" si="45"/>
        <v>-45.408985999999999</v>
      </c>
      <c r="AF28" s="14"/>
      <c r="AG28" s="11">
        <v>2.1</v>
      </c>
      <c r="AH28" s="14">
        <v>-31.9</v>
      </c>
      <c r="AI28" s="14">
        <v>2.7</v>
      </c>
      <c r="AJ28" s="25">
        <v>-66.099999999999994</v>
      </c>
      <c r="AK28" s="11">
        <f t="shared" si="34"/>
        <v>-93.199999999999989</v>
      </c>
      <c r="AL28" s="73">
        <v>-93.1</v>
      </c>
      <c r="AM28" s="25">
        <v>0.6</v>
      </c>
      <c r="AN28" s="14">
        <v>-11</v>
      </c>
      <c r="AO28" s="14">
        <v>2</v>
      </c>
      <c r="AP28" s="14">
        <v>-25.9</v>
      </c>
      <c r="AQ28" s="11">
        <f t="shared" si="35"/>
        <v>-34.299999999999997</v>
      </c>
      <c r="AR28" s="14">
        <v>2.2000000000000002</v>
      </c>
      <c r="AS28" s="14">
        <v>-10.9</v>
      </c>
      <c r="AT28" s="14">
        <v>-10.036</v>
      </c>
      <c r="AU28" s="14">
        <v>-191.7</v>
      </c>
      <c r="AV28" s="11">
        <f t="shared" si="36"/>
        <v>-210.43599999999998</v>
      </c>
      <c r="AW28" s="14">
        <v>-35</v>
      </c>
      <c r="AX28" s="25">
        <v>-212.2</v>
      </c>
      <c r="AY28" s="25">
        <v>0.3</v>
      </c>
      <c r="AZ28" s="25">
        <v>-231.3</v>
      </c>
      <c r="BA28" s="11">
        <f t="shared" si="37"/>
        <v>-478.2</v>
      </c>
      <c r="BB28" s="11">
        <v>-60</v>
      </c>
      <c r="BC28" s="11">
        <v>-261.2</v>
      </c>
      <c r="BD28" s="11">
        <v>-39.299999999999997</v>
      </c>
      <c r="BE28" s="11">
        <v>-9.5</v>
      </c>
      <c r="BF28" s="11">
        <f t="shared" si="25"/>
        <v>-370</v>
      </c>
      <c r="BG28" s="11">
        <v>-16.899999999999999</v>
      </c>
      <c r="BH28" s="11">
        <v>-183</v>
      </c>
      <c r="BI28" s="11">
        <v>-116</v>
      </c>
      <c r="BJ28" s="11">
        <v>-96.2</v>
      </c>
      <c r="BK28" s="11">
        <f t="shared" si="26"/>
        <v>-412.09999999999997</v>
      </c>
      <c r="BL28" s="11">
        <v>-32.299999999999997</v>
      </c>
      <c r="BM28" s="11">
        <v>-170.9</v>
      </c>
      <c r="BN28" s="11">
        <v>-51.4</v>
      </c>
      <c r="BO28" s="11">
        <v>-187.1</v>
      </c>
      <c r="BP28" s="11">
        <f t="shared" si="27"/>
        <v>-441.7</v>
      </c>
      <c r="BQ28" s="11">
        <v>-31.1</v>
      </c>
      <c r="BR28" s="11">
        <v>-212.7</v>
      </c>
      <c r="BS28" s="11">
        <v>-27.5</v>
      </c>
      <c r="BT28" s="11">
        <v>-63.3</v>
      </c>
      <c r="BU28" s="11">
        <f t="shared" si="38"/>
        <v>1.1999999999999957</v>
      </c>
      <c r="BV28" s="11">
        <f t="shared" si="0"/>
        <v>-243.79999999999998</v>
      </c>
      <c r="BW28" s="11">
        <f t="shared" si="28"/>
        <v>-271.29999999999995</v>
      </c>
      <c r="BX28" s="11">
        <f t="shared" si="39"/>
        <v>-41.799999999999983</v>
      </c>
      <c r="BY28" s="11">
        <f t="shared" si="40"/>
        <v>-3.7151702786377583</v>
      </c>
      <c r="BZ28" s="11">
        <f t="shared" si="41"/>
        <v>24.458747805734337</v>
      </c>
      <c r="CA28" s="11">
        <f t="shared" si="1"/>
        <v>-334.59999999999997</v>
      </c>
      <c r="CB28" s="11">
        <v>-168.3</v>
      </c>
      <c r="CC28" s="11">
        <v>-113.1</v>
      </c>
      <c r="CD28" s="11">
        <v>-35.799999999999997</v>
      </c>
      <c r="CE28" s="11">
        <v>-229</v>
      </c>
      <c r="CF28" s="11">
        <f t="shared" si="29"/>
        <v>-546.20000000000005</v>
      </c>
      <c r="CG28" s="11">
        <v>-150.9</v>
      </c>
      <c r="CH28" s="11">
        <v>-110.5</v>
      </c>
      <c r="CI28" s="11">
        <v>-92</v>
      </c>
      <c r="CJ28" s="11">
        <v>-54.2</v>
      </c>
      <c r="CK28" s="11">
        <f t="shared" si="2"/>
        <v>-407.59999999999997</v>
      </c>
      <c r="CL28" s="11">
        <v>-107.3</v>
      </c>
      <c r="CM28" s="11">
        <v>-92.5</v>
      </c>
      <c r="CN28" s="11"/>
      <c r="CO28" s="11"/>
      <c r="CP28" s="11">
        <v>-58</v>
      </c>
      <c r="CQ28" s="11">
        <v>-41.5</v>
      </c>
      <c r="CR28" s="11">
        <f t="shared" si="42"/>
        <v>-299.3</v>
      </c>
      <c r="CS28" s="11">
        <v>-10.5</v>
      </c>
      <c r="CT28" s="11">
        <f t="shared" si="43"/>
        <v>96.8</v>
      </c>
      <c r="CU28" s="11">
        <f t="shared" si="44"/>
        <v>-90.214352283317794</v>
      </c>
      <c r="CV28" s="11">
        <f t="shared" si="5"/>
        <v>108.3</v>
      </c>
      <c r="CW28" s="11">
        <f t="shared" si="6"/>
        <v>-26.570166830225713</v>
      </c>
      <c r="CX28" s="3"/>
      <c r="CY28" s="3"/>
      <c r="CZ28" s="3"/>
      <c r="DA28" s="3"/>
      <c r="DB28" s="3"/>
      <c r="DC28" s="3"/>
    </row>
    <row r="29" spans="1:109" x14ac:dyDescent="0.2">
      <c r="B29" s="4" t="s">
        <v>92</v>
      </c>
      <c r="C29" s="4" t="s">
        <v>51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/>
      <c r="T29" s="14"/>
      <c r="U29" s="14"/>
      <c r="V29" s="11"/>
      <c r="W29" s="14"/>
      <c r="X29" s="11"/>
      <c r="Y29" s="14"/>
      <c r="Z29" s="24"/>
      <c r="AA29" s="14">
        <v>-0.2291</v>
      </c>
      <c r="AB29" s="14"/>
      <c r="AC29" s="11">
        <v>-1.1000000000000001</v>
      </c>
      <c r="AD29" s="14"/>
      <c r="AE29" s="11">
        <f t="shared" si="45"/>
        <v>-1.3291000000000002</v>
      </c>
      <c r="AF29" s="14"/>
      <c r="AG29" s="11">
        <v>0</v>
      </c>
      <c r="AH29" s="14">
        <v>-0.5</v>
      </c>
      <c r="AI29" s="14">
        <v>0</v>
      </c>
      <c r="AJ29" s="25">
        <v>-4</v>
      </c>
      <c r="AK29" s="11">
        <f t="shared" si="34"/>
        <v>-4.5</v>
      </c>
      <c r="AL29" s="73">
        <v>-4.5</v>
      </c>
      <c r="AM29" s="25">
        <v>0</v>
      </c>
      <c r="AN29" s="14">
        <v>-0.4</v>
      </c>
      <c r="AO29" s="14">
        <v>0</v>
      </c>
      <c r="AP29" s="14">
        <v>-0.3</v>
      </c>
      <c r="AQ29" s="11">
        <f t="shared" si="35"/>
        <v>-0.7</v>
      </c>
      <c r="AR29" s="14">
        <v>0</v>
      </c>
      <c r="AS29" s="14">
        <v>-0.6</v>
      </c>
      <c r="AT29" s="14">
        <v>0</v>
      </c>
      <c r="AU29" s="14">
        <v>-0.2</v>
      </c>
      <c r="AV29" s="11">
        <f t="shared" si="36"/>
        <v>-0.8</v>
      </c>
      <c r="AW29" s="14">
        <v>0</v>
      </c>
      <c r="AX29" s="25">
        <v>-0.2</v>
      </c>
      <c r="AY29" s="25">
        <v>0</v>
      </c>
      <c r="AZ29" s="25">
        <v>-0.1</v>
      </c>
      <c r="BA29" s="11">
        <f t="shared" si="37"/>
        <v>-0.30000000000000004</v>
      </c>
      <c r="BB29" s="11">
        <v>0</v>
      </c>
      <c r="BC29" s="11">
        <v>-0.1</v>
      </c>
      <c r="BD29" s="11">
        <v>0</v>
      </c>
      <c r="BE29" s="11">
        <v>-0.1</v>
      </c>
      <c r="BF29" s="11">
        <f t="shared" si="25"/>
        <v>-0.2</v>
      </c>
      <c r="BG29" s="11">
        <v>0</v>
      </c>
      <c r="BH29" s="11">
        <v>-2.3E-2</v>
      </c>
      <c r="BI29" s="11">
        <v>0</v>
      </c>
      <c r="BJ29" s="11">
        <v>-0.3</v>
      </c>
      <c r="BK29" s="11">
        <f t="shared" si="26"/>
        <v>-0.32300000000000001</v>
      </c>
      <c r="BL29" s="11">
        <v>0</v>
      </c>
      <c r="BM29" s="11">
        <v>0.02</v>
      </c>
      <c r="BN29" s="11">
        <v>0</v>
      </c>
      <c r="BO29" s="11">
        <v>-0.1</v>
      </c>
      <c r="BP29" s="11">
        <f t="shared" si="27"/>
        <v>-0.08</v>
      </c>
      <c r="BQ29" s="11">
        <v>0</v>
      </c>
      <c r="BR29" s="11">
        <v>-0.4</v>
      </c>
      <c r="BS29" s="11">
        <v>0</v>
      </c>
      <c r="BT29" s="11">
        <v>-0.3</v>
      </c>
      <c r="BU29" s="11">
        <f t="shared" si="38"/>
        <v>0</v>
      </c>
      <c r="BV29" s="11">
        <f t="shared" si="0"/>
        <v>-0.4</v>
      </c>
      <c r="BW29" s="11">
        <f t="shared" si="28"/>
        <v>-0.4</v>
      </c>
      <c r="BX29" s="11">
        <f t="shared" si="39"/>
        <v>-0.42000000000000004</v>
      </c>
      <c r="BY29" s="11" t="e">
        <f t="shared" si="40"/>
        <v>#DIV/0!</v>
      </c>
      <c r="BZ29" s="85" t="s">
        <v>115</v>
      </c>
      <c r="CA29" s="11">
        <f t="shared" si="1"/>
        <v>-0.7</v>
      </c>
      <c r="CB29" s="11">
        <v>-0.1</v>
      </c>
      <c r="CC29" s="11">
        <v>-0.4</v>
      </c>
      <c r="CD29" s="11">
        <v>-0.2</v>
      </c>
      <c r="CE29" s="11">
        <v>-1.4</v>
      </c>
      <c r="CF29" s="11">
        <f t="shared" si="29"/>
        <v>-2.0999999999999996</v>
      </c>
      <c r="CG29" s="11">
        <v>-0.1</v>
      </c>
      <c r="CH29" s="11">
        <v>-0.1</v>
      </c>
      <c r="CI29" s="11">
        <v>0</v>
      </c>
      <c r="CJ29" s="11">
        <v>0</v>
      </c>
      <c r="CK29" s="11">
        <f t="shared" si="2"/>
        <v>-0.2</v>
      </c>
      <c r="CL29" s="11">
        <v>0</v>
      </c>
      <c r="CM29" s="11">
        <v>0.01</v>
      </c>
      <c r="CN29" s="11"/>
      <c r="CO29" s="11"/>
      <c r="CP29" s="11">
        <v>-0.04</v>
      </c>
      <c r="CQ29" s="11">
        <v>-0.1</v>
      </c>
      <c r="CR29" s="11">
        <f t="shared" si="42"/>
        <v>-0.13</v>
      </c>
      <c r="CS29" s="11">
        <v>0</v>
      </c>
      <c r="CT29" s="11">
        <f t="shared" si="43"/>
        <v>0</v>
      </c>
      <c r="CU29" s="11"/>
      <c r="CV29" s="11">
        <f t="shared" si="5"/>
        <v>7.0000000000000007E-2</v>
      </c>
      <c r="CW29" s="11">
        <f t="shared" si="6"/>
        <v>-35</v>
      </c>
      <c r="CX29" s="3"/>
      <c r="CY29" s="3"/>
      <c r="CZ29" s="3"/>
      <c r="DA29" s="3"/>
      <c r="DB29" s="3"/>
      <c r="DC29" s="3"/>
    </row>
    <row r="30" spans="1:109" x14ac:dyDescent="0.2">
      <c r="B30" s="4" t="s">
        <v>19</v>
      </c>
      <c r="C30" s="4" t="s">
        <v>20</v>
      </c>
      <c r="E30" s="8"/>
      <c r="F30" s="10">
        <v>4</v>
      </c>
      <c r="G30" s="20">
        <f t="shared" si="32"/>
        <v>5</v>
      </c>
      <c r="H30" s="20">
        <f t="shared" si="33"/>
        <v>5</v>
      </c>
      <c r="I30" s="20"/>
      <c r="J30" s="10">
        <v>2</v>
      </c>
      <c r="K30" s="20">
        <v>1</v>
      </c>
      <c r="L30" s="20">
        <v>1</v>
      </c>
      <c r="M30" s="20">
        <v>1</v>
      </c>
      <c r="N30" s="8"/>
      <c r="O30" s="20">
        <v>2</v>
      </c>
      <c r="P30" s="20">
        <v>1</v>
      </c>
      <c r="Q30" s="20">
        <v>1</v>
      </c>
      <c r="R30" s="20">
        <v>1</v>
      </c>
      <c r="S30" s="11">
        <v>2.2000000000000002</v>
      </c>
      <c r="T30" s="14">
        <v>2</v>
      </c>
      <c r="U30" s="14">
        <v>0.8</v>
      </c>
      <c r="V30" s="11">
        <v>1</v>
      </c>
      <c r="W30" s="14"/>
      <c r="X30" s="11">
        <f t="shared" si="46"/>
        <v>6</v>
      </c>
      <c r="Y30" s="14"/>
      <c r="Z30" s="24">
        <v>2.2999999999999998</v>
      </c>
      <c r="AA30" s="14">
        <v>1.8774299999999999</v>
      </c>
      <c r="AB30" s="14">
        <v>0.4</v>
      </c>
      <c r="AC30" s="11">
        <v>1.8</v>
      </c>
      <c r="AD30" s="14"/>
      <c r="AE30" s="11">
        <f t="shared" si="45"/>
        <v>6.3774299999999995</v>
      </c>
      <c r="AF30" s="14"/>
      <c r="AG30" s="11">
        <v>2</v>
      </c>
      <c r="AH30" s="14">
        <v>1.7</v>
      </c>
      <c r="AI30" s="14">
        <v>0.6</v>
      </c>
      <c r="AJ30" s="25">
        <v>15.8</v>
      </c>
      <c r="AK30" s="11">
        <f t="shared" si="34"/>
        <v>20.100000000000001</v>
      </c>
      <c r="AL30" s="73">
        <v>20.3</v>
      </c>
      <c r="AM30" s="25">
        <v>2</v>
      </c>
      <c r="AN30" s="14">
        <v>2.7</v>
      </c>
      <c r="AO30" s="14">
        <v>0.9</v>
      </c>
      <c r="AP30" s="14">
        <v>9.6999999999999993</v>
      </c>
      <c r="AQ30" s="11">
        <f t="shared" si="35"/>
        <v>15.3</v>
      </c>
      <c r="AR30" s="14">
        <v>1.4</v>
      </c>
      <c r="AS30" s="14">
        <v>0.5</v>
      </c>
      <c r="AT30" s="14">
        <v>0.56699999999999995</v>
      </c>
      <c r="AU30" s="14">
        <v>7.5</v>
      </c>
      <c r="AV30" s="11">
        <f t="shared" si="36"/>
        <v>9.9669999999999987</v>
      </c>
      <c r="AW30" s="14">
        <v>12</v>
      </c>
      <c r="AX30" s="25">
        <v>14</v>
      </c>
      <c r="AY30" s="25">
        <v>1.2</v>
      </c>
      <c r="AZ30" s="25">
        <v>0.8</v>
      </c>
      <c r="BA30" s="11">
        <f t="shared" si="37"/>
        <v>28</v>
      </c>
      <c r="BB30" s="11">
        <v>5.6</v>
      </c>
      <c r="BC30" s="11">
        <v>0.8</v>
      </c>
      <c r="BD30" s="11">
        <v>0.7</v>
      </c>
      <c r="BE30" s="11">
        <v>11.8</v>
      </c>
      <c r="BF30" s="11">
        <f t="shared" si="25"/>
        <v>18.899999999999999</v>
      </c>
      <c r="BG30" s="11">
        <v>3.9</v>
      </c>
      <c r="BH30" s="11">
        <v>1.1000000000000001</v>
      </c>
      <c r="BI30" s="11">
        <v>0.3</v>
      </c>
      <c r="BJ30" s="11">
        <v>2.6</v>
      </c>
      <c r="BK30" s="11">
        <f t="shared" si="26"/>
        <v>7.9</v>
      </c>
      <c r="BL30" s="11">
        <v>0.6</v>
      </c>
      <c r="BM30" s="11">
        <v>0.6</v>
      </c>
      <c r="BN30" s="11">
        <v>0.2</v>
      </c>
      <c r="BO30" s="11">
        <v>1.4</v>
      </c>
      <c r="BP30" s="11">
        <f t="shared" si="27"/>
        <v>2.8</v>
      </c>
      <c r="BQ30" s="11">
        <v>0.9</v>
      </c>
      <c r="BR30" s="11">
        <v>0.7</v>
      </c>
      <c r="BS30" s="11">
        <v>0.7</v>
      </c>
      <c r="BT30" s="11">
        <v>0.8</v>
      </c>
      <c r="BU30" s="11">
        <f t="shared" si="38"/>
        <v>0.30000000000000004</v>
      </c>
      <c r="BV30" s="11">
        <f t="shared" si="0"/>
        <v>1.6</v>
      </c>
      <c r="BW30" s="11">
        <f t="shared" si="28"/>
        <v>2.2999999999999998</v>
      </c>
      <c r="BX30" s="11">
        <f t="shared" si="39"/>
        <v>9.9999999999999978E-2</v>
      </c>
      <c r="BY30" s="11">
        <f t="shared" si="40"/>
        <v>50.000000000000014</v>
      </c>
      <c r="BZ30" s="11">
        <f>+BX30/(BM30)*100</f>
        <v>16.666666666666664</v>
      </c>
      <c r="CA30" s="11">
        <f t="shared" si="1"/>
        <v>3.0999999999999996</v>
      </c>
      <c r="CB30" s="11">
        <v>0.8</v>
      </c>
      <c r="CC30" s="11">
        <v>0.7</v>
      </c>
      <c r="CD30" s="11">
        <v>1.1000000000000001</v>
      </c>
      <c r="CE30" s="11">
        <v>1.4</v>
      </c>
      <c r="CF30" s="11">
        <f t="shared" si="29"/>
        <v>4</v>
      </c>
      <c r="CG30" s="11">
        <v>2</v>
      </c>
      <c r="CH30" s="11">
        <v>0.2</v>
      </c>
      <c r="CI30" s="11">
        <v>0.8</v>
      </c>
      <c r="CJ30" s="11">
        <v>1.7</v>
      </c>
      <c r="CK30" s="11">
        <f t="shared" si="2"/>
        <v>4.7</v>
      </c>
      <c r="CL30" s="11">
        <v>1.8</v>
      </c>
      <c r="CM30" s="11">
        <v>0.5</v>
      </c>
      <c r="CN30" s="11"/>
      <c r="CO30" s="11"/>
      <c r="CP30" s="11">
        <v>0.3</v>
      </c>
      <c r="CQ30" s="11">
        <v>1.4</v>
      </c>
      <c r="CR30" s="11">
        <f t="shared" si="42"/>
        <v>3.9999999999999996</v>
      </c>
      <c r="CS30" s="11">
        <v>0.7</v>
      </c>
      <c r="CT30" s="11">
        <f t="shared" si="43"/>
        <v>-1.1000000000000001</v>
      </c>
      <c r="CU30" s="11">
        <f t="shared" si="44"/>
        <v>-61.111111111111114</v>
      </c>
      <c r="CV30" s="11">
        <f t="shared" si="5"/>
        <v>-0.7000000000000004</v>
      </c>
      <c r="CW30" s="11">
        <f t="shared" si="6"/>
        <v>-14.893617021276603</v>
      </c>
      <c r="CX30" s="3"/>
      <c r="CY30" s="3"/>
      <c r="CZ30" s="3"/>
      <c r="DA30" s="3"/>
      <c r="DB30" s="3"/>
      <c r="DC30" s="3"/>
    </row>
    <row r="31" spans="1:109" x14ac:dyDescent="0.2">
      <c r="B31" s="4" t="s">
        <v>75</v>
      </c>
      <c r="C31" s="4" t="s">
        <v>76</v>
      </c>
      <c r="E31" s="8"/>
      <c r="F31" s="10"/>
      <c r="G31" s="20"/>
      <c r="H31" s="20"/>
      <c r="I31" s="20"/>
      <c r="J31" s="10"/>
      <c r="K31" s="20"/>
      <c r="L31" s="20"/>
      <c r="M31" s="20"/>
      <c r="N31" s="8"/>
      <c r="O31" s="20"/>
      <c r="P31" s="20"/>
      <c r="Q31" s="20"/>
      <c r="R31" s="20"/>
      <c r="S31" s="11">
        <v>8.9</v>
      </c>
      <c r="T31" s="14">
        <v>1.9</v>
      </c>
      <c r="U31" s="14">
        <v>4.9000000000000004</v>
      </c>
      <c r="V31" s="11">
        <v>5</v>
      </c>
      <c r="W31" s="14"/>
      <c r="X31" s="11">
        <f t="shared" si="46"/>
        <v>20.700000000000003</v>
      </c>
      <c r="Y31" s="14"/>
      <c r="Z31" s="24">
        <v>7.7</v>
      </c>
      <c r="AA31" s="14">
        <v>3.2338900000000002</v>
      </c>
      <c r="AB31" s="14">
        <v>5.2</v>
      </c>
      <c r="AC31" s="11">
        <v>5.2</v>
      </c>
      <c r="AD31" s="14"/>
      <c r="AE31" s="11">
        <f t="shared" si="45"/>
        <v>21.33389</v>
      </c>
      <c r="AF31" s="14"/>
      <c r="AG31" s="11">
        <v>4.3</v>
      </c>
      <c r="AH31" s="14">
        <v>4.5</v>
      </c>
      <c r="AI31" s="14">
        <v>4.7</v>
      </c>
      <c r="AJ31" s="25">
        <v>4.9000000000000004</v>
      </c>
      <c r="AK31" s="11">
        <f t="shared" si="34"/>
        <v>18.399999999999999</v>
      </c>
      <c r="AL31" s="73">
        <v>18.2</v>
      </c>
      <c r="AM31" s="25">
        <v>4.0999999999999996</v>
      </c>
      <c r="AN31" s="14">
        <v>4.9000000000000004</v>
      </c>
      <c r="AO31" s="14">
        <v>4.7</v>
      </c>
      <c r="AP31" s="14">
        <v>4.2</v>
      </c>
      <c r="AQ31" s="11">
        <f t="shared" si="35"/>
        <v>17.899999999999999</v>
      </c>
      <c r="AR31" s="14">
        <v>4</v>
      </c>
      <c r="AS31" s="14">
        <v>6.1</v>
      </c>
      <c r="AT31" s="14">
        <v>0.73</v>
      </c>
      <c r="AU31" s="14">
        <v>3.7</v>
      </c>
      <c r="AV31" s="11">
        <f t="shared" si="36"/>
        <v>14.530000000000001</v>
      </c>
      <c r="AW31" s="14">
        <v>4</v>
      </c>
      <c r="AX31" s="25">
        <v>4.4000000000000004</v>
      </c>
      <c r="AY31" s="25">
        <v>4.4000000000000004</v>
      </c>
      <c r="AZ31" s="25">
        <v>3.18</v>
      </c>
      <c r="BA31" s="11">
        <f t="shared" si="37"/>
        <v>15.98</v>
      </c>
      <c r="BB31" s="11">
        <v>3</v>
      </c>
      <c r="BC31" s="11">
        <v>4.8</v>
      </c>
      <c r="BD31" s="11">
        <v>3.7</v>
      </c>
      <c r="BE31" s="11">
        <v>3.6</v>
      </c>
      <c r="BF31" s="11">
        <f t="shared" si="25"/>
        <v>15.1</v>
      </c>
      <c r="BG31" s="11">
        <v>4</v>
      </c>
      <c r="BH31" s="11">
        <v>2.9</v>
      </c>
      <c r="BI31" s="11">
        <v>4.9000000000000004</v>
      </c>
      <c r="BJ31" s="11">
        <v>2.7</v>
      </c>
      <c r="BK31" s="11">
        <f t="shared" si="26"/>
        <v>14.5</v>
      </c>
      <c r="BL31" s="11">
        <v>3.5</v>
      </c>
      <c r="BM31" s="11">
        <v>4.5</v>
      </c>
      <c r="BN31" s="11">
        <v>3.4</v>
      </c>
      <c r="BO31" s="11">
        <v>3.5</v>
      </c>
      <c r="BP31" s="11">
        <f t="shared" si="27"/>
        <v>14.9</v>
      </c>
      <c r="BQ31" s="11">
        <v>4</v>
      </c>
      <c r="BR31" s="11">
        <v>5</v>
      </c>
      <c r="BS31" s="11">
        <v>3.3</v>
      </c>
      <c r="BT31" s="11">
        <v>2.9</v>
      </c>
      <c r="BU31" s="11">
        <f t="shared" si="38"/>
        <v>0.5</v>
      </c>
      <c r="BV31" s="11">
        <f t="shared" si="0"/>
        <v>9</v>
      </c>
      <c r="BW31" s="11">
        <f t="shared" si="28"/>
        <v>12.3</v>
      </c>
      <c r="BX31" s="11">
        <f t="shared" si="39"/>
        <v>0.5</v>
      </c>
      <c r="BY31" s="11">
        <f t="shared" si="40"/>
        <v>14.285714285714285</v>
      </c>
      <c r="BZ31" s="11">
        <f>+BX31/(BM31)*100</f>
        <v>11.111111111111111</v>
      </c>
      <c r="CA31" s="11">
        <f t="shared" si="1"/>
        <v>15.200000000000001</v>
      </c>
      <c r="CB31" s="11">
        <v>3.4</v>
      </c>
      <c r="CC31" s="11">
        <v>3.5</v>
      </c>
      <c r="CD31" s="11">
        <v>3.1</v>
      </c>
      <c r="CE31" s="11">
        <v>3.2</v>
      </c>
      <c r="CF31" s="11">
        <f t="shared" si="29"/>
        <v>13.2</v>
      </c>
      <c r="CG31" s="11">
        <v>3.8</v>
      </c>
      <c r="CH31" s="11">
        <v>3.5</v>
      </c>
      <c r="CI31" s="11">
        <v>2.9</v>
      </c>
      <c r="CJ31" s="11">
        <v>3.1</v>
      </c>
      <c r="CK31" s="11">
        <f t="shared" si="2"/>
        <v>13.299999999999999</v>
      </c>
      <c r="CL31" s="11">
        <v>3.2</v>
      </c>
      <c r="CM31" s="11">
        <v>3.6</v>
      </c>
      <c r="CN31" s="11"/>
      <c r="CO31" s="11"/>
      <c r="CP31" s="11">
        <v>3.3</v>
      </c>
      <c r="CQ31" s="11">
        <v>3.2</v>
      </c>
      <c r="CR31" s="11">
        <f t="shared" si="42"/>
        <v>13.3</v>
      </c>
      <c r="CS31" s="11">
        <v>2.9</v>
      </c>
      <c r="CT31" s="11">
        <f t="shared" si="43"/>
        <v>-0.30000000000000027</v>
      </c>
      <c r="CU31" s="11">
        <f t="shared" si="44"/>
        <v>-9.3750000000000089</v>
      </c>
      <c r="CV31" s="11">
        <f t="shared" si="5"/>
        <v>0</v>
      </c>
      <c r="CW31" s="11">
        <f t="shared" si="6"/>
        <v>0</v>
      </c>
      <c r="CX31" s="3"/>
      <c r="CY31" s="3"/>
      <c r="CZ31" s="3"/>
      <c r="DA31" s="3"/>
      <c r="DB31" s="3"/>
      <c r="DC31" s="3"/>
    </row>
    <row r="32" spans="1:109" x14ac:dyDescent="0.2">
      <c r="B32" s="4" t="s">
        <v>80</v>
      </c>
      <c r="C32" s="4" t="s">
        <v>81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/>
      <c r="T32" s="14">
        <v>0.7</v>
      </c>
      <c r="U32" s="14">
        <v>0.2</v>
      </c>
      <c r="V32" s="11">
        <v>0</v>
      </c>
      <c r="W32" s="14"/>
      <c r="X32" s="11">
        <f t="shared" si="46"/>
        <v>0.89999999999999991</v>
      </c>
      <c r="Y32" s="14"/>
      <c r="Z32" s="24">
        <v>0.2</v>
      </c>
      <c r="AA32" s="14">
        <v>0.230327</v>
      </c>
      <c r="AB32" s="14">
        <v>0.3</v>
      </c>
      <c r="AC32" s="11">
        <v>0.1</v>
      </c>
      <c r="AD32" s="14"/>
      <c r="AE32" s="11">
        <f t="shared" si="45"/>
        <v>0.83032699999999993</v>
      </c>
      <c r="AF32" s="14"/>
      <c r="AG32" s="11">
        <v>0.25</v>
      </c>
      <c r="AH32" s="14">
        <v>0.24</v>
      </c>
      <c r="AI32" s="14">
        <v>0.16</v>
      </c>
      <c r="AJ32" s="25">
        <v>0.23</v>
      </c>
      <c r="AK32" s="11">
        <f t="shared" si="34"/>
        <v>0.88</v>
      </c>
      <c r="AL32" s="73">
        <v>0.8</v>
      </c>
      <c r="AM32" s="25">
        <v>0.2</v>
      </c>
      <c r="AN32" s="14">
        <v>0.3</v>
      </c>
      <c r="AO32" s="14">
        <v>0.4</v>
      </c>
      <c r="AP32" s="14">
        <v>0.1</v>
      </c>
      <c r="AQ32" s="11">
        <f t="shared" si="35"/>
        <v>1</v>
      </c>
      <c r="AR32" s="14">
        <v>0.2</v>
      </c>
      <c r="AS32" s="14">
        <v>0.3</v>
      </c>
      <c r="AT32" s="14">
        <v>0.19400000000000001</v>
      </c>
      <c r="AU32" s="14"/>
      <c r="AV32" s="11">
        <f t="shared" si="36"/>
        <v>0.69399999999999995</v>
      </c>
      <c r="AW32" s="14">
        <v>0</v>
      </c>
      <c r="AX32" s="25"/>
      <c r="AY32" s="25"/>
      <c r="AZ32" s="25"/>
      <c r="BA32" s="11">
        <f t="shared" si="37"/>
        <v>0</v>
      </c>
      <c r="BB32" s="11"/>
      <c r="BC32" s="11"/>
      <c r="BD32" s="11"/>
      <c r="BE32" s="11"/>
      <c r="BF32" s="11">
        <f t="shared" si="25"/>
        <v>0</v>
      </c>
      <c r="BG32" s="11"/>
      <c r="BH32" s="11"/>
      <c r="BI32" s="11"/>
      <c r="BJ32" s="11"/>
      <c r="BK32" s="11">
        <f t="shared" si="26"/>
        <v>0</v>
      </c>
      <c r="BL32" s="11"/>
      <c r="BM32" s="11"/>
      <c r="BN32" s="11"/>
      <c r="BO32" s="11"/>
      <c r="BP32" s="11">
        <f t="shared" si="27"/>
        <v>0</v>
      </c>
      <c r="BQ32" s="11"/>
      <c r="BR32" s="11"/>
      <c r="BS32" s="11"/>
      <c r="BT32" s="11"/>
      <c r="BU32" s="11">
        <f t="shared" si="38"/>
        <v>0</v>
      </c>
      <c r="BV32" s="11">
        <f t="shared" si="0"/>
        <v>0</v>
      </c>
      <c r="BW32" s="11">
        <f t="shared" si="28"/>
        <v>0</v>
      </c>
      <c r="BX32" s="11">
        <f t="shared" si="39"/>
        <v>0</v>
      </c>
      <c r="BY32" s="11" t="e">
        <f t="shared" si="40"/>
        <v>#DIV/0!</v>
      </c>
      <c r="BZ32" s="85" t="s">
        <v>115</v>
      </c>
      <c r="CA32" s="11">
        <f t="shared" si="1"/>
        <v>0</v>
      </c>
      <c r="CB32" s="11"/>
      <c r="CC32" s="11"/>
      <c r="CD32" s="11"/>
      <c r="CE32" s="11"/>
      <c r="CF32" s="11">
        <f t="shared" si="29"/>
        <v>0</v>
      </c>
      <c r="CG32" s="11"/>
      <c r="CH32" s="11"/>
      <c r="CI32" s="11"/>
      <c r="CJ32" s="11"/>
      <c r="CK32" s="11">
        <f t="shared" si="2"/>
        <v>0</v>
      </c>
      <c r="CL32" s="11"/>
      <c r="CM32" s="11"/>
      <c r="CN32" s="11"/>
      <c r="CO32" s="11"/>
      <c r="CP32" s="11"/>
      <c r="CQ32" s="11"/>
      <c r="CR32" s="11">
        <f t="shared" si="42"/>
        <v>0</v>
      </c>
      <c r="CS32" s="11"/>
      <c r="CT32" s="11">
        <f t="shared" si="43"/>
        <v>0</v>
      </c>
      <c r="CU32" s="11"/>
      <c r="CV32" s="11">
        <f t="shared" si="5"/>
        <v>0</v>
      </c>
      <c r="CW32" s="11"/>
      <c r="CX32" s="3"/>
      <c r="CY32" s="3"/>
      <c r="CZ32" s="3"/>
      <c r="DA32" s="3"/>
      <c r="DB32" s="3"/>
      <c r="DC32" s="3"/>
    </row>
    <row r="33" spans="1:111" x14ac:dyDescent="0.2">
      <c r="B33" s="4" t="s">
        <v>85</v>
      </c>
      <c r="C33" s="4" t="s">
        <v>82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2.8</v>
      </c>
      <c r="U33" s="14">
        <v>0.8</v>
      </c>
      <c r="V33" s="11">
        <v>-1.1000000000000001</v>
      </c>
      <c r="W33" s="14"/>
      <c r="X33" s="11">
        <f t="shared" si="46"/>
        <v>2.4999999999999996</v>
      </c>
      <c r="Y33" s="14"/>
      <c r="Z33" s="24">
        <v>0.8</v>
      </c>
      <c r="AA33" s="11">
        <v>0.92131099999999999</v>
      </c>
      <c r="AB33" s="14">
        <v>1.3</v>
      </c>
      <c r="AC33" s="11">
        <v>0.2</v>
      </c>
      <c r="AD33" s="14"/>
      <c r="AE33" s="11">
        <f t="shared" si="45"/>
        <v>3.221311</v>
      </c>
      <c r="AF33" s="14"/>
      <c r="AG33" s="11">
        <v>1</v>
      </c>
      <c r="AH33" s="11">
        <v>1</v>
      </c>
      <c r="AI33" s="11">
        <v>0.6</v>
      </c>
      <c r="AJ33" s="24">
        <v>0.9</v>
      </c>
      <c r="AK33" s="11">
        <f t="shared" si="34"/>
        <v>3.5</v>
      </c>
      <c r="AL33" s="73">
        <v>3.5</v>
      </c>
      <c r="AM33" s="24">
        <v>0.9</v>
      </c>
      <c r="AN33" s="11">
        <v>1.2</v>
      </c>
      <c r="AO33" s="11">
        <v>1.6</v>
      </c>
      <c r="AP33" s="11">
        <v>0.6</v>
      </c>
      <c r="AQ33" s="11">
        <f t="shared" si="35"/>
        <v>4.3</v>
      </c>
      <c r="AR33" s="11">
        <v>0.8</v>
      </c>
      <c r="AS33" s="11">
        <v>1.1000000000000001</v>
      </c>
      <c r="AT33" s="11">
        <v>0.77700000000000002</v>
      </c>
      <c r="AU33" s="11"/>
      <c r="AV33" s="11">
        <f t="shared" si="36"/>
        <v>2.677</v>
      </c>
      <c r="AW33" s="11"/>
      <c r="AX33" s="24"/>
      <c r="AY33" s="24"/>
      <c r="AZ33" s="24"/>
      <c r="BA33" s="11">
        <f t="shared" si="37"/>
        <v>0</v>
      </c>
      <c r="BB33" s="11"/>
      <c r="BC33" s="11"/>
      <c r="BD33" s="11"/>
      <c r="BE33" s="11"/>
      <c r="BF33" s="11">
        <f t="shared" si="25"/>
        <v>0</v>
      </c>
      <c r="BG33" s="11"/>
      <c r="BH33" s="11"/>
      <c r="BI33" s="11"/>
      <c r="BJ33" s="11"/>
      <c r="BK33" s="11">
        <f t="shared" si="26"/>
        <v>0</v>
      </c>
      <c r="BL33" s="11"/>
      <c r="BM33" s="11"/>
      <c r="BN33" s="11"/>
      <c r="BO33" s="11"/>
      <c r="BP33" s="11">
        <f t="shared" si="27"/>
        <v>0</v>
      </c>
      <c r="BQ33" s="11"/>
      <c r="BR33" s="11"/>
      <c r="BS33" s="11"/>
      <c r="BT33" s="11"/>
      <c r="BU33" s="11">
        <f t="shared" si="38"/>
        <v>0</v>
      </c>
      <c r="BV33" s="11">
        <f t="shared" si="0"/>
        <v>0</v>
      </c>
      <c r="BW33" s="11">
        <f t="shared" si="28"/>
        <v>0</v>
      </c>
      <c r="BX33" s="11">
        <f t="shared" si="39"/>
        <v>0</v>
      </c>
      <c r="BY33" s="11" t="e">
        <f t="shared" si="40"/>
        <v>#DIV/0!</v>
      </c>
      <c r="BZ33" s="85" t="s">
        <v>115</v>
      </c>
      <c r="CA33" s="11">
        <f t="shared" si="1"/>
        <v>0</v>
      </c>
      <c r="CB33" s="11"/>
      <c r="CC33" s="11"/>
      <c r="CD33" s="11"/>
      <c r="CE33" s="11"/>
      <c r="CF33" s="11">
        <f t="shared" si="29"/>
        <v>0</v>
      </c>
      <c r="CG33" s="11"/>
      <c r="CH33" s="11"/>
      <c r="CI33" s="11"/>
      <c r="CJ33" s="11"/>
      <c r="CK33" s="11">
        <f t="shared" si="2"/>
        <v>0</v>
      </c>
      <c r="CL33" s="11"/>
      <c r="CM33" s="11"/>
      <c r="CN33" s="11"/>
      <c r="CO33" s="11"/>
      <c r="CP33" s="11"/>
      <c r="CQ33" s="11"/>
      <c r="CR33" s="11">
        <f t="shared" si="42"/>
        <v>0</v>
      </c>
      <c r="CS33" s="11"/>
      <c r="CT33" s="11">
        <f t="shared" si="43"/>
        <v>0</v>
      </c>
      <c r="CU33" s="11"/>
      <c r="CV33" s="11">
        <f t="shared" si="5"/>
        <v>0</v>
      </c>
      <c r="CW33" s="11"/>
      <c r="CX33" s="3"/>
      <c r="CY33" s="3"/>
      <c r="CZ33" s="3"/>
      <c r="DA33" s="3"/>
      <c r="DB33" s="3"/>
      <c r="DC33" s="3"/>
    </row>
    <row r="34" spans="1:111" ht="10.5" customHeight="1" x14ac:dyDescent="0.2">
      <c r="E34" s="8"/>
      <c r="F34" s="10"/>
      <c r="G34" s="20"/>
      <c r="H34" s="17" t="s">
        <v>10</v>
      </c>
      <c r="I34" s="17"/>
      <c r="J34" s="14"/>
      <c r="K34" s="24"/>
      <c r="L34" s="25"/>
      <c r="M34" s="25"/>
      <c r="N34" s="8"/>
      <c r="O34" s="25"/>
      <c r="P34" s="25"/>
      <c r="Q34" s="25"/>
      <c r="R34" s="25"/>
      <c r="S34" s="12"/>
      <c r="T34" s="12"/>
      <c r="U34" s="12"/>
      <c r="V34" s="12"/>
      <c r="W34" s="14"/>
      <c r="X34" s="12" t="str">
        <f>IF(O34="","",(O34+P34+Q34+R34))</f>
        <v/>
      </c>
      <c r="Y34" s="14"/>
      <c r="Z34" s="23"/>
      <c r="AA34" s="4"/>
      <c r="AC34" s="12"/>
      <c r="AD34" s="14"/>
      <c r="AE34" s="12"/>
      <c r="AF34" s="14"/>
      <c r="AG34" s="12"/>
      <c r="AH34" s="4"/>
      <c r="AI34" s="4"/>
      <c r="AJ34" s="1"/>
      <c r="AK34" s="12" t="s">
        <v>10</v>
      </c>
      <c r="AL34" s="72" t="s">
        <v>10</v>
      </c>
      <c r="AM34" s="1"/>
      <c r="AN34" s="4"/>
      <c r="AP34" s="4"/>
      <c r="AQ34" s="12" t="s">
        <v>10</v>
      </c>
      <c r="AR34" s="4"/>
      <c r="AS34" s="4"/>
      <c r="AT34" s="4"/>
      <c r="AU34" s="4"/>
      <c r="AV34" s="12" t="s">
        <v>10</v>
      </c>
      <c r="AW34" s="4"/>
      <c r="AX34" s="1"/>
      <c r="AY34" s="1"/>
      <c r="AZ34" s="1"/>
      <c r="BA34" s="12" t="s">
        <v>10</v>
      </c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1"/>
      <c r="CY34" s="11"/>
      <c r="CZ34" s="11"/>
      <c r="DA34" s="3"/>
      <c r="DB34" s="3"/>
      <c r="DC34" s="3"/>
      <c r="DD34" s="3"/>
      <c r="DE34" s="3"/>
    </row>
    <row r="35" spans="1:111" s="7" customFormat="1" x14ac:dyDescent="0.2">
      <c r="A35" s="41">
        <v>3</v>
      </c>
      <c r="B35" s="7" t="s">
        <v>21</v>
      </c>
      <c r="E35" s="8"/>
      <c r="F35" s="8">
        <f>SUM(F36:F39)</f>
        <v>13313</v>
      </c>
      <c r="G35" s="17">
        <f>SUM(J35:M35)</f>
        <v>14710.89</v>
      </c>
      <c r="H35" s="17">
        <f>SUM(O35:R35)</f>
        <v>14192</v>
      </c>
      <c r="I35" s="17"/>
      <c r="J35" s="8">
        <f>SUM(J36:J39)</f>
        <v>3420</v>
      </c>
      <c r="K35" s="17">
        <f>SUM(K36:K39)</f>
        <v>3974.7919999999999</v>
      </c>
      <c r="L35" s="17">
        <f>SUM(L36:L39)</f>
        <v>3468.317</v>
      </c>
      <c r="M35" s="17">
        <f>SUM(M36:M39)</f>
        <v>3847.7809999999999</v>
      </c>
      <c r="N35" s="8"/>
      <c r="O35" s="17">
        <f>SUM(O36:O39)</f>
        <v>3412</v>
      </c>
      <c r="P35" s="17">
        <f>SUM(P36:P39)</f>
        <v>3943</v>
      </c>
      <c r="Q35" s="17">
        <f>SUM(Q36:Q39)</f>
        <v>3148</v>
      </c>
      <c r="R35" s="17">
        <f>SUM(R36:R39)</f>
        <v>3689</v>
      </c>
      <c r="S35" s="17">
        <f>SUM(S36:S41)</f>
        <v>3623.3</v>
      </c>
      <c r="T35" s="17">
        <f>SUM(T36:T41)</f>
        <v>4148.7000000000016</v>
      </c>
      <c r="U35" s="17">
        <f>SUM(U36:U41)</f>
        <v>3564.4</v>
      </c>
      <c r="V35" s="17">
        <f>SUM(V36:V41)</f>
        <v>3931.1</v>
      </c>
      <c r="W35" s="14"/>
      <c r="X35" s="12">
        <f>IF(O35="","",(S35+T35+U35+V35))</f>
        <v>15267.500000000002</v>
      </c>
      <c r="Y35" s="14"/>
      <c r="Z35" s="17">
        <f>SUM(Z36:Z41)</f>
        <v>3724.2999999999997</v>
      </c>
      <c r="AA35" s="17">
        <f>SUM(AA36:AA41)</f>
        <v>3824.8318040000004</v>
      </c>
      <c r="AB35" s="17">
        <f>SUM(AB36:AB41)</f>
        <v>3536.7</v>
      </c>
      <c r="AC35" s="17">
        <f>SUM(AC36:AC41)</f>
        <v>3870.2000000000003</v>
      </c>
      <c r="AD35" s="14"/>
      <c r="AE35" s="12">
        <f>SUM(AE36:AE41)</f>
        <v>14956.031804</v>
      </c>
      <c r="AF35" s="14"/>
      <c r="AG35" s="17">
        <f>SUM(AG36:AG41)</f>
        <v>3601.34</v>
      </c>
      <c r="AH35" s="17">
        <f>SUM(AH36:AH41)</f>
        <v>3657.3399999999997</v>
      </c>
      <c r="AI35" s="17">
        <f>SUM(AI36:AI41)</f>
        <v>3354.77</v>
      </c>
      <c r="AJ35" s="17">
        <f>SUM(AJ36:AJ41)</f>
        <v>3638.26</v>
      </c>
      <c r="AK35" s="12">
        <f t="shared" ref="AK35:AK41" si="47">+AG35+AH35+AI35+AJ35</f>
        <v>14251.710000000001</v>
      </c>
      <c r="AL35" s="72">
        <v>14345.4</v>
      </c>
      <c r="AM35" s="17">
        <f>SUM(AM36:AM41)</f>
        <v>3448.4847950000003</v>
      </c>
      <c r="AN35" s="17">
        <f>SUM(AN36:AN41)</f>
        <v>3854.9470020000003</v>
      </c>
      <c r="AO35" s="17">
        <f>SUM(AO36:AO41)</f>
        <v>3387.4</v>
      </c>
      <c r="AP35" s="17">
        <f>SUM(AP36:AP41)</f>
        <v>3944.9</v>
      </c>
      <c r="AQ35" s="12">
        <f t="shared" ref="AQ35:AQ41" si="48">+AM35+AN35+AO35+AP35</f>
        <v>14635.731797</v>
      </c>
      <c r="AR35" s="17">
        <f>SUM(AR36:AR41)</f>
        <v>3247.1</v>
      </c>
      <c r="AS35" s="17">
        <f>SUM(AS36:AS41)</f>
        <v>3772.8</v>
      </c>
      <c r="AT35" s="17">
        <f>SUM(AT36:AT41)</f>
        <v>3419.2250000000004</v>
      </c>
      <c r="AU35" s="17">
        <f>SUM(AU36:AU41)</f>
        <v>3730.7</v>
      </c>
      <c r="AV35" s="12">
        <f t="shared" ref="AV35:AV41" si="49">+AR35+AS35+AT35+AU35</f>
        <v>14169.825000000001</v>
      </c>
      <c r="AW35" s="17">
        <f>SUM(AW36:AW41)</f>
        <v>3321.3</v>
      </c>
      <c r="AX35" s="17">
        <f>SUM(AX36:AX41)</f>
        <v>3971.8</v>
      </c>
      <c r="AY35" s="17">
        <f>SUM(AY36:AY41)</f>
        <v>3286.7999999999997</v>
      </c>
      <c r="AZ35" s="17">
        <f>SUM(AZ36:AZ41)</f>
        <v>3477.2</v>
      </c>
      <c r="BA35" s="12">
        <f t="shared" ref="BA35:BA41" si="50">+AW35+AX35+AY35+AZ35</f>
        <v>14057.099999999999</v>
      </c>
      <c r="BB35" s="17">
        <f>SUM(BB36:BB41)</f>
        <v>3062.8</v>
      </c>
      <c r="BC35" s="17">
        <f>SUM(BC36:BC41)</f>
        <v>3386.5000000000009</v>
      </c>
      <c r="BD35" s="17">
        <f>SUM(BD36:BD41)</f>
        <v>3181.5</v>
      </c>
      <c r="BE35" s="17">
        <f>SUM(BE36:BE41)</f>
        <v>3652.0000000000005</v>
      </c>
      <c r="BF35" s="17">
        <f t="shared" si="25"/>
        <v>13282.800000000001</v>
      </c>
      <c r="BG35" s="17">
        <f>SUM(BG36:BG41)</f>
        <v>3431.6000000000004</v>
      </c>
      <c r="BH35" s="17">
        <f>SUM(BH36:BH41)</f>
        <v>3923.6000000000004</v>
      </c>
      <c r="BI35" s="17">
        <f>SUM(BI36:BI41)</f>
        <v>3498.5</v>
      </c>
      <c r="BJ35" s="17">
        <f>SUM(BJ36:BJ41)</f>
        <v>3819.9</v>
      </c>
      <c r="BK35" s="17">
        <f t="shared" si="26"/>
        <v>14673.6</v>
      </c>
      <c r="BL35" s="17">
        <f>SUM(BL36:BL41)</f>
        <v>3437.4999999999995</v>
      </c>
      <c r="BM35" s="17">
        <f>SUM(BM36:BM41)</f>
        <v>3866.9</v>
      </c>
      <c r="BN35" s="17">
        <f>SUM(BN36:BN41)</f>
        <v>3589.2999999999997</v>
      </c>
      <c r="BO35" s="17">
        <f>SUM(BO36:BO41)</f>
        <v>3855.9999999999995</v>
      </c>
      <c r="BP35" s="17">
        <f t="shared" si="27"/>
        <v>14749.699999999999</v>
      </c>
      <c r="BQ35" s="17">
        <f>SUM(BQ36:BQ41)</f>
        <v>3465.3</v>
      </c>
      <c r="BR35" s="17">
        <f>SUM(BR36:BR41)</f>
        <v>3906.5</v>
      </c>
      <c r="BS35" s="17">
        <f>SUM(BS36:BS41)</f>
        <v>3599.4</v>
      </c>
      <c r="BT35" s="17">
        <f>SUM(BT36:BT41)</f>
        <v>4009.9</v>
      </c>
      <c r="BU35" s="17">
        <f t="shared" ref="BU35:BU41" si="51">+BQ35-BL35</f>
        <v>27.800000000000637</v>
      </c>
      <c r="BV35" s="17">
        <f t="shared" si="0"/>
        <v>7371.8</v>
      </c>
      <c r="BW35" s="17">
        <f t="shared" si="28"/>
        <v>10971.2</v>
      </c>
      <c r="BX35" s="17">
        <f t="shared" ref="BX35:BX41" si="52">+BR35-BM35</f>
        <v>39.599999999999909</v>
      </c>
      <c r="BY35" s="17">
        <f t="shared" ref="BY35:BY41" si="53">+BU35/(BL35)*100</f>
        <v>0.80872727272729128</v>
      </c>
      <c r="BZ35" s="17">
        <f t="shared" ref="BZ35:BZ41" si="54">+BX35/(BM35)*100</f>
        <v>1.0240761333367792</v>
      </c>
      <c r="CA35" s="17">
        <f t="shared" si="1"/>
        <v>14981.1</v>
      </c>
      <c r="CB35" s="17">
        <f>SUM(CB36:CB41)</f>
        <v>3739.6000000000004</v>
      </c>
      <c r="CC35" s="17">
        <f>SUM(CC36:CC41)</f>
        <v>4191.7</v>
      </c>
      <c r="CD35" s="17">
        <f>SUM(CD36:CD41)</f>
        <v>3747.9999999999995</v>
      </c>
      <c r="CE35" s="17">
        <f>SUM(CE36:CE41)</f>
        <v>4209.7</v>
      </c>
      <c r="CF35" s="17">
        <f t="shared" si="29"/>
        <v>15889</v>
      </c>
      <c r="CG35" s="17">
        <f>SUM(CG36:CG41)</f>
        <v>3800.8999999999992</v>
      </c>
      <c r="CH35" s="17">
        <f>SUM(CH36:CH41)</f>
        <v>4334.6000000000004</v>
      </c>
      <c r="CI35" s="17">
        <f>SUM(CI36:CI41)</f>
        <v>3868.2</v>
      </c>
      <c r="CJ35" s="17">
        <f>SUM(CJ36:CJ41)</f>
        <v>4014.8</v>
      </c>
      <c r="CK35" s="17">
        <f t="shared" si="2"/>
        <v>16018.5</v>
      </c>
      <c r="CL35" s="17">
        <f>SUM(CL36:CL41)</f>
        <v>4059.0999999999995</v>
      </c>
      <c r="CM35" s="17">
        <f>SUM(CM36:CM41)</f>
        <v>4337.3999999999996</v>
      </c>
      <c r="CN35" s="17"/>
      <c r="CO35" s="17"/>
      <c r="CP35" s="17">
        <f>SUM(CP36:CP41)</f>
        <v>4093.2000000000003</v>
      </c>
      <c r="CQ35" s="17">
        <f>SUM(CQ36:CQ41)</f>
        <v>4260.6000000000004</v>
      </c>
      <c r="CR35" s="17">
        <f t="shared" si="42"/>
        <v>16750.300000000003</v>
      </c>
      <c r="CS35" s="17">
        <f>SUM(CS36:CS41)</f>
        <v>4210.3</v>
      </c>
      <c r="CT35" s="17">
        <f t="shared" si="43"/>
        <v>151.20000000000073</v>
      </c>
      <c r="CU35" s="17">
        <f t="shared" si="44"/>
        <v>3.7249636618955124</v>
      </c>
      <c r="CV35" s="17">
        <f t="shared" si="5"/>
        <v>731.80000000000291</v>
      </c>
      <c r="CW35" s="17">
        <f t="shared" si="6"/>
        <v>4.5684677092112427</v>
      </c>
      <c r="CX35" s="9"/>
      <c r="CY35" s="9"/>
      <c r="CZ35" s="9"/>
      <c r="DA35" s="9"/>
      <c r="DB35" s="9"/>
      <c r="DC35" s="9"/>
    </row>
    <row r="36" spans="1:111" x14ac:dyDescent="0.2">
      <c r="B36" s="4" t="s">
        <v>22</v>
      </c>
      <c r="C36" s="4" t="s">
        <v>23</v>
      </c>
      <c r="E36" s="8"/>
      <c r="F36" s="10">
        <v>8704</v>
      </c>
      <c r="G36" s="20">
        <f>SUM(J36:M36)</f>
        <v>8700</v>
      </c>
      <c r="H36" s="20">
        <v>8608</v>
      </c>
      <c r="I36" s="20"/>
      <c r="J36" s="10">
        <v>2067</v>
      </c>
      <c r="K36" s="20">
        <v>2327</v>
      </c>
      <c r="L36" s="20">
        <v>2077</v>
      </c>
      <c r="M36" s="20">
        <v>2229</v>
      </c>
      <c r="N36" s="8"/>
      <c r="O36" s="20">
        <v>2068</v>
      </c>
      <c r="P36" s="20">
        <v>2285</v>
      </c>
      <c r="Q36" s="20">
        <v>2016</v>
      </c>
      <c r="R36" s="20">
        <v>2266</v>
      </c>
      <c r="S36" s="11">
        <v>2106.4</v>
      </c>
      <c r="T36" s="14">
        <v>2401.9</v>
      </c>
      <c r="U36" s="14">
        <v>2157.9</v>
      </c>
      <c r="V36" s="11">
        <v>2343.6999999999998</v>
      </c>
      <c r="W36" s="14"/>
      <c r="X36" s="11">
        <f>IF(O36="","",(S36+T36+U36+V36))</f>
        <v>9009.9000000000015</v>
      </c>
      <c r="Y36" s="14"/>
      <c r="Z36" s="24">
        <v>2223.9</v>
      </c>
      <c r="AA36" s="14">
        <v>2431.3000000000002</v>
      </c>
      <c r="AB36" s="14">
        <v>2186.9</v>
      </c>
      <c r="AC36" s="11">
        <v>2312.5</v>
      </c>
      <c r="AD36" s="14"/>
      <c r="AE36" s="11">
        <f t="shared" ref="AE36:AE41" si="55">SUM(Z36:AC36)</f>
        <v>9154.6</v>
      </c>
      <c r="AF36" s="14"/>
      <c r="AG36" s="11">
        <v>2184.9</v>
      </c>
      <c r="AH36" s="14">
        <v>2381.9</v>
      </c>
      <c r="AI36" s="14">
        <v>2143</v>
      </c>
      <c r="AJ36" s="25">
        <v>2285</v>
      </c>
      <c r="AK36" s="11">
        <f t="shared" si="47"/>
        <v>8994.7999999999993</v>
      </c>
      <c r="AL36" s="73">
        <v>8994.7999999999993</v>
      </c>
      <c r="AM36" s="11">
        <v>2116.5847950000002</v>
      </c>
      <c r="AN36" s="11">
        <v>2376.1470020000002</v>
      </c>
      <c r="AO36" s="14">
        <v>2152</v>
      </c>
      <c r="AP36" s="14">
        <v>2287.6</v>
      </c>
      <c r="AQ36" s="11">
        <f t="shared" si="48"/>
        <v>8932.3317970000007</v>
      </c>
      <c r="AR36" s="14">
        <v>2054.6999999999998</v>
      </c>
      <c r="AS36" s="14">
        <v>2284.1</v>
      </c>
      <c r="AT36" s="14">
        <v>2225.46</v>
      </c>
      <c r="AU36" s="14">
        <v>2375.5</v>
      </c>
      <c r="AV36" s="11">
        <f t="shared" si="49"/>
        <v>8939.7599999999984</v>
      </c>
      <c r="AW36" s="14">
        <v>2111</v>
      </c>
      <c r="AX36" s="25">
        <v>2378.9</v>
      </c>
      <c r="AY36" s="25">
        <v>2094.8000000000002</v>
      </c>
      <c r="AZ36" s="25">
        <v>2189.6999999999998</v>
      </c>
      <c r="BA36" s="11">
        <f t="shared" si="50"/>
        <v>8774.4</v>
      </c>
      <c r="BB36" s="11">
        <v>1999</v>
      </c>
      <c r="BC36" s="11">
        <v>2189.9</v>
      </c>
      <c r="BD36" s="11">
        <v>2103.3000000000002</v>
      </c>
      <c r="BE36" s="11">
        <v>2304.6</v>
      </c>
      <c r="BF36" s="11">
        <f t="shared" si="25"/>
        <v>8596.7999999999993</v>
      </c>
      <c r="BG36" s="11">
        <v>2183.1999999999998</v>
      </c>
      <c r="BH36" s="11">
        <v>2499.4</v>
      </c>
      <c r="BI36" s="11">
        <v>2317</v>
      </c>
      <c r="BJ36" s="11">
        <v>2527.9</v>
      </c>
      <c r="BK36" s="11">
        <f t="shared" si="26"/>
        <v>9527.5</v>
      </c>
      <c r="BL36" s="11">
        <v>2273.1999999999998</v>
      </c>
      <c r="BM36" s="11">
        <v>2592.4</v>
      </c>
      <c r="BN36" s="11">
        <v>2421.4</v>
      </c>
      <c r="BO36" s="11">
        <v>2602.6</v>
      </c>
      <c r="BP36" s="11">
        <f t="shared" si="27"/>
        <v>9889.6</v>
      </c>
      <c r="BQ36" s="11">
        <v>2332.5</v>
      </c>
      <c r="BR36" s="11">
        <v>2644</v>
      </c>
      <c r="BS36" s="11">
        <v>2411.8000000000002</v>
      </c>
      <c r="BT36" s="11">
        <v>2715.5</v>
      </c>
      <c r="BU36" s="11">
        <f t="shared" si="51"/>
        <v>59.300000000000182</v>
      </c>
      <c r="BV36" s="11">
        <f t="shared" si="0"/>
        <v>4976.5</v>
      </c>
      <c r="BW36" s="11">
        <f t="shared" si="28"/>
        <v>7388.3</v>
      </c>
      <c r="BX36" s="11">
        <f t="shared" si="52"/>
        <v>51.599999999999909</v>
      </c>
      <c r="BY36" s="11">
        <f t="shared" si="53"/>
        <v>2.6086573992609616</v>
      </c>
      <c r="BZ36" s="11">
        <f t="shared" si="54"/>
        <v>1.9904335750655728</v>
      </c>
      <c r="CA36" s="11">
        <f t="shared" si="1"/>
        <v>10103.799999999999</v>
      </c>
      <c r="CB36" s="11">
        <v>2491.8000000000002</v>
      </c>
      <c r="CC36" s="11">
        <v>2861</v>
      </c>
      <c r="CD36" s="11">
        <v>2524.1999999999998</v>
      </c>
      <c r="CE36" s="11">
        <v>2880.2</v>
      </c>
      <c r="CF36" s="11">
        <f t="shared" si="29"/>
        <v>10757.2</v>
      </c>
      <c r="CG36" s="11">
        <v>2550.6</v>
      </c>
      <c r="CH36" s="11">
        <v>2951.4</v>
      </c>
      <c r="CI36" s="11">
        <v>2587.4</v>
      </c>
      <c r="CJ36" s="11">
        <v>2761.3</v>
      </c>
      <c r="CK36" s="11">
        <f t="shared" si="2"/>
        <v>10850.7</v>
      </c>
      <c r="CL36" s="11">
        <v>2712.7</v>
      </c>
      <c r="CM36" s="11">
        <v>2912.9</v>
      </c>
      <c r="CN36" s="11"/>
      <c r="CO36" s="11"/>
      <c r="CP36" s="11">
        <v>2738.6</v>
      </c>
      <c r="CQ36" s="11">
        <v>2830.3</v>
      </c>
      <c r="CR36" s="11">
        <f t="shared" si="42"/>
        <v>11194.5</v>
      </c>
      <c r="CS36" s="11">
        <v>2769.4</v>
      </c>
      <c r="CT36" s="11">
        <f t="shared" si="43"/>
        <v>56.700000000000273</v>
      </c>
      <c r="CU36" s="11">
        <f t="shared" si="44"/>
        <v>2.0901684668411651</v>
      </c>
      <c r="CV36" s="11">
        <f t="shared" si="5"/>
        <v>343.79999999999973</v>
      </c>
      <c r="CW36" s="11">
        <f t="shared" si="6"/>
        <v>3.1684591777488982</v>
      </c>
      <c r="CX36" s="9"/>
      <c r="CY36" s="12"/>
      <c r="CZ36" s="9"/>
      <c r="DA36" s="12"/>
      <c r="DB36" s="3"/>
      <c r="DC36" s="3"/>
    </row>
    <row r="37" spans="1:111" x14ac:dyDescent="0.2">
      <c r="B37" s="4" t="s">
        <v>24</v>
      </c>
      <c r="C37" s="4" t="s">
        <v>25</v>
      </c>
      <c r="E37" s="8"/>
      <c r="F37" s="10">
        <v>3867</v>
      </c>
      <c r="G37" s="20">
        <f>SUM(J37:M37)</f>
        <v>5233</v>
      </c>
      <c r="H37" s="20">
        <v>4867</v>
      </c>
      <c r="I37" s="20"/>
      <c r="J37" s="10">
        <v>1186</v>
      </c>
      <c r="K37" s="20">
        <v>1419</v>
      </c>
      <c r="L37" s="20">
        <v>1219</v>
      </c>
      <c r="M37" s="20">
        <v>1409</v>
      </c>
      <c r="N37" s="8"/>
      <c r="O37" s="20">
        <v>1142</v>
      </c>
      <c r="P37" s="20">
        <v>1495</v>
      </c>
      <c r="Q37" s="20">
        <v>987</v>
      </c>
      <c r="R37" s="20">
        <v>1244</v>
      </c>
      <c r="S37" s="11">
        <v>1193.2</v>
      </c>
      <c r="T37" s="14">
        <v>1518.2</v>
      </c>
      <c r="U37" s="14">
        <v>1201.4000000000001</v>
      </c>
      <c r="V37" s="11">
        <v>1350.4</v>
      </c>
      <c r="W37" s="14"/>
      <c r="X37" s="11">
        <f>IF(O37="","",(S37+T37+U37+V37))</f>
        <v>5263.2000000000007</v>
      </c>
      <c r="Y37" s="14"/>
      <c r="Z37" s="24">
        <v>1134.3</v>
      </c>
      <c r="AA37" s="14">
        <v>1174.4000000000001</v>
      </c>
      <c r="AB37" s="14">
        <v>1147.8</v>
      </c>
      <c r="AC37" s="11">
        <v>1340.3</v>
      </c>
      <c r="AD37" s="14"/>
      <c r="AE37" s="11">
        <f t="shared" si="55"/>
        <v>4796.8</v>
      </c>
      <c r="AF37" s="14"/>
      <c r="AG37" s="11">
        <v>1116</v>
      </c>
      <c r="AH37" s="14">
        <v>1115.0999999999999</v>
      </c>
      <c r="AI37" s="14">
        <v>1081.8</v>
      </c>
      <c r="AJ37" s="25">
        <v>1213</v>
      </c>
      <c r="AK37" s="11">
        <f t="shared" si="47"/>
        <v>4525.8999999999996</v>
      </c>
      <c r="AL37" s="73">
        <v>4525.8999999999996</v>
      </c>
      <c r="AM37" s="25">
        <v>1106</v>
      </c>
      <c r="AN37" s="25">
        <v>1372</v>
      </c>
      <c r="AO37" s="14">
        <v>1123.0999999999999</v>
      </c>
      <c r="AP37" s="14">
        <v>1467.5</v>
      </c>
      <c r="AQ37" s="11">
        <f t="shared" si="48"/>
        <v>5068.6000000000004</v>
      </c>
      <c r="AR37" s="14">
        <v>1077</v>
      </c>
      <c r="AS37" s="14">
        <v>1214.2</v>
      </c>
      <c r="AT37" s="14">
        <v>1110.6590000000001</v>
      </c>
      <c r="AU37" s="14">
        <v>1229.7</v>
      </c>
      <c r="AV37" s="11">
        <f t="shared" si="49"/>
        <v>4631.5590000000002</v>
      </c>
      <c r="AW37" s="14">
        <v>1110</v>
      </c>
      <c r="AX37" s="25">
        <v>1406.2</v>
      </c>
      <c r="AY37" s="25">
        <v>1121.5</v>
      </c>
      <c r="AZ37" s="25">
        <v>1042.3</v>
      </c>
      <c r="BA37" s="11">
        <f t="shared" si="50"/>
        <v>4680</v>
      </c>
      <c r="BB37" s="11">
        <f>898+107</f>
        <v>1005</v>
      </c>
      <c r="BC37" s="11">
        <v>1095.2</v>
      </c>
      <c r="BD37" s="11">
        <v>993.8</v>
      </c>
      <c r="BE37" s="11">
        <v>1209.9000000000001</v>
      </c>
      <c r="BF37" s="11">
        <f t="shared" si="25"/>
        <v>4303.8999999999996</v>
      </c>
      <c r="BG37" s="11">
        <v>1149.3</v>
      </c>
      <c r="BH37" s="11">
        <v>1193.7</v>
      </c>
      <c r="BI37" s="11">
        <v>1114.0999999999999</v>
      </c>
      <c r="BJ37" s="11">
        <v>1215.9000000000001</v>
      </c>
      <c r="BK37" s="11">
        <f t="shared" si="26"/>
        <v>4673</v>
      </c>
      <c r="BL37" s="11">
        <v>1120.7</v>
      </c>
      <c r="BM37" s="11">
        <v>1220.5999999999999</v>
      </c>
      <c r="BN37" s="11">
        <v>1148.5</v>
      </c>
      <c r="BO37" s="11">
        <v>1245</v>
      </c>
      <c r="BP37" s="11">
        <f t="shared" si="27"/>
        <v>4734.8</v>
      </c>
      <c r="BQ37" s="11">
        <v>1114.0999999999999</v>
      </c>
      <c r="BR37" s="11">
        <v>1227</v>
      </c>
      <c r="BS37" s="11">
        <v>1164.7</v>
      </c>
      <c r="BT37" s="11">
        <v>1264.3</v>
      </c>
      <c r="BU37" s="11">
        <f t="shared" si="51"/>
        <v>-6.6000000000001364</v>
      </c>
      <c r="BV37" s="11">
        <f t="shared" si="0"/>
        <v>2341.1</v>
      </c>
      <c r="BW37" s="11">
        <f t="shared" si="28"/>
        <v>3505.8</v>
      </c>
      <c r="BX37" s="11">
        <f t="shared" si="52"/>
        <v>6.4000000000000909</v>
      </c>
      <c r="BY37" s="11">
        <f t="shared" si="53"/>
        <v>-0.58891764076025133</v>
      </c>
      <c r="BZ37" s="11">
        <f t="shared" si="54"/>
        <v>0.52433229559233918</v>
      </c>
      <c r="CA37" s="11">
        <f t="shared" si="1"/>
        <v>4770.1000000000004</v>
      </c>
      <c r="CB37" s="11">
        <v>1228.3</v>
      </c>
      <c r="CC37" s="11">
        <v>1308.0999999999999</v>
      </c>
      <c r="CD37" s="11">
        <v>1202.8</v>
      </c>
      <c r="CE37" s="11">
        <v>1307</v>
      </c>
      <c r="CF37" s="11">
        <f t="shared" si="29"/>
        <v>5046.2</v>
      </c>
      <c r="CG37" s="11">
        <v>1232.0999999999999</v>
      </c>
      <c r="CH37" s="11">
        <v>1368.6</v>
      </c>
      <c r="CI37" s="11">
        <v>1256.3</v>
      </c>
      <c r="CJ37" s="11">
        <v>1233.9000000000001</v>
      </c>
      <c r="CK37" s="11">
        <f t="shared" si="2"/>
        <v>5090.8999999999996</v>
      </c>
      <c r="CL37" s="11">
        <v>1323.6</v>
      </c>
      <c r="CM37" s="11">
        <f>1366.1+31</f>
        <v>1397.1</v>
      </c>
      <c r="CN37" s="11"/>
      <c r="CO37" s="11"/>
      <c r="CP37" s="11">
        <v>1323.2</v>
      </c>
      <c r="CQ37" s="11">
        <v>1394</v>
      </c>
      <c r="CR37" s="11">
        <f t="shared" si="42"/>
        <v>5437.9</v>
      </c>
      <c r="CS37" s="11">
        <v>1412.8</v>
      </c>
      <c r="CT37" s="11">
        <f t="shared" si="43"/>
        <v>89.200000000000045</v>
      </c>
      <c r="CU37" s="11">
        <f t="shared" si="44"/>
        <v>6.7391961317618652</v>
      </c>
      <c r="CV37" s="11">
        <f t="shared" si="5"/>
        <v>346.99999999999932</v>
      </c>
      <c r="CW37" s="11">
        <f t="shared" si="6"/>
        <v>6.8160836001492724</v>
      </c>
      <c r="CX37" s="9"/>
      <c r="CY37" s="12"/>
      <c r="CZ37" s="9"/>
      <c r="DA37" s="12"/>
      <c r="DB37" s="3"/>
      <c r="DC37" s="3"/>
    </row>
    <row r="38" spans="1:111" x14ac:dyDescent="0.2">
      <c r="B38" s="4" t="s">
        <v>48</v>
      </c>
      <c r="C38" s="4" t="s">
        <v>112</v>
      </c>
      <c r="E38" s="8"/>
      <c r="F38" s="10">
        <v>775</v>
      </c>
      <c r="G38" s="20">
        <f>SUM(J38:M38)</f>
        <v>785.88999999999987</v>
      </c>
      <c r="H38" s="20">
        <v>696</v>
      </c>
      <c r="I38" s="20"/>
      <c r="J38" s="14">
        <v>168</v>
      </c>
      <c r="K38" s="24">
        <v>229.79199999999997</v>
      </c>
      <c r="L38" s="25">
        <v>173.31700000000001</v>
      </c>
      <c r="M38" s="25">
        <v>214.78100000000001</v>
      </c>
      <c r="N38" s="8"/>
      <c r="O38" s="25">
        <v>203</v>
      </c>
      <c r="P38" s="25">
        <v>164</v>
      </c>
      <c r="Q38" s="25">
        <v>145</v>
      </c>
      <c r="R38" s="25">
        <v>183</v>
      </c>
      <c r="S38" s="11">
        <v>305.60000000000002</v>
      </c>
      <c r="T38" s="14">
        <v>229.1</v>
      </c>
      <c r="U38" s="14">
        <v>194.6</v>
      </c>
      <c r="V38" s="11">
        <v>237.3</v>
      </c>
      <c r="W38" s="14"/>
      <c r="X38" s="11">
        <f>IF(O38="","",(S38+T38+U38+V38))</f>
        <v>966.60000000000014</v>
      </c>
      <c r="Y38" s="14"/>
      <c r="Z38" s="24">
        <v>352</v>
      </c>
      <c r="AA38" s="14">
        <v>218.7</v>
      </c>
      <c r="AB38" s="14">
        <v>192.4</v>
      </c>
      <c r="AC38" s="11">
        <v>220.1</v>
      </c>
      <c r="AD38" s="14"/>
      <c r="AE38" s="11">
        <f t="shared" si="55"/>
        <v>983.2</v>
      </c>
      <c r="AF38" s="14"/>
      <c r="AG38" s="11">
        <v>294.52</v>
      </c>
      <c r="AH38" s="14">
        <v>162.11000000000001</v>
      </c>
      <c r="AI38" s="14">
        <v>127.93</v>
      </c>
      <c r="AJ38" s="25">
        <v>139.43</v>
      </c>
      <c r="AK38" s="11">
        <f t="shared" si="47"/>
        <v>723.99</v>
      </c>
      <c r="AL38" s="73">
        <v>817.6</v>
      </c>
      <c r="AM38" s="25">
        <v>217.9</v>
      </c>
      <c r="AN38" s="14">
        <v>119</v>
      </c>
      <c r="AO38" s="14">
        <v>113.3</v>
      </c>
      <c r="AP38" s="14">
        <v>203.4</v>
      </c>
      <c r="AQ38" s="11">
        <f t="shared" si="48"/>
        <v>653.6</v>
      </c>
      <c r="AR38" s="14">
        <v>116</v>
      </c>
      <c r="AS38" s="14">
        <v>273</v>
      </c>
      <c r="AT38" s="14">
        <v>86</v>
      </c>
      <c r="AU38" s="14">
        <v>138</v>
      </c>
      <c r="AV38" s="11">
        <f t="shared" si="49"/>
        <v>613</v>
      </c>
      <c r="AW38" s="14">
        <v>100</v>
      </c>
      <c r="AX38" s="25">
        <v>192.2</v>
      </c>
      <c r="AY38" s="25">
        <v>109</v>
      </c>
      <c r="AZ38" s="25">
        <v>268</v>
      </c>
      <c r="BA38" s="11">
        <f t="shared" si="50"/>
        <v>669.2</v>
      </c>
      <c r="BB38" s="11">
        <v>66</v>
      </c>
      <c r="BC38" s="11">
        <v>109.3</v>
      </c>
      <c r="BD38" s="11">
        <v>90.6</v>
      </c>
      <c r="BE38" s="11">
        <v>153.30000000000001</v>
      </c>
      <c r="BF38" s="11">
        <f t="shared" si="25"/>
        <v>419.2</v>
      </c>
      <c r="BG38" s="11">
        <v>104</v>
      </c>
      <c r="BH38" s="11">
        <v>241.6</v>
      </c>
      <c r="BI38" s="11">
        <v>84.7</v>
      </c>
      <c r="BJ38" s="11">
        <v>110.6</v>
      </c>
      <c r="BK38" s="11">
        <f t="shared" si="26"/>
        <v>540.9</v>
      </c>
      <c r="BL38" s="11">
        <v>57.7</v>
      </c>
      <c r="BM38" s="11">
        <v>73.8</v>
      </c>
      <c r="BN38" s="11">
        <v>32.700000000000003</v>
      </c>
      <c r="BO38" s="11">
        <v>38.6</v>
      </c>
      <c r="BP38" s="11">
        <f t="shared" si="27"/>
        <v>202.79999999999998</v>
      </c>
      <c r="BQ38" s="11">
        <v>29.9</v>
      </c>
      <c r="BR38" s="11">
        <v>40</v>
      </c>
      <c r="BS38" s="11">
        <v>31</v>
      </c>
      <c r="BT38" s="11">
        <v>41.6</v>
      </c>
      <c r="BU38" s="11">
        <f t="shared" si="51"/>
        <v>-27.800000000000004</v>
      </c>
      <c r="BV38" s="11">
        <f t="shared" si="0"/>
        <v>69.900000000000006</v>
      </c>
      <c r="BW38" s="11">
        <f t="shared" si="28"/>
        <v>100.9</v>
      </c>
      <c r="BX38" s="11">
        <f t="shared" si="52"/>
        <v>-33.799999999999997</v>
      </c>
      <c r="BY38" s="11">
        <f t="shared" si="53"/>
        <v>-48.180242634315427</v>
      </c>
      <c r="BZ38" s="11">
        <f t="shared" si="54"/>
        <v>-45.799457994579946</v>
      </c>
      <c r="CA38" s="11">
        <f t="shared" si="1"/>
        <v>142.5</v>
      </c>
      <c r="CB38" s="11">
        <v>35.1</v>
      </c>
      <c r="CC38" s="11">
        <v>42.6</v>
      </c>
      <c r="CD38" s="11">
        <v>37.6</v>
      </c>
      <c r="CE38" s="11">
        <v>46</v>
      </c>
      <c r="CF38" s="11">
        <f t="shared" si="29"/>
        <v>161.30000000000001</v>
      </c>
      <c r="CG38" s="11">
        <v>30.7</v>
      </c>
      <c r="CH38" s="11">
        <v>33.700000000000003</v>
      </c>
      <c r="CI38" s="11">
        <v>40.799999999999997</v>
      </c>
      <c r="CJ38" s="11">
        <v>44.4</v>
      </c>
      <c r="CK38" s="11">
        <f t="shared" si="2"/>
        <v>149.6</v>
      </c>
      <c r="CL38" s="11">
        <v>31.1</v>
      </c>
      <c r="CM38" s="11">
        <v>37.5</v>
      </c>
      <c r="CN38" s="11"/>
      <c r="CO38" s="11"/>
      <c r="CP38" s="11">
        <v>36</v>
      </c>
      <c r="CQ38" s="11">
        <v>46.1</v>
      </c>
      <c r="CR38" s="11">
        <f t="shared" si="42"/>
        <v>150.69999999999999</v>
      </c>
      <c r="CS38" s="11">
        <v>30.7</v>
      </c>
      <c r="CT38" s="11">
        <f t="shared" si="43"/>
        <v>-0.40000000000000213</v>
      </c>
      <c r="CU38" s="11">
        <f t="shared" si="44"/>
        <v>-1.2861736334405212</v>
      </c>
      <c r="CV38" s="11">
        <f t="shared" si="5"/>
        <v>1.0999999999999872</v>
      </c>
      <c r="CW38" s="11">
        <f t="shared" si="6"/>
        <v>0.73529411764705033</v>
      </c>
      <c r="CX38" s="12"/>
      <c r="CY38" s="12"/>
      <c r="CZ38" s="12"/>
      <c r="DA38" s="12"/>
      <c r="DB38" s="93"/>
      <c r="DC38" s="3"/>
      <c r="DD38" s="3"/>
      <c r="DE38" s="3"/>
    </row>
    <row r="39" spans="1:111" x14ac:dyDescent="0.2">
      <c r="B39" s="4" t="s">
        <v>26</v>
      </c>
      <c r="C39" s="4" t="s">
        <v>49</v>
      </c>
      <c r="E39" s="8"/>
      <c r="F39" s="10">
        <v>-33</v>
      </c>
      <c r="G39" s="20">
        <f>SUM(J39:M39)</f>
        <v>-8</v>
      </c>
      <c r="H39" s="20">
        <f>SUM(O39:R39)</f>
        <v>-6</v>
      </c>
      <c r="I39" s="20"/>
      <c r="J39" s="10">
        <v>-1</v>
      </c>
      <c r="K39" s="20">
        <v>-1</v>
      </c>
      <c r="L39" s="20">
        <v>-1</v>
      </c>
      <c r="M39" s="20">
        <v>-5</v>
      </c>
      <c r="N39" s="8"/>
      <c r="O39" s="20">
        <v>-1</v>
      </c>
      <c r="P39" s="20">
        <v>-1</v>
      </c>
      <c r="Q39" s="20">
        <v>0</v>
      </c>
      <c r="R39" s="20">
        <v>-4</v>
      </c>
      <c r="S39" s="11">
        <v>-2.6</v>
      </c>
      <c r="T39" s="14">
        <v>-4.9000000000000004</v>
      </c>
      <c r="U39" s="14">
        <v>-0.9</v>
      </c>
      <c r="V39" s="11">
        <v>-12.4</v>
      </c>
      <c r="W39" s="14"/>
      <c r="X39" s="11">
        <f>IF(O39="","",(S39+T39+U39+V39))</f>
        <v>-20.8</v>
      </c>
      <c r="Y39" s="14"/>
      <c r="Z39" s="24">
        <v>-3.8</v>
      </c>
      <c r="AA39" s="14">
        <v>-7.1139390000000002</v>
      </c>
      <c r="AB39" s="14">
        <v>-2.5</v>
      </c>
      <c r="AC39" s="11">
        <v>-14.7</v>
      </c>
      <c r="AD39" s="14"/>
      <c r="AE39" s="11">
        <f t="shared" si="55"/>
        <v>-28.113938999999998</v>
      </c>
      <c r="AF39" s="14"/>
      <c r="AG39" s="11">
        <v>-4.0999999999999996</v>
      </c>
      <c r="AH39" s="14">
        <v>-12.4</v>
      </c>
      <c r="AI39" s="14">
        <v>-9</v>
      </c>
      <c r="AJ39" s="25">
        <v>-10.6</v>
      </c>
      <c r="AK39" s="11">
        <f t="shared" si="47"/>
        <v>-36.1</v>
      </c>
      <c r="AL39" s="73">
        <v>-35.5</v>
      </c>
      <c r="AM39" s="25">
        <v>-1.4</v>
      </c>
      <c r="AN39" s="14">
        <v>-23.6</v>
      </c>
      <c r="AO39" s="14">
        <v>-12</v>
      </c>
      <c r="AP39" s="14">
        <v>-23.3</v>
      </c>
      <c r="AQ39" s="11">
        <f t="shared" si="48"/>
        <v>-60.3</v>
      </c>
      <c r="AR39" s="14">
        <v>-10</v>
      </c>
      <c r="AS39" s="14">
        <v>-12.8</v>
      </c>
      <c r="AT39" s="14">
        <v>-2.8940000000000001</v>
      </c>
      <c r="AU39" s="14">
        <v>-21.2</v>
      </c>
      <c r="AV39" s="11">
        <f t="shared" si="49"/>
        <v>-46.894000000000005</v>
      </c>
      <c r="AW39" s="14">
        <v>-9</v>
      </c>
      <c r="AX39" s="25">
        <v>-15.9</v>
      </c>
      <c r="AY39" s="25">
        <v>-48.8</v>
      </c>
      <c r="AZ39" s="25">
        <v>-30.2</v>
      </c>
      <c r="BA39" s="11">
        <f t="shared" si="50"/>
        <v>-103.89999999999999</v>
      </c>
      <c r="BB39" s="11">
        <v>-14.2</v>
      </c>
      <c r="BC39" s="11">
        <v>-19</v>
      </c>
      <c r="BD39" s="11">
        <v>-14.9</v>
      </c>
      <c r="BE39" s="24">
        <v>-24.2</v>
      </c>
      <c r="BF39" s="11">
        <f t="shared" si="25"/>
        <v>-72.3</v>
      </c>
      <c r="BG39" s="24">
        <v>-14.2</v>
      </c>
      <c r="BH39" s="24">
        <v>-17.899999999999999</v>
      </c>
      <c r="BI39" s="24">
        <v>-28.7</v>
      </c>
      <c r="BJ39" s="24">
        <v>-40.799999999999997</v>
      </c>
      <c r="BK39" s="24">
        <f t="shared" si="26"/>
        <v>-101.6</v>
      </c>
      <c r="BL39" s="24">
        <v>-22.4</v>
      </c>
      <c r="BM39" s="24">
        <v>-30.3</v>
      </c>
      <c r="BN39" s="24">
        <v>-21.3</v>
      </c>
      <c r="BO39" s="24">
        <v>-38.299999999999997</v>
      </c>
      <c r="BP39" s="24">
        <f t="shared" si="27"/>
        <v>-112.3</v>
      </c>
      <c r="BQ39" s="24">
        <v>-20.5</v>
      </c>
      <c r="BR39" s="24">
        <v>-16.2</v>
      </c>
      <c r="BS39" s="24">
        <v>-15.8</v>
      </c>
      <c r="BT39" s="24">
        <v>-18.3</v>
      </c>
      <c r="BU39" s="24">
        <f t="shared" si="51"/>
        <v>1.8999999999999986</v>
      </c>
      <c r="BV39" s="24">
        <f t="shared" si="0"/>
        <v>-36.700000000000003</v>
      </c>
      <c r="BW39" s="24">
        <f t="shared" si="28"/>
        <v>-52.5</v>
      </c>
      <c r="BX39" s="24">
        <f t="shared" si="52"/>
        <v>14.100000000000001</v>
      </c>
      <c r="BY39" s="24">
        <f t="shared" si="53"/>
        <v>-8.4821428571428523</v>
      </c>
      <c r="BZ39" s="24">
        <f t="shared" si="54"/>
        <v>-46.534653465346537</v>
      </c>
      <c r="CA39" s="24">
        <f t="shared" si="1"/>
        <v>-70.8</v>
      </c>
      <c r="CB39" s="24">
        <v>-23.6</v>
      </c>
      <c r="CC39" s="24">
        <v>-28.1</v>
      </c>
      <c r="CD39" s="24">
        <v>-23.9</v>
      </c>
      <c r="CE39" s="24">
        <v>-31.1</v>
      </c>
      <c r="CF39" s="24">
        <f t="shared" si="29"/>
        <v>-106.69999999999999</v>
      </c>
      <c r="CG39" s="24">
        <v>-21.3</v>
      </c>
      <c r="CH39" s="24">
        <v>-27.4</v>
      </c>
      <c r="CI39" s="24">
        <v>-23</v>
      </c>
      <c r="CJ39" s="24">
        <v>-32.1</v>
      </c>
      <c r="CK39" s="24">
        <f t="shared" si="2"/>
        <v>-103.80000000000001</v>
      </c>
      <c r="CL39" s="24">
        <v>-15.7</v>
      </c>
      <c r="CM39" s="24">
        <v>-18.8</v>
      </c>
      <c r="CN39" s="24"/>
      <c r="CO39" s="24"/>
      <c r="CP39" s="24">
        <v>-12.3</v>
      </c>
      <c r="CQ39" s="24">
        <v>-17.2</v>
      </c>
      <c r="CR39" s="24">
        <f t="shared" si="42"/>
        <v>-64</v>
      </c>
      <c r="CS39" s="24">
        <v>-9.4</v>
      </c>
      <c r="CT39" s="24">
        <f t="shared" si="43"/>
        <v>6.2999999999999989</v>
      </c>
      <c r="CU39" s="24">
        <f t="shared" si="44"/>
        <v>-40.127388535031841</v>
      </c>
      <c r="CV39" s="24">
        <f t="shared" si="5"/>
        <v>39.799999999999997</v>
      </c>
      <c r="CW39" s="24">
        <f t="shared" si="6"/>
        <v>-38.342967244701342</v>
      </c>
      <c r="CX39" s="9"/>
      <c r="CY39" s="94"/>
      <c r="CZ39" s="9"/>
      <c r="DA39" s="3"/>
      <c r="DB39" s="3"/>
      <c r="DC39" s="3"/>
    </row>
    <row r="40" spans="1:111" x14ac:dyDescent="0.2">
      <c r="B40" s="4" t="s">
        <v>77</v>
      </c>
      <c r="C40" s="4" t="s">
        <v>78</v>
      </c>
      <c r="E40" s="8"/>
      <c r="F40" s="10"/>
      <c r="G40" s="20"/>
      <c r="H40" s="20"/>
      <c r="I40" s="20"/>
      <c r="J40" s="10"/>
      <c r="K40" s="20"/>
      <c r="L40" s="20"/>
      <c r="M40" s="20"/>
      <c r="N40" s="8"/>
      <c r="O40" s="20"/>
      <c r="P40" s="20"/>
      <c r="Q40" s="20"/>
      <c r="R40" s="20"/>
      <c r="S40" s="11">
        <v>14.5</v>
      </c>
      <c r="T40" s="14">
        <v>3.1</v>
      </c>
      <c r="U40" s="14">
        <v>8</v>
      </c>
      <c r="V40" s="11">
        <v>8.5</v>
      </c>
      <c r="W40" s="14"/>
      <c r="X40" s="11">
        <f>SUM(S40:V40)</f>
        <v>34.1</v>
      </c>
      <c r="Y40" s="14"/>
      <c r="Z40" s="24">
        <v>12.6</v>
      </c>
      <c r="AA40" s="14">
        <v>5.2927999999999997</v>
      </c>
      <c r="AB40" s="14">
        <v>8.5</v>
      </c>
      <c r="AC40" s="11">
        <v>8.4</v>
      </c>
      <c r="AD40" s="14"/>
      <c r="AE40" s="11">
        <f t="shared" si="55"/>
        <v>34.7928</v>
      </c>
      <c r="AF40" s="14"/>
      <c r="AG40" s="11">
        <v>7.02</v>
      </c>
      <c r="AH40" s="14">
        <v>7.43</v>
      </c>
      <c r="AI40" s="14">
        <v>7.74</v>
      </c>
      <c r="AJ40" s="25">
        <v>8.0299999999999994</v>
      </c>
      <c r="AK40" s="11">
        <f t="shared" si="47"/>
        <v>30.22</v>
      </c>
      <c r="AL40" s="73">
        <v>30.1</v>
      </c>
      <c r="AM40" s="25">
        <v>6.6</v>
      </c>
      <c r="AN40" s="14">
        <v>8</v>
      </c>
      <c r="AO40" s="14">
        <v>7.7</v>
      </c>
      <c r="AP40" s="14">
        <v>6.8</v>
      </c>
      <c r="AQ40" s="11">
        <f t="shared" si="48"/>
        <v>29.1</v>
      </c>
      <c r="AR40" s="14">
        <v>6.6</v>
      </c>
      <c r="AS40" s="14">
        <v>10</v>
      </c>
      <c r="AT40" s="14">
        <v>0</v>
      </c>
      <c r="AU40" s="14">
        <v>6.1</v>
      </c>
      <c r="AV40" s="11">
        <f t="shared" si="49"/>
        <v>22.700000000000003</v>
      </c>
      <c r="AW40" s="14">
        <v>6.3</v>
      </c>
      <c r="AX40" s="25">
        <v>7.3</v>
      </c>
      <c r="AY40" s="25">
        <v>7.2</v>
      </c>
      <c r="AZ40" s="25">
        <v>5.2</v>
      </c>
      <c r="BA40" s="11">
        <f t="shared" si="50"/>
        <v>26</v>
      </c>
      <c r="BB40" s="11">
        <v>5</v>
      </c>
      <c r="BC40" s="11">
        <v>7.8</v>
      </c>
      <c r="BD40" s="11">
        <v>6.1</v>
      </c>
      <c r="BE40" s="11">
        <v>5.9</v>
      </c>
      <c r="BF40" s="11">
        <f t="shared" si="25"/>
        <v>24.799999999999997</v>
      </c>
      <c r="BG40" s="11">
        <v>6.5</v>
      </c>
      <c r="BH40" s="11">
        <v>4.8</v>
      </c>
      <c r="BI40" s="11">
        <v>8</v>
      </c>
      <c r="BJ40" s="11">
        <v>4.4000000000000004</v>
      </c>
      <c r="BK40" s="11">
        <f t="shared" si="26"/>
        <v>23.700000000000003</v>
      </c>
      <c r="BL40" s="11">
        <v>5.8</v>
      </c>
      <c r="BM40" s="11">
        <v>7.3</v>
      </c>
      <c r="BN40" s="11">
        <v>5.6</v>
      </c>
      <c r="BO40" s="11">
        <v>5.7</v>
      </c>
      <c r="BP40" s="11">
        <f t="shared" si="27"/>
        <v>24.4</v>
      </c>
      <c r="BQ40" s="11">
        <v>6.5</v>
      </c>
      <c r="BR40" s="11">
        <v>8.1999999999999993</v>
      </c>
      <c r="BS40" s="11">
        <v>5.4</v>
      </c>
      <c r="BT40" s="11">
        <v>4.8</v>
      </c>
      <c r="BU40" s="11">
        <f t="shared" si="51"/>
        <v>0.70000000000000018</v>
      </c>
      <c r="BV40" s="11">
        <f t="shared" si="0"/>
        <v>14.7</v>
      </c>
      <c r="BW40" s="11">
        <f t="shared" si="28"/>
        <v>20.100000000000001</v>
      </c>
      <c r="BX40" s="11">
        <f t="shared" si="52"/>
        <v>0.89999999999999947</v>
      </c>
      <c r="BY40" s="11">
        <f t="shared" si="53"/>
        <v>12.068965517241383</v>
      </c>
      <c r="BZ40" s="11">
        <f t="shared" si="54"/>
        <v>12.328767123287664</v>
      </c>
      <c r="CA40" s="11">
        <f t="shared" si="1"/>
        <v>24.900000000000002</v>
      </c>
      <c r="CB40" s="11">
        <v>5.6</v>
      </c>
      <c r="CC40" s="11">
        <v>5.7</v>
      </c>
      <c r="CD40" s="11">
        <v>5.0999999999999996</v>
      </c>
      <c r="CE40" s="11">
        <v>5.3</v>
      </c>
      <c r="CF40" s="11">
        <f t="shared" si="29"/>
        <v>21.7</v>
      </c>
      <c r="CG40" s="11">
        <v>6.2</v>
      </c>
      <c r="CH40" s="11">
        <v>5.8</v>
      </c>
      <c r="CI40" s="11">
        <v>4.7</v>
      </c>
      <c r="CJ40" s="11">
        <v>5.0999999999999996</v>
      </c>
      <c r="CK40" s="11">
        <f t="shared" si="2"/>
        <v>21.799999999999997</v>
      </c>
      <c r="CL40" s="11">
        <v>5.2</v>
      </c>
      <c r="CM40" s="11">
        <v>6.2</v>
      </c>
      <c r="CN40" s="11"/>
      <c r="CO40" s="11"/>
      <c r="CP40" s="11">
        <v>5.4</v>
      </c>
      <c r="CQ40" s="11">
        <v>5.2</v>
      </c>
      <c r="CR40" s="11">
        <f t="shared" si="42"/>
        <v>22</v>
      </c>
      <c r="CS40" s="11">
        <v>4.8</v>
      </c>
      <c r="CT40" s="11">
        <f t="shared" si="43"/>
        <v>-0.40000000000000036</v>
      </c>
      <c r="CU40" s="11">
        <f t="shared" si="44"/>
        <v>-7.6923076923076987</v>
      </c>
      <c r="CV40" s="11">
        <f t="shared" si="5"/>
        <v>0.20000000000000018</v>
      </c>
      <c r="CW40" s="11">
        <f t="shared" si="6"/>
        <v>0.9174311926605514</v>
      </c>
      <c r="CX40" s="9"/>
      <c r="CY40" s="9"/>
      <c r="CZ40" s="9"/>
      <c r="DA40" s="3"/>
      <c r="DB40" s="3"/>
      <c r="DC40" s="3"/>
    </row>
    <row r="41" spans="1:111" x14ac:dyDescent="0.2">
      <c r="B41" s="4" t="s">
        <v>83</v>
      </c>
      <c r="C41" s="4" t="s">
        <v>84</v>
      </c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6.2</v>
      </c>
      <c r="T41" s="14">
        <v>1.3</v>
      </c>
      <c r="U41" s="14">
        <v>3.4</v>
      </c>
      <c r="V41" s="11">
        <v>3.6</v>
      </c>
      <c r="W41" s="14"/>
      <c r="X41" s="11">
        <f>SUM(S41:V41)</f>
        <v>14.5</v>
      </c>
      <c r="Y41" s="14"/>
      <c r="Z41" s="24">
        <v>5.3</v>
      </c>
      <c r="AA41" s="14">
        <v>2.2529430000000001</v>
      </c>
      <c r="AB41" s="14">
        <v>3.6</v>
      </c>
      <c r="AC41" s="11">
        <v>3.6</v>
      </c>
      <c r="AD41" s="14"/>
      <c r="AE41" s="11">
        <f t="shared" si="55"/>
        <v>14.752943</v>
      </c>
      <c r="AF41" s="14"/>
      <c r="AG41" s="11">
        <v>3</v>
      </c>
      <c r="AH41" s="14">
        <v>3.2</v>
      </c>
      <c r="AI41" s="14">
        <v>3.3</v>
      </c>
      <c r="AJ41" s="25">
        <v>3.4</v>
      </c>
      <c r="AK41" s="11">
        <f t="shared" si="47"/>
        <v>12.9</v>
      </c>
      <c r="AL41" s="73">
        <v>12.5</v>
      </c>
      <c r="AM41" s="25">
        <v>2.8</v>
      </c>
      <c r="AN41" s="14">
        <v>3.4</v>
      </c>
      <c r="AO41" s="14">
        <v>3.3</v>
      </c>
      <c r="AP41" s="14">
        <v>2.9</v>
      </c>
      <c r="AQ41" s="11">
        <f t="shared" si="48"/>
        <v>12.4</v>
      </c>
      <c r="AR41" s="14">
        <v>2.8</v>
      </c>
      <c r="AS41" s="14">
        <v>4.3</v>
      </c>
      <c r="AT41" s="14">
        <v>0</v>
      </c>
      <c r="AU41" s="14">
        <v>2.6</v>
      </c>
      <c r="AV41" s="11">
        <f t="shared" si="49"/>
        <v>9.6999999999999993</v>
      </c>
      <c r="AW41" s="14">
        <v>3</v>
      </c>
      <c r="AX41" s="25">
        <v>3.1</v>
      </c>
      <c r="AY41" s="25">
        <v>3.1</v>
      </c>
      <c r="AZ41" s="25">
        <v>2.2000000000000002</v>
      </c>
      <c r="BA41" s="11">
        <f t="shared" si="50"/>
        <v>11.399999999999999</v>
      </c>
      <c r="BB41" s="11">
        <v>2</v>
      </c>
      <c r="BC41" s="11">
        <v>3.3</v>
      </c>
      <c r="BD41" s="11">
        <v>2.6</v>
      </c>
      <c r="BE41" s="11">
        <v>2.5</v>
      </c>
      <c r="BF41" s="11">
        <f t="shared" si="25"/>
        <v>10.4</v>
      </c>
      <c r="BG41" s="11">
        <v>2.8</v>
      </c>
      <c r="BH41" s="11">
        <v>2</v>
      </c>
      <c r="BI41" s="11">
        <v>3.4</v>
      </c>
      <c r="BJ41" s="11">
        <v>1.9</v>
      </c>
      <c r="BK41" s="11">
        <f t="shared" si="26"/>
        <v>10.1</v>
      </c>
      <c r="BL41" s="11">
        <v>2.5</v>
      </c>
      <c r="BM41" s="11">
        <v>3.1</v>
      </c>
      <c r="BN41" s="11">
        <v>2.4</v>
      </c>
      <c r="BO41" s="11">
        <v>2.4</v>
      </c>
      <c r="BP41" s="11">
        <f t="shared" si="27"/>
        <v>10.4</v>
      </c>
      <c r="BQ41" s="11">
        <v>2.8</v>
      </c>
      <c r="BR41" s="11">
        <v>3.5</v>
      </c>
      <c r="BS41" s="11">
        <v>2.2999999999999998</v>
      </c>
      <c r="BT41" s="11">
        <v>2</v>
      </c>
      <c r="BU41" s="11">
        <f t="shared" si="51"/>
        <v>0.29999999999999982</v>
      </c>
      <c r="BV41" s="11">
        <f t="shared" si="0"/>
        <v>6.3</v>
      </c>
      <c r="BW41" s="11">
        <f t="shared" si="28"/>
        <v>8.6</v>
      </c>
      <c r="BX41" s="11">
        <f t="shared" si="52"/>
        <v>0.39999999999999991</v>
      </c>
      <c r="BY41" s="11">
        <f t="shared" si="53"/>
        <v>11.999999999999993</v>
      </c>
      <c r="BZ41" s="11">
        <f t="shared" si="54"/>
        <v>12.90322580645161</v>
      </c>
      <c r="CA41" s="11">
        <f t="shared" si="1"/>
        <v>10.6</v>
      </c>
      <c r="CB41" s="11">
        <v>2.4</v>
      </c>
      <c r="CC41" s="11">
        <v>2.4</v>
      </c>
      <c r="CD41" s="11">
        <v>2.2000000000000002</v>
      </c>
      <c r="CE41" s="11">
        <v>2.2999999999999998</v>
      </c>
      <c r="CF41" s="11">
        <f t="shared" si="29"/>
        <v>9.3000000000000007</v>
      </c>
      <c r="CG41" s="11">
        <v>2.6</v>
      </c>
      <c r="CH41" s="11">
        <v>2.5</v>
      </c>
      <c r="CI41" s="11">
        <v>2</v>
      </c>
      <c r="CJ41" s="11">
        <v>2.2000000000000002</v>
      </c>
      <c r="CK41" s="11">
        <f t="shared" si="2"/>
        <v>9.3000000000000007</v>
      </c>
      <c r="CL41" s="11">
        <v>2.2000000000000002</v>
      </c>
      <c r="CM41" s="11">
        <v>2.5</v>
      </c>
      <c r="CN41" s="11"/>
      <c r="CO41" s="11"/>
      <c r="CP41" s="11">
        <v>2.2999999999999998</v>
      </c>
      <c r="CQ41" s="11">
        <v>2.2000000000000002</v>
      </c>
      <c r="CR41" s="11">
        <f t="shared" si="42"/>
        <v>9.1999999999999993</v>
      </c>
      <c r="CS41" s="11">
        <v>2</v>
      </c>
      <c r="CT41" s="11">
        <f t="shared" si="43"/>
        <v>-0.20000000000000018</v>
      </c>
      <c r="CU41" s="11">
        <f t="shared" si="44"/>
        <v>-9.0909090909090988</v>
      </c>
      <c r="CV41" s="11">
        <f t="shared" si="5"/>
        <v>-0.10000000000000053</v>
      </c>
      <c r="CW41" s="11">
        <f t="shared" si="6"/>
        <v>-1.0752688172043068</v>
      </c>
      <c r="CX41" s="9"/>
      <c r="CY41" s="9"/>
      <c r="CZ41" s="9"/>
      <c r="DA41" s="3"/>
      <c r="DB41" s="3"/>
      <c r="DC41" s="3"/>
    </row>
    <row r="42" spans="1:111" ht="10.5" customHeight="1" x14ac:dyDescent="0.2">
      <c r="E42" s="8"/>
      <c r="F42" s="10"/>
      <c r="G42" s="20"/>
      <c r="H42" s="17" t="s">
        <v>10</v>
      </c>
      <c r="I42" s="17"/>
      <c r="J42" s="14"/>
      <c r="K42" s="24"/>
      <c r="L42" s="25"/>
      <c r="M42" s="25"/>
      <c r="N42" s="8"/>
      <c r="O42" s="25"/>
      <c r="P42" s="25"/>
      <c r="Q42" s="25"/>
      <c r="R42" s="25"/>
      <c r="S42" s="12"/>
      <c r="T42" s="12"/>
      <c r="U42" s="12"/>
      <c r="V42" s="12"/>
      <c r="W42" s="14"/>
      <c r="X42" s="12" t="str">
        <f>IF(O42="","",(O42+P42+Q42+R42))</f>
        <v/>
      </c>
      <c r="Y42" s="14"/>
      <c r="Z42" s="23"/>
      <c r="AA42" s="44"/>
      <c r="AC42" s="12"/>
      <c r="AD42" s="14"/>
      <c r="AE42" s="12"/>
      <c r="AF42" s="14"/>
      <c r="AG42" s="12"/>
      <c r="AH42" s="44"/>
      <c r="AI42" s="44"/>
      <c r="AJ42" s="29"/>
      <c r="AK42" s="12">
        <f>2980-2886.3</f>
        <v>93.699999999999818</v>
      </c>
      <c r="AL42" s="72" t="s">
        <v>10</v>
      </c>
      <c r="AM42" s="29"/>
      <c r="AN42" s="44"/>
      <c r="AO42" s="44"/>
      <c r="AP42" s="44"/>
      <c r="AQ42" s="12" t="s">
        <v>10</v>
      </c>
      <c r="AR42" s="44"/>
      <c r="AS42" s="44"/>
      <c r="AT42" s="44"/>
      <c r="AU42" s="44"/>
      <c r="AV42" s="12" t="s">
        <v>10</v>
      </c>
      <c r="AW42" s="44"/>
      <c r="AX42" s="29"/>
      <c r="AY42" s="29"/>
      <c r="AZ42" s="29"/>
      <c r="BA42" s="12" t="s">
        <v>10</v>
      </c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9"/>
      <c r="CY42" s="9"/>
      <c r="CZ42" s="9"/>
      <c r="DA42" s="3"/>
      <c r="DB42" s="3"/>
      <c r="DC42" s="3"/>
      <c r="DD42" s="3"/>
      <c r="DE42" s="3"/>
    </row>
    <row r="43" spans="1:111" s="7" customFormat="1" x14ac:dyDescent="0.2">
      <c r="A43" s="41">
        <v>4</v>
      </c>
      <c r="B43" s="7" t="s">
        <v>27</v>
      </c>
      <c r="E43" s="8"/>
      <c r="F43" s="8">
        <f>SUM(F44:F45)</f>
        <v>-2637</v>
      </c>
      <c r="G43" s="17">
        <f>SUM(J43:M43)</f>
        <v>-3395</v>
      </c>
      <c r="H43" s="17">
        <f>SUM(O43:R43)</f>
        <v>-3853</v>
      </c>
      <c r="I43" s="17"/>
      <c r="J43" s="8">
        <f>SUM(J44:J45)</f>
        <v>-664</v>
      </c>
      <c r="K43" s="23">
        <f>SUM(K44:K45)</f>
        <v>-1054</v>
      </c>
      <c r="L43" s="23">
        <f>SUM(L44:L45)</f>
        <v>-632</v>
      </c>
      <c r="M43" s="29">
        <f>SUM(M44:M45)</f>
        <v>-1045</v>
      </c>
      <c r="N43" s="8"/>
      <c r="O43" s="23">
        <f t="shared" ref="O43:U43" si="56">SUM(O44:O45)</f>
        <v>-832</v>
      </c>
      <c r="P43" s="23">
        <f t="shared" si="56"/>
        <v>-1200</v>
      </c>
      <c r="Q43" s="23">
        <f t="shared" si="56"/>
        <v>-705</v>
      </c>
      <c r="R43" s="23">
        <f t="shared" si="56"/>
        <v>-1116</v>
      </c>
      <c r="S43" s="23">
        <f t="shared" si="56"/>
        <v>-867.95540000000005</v>
      </c>
      <c r="T43" s="23">
        <f t="shared" si="56"/>
        <v>-1492.4</v>
      </c>
      <c r="U43" s="23">
        <f t="shared" si="56"/>
        <v>-775.8</v>
      </c>
      <c r="V43" s="23">
        <f>SUM(V44:V45)</f>
        <v>-1300.8</v>
      </c>
      <c r="W43" s="14"/>
      <c r="X43" s="12">
        <f>IF(O43="","",(S43+T43+U43+V43))</f>
        <v>-4436.9554000000007</v>
      </c>
      <c r="Y43" s="14"/>
      <c r="Z43" s="23">
        <f>SUM(Z44:Z45)</f>
        <v>-893.5</v>
      </c>
      <c r="AA43" s="23">
        <f>SUM(AA44:AA45)</f>
        <v>-1455.2115590000001</v>
      </c>
      <c r="AB43" s="23">
        <f>SUM(AB44:AB45)</f>
        <v>-821.5</v>
      </c>
      <c r="AC43" s="23">
        <f>SUM(AC44:AC45)</f>
        <v>-1317</v>
      </c>
      <c r="AD43" s="14"/>
      <c r="AE43" s="12">
        <f>SUM(AE44:AE45)</f>
        <v>-4487.2115590000003</v>
      </c>
      <c r="AF43" s="14"/>
      <c r="AG43" s="23">
        <f>SUM(AG44:AG45)</f>
        <v>-555.79999999999995</v>
      </c>
      <c r="AH43" s="23">
        <f>SUM(AH44:AH45)</f>
        <v>-1014.0999999999999</v>
      </c>
      <c r="AI43" s="23">
        <f>SUM(AI44:AI45)</f>
        <v>-778.9</v>
      </c>
      <c r="AJ43" s="23">
        <f>SUM(AJ44:AJ45)</f>
        <v>-1233.8999999999999</v>
      </c>
      <c r="AK43" s="12">
        <f>+AG43+AH43+AI43+AJ43</f>
        <v>-3582.7</v>
      </c>
      <c r="AL43" s="72">
        <v>-3675.7</v>
      </c>
      <c r="AM43" s="23">
        <f>SUM(AM44:AM45)</f>
        <v>-813.8</v>
      </c>
      <c r="AN43" s="23">
        <f>SUM(AN44:AN45)</f>
        <v>-899.6</v>
      </c>
      <c r="AO43" s="23">
        <f>SUM(AO44:AO45)</f>
        <v>-907.8</v>
      </c>
      <c r="AP43" s="23">
        <f>SUM(AP44:AP45)</f>
        <v>-1383.3000000000002</v>
      </c>
      <c r="AQ43" s="12">
        <f>+AM43+AN43+AO43+AP43</f>
        <v>-4004.5</v>
      </c>
      <c r="AR43" s="23">
        <f>SUM(AR44:AR45)</f>
        <v>-805.2</v>
      </c>
      <c r="AS43" s="23">
        <f>SUM(AS44:AS45)</f>
        <v>-1289.5999999999999</v>
      </c>
      <c r="AT43" s="23">
        <f>SUM(AT44:AT45)</f>
        <v>-792.87699999999995</v>
      </c>
      <c r="AU43" s="23">
        <f>SUM(AU44:AU45)</f>
        <v>-1312.5</v>
      </c>
      <c r="AV43" s="12">
        <f>+AR43+AS43+AT43+AU43</f>
        <v>-4200.1769999999997</v>
      </c>
      <c r="AW43" s="23">
        <f>SUM(AW44:AW45)</f>
        <v>-1259.6000000000001</v>
      </c>
      <c r="AX43" s="23">
        <f>SUM(AX44:AX45)</f>
        <v>-1655</v>
      </c>
      <c r="AY43" s="23">
        <f>SUM(AY44:AY45)</f>
        <v>-1246.2</v>
      </c>
      <c r="AZ43" s="23">
        <f>SUM(AZ44:AZ45)</f>
        <v>-2371.9</v>
      </c>
      <c r="BA43" s="12">
        <f>+AW43+AX43+AY43+AZ43</f>
        <v>-6532.7000000000007</v>
      </c>
      <c r="BB43" s="23">
        <f>SUM(BB44:BB45)</f>
        <v>-907.3</v>
      </c>
      <c r="BC43" s="23">
        <f>SUM(BC44:BC45)</f>
        <v>-1324.9</v>
      </c>
      <c r="BD43" s="23">
        <f>SUM(BD44:BD45)</f>
        <v>-1009.7</v>
      </c>
      <c r="BE43" s="23">
        <f>SUM(BE44:BE45)</f>
        <v>-1316.8</v>
      </c>
      <c r="BF43" s="23">
        <f t="shared" si="25"/>
        <v>-4558.7</v>
      </c>
      <c r="BG43" s="23">
        <f>SUM(BG44:BG45)</f>
        <v>-1151.4000000000001</v>
      </c>
      <c r="BH43" s="23">
        <f>SUM(BH44:BH45)</f>
        <v>-834.7</v>
      </c>
      <c r="BI43" s="23">
        <f>SUM(BI44:BI45)</f>
        <v>-998.19999999999993</v>
      </c>
      <c r="BJ43" s="23">
        <f>SUM(BJ44:BJ45)</f>
        <v>-1708.4</v>
      </c>
      <c r="BK43" s="23">
        <f t="shared" si="26"/>
        <v>-4692.7000000000007</v>
      </c>
      <c r="BL43" s="23">
        <f>SUM(BL44:BL45)</f>
        <v>-862.40000000000009</v>
      </c>
      <c r="BM43" s="23">
        <f>SUM(BM44:BM45)</f>
        <v>-723.30000000000007</v>
      </c>
      <c r="BN43" s="23">
        <f>SUM(BN44:BN45)</f>
        <v>-685.4</v>
      </c>
      <c r="BO43" s="23">
        <f>SUM(BO44:BO45)</f>
        <v>-1013</v>
      </c>
      <c r="BP43" s="23">
        <f t="shared" si="27"/>
        <v>-3284.1000000000004</v>
      </c>
      <c r="BQ43" s="23">
        <f>SUM(BQ44:BQ45)</f>
        <v>-868.2</v>
      </c>
      <c r="BR43" s="23">
        <f>SUM(BR44:BR45)</f>
        <v>-540.79999999999995</v>
      </c>
      <c r="BS43" s="23">
        <f>SUM(BS44:BS45)</f>
        <v>-697.7</v>
      </c>
      <c r="BT43" s="23">
        <f>SUM(BT44:BT45)</f>
        <v>-1200.6000000000001</v>
      </c>
      <c r="BU43" s="23">
        <f>+BQ43-BL43</f>
        <v>-5.7999999999999545</v>
      </c>
      <c r="BV43" s="23">
        <f t="shared" si="0"/>
        <v>-1409</v>
      </c>
      <c r="BW43" s="23">
        <f t="shared" si="28"/>
        <v>-2106.6999999999998</v>
      </c>
      <c r="BX43" s="23">
        <f>+BR43-BM43</f>
        <v>182.50000000000011</v>
      </c>
      <c r="BY43" s="23">
        <f>+BU43/(BL43)*100</f>
        <v>0.67254174397031008</v>
      </c>
      <c r="BZ43" s="23">
        <f>+BX43/(BM43)*100</f>
        <v>-25.231577492050338</v>
      </c>
      <c r="CA43" s="23">
        <f t="shared" si="1"/>
        <v>-3307.3</v>
      </c>
      <c r="CB43" s="23">
        <f>SUM(CB44:CB45)</f>
        <v>-683.5</v>
      </c>
      <c r="CC43" s="23">
        <f>SUM(CC44:CC45)</f>
        <v>-775.3</v>
      </c>
      <c r="CD43" s="23">
        <f>SUM(CD44:CD45)</f>
        <v>-679.1</v>
      </c>
      <c r="CE43" s="23">
        <f>SUM(CE44:CE45)</f>
        <v>-1259.5</v>
      </c>
      <c r="CF43" s="23">
        <f t="shared" si="29"/>
        <v>-3397.4</v>
      </c>
      <c r="CG43" s="23">
        <f>SUM(CG44:CG45)</f>
        <v>-604.90000000000009</v>
      </c>
      <c r="CH43" s="23">
        <f>SUM(CH44:CH45)</f>
        <v>-625.4</v>
      </c>
      <c r="CI43" s="23">
        <f>SUM(CI44:CI45)</f>
        <v>-556.9</v>
      </c>
      <c r="CJ43" s="23">
        <f>SUM(CJ44:CJ45)</f>
        <v>-1178.8</v>
      </c>
      <c r="CK43" s="23">
        <f t="shared" si="2"/>
        <v>-2966</v>
      </c>
      <c r="CL43" s="23">
        <f>SUM(CL44:CL45)</f>
        <v>-609.29999999999995</v>
      </c>
      <c r="CM43" s="23">
        <f>SUM(CM44:CM45)</f>
        <v>-657.4</v>
      </c>
      <c r="CN43" s="23"/>
      <c r="CO43" s="23"/>
      <c r="CP43" s="23">
        <f>SUM(CP44:CP45)</f>
        <v>-511</v>
      </c>
      <c r="CQ43" s="23">
        <f>SUM(CQ44:CQ45)</f>
        <v>-1054.8</v>
      </c>
      <c r="CR43" s="23">
        <f t="shared" si="42"/>
        <v>-2832.5</v>
      </c>
      <c r="CS43" s="23">
        <f>SUM(CS44:CS45)</f>
        <v>-511.2</v>
      </c>
      <c r="CT43" s="23">
        <f t="shared" si="43"/>
        <v>98.099999999999966</v>
      </c>
      <c r="CU43" s="23">
        <f t="shared" si="44"/>
        <v>-16.100443131462331</v>
      </c>
      <c r="CV43" s="23">
        <f t="shared" si="5"/>
        <v>133.50000000000023</v>
      </c>
      <c r="CW43" s="23">
        <f t="shared" si="6"/>
        <v>-4.5010114632501761</v>
      </c>
      <c r="CX43" s="9"/>
      <c r="CY43" s="9"/>
      <c r="CZ43" s="9"/>
      <c r="DA43" s="9"/>
      <c r="DB43" s="9"/>
      <c r="DC43" s="9"/>
    </row>
    <row r="44" spans="1:111" x14ac:dyDescent="0.2">
      <c r="B44" s="4" t="s">
        <v>28</v>
      </c>
      <c r="C44" s="4" t="s">
        <v>29</v>
      </c>
      <c r="E44" s="8"/>
      <c r="F44" s="10">
        <v>-1757</v>
      </c>
      <c r="G44" s="20">
        <f>SUM(J44:M44)</f>
        <v>-2049</v>
      </c>
      <c r="H44" s="20">
        <v>-2389</v>
      </c>
      <c r="I44" s="20"/>
      <c r="J44" s="10">
        <v>-517</v>
      </c>
      <c r="K44" s="20">
        <v>-451</v>
      </c>
      <c r="L44" s="20">
        <v>-460</v>
      </c>
      <c r="M44" s="20">
        <v>-621</v>
      </c>
      <c r="N44" s="8"/>
      <c r="O44" s="20">
        <v>-428</v>
      </c>
      <c r="P44" s="20">
        <v>-759</v>
      </c>
      <c r="Q44" s="20">
        <v>-467</v>
      </c>
      <c r="R44" s="20">
        <v>-744</v>
      </c>
      <c r="S44" s="11">
        <v>-412.2</v>
      </c>
      <c r="T44" s="14">
        <v>-743.4</v>
      </c>
      <c r="U44" s="25">
        <v>-447.7</v>
      </c>
      <c r="V44" s="11">
        <v>-778.5</v>
      </c>
      <c r="W44" s="14"/>
      <c r="X44" s="11">
        <f>IF(O44="","",(S44+T44+U44+V44))</f>
        <v>-2381.8000000000002</v>
      </c>
      <c r="Y44" s="14"/>
      <c r="Z44" s="24">
        <v>-409.6</v>
      </c>
      <c r="AA44" s="14">
        <v>-680.7</v>
      </c>
      <c r="AB44" s="14">
        <v>-425.3</v>
      </c>
      <c r="AC44" s="11">
        <v>-719.4</v>
      </c>
      <c r="AD44" s="14"/>
      <c r="AE44" s="11">
        <f>SUM(Z44:AC44)</f>
        <v>-2235</v>
      </c>
      <c r="AF44" s="14"/>
      <c r="AG44" s="11">
        <v>-424.9</v>
      </c>
      <c r="AH44" s="14">
        <v>-795.8</v>
      </c>
      <c r="AI44" s="14">
        <v>-541</v>
      </c>
      <c r="AJ44" s="25">
        <v>-1124.5999999999999</v>
      </c>
      <c r="AK44" s="11">
        <f>+AG44+AH44+AI44+AJ44</f>
        <v>-2886.2999999999997</v>
      </c>
      <c r="AL44" s="73">
        <v>-2979.7</v>
      </c>
      <c r="AM44" s="25">
        <v>-675.4</v>
      </c>
      <c r="AN44" s="14">
        <v>-761.2</v>
      </c>
      <c r="AO44" s="14">
        <v>-766.8</v>
      </c>
      <c r="AP44" s="14">
        <f>-1066.4-89</f>
        <v>-1155.4000000000001</v>
      </c>
      <c r="AQ44" s="11">
        <f>+AM44+AN44+AO44+AP44</f>
        <v>-3358.7999999999997</v>
      </c>
      <c r="AR44" s="14">
        <v>-738</v>
      </c>
      <c r="AS44" s="14">
        <v>-1224</v>
      </c>
      <c r="AT44" s="14">
        <v>-719</v>
      </c>
      <c r="AU44" s="14">
        <v>-1280</v>
      </c>
      <c r="AV44" s="11">
        <f>+AR44+AS44+AT44+AU44</f>
        <v>-3961</v>
      </c>
      <c r="AW44" s="14">
        <f>-824.9-400</f>
        <v>-1224.9000000000001</v>
      </c>
      <c r="AX44" s="25">
        <f>-1901.5+400</f>
        <v>-1501.5</v>
      </c>
      <c r="AY44" s="25">
        <v>-1180.9000000000001</v>
      </c>
      <c r="AZ44" s="25">
        <v>-2313.3000000000002</v>
      </c>
      <c r="BA44" s="11">
        <f>+AW44+AX44+AY44+AZ44</f>
        <v>-6220.6</v>
      </c>
      <c r="BB44" s="11">
        <v>-862.5</v>
      </c>
      <c r="BC44" s="11">
        <v>-1243.9000000000001</v>
      </c>
      <c r="BD44" s="11">
        <v>-940.6</v>
      </c>
      <c r="BE44" s="11">
        <v>-1268</v>
      </c>
      <c r="BF44" s="11">
        <f t="shared" si="25"/>
        <v>-4315</v>
      </c>
      <c r="BG44" s="11">
        <v>-1071.9000000000001</v>
      </c>
      <c r="BH44" s="11">
        <v>-761.7</v>
      </c>
      <c r="BI44" s="11">
        <v>-927.3</v>
      </c>
      <c r="BJ44" s="11">
        <v>-1638.2</v>
      </c>
      <c r="BK44" s="11">
        <f t="shared" si="26"/>
        <v>-4399.1000000000004</v>
      </c>
      <c r="BL44" s="11">
        <v>-814.7</v>
      </c>
      <c r="BM44" s="11">
        <v>-594.70000000000005</v>
      </c>
      <c r="BN44" s="11">
        <v>-608.79999999999995</v>
      </c>
      <c r="BO44" s="11">
        <v>-911</v>
      </c>
      <c r="BP44" s="11">
        <f t="shared" si="27"/>
        <v>-2929.2</v>
      </c>
      <c r="BQ44" s="11">
        <v>-779.1</v>
      </c>
      <c r="BR44" s="11">
        <v>-456.7</v>
      </c>
      <c r="BS44" s="11">
        <v>-607.6</v>
      </c>
      <c r="BT44" s="11">
        <v>-1167.7</v>
      </c>
      <c r="BU44" s="11">
        <f>+BQ44-BL44</f>
        <v>35.600000000000023</v>
      </c>
      <c r="BV44" s="11">
        <f t="shared" si="0"/>
        <v>-1235.8</v>
      </c>
      <c r="BW44" s="11">
        <f t="shared" si="28"/>
        <v>-1843.4</v>
      </c>
      <c r="BX44" s="11">
        <f>+BR44-BM44</f>
        <v>138.00000000000006</v>
      </c>
      <c r="BY44" s="11">
        <f>+BU44/(BL44)*100</f>
        <v>-4.3697066404811613</v>
      </c>
      <c r="BZ44" s="11">
        <f>+BX44/(BM44)*100</f>
        <v>-23.204977299478738</v>
      </c>
      <c r="CA44" s="11">
        <f t="shared" si="1"/>
        <v>-3011.1000000000004</v>
      </c>
      <c r="CB44" s="11">
        <v>-603.9</v>
      </c>
      <c r="CC44" s="11">
        <v>-695.9</v>
      </c>
      <c r="CD44" s="11">
        <v>-631.6</v>
      </c>
      <c r="CE44" s="11">
        <v>-1134.8</v>
      </c>
      <c r="CF44" s="11">
        <f t="shared" si="29"/>
        <v>-3066.2</v>
      </c>
      <c r="CG44" s="11">
        <v>-548.70000000000005</v>
      </c>
      <c r="CH44" s="11">
        <v>-536.5</v>
      </c>
      <c r="CI44" s="11">
        <v>-540.5</v>
      </c>
      <c r="CJ44" s="11">
        <v>-1051.7</v>
      </c>
      <c r="CK44" s="11">
        <f t="shared" si="2"/>
        <v>-2677.4</v>
      </c>
      <c r="CL44" s="11">
        <v>-554.4</v>
      </c>
      <c r="CM44" s="11">
        <v>-553.4</v>
      </c>
      <c r="CN44" s="11"/>
      <c r="CO44" s="11"/>
      <c r="CP44" s="11">
        <v>-429</v>
      </c>
      <c r="CQ44" s="11">
        <v>-982.5</v>
      </c>
      <c r="CR44" s="11">
        <f t="shared" si="42"/>
        <v>-2519.3000000000002</v>
      </c>
      <c r="CS44" s="11">
        <v>-454.4</v>
      </c>
      <c r="CT44" s="11">
        <f t="shared" si="43"/>
        <v>100</v>
      </c>
      <c r="CU44" s="11">
        <f t="shared" si="44"/>
        <v>-18.037518037518037</v>
      </c>
      <c r="CV44" s="11">
        <f t="shared" si="5"/>
        <v>158.09999999999991</v>
      </c>
      <c r="CW44" s="11">
        <f t="shared" si="6"/>
        <v>-5.9049824456562305</v>
      </c>
      <c r="CX44" s="9"/>
      <c r="CY44" s="9"/>
      <c r="CZ44" s="9"/>
      <c r="DA44" s="3"/>
      <c r="DB44" s="3"/>
      <c r="DC44" s="3"/>
    </row>
    <row r="45" spans="1:111" x14ac:dyDescent="0.2">
      <c r="B45" s="4" t="s">
        <v>30</v>
      </c>
      <c r="C45" s="4" t="s">
        <v>31</v>
      </c>
      <c r="E45" s="8"/>
      <c r="F45" s="10">
        <v>-880</v>
      </c>
      <c r="G45" s="20">
        <f>SUM(J45:M45)</f>
        <v>-1346</v>
      </c>
      <c r="H45" s="20">
        <v>-1675</v>
      </c>
      <c r="I45" s="20"/>
      <c r="J45" s="10">
        <v>-147</v>
      </c>
      <c r="K45" s="20">
        <v>-603</v>
      </c>
      <c r="L45" s="20">
        <v>-172</v>
      </c>
      <c r="M45" s="20">
        <v>-424</v>
      </c>
      <c r="N45" s="8"/>
      <c r="O45" s="20">
        <v>-404</v>
      </c>
      <c r="P45" s="20">
        <v>-441</v>
      </c>
      <c r="Q45" s="20">
        <v>-238</v>
      </c>
      <c r="R45" s="20">
        <v>-372</v>
      </c>
      <c r="S45" s="11">
        <v>-455.75540000000001</v>
      </c>
      <c r="T45" s="14">
        <v>-749</v>
      </c>
      <c r="U45" s="25">
        <v>-328.1</v>
      </c>
      <c r="V45" s="11">
        <v>-522.29999999999995</v>
      </c>
      <c r="W45" s="14"/>
      <c r="X45" s="11">
        <f>IF(O45="","",(S45+T45+U45+V45))</f>
        <v>-2055.1553999999996</v>
      </c>
      <c r="Y45" s="14"/>
      <c r="Z45" s="24">
        <v>-483.9</v>
      </c>
      <c r="AA45" s="14">
        <v>-774.51155900000003</v>
      </c>
      <c r="AB45" s="25">
        <v>-396.2</v>
      </c>
      <c r="AC45" s="11">
        <v>-597.6</v>
      </c>
      <c r="AD45" s="14"/>
      <c r="AE45" s="11">
        <f>SUM(Z45:AC45)</f>
        <v>-2252.2115590000003</v>
      </c>
      <c r="AF45" s="14"/>
      <c r="AG45" s="11">
        <v>-130.9</v>
      </c>
      <c r="AH45" s="14">
        <v>-218.3</v>
      </c>
      <c r="AI45" s="14">
        <v>-237.9</v>
      </c>
      <c r="AJ45" s="25">
        <v>-109.3</v>
      </c>
      <c r="AK45" s="11">
        <f>+AG45+AH45+AI45+AJ45</f>
        <v>-696.4</v>
      </c>
      <c r="AL45" s="73">
        <v>-696</v>
      </c>
      <c r="AM45" s="25">
        <v>-138.4</v>
      </c>
      <c r="AN45" s="14">
        <v>-138.4</v>
      </c>
      <c r="AO45" s="14">
        <v>-141</v>
      </c>
      <c r="AP45" s="14">
        <v>-227.9</v>
      </c>
      <c r="AQ45" s="11">
        <f>+AM45+AN45+AO45+AP45</f>
        <v>-645.70000000000005</v>
      </c>
      <c r="AR45" s="14">
        <v>-67.2</v>
      </c>
      <c r="AS45" s="14">
        <v>-65.599999999999994</v>
      </c>
      <c r="AT45" s="14">
        <v>-73.876999999999995</v>
      </c>
      <c r="AU45" s="14">
        <v>-32.5</v>
      </c>
      <c r="AV45" s="11">
        <f>+AR45+AS45+AT45+AU45</f>
        <v>-239.17700000000002</v>
      </c>
      <c r="AW45" s="14">
        <v>-34.700000000000003</v>
      </c>
      <c r="AX45" s="25">
        <v>-153.5</v>
      </c>
      <c r="AY45" s="25">
        <v>-65.3</v>
      </c>
      <c r="AZ45" s="25">
        <v>-58.6</v>
      </c>
      <c r="BA45" s="11">
        <f>+AW45+AX45+AY45+AZ45</f>
        <v>-312.10000000000002</v>
      </c>
      <c r="BB45" s="11">
        <v>-44.8</v>
      </c>
      <c r="BC45" s="11">
        <v>-81</v>
      </c>
      <c r="BD45" s="11">
        <v>-69.099999999999994</v>
      </c>
      <c r="BE45" s="11">
        <v>-48.8</v>
      </c>
      <c r="BF45" s="11">
        <f t="shared" si="25"/>
        <v>-243.7</v>
      </c>
      <c r="BG45" s="11">
        <v>-79.5</v>
      </c>
      <c r="BH45" s="11">
        <v>-73</v>
      </c>
      <c r="BI45" s="11">
        <v>-70.900000000000006</v>
      </c>
      <c r="BJ45" s="11">
        <v>-70.2</v>
      </c>
      <c r="BK45" s="11">
        <f t="shared" si="26"/>
        <v>-293.60000000000002</v>
      </c>
      <c r="BL45" s="11">
        <v>-47.7</v>
      </c>
      <c r="BM45" s="11">
        <v>-128.6</v>
      </c>
      <c r="BN45" s="11">
        <v>-76.599999999999994</v>
      </c>
      <c r="BO45" s="11">
        <v>-102</v>
      </c>
      <c r="BP45" s="11">
        <f t="shared" si="27"/>
        <v>-354.9</v>
      </c>
      <c r="BQ45" s="11">
        <v>-89.1</v>
      </c>
      <c r="BR45" s="11">
        <f>-76.1-8</f>
        <v>-84.1</v>
      </c>
      <c r="BS45" s="11">
        <v>-90.1</v>
      </c>
      <c r="BT45" s="11">
        <v>-32.9</v>
      </c>
      <c r="BU45" s="11">
        <f>+BQ45-BL45</f>
        <v>-41.399999999999991</v>
      </c>
      <c r="BV45" s="11">
        <f t="shared" si="0"/>
        <v>-173.2</v>
      </c>
      <c r="BW45" s="11">
        <f t="shared" si="28"/>
        <v>-263.29999999999995</v>
      </c>
      <c r="BX45" s="11">
        <f>+BR45-BM45</f>
        <v>44.5</v>
      </c>
      <c r="BY45" s="11">
        <f>+BU45/(BL45)*100</f>
        <v>86.792452830188665</v>
      </c>
      <c r="BZ45" s="11">
        <f>+BX45/(BM45)*100</f>
        <v>-34.603421461897362</v>
      </c>
      <c r="CA45" s="11">
        <f t="shared" si="1"/>
        <v>-296.19999999999993</v>
      </c>
      <c r="CB45" s="11">
        <v>-79.599999999999994</v>
      </c>
      <c r="CC45" s="11">
        <v>-79.400000000000006</v>
      </c>
      <c r="CD45" s="11">
        <v>-47.5</v>
      </c>
      <c r="CE45" s="11">
        <v>-124.7</v>
      </c>
      <c r="CF45" s="11">
        <f t="shared" si="29"/>
        <v>-331.2</v>
      </c>
      <c r="CG45" s="11">
        <v>-56.2</v>
      </c>
      <c r="CH45" s="11">
        <v>-88.9</v>
      </c>
      <c r="CI45" s="11">
        <v>-16.399999999999999</v>
      </c>
      <c r="CJ45" s="11">
        <v>-127.1</v>
      </c>
      <c r="CK45" s="11">
        <f t="shared" si="2"/>
        <v>-288.60000000000002</v>
      </c>
      <c r="CL45" s="11">
        <v>-54.9</v>
      </c>
      <c r="CM45" s="11">
        <v>-104</v>
      </c>
      <c r="CN45" s="11"/>
      <c r="CO45" s="11"/>
      <c r="CP45" s="11">
        <v>-82</v>
      </c>
      <c r="CQ45" s="11">
        <v>-72.3</v>
      </c>
      <c r="CR45" s="11">
        <f t="shared" si="42"/>
        <v>-313.2</v>
      </c>
      <c r="CS45" s="11">
        <v>-56.8</v>
      </c>
      <c r="CT45" s="11">
        <f t="shared" si="43"/>
        <v>-1.8999999999999986</v>
      </c>
      <c r="CU45" s="11">
        <f t="shared" si="44"/>
        <v>3.460837887067393</v>
      </c>
      <c r="CV45" s="11">
        <f t="shared" si="5"/>
        <v>-24.599999999999994</v>
      </c>
      <c r="CW45" s="11">
        <f t="shared" si="6"/>
        <v>8.5239085239085224</v>
      </c>
      <c r="CX45" s="3"/>
      <c r="CY45" s="3"/>
      <c r="CZ45" s="3"/>
      <c r="DA45" s="3"/>
      <c r="DB45" s="3"/>
      <c r="DC45" s="3"/>
    </row>
    <row r="46" spans="1:111" ht="9" customHeight="1" x14ac:dyDescent="0.2">
      <c r="E46" s="8"/>
      <c r="F46" s="8"/>
      <c r="G46" s="17"/>
      <c r="H46" s="17" t="s">
        <v>10</v>
      </c>
      <c r="I46" s="17"/>
      <c r="J46" s="10"/>
      <c r="K46" s="24"/>
      <c r="L46" s="24"/>
      <c r="N46" s="8"/>
      <c r="O46" s="22"/>
      <c r="P46" s="22"/>
      <c r="Q46" s="24"/>
      <c r="R46" s="24"/>
      <c r="S46" s="12"/>
      <c r="T46" s="12"/>
      <c r="U46" s="12"/>
      <c r="V46" s="12"/>
      <c r="W46" s="14"/>
      <c r="X46" s="12" t="str">
        <f>IF(O46="","",(O46+P46+Q46+R46))</f>
        <v/>
      </c>
      <c r="Y46" s="14"/>
      <c r="Z46" s="23"/>
      <c r="AA46" s="44"/>
      <c r="AC46" s="12"/>
      <c r="AD46" s="14"/>
      <c r="AE46" s="12" t="str">
        <f>IF(Y46="","",(Y46+Z46+AA46+AB46))</f>
        <v/>
      </c>
      <c r="AF46" s="14"/>
      <c r="AG46" s="12"/>
      <c r="AH46" s="44"/>
      <c r="AI46" s="44"/>
      <c r="AJ46" s="29"/>
      <c r="AK46" s="12" t="s">
        <v>10</v>
      </c>
      <c r="AL46" s="72" t="s">
        <v>10</v>
      </c>
      <c r="AM46" s="29"/>
      <c r="AN46" s="44"/>
      <c r="AO46" s="44"/>
      <c r="AP46" s="44"/>
      <c r="AQ46" s="12" t="s">
        <v>10</v>
      </c>
      <c r="AR46" s="44"/>
      <c r="AS46" s="44"/>
      <c r="AT46" s="44"/>
      <c r="AU46" s="44"/>
      <c r="AV46" s="12" t="s">
        <v>10</v>
      </c>
      <c r="AW46" s="44"/>
      <c r="AX46" s="29"/>
      <c r="AY46" s="29"/>
      <c r="AZ46" s="29"/>
      <c r="BA46" s="12" t="s">
        <v>10</v>
      </c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3"/>
      <c r="CY46" s="3"/>
      <c r="CZ46" s="3"/>
      <c r="DA46" s="3"/>
      <c r="DB46" s="3"/>
      <c r="DC46" s="3"/>
    </row>
    <row r="47" spans="1:111" x14ac:dyDescent="0.2">
      <c r="C47" s="48" t="s">
        <v>61</v>
      </c>
      <c r="D47" s="46"/>
      <c r="E47" s="17"/>
      <c r="F47" s="45">
        <f>IF((F20+F23+F35+F43)="","",(F20+F23+F35+F43))</f>
        <v>41983</v>
      </c>
      <c r="G47" s="45">
        <f>IF((G20+G23+G35+G43)="","",(G20+G23+G35+G43))</f>
        <v>39449.342000000004</v>
      </c>
      <c r="H47" s="45">
        <f>IF((H20+H23+H35+H43)="","",(H20+H23+H35+H43))</f>
        <v>37715</v>
      </c>
      <c r="I47" s="17"/>
      <c r="J47" s="45">
        <f>IF((J20+J23+J35+J43)="","",(J20+J23+J35+J43))</f>
        <v>7679</v>
      </c>
      <c r="K47" s="45">
        <f>IF((K20+K23+K35+K43)="","",(K20+K23+K35+K43))</f>
        <v>10737.791999999999</v>
      </c>
      <c r="L47" s="45">
        <f>IF((L20+L23+L35+L43)="","",(L20+L23+L35+L43))</f>
        <v>8828.0329999999994</v>
      </c>
      <c r="M47" s="45">
        <f>IF((M20+M23+M35+M43)="","",(M20+M23+M35+M43))</f>
        <v>12204.517</v>
      </c>
      <c r="N47" s="17"/>
      <c r="O47" s="45">
        <f t="shared" ref="O47:V47" si="57">IF((O20+O23+O35+O43)="","",(O20+O23+O35+O43))</f>
        <v>7084</v>
      </c>
      <c r="P47" s="45">
        <f t="shared" si="57"/>
        <v>10187</v>
      </c>
      <c r="Q47" s="45">
        <f t="shared" si="57"/>
        <v>9159</v>
      </c>
      <c r="R47" s="45">
        <f t="shared" si="57"/>
        <v>11285</v>
      </c>
      <c r="S47" s="45">
        <f t="shared" si="57"/>
        <v>7937.2226590000018</v>
      </c>
      <c r="T47" s="45">
        <f t="shared" si="57"/>
        <v>9961.0460000000021</v>
      </c>
      <c r="U47" s="45">
        <f t="shared" si="57"/>
        <v>7724.3</v>
      </c>
      <c r="V47" s="45">
        <f t="shared" si="57"/>
        <v>11775.88</v>
      </c>
      <c r="W47" s="58"/>
      <c r="X47" s="49">
        <f>IF(O47="","",(S47+T47+U47+V47))</f>
        <v>37398.448659000001</v>
      </c>
      <c r="Y47" s="17"/>
      <c r="Z47" s="45">
        <f>IF((Z20+Z23+Z35+Z43)="","",(Z20+Z23+Z35+Z43))</f>
        <v>7946.9658889999992</v>
      </c>
      <c r="AA47" s="45">
        <f>IF((AA20+AA23+AA35+AA43)="","",(AA20+AA23+AA35+AA43))</f>
        <v>9531.9785830000001</v>
      </c>
      <c r="AB47" s="45">
        <f>IF((AB20+AB23+AB35+AB43)="","",(AB20+AB23+AB35+AB43))</f>
        <v>7791</v>
      </c>
      <c r="AC47" s="45">
        <f>IF((AC20+AC23+AC35+AC43)="","",(AC20+AC23+AC35+AC43))</f>
        <v>11260.3</v>
      </c>
      <c r="AD47" s="58"/>
      <c r="AE47" s="49">
        <f>+AE43+AE35+AE23+AE20</f>
        <v>36531.165782999997</v>
      </c>
      <c r="AF47" s="17"/>
      <c r="AG47" s="45">
        <f>IF((AG20+AG23+AG35+AG43)="","",(AG20+AG23+AG35+AG43))</f>
        <v>8364.3900000000012</v>
      </c>
      <c r="AH47" s="45">
        <f>+AH43+AH35+AH23+AH20</f>
        <v>9694.48</v>
      </c>
      <c r="AI47" s="45">
        <f>+AI43+AI35+AI23+AI20</f>
        <v>6720.83</v>
      </c>
      <c r="AJ47" s="45">
        <f>+AJ43+AJ35+AJ23+AJ20</f>
        <v>10053.209999999999</v>
      </c>
      <c r="AK47" s="49">
        <f>+AG47+AH47+AI47+AJ47</f>
        <v>34832.910000000003</v>
      </c>
      <c r="AL47" s="75">
        <v>34834.199999999997</v>
      </c>
      <c r="AM47" s="45">
        <f>+AM43+AM35+AM23+AM20</f>
        <v>7021.2847949999996</v>
      </c>
      <c r="AN47" s="45">
        <f>+AN43+AN35+AN23+AN20</f>
        <v>12201.147002</v>
      </c>
      <c r="AO47" s="45">
        <f>+AO43+AO35+AO23+AO20</f>
        <v>6398</v>
      </c>
      <c r="AP47" s="45">
        <f>+AP43+AP35+AP23+AP20</f>
        <v>9759.4</v>
      </c>
      <c r="AQ47" s="49">
        <f>+AM47+AN47+AO47+AP47</f>
        <v>35379.831796999999</v>
      </c>
      <c r="AR47" s="45">
        <f>+AR43+AR35+AR23+AR20</f>
        <v>7008.5</v>
      </c>
      <c r="AS47" s="45">
        <f>+AS43+AS35+AS23+AS20</f>
        <v>9618.8119999999999</v>
      </c>
      <c r="AT47" s="45">
        <f>+AT43+AT35+AT23+AT20</f>
        <v>6637.6440000000002</v>
      </c>
      <c r="AU47" s="45">
        <f>+AU43+AU35+AU23+AU20</f>
        <v>10845.599999999999</v>
      </c>
      <c r="AV47" s="49">
        <f>+AR47+AS47+AT47+AU47</f>
        <v>34110.555999999997</v>
      </c>
      <c r="AW47" s="45">
        <f>+AW43+AW35+AW23+AW20</f>
        <v>7342.7</v>
      </c>
      <c r="AX47" s="45">
        <f>+AX43+AX35+AX23+AX20</f>
        <v>7669.9000000000005</v>
      </c>
      <c r="AY47" s="45">
        <f>+AY43+AY35+AY23+AY20</f>
        <v>6291.2</v>
      </c>
      <c r="AZ47" s="45">
        <f>+AZ43+AZ35+AZ23+AZ20</f>
        <v>9726.5800000000017</v>
      </c>
      <c r="BA47" s="49">
        <f>+AW47+AX47+AY47+AZ47</f>
        <v>31030.38</v>
      </c>
      <c r="BB47" s="45">
        <f>+BB43+BB35+BB23+BB20</f>
        <v>6716.2</v>
      </c>
      <c r="BC47" s="45">
        <f>+BC43+BC35+BC23+BC20</f>
        <v>8477.7000000000007</v>
      </c>
      <c r="BD47" s="45">
        <f>+BD43+BD35+BD23+BD20</f>
        <v>6246.0999999999995</v>
      </c>
      <c r="BE47" s="45">
        <f>+BE43+BE35+BE23+BE20</f>
        <v>10401.100000000002</v>
      </c>
      <c r="BF47" s="45">
        <f t="shared" si="25"/>
        <v>31841.100000000002</v>
      </c>
      <c r="BG47" s="45">
        <f>+BG43+BG35+BG23+BG20</f>
        <v>7025.3000000000011</v>
      </c>
      <c r="BH47" s="45">
        <f>+BH43+BH35+BH23+BH20</f>
        <v>10641.877</v>
      </c>
      <c r="BI47" s="45">
        <f>+BI43+BI35+BI23+BI20</f>
        <v>7053.8</v>
      </c>
      <c r="BJ47" s="45">
        <f>+BJ43+BJ35+BJ23+BJ20</f>
        <v>11954.900000000001</v>
      </c>
      <c r="BK47" s="45">
        <f t="shared" si="26"/>
        <v>36675.877000000008</v>
      </c>
      <c r="BL47" s="45">
        <f>+BL43+BL35+BL23+BL20</f>
        <v>8439.1999999999989</v>
      </c>
      <c r="BM47" s="45">
        <f>+BM43+BM35+BM23+BM20</f>
        <v>11077.420000000002</v>
      </c>
      <c r="BN47" s="45">
        <f>+BN43+BN35+BN23+BN20</f>
        <v>7663.2999999999993</v>
      </c>
      <c r="BO47" s="45">
        <f>+BO43+BO35+BO23+BO20</f>
        <v>11815</v>
      </c>
      <c r="BP47" s="45">
        <f t="shared" si="27"/>
        <v>38994.92</v>
      </c>
      <c r="BQ47" s="45">
        <f>+BQ43+BQ35+BQ23+BQ20</f>
        <v>8481.9</v>
      </c>
      <c r="BR47" s="45">
        <f>+BR43+BR35+BR23+BR20</f>
        <v>10194.5</v>
      </c>
      <c r="BS47" s="45">
        <f>+BS43+BS35+BS23+BS20</f>
        <v>8035</v>
      </c>
      <c r="BT47" s="45">
        <f>+BT43+BT35+BT23+BT20</f>
        <v>10968.199999999999</v>
      </c>
      <c r="BU47" s="45">
        <f>+BQ47-BL47</f>
        <v>42.700000000000728</v>
      </c>
      <c r="BV47" s="45">
        <f t="shared" si="0"/>
        <v>18676.400000000001</v>
      </c>
      <c r="BW47" s="45">
        <f t="shared" si="28"/>
        <v>26711.4</v>
      </c>
      <c r="BX47" s="45">
        <f>+BR47-BM47</f>
        <v>-882.92000000000189</v>
      </c>
      <c r="BY47" s="45">
        <f>+BU47/(BL47)*100</f>
        <v>0.50597213005972996</v>
      </c>
      <c r="BZ47" s="45">
        <f>+BX47/(BM47)*100</f>
        <v>-7.970447992402578</v>
      </c>
      <c r="CA47" s="45">
        <f t="shared" si="1"/>
        <v>37679.599999999999</v>
      </c>
      <c r="CB47" s="45">
        <f>+CB43+CB35+CB23+CB20</f>
        <v>7101.5000000000009</v>
      </c>
      <c r="CC47" s="45">
        <f>+CC43+CC35+CC23+CC20</f>
        <v>8168</v>
      </c>
      <c r="CD47" s="45">
        <f>+CD43+CD35+CD23+CD20</f>
        <v>6572.5</v>
      </c>
      <c r="CE47" s="45">
        <f>+CE43+CE35+CE23+CE20</f>
        <v>8833.5999999999985</v>
      </c>
      <c r="CF47" s="45">
        <f t="shared" si="29"/>
        <v>30675.599999999999</v>
      </c>
      <c r="CG47" s="45">
        <f>+CG43+CG35+CG23+CG20</f>
        <v>6984.0999999999995</v>
      </c>
      <c r="CH47" s="45">
        <f>+CH43+CH35+CH23+CH20</f>
        <v>8343.5999999999985</v>
      </c>
      <c r="CI47" s="45">
        <f>+CI43+CI35+CI23+CI20</f>
        <v>6559.2999999999993</v>
      </c>
      <c r="CJ47" s="45">
        <f>+CJ43+CJ35+CJ23+CJ20</f>
        <v>9708.9</v>
      </c>
      <c r="CK47" s="45">
        <f t="shared" si="2"/>
        <v>31595.899999999994</v>
      </c>
      <c r="CL47" s="45">
        <f>+CL43+CL35+CL23+CL20</f>
        <v>7918.0999999999985</v>
      </c>
      <c r="CM47" s="45">
        <f>+CM43+CM35+CM23+CM20</f>
        <v>7696.8099999999995</v>
      </c>
      <c r="CN47" s="45"/>
      <c r="CO47" s="45"/>
      <c r="CP47" s="45">
        <f>+CP43+CP35+CP23+CP20</f>
        <v>7911.9599999999991</v>
      </c>
      <c r="CQ47" s="45">
        <f>+CQ43+CQ35+CQ23+CQ20</f>
        <v>9973.6999999999989</v>
      </c>
      <c r="CR47" s="45">
        <f t="shared" si="42"/>
        <v>33500.569999999992</v>
      </c>
      <c r="CS47" s="45">
        <f>+CS43+CS35+CS23+CS20</f>
        <v>8094.7</v>
      </c>
      <c r="CT47" s="45">
        <f t="shared" si="43"/>
        <v>176.60000000000127</v>
      </c>
      <c r="CU47" s="45">
        <f t="shared" si="44"/>
        <v>2.2303330344400969</v>
      </c>
      <c r="CV47" s="45">
        <f t="shared" si="5"/>
        <v>1904.6699999999964</v>
      </c>
      <c r="CW47" s="45">
        <f t="shared" si="6"/>
        <v>6.0282188511800481</v>
      </c>
      <c r="CX47" s="3"/>
      <c r="CY47" s="3"/>
      <c r="CZ47" s="3"/>
      <c r="DA47" s="3"/>
      <c r="DB47" s="3"/>
      <c r="DC47" s="3"/>
      <c r="DD47" s="3"/>
      <c r="DE47" s="3"/>
      <c r="DF47" s="3"/>
      <c r="DG47" s="3"/>
    </row>
    <row r="48" spans="1:111" s="7" customFormat="1" ht="10.5" customHeight="1" x14ac:dyDescent="0.2">
      <c r="A48" s="41"/>
      <c r="E48" s="44"/>
      <c r="F48" s="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14"/>
      <c r="X48" s="12" t="str">
        <f>IF(O48="","",(O48+P48+Q48+R48))</f>
        <v/>
      </c>
      <c r="Y48" s="44"/>
      <c r="Z48" s="29"/>
      <c r="AA48" s="44"/>
      <c r="AC48" s="44"/>
      <c r="AD48" s="14"/>
      <c r="AE48" s="12" t="str">
        <f>IF(Y48="","",(Y48+Z48+AA48+AB48))</f>
        <v/>
      </c>
      <c r="AF48" s="44"/>
      <c r="AG48" s="44"/>
      <c r="AH48" s="44"/>
      <c r="AI48" s="44"/>
      <c r="AJ48" s="29"/>
      <c r="AK48" s="12" t="s">
        <v>10</v>
      </c>
      <c r="AL48" s="72" t="s">
        <v>10</v>
      </c>
      <c r="AM48" s="29"/>
      <c r="AN48" s="44"/>
      <c r="AO48" s="44"/>
      <c r="AP48" s="44"/>
      <c r="AQ48" s="12" t="s">
        <v>10</v>
      </c>
      <c r="AR48" s="44"/>
      <c r="AS48" s="44"/>
      <c r="AT48" s="44"/>
      <c r="AU48" s="44"/>
      <c r="AV48" s="12" t="s">
        <v>10</v>
      </c>
      <c r="AW48" s="44"/>
      <c r="AX48" s="29"/>
      <c r="AY48" s="29"/>
      <c r="AZ48" s="29"/>
      <c r="BA48" s="12" t="s">
        <v>10</v>
      </c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9"/>
      <c r="CY48" s="9"/>
      <c r="CZ48" s="9"/>
      <c r="DA48" s="9"/>
      <c r="DB48" s="9"/>
      <c r="DC48" s="9"/>
      <c r="DD48" s="9"/>
      <c r="DE48" s="9"/>
      <c r="DF48" s="9"/>
      <c r="DG48" s="9"/>
    </row>
    <row r="49" spans="1:111" s="7" customFormat="1" x14ac:dyDescent="0.2">
      <c r="A49" s="41">
        <v>5</v>
      </c>
      <c r="B49" s="7" t="s">
        <v>32</v>
      </c>
      <c r="E49" s="8"/>
      <c r="F49" s="8">
        <f>SUM(F50:F54)</f>
        <v>739</v>
      </c>
      <c r="G49" s="17">
        <f t="shared" ref="G49:G54" si="58">SUM(J49:M49)</f>
        <v>1814</v>
      </c>
      <c r="H49" s="17">
        <f t="shared" ref="H49:H54" si="59">SUM(O49:R49)</f>
        <v>1233.2860000000001</v>
      </c>
      <c r="I49" s="17"/>
      <c r="J49" s="8">
        <f>SUM(J50:J54)</f>
        <v>252</v>
      </c>
      <c r="K49" s="8">
        <f>SUM(K50:K54)</f>
        <v>79</v>
      </c>
      <c r="L49" s="8">
        <f>SUM(L50:L54)</f>
        <v>204</v>
      </c>
      <c r="M49" s="8">
        <f>SUM(M50:M54)</f>
        <v>1279</v>
      </c>
      <c r="N49" s="8"/>
      <c r="O49" s="17">
        <f t="shared" ref="O49:V49" si="60">SUM(O50:O54)</f>
        <v>203.286</v>
      </c>
      <c r="P49" s="17">
        <f t="shared" si="60"/>
        <v>10</v>
      </c>
      <c r="Q49" s="17">
        <f t="shared" si="60"/>
        <v>221</v>
      </c>
      <c r="R49" s="17">
        <f t="shared" si="60"/>
        <v>799</v>
      </c>
      <c r="S49" s="17">
        <f t="shared" si="60"/>
        <v>266.96434199999999</v>
      </c>
      <c r="T49" s="17">
        <f t="shared" si="60"/>
        <v>353.40000000000003</v>
      </c>
      <c r="U49" s="17">
        <f t="shared" si="60"/>
        <v>152</v>
      </c>
      <c r="V49" s="17">
        <f t="shared" si="60"/>
        <v>805.1</v>
      </c>
      <c r="W49" s="14"/>
      <c r="X49" s="12">
        <f t="shared" ref="X49:X54" si="61">IF(O49="","",(S49+T49+U49+V49))</f>
        <v>1577.4643420000002</v>
      </c>
      <c r="Y49" s="14"/>
      <c r="Z49" s="17">
        <f>SUM(Z50:Z54)</f>
        <v>225.50000000000003</v>
      </c>
      <c r="AA49" s="17">
        <f>SUM(AA50:AA54)</f>
        <v>385.50977800000004</v>
      </c>
      <c r="AB49" s="17">
        <f>SUM(AB50:AB54)</f>
        <v>229</v>
      </c>
      <c r="AC49" s="17">
        <f>SUM(AC50:AC54)</f>
        <v>687.30000000000007</v>
      </c>
      <c r="AD49" s="14"/>
      <c r="AE49" s="12">
        <f>SUM(AE50:AE54)</f>
        <v>1527.3097780000001</v>
      </c>
      <c r="AF49" s="14"/>
      <c r="AG49" s="17">
        <f>SUM(AG50:AG54)</f>
        <v>135.71</v>
      </c>
      <c r="AH49" s="17">
        <f>SUM(AH50:AH54)</f>
        <v>407.67</v>
      </c>
      <c r="AI49" s="17">
        <f>SUM(AI50:AI54)</f>
        <v>160.55000000000001</v>
      </c>
      <c r="AJ49" s="17">
        <f>SUM(AJ50:AJ54)</f>
        <v>662.41000000000008</v>
      </c>
      <c r="AK49" s="12">
        <f t="shared" ref="AK49:AK54" si="62">+AG49+AH49+AI49+AJ49</f>
        <v>1366.3400000000001</v>
      </c>
      <c r="AL49" s="72">
        <v>1366.4</v>
      </c>
      <c r="AM49" s="17">
        <f>SUM(AM50:AM54)</f>
        <v>275.39999999999998</v>
      </c>
      <c r="AN49" s="17">
        <f>SUM(AN50:AN54)</f>
        <v>567.10000000000014</v>
      </c>
      <c r="AO49" s="17">
        <f>SUM(AO50:AO54)</f>
        <v>268.99999999999994</v>
      </c>
      <c r="AP49" s="17">
        <f>SUM(AP50:AP54)</f>
        <v>1370.0000000000002</v>
      </c>
      <c r="AQ49" s="12">
        <f t="shared" ref="AQ49:AQ54" si="63">+AM49+AN49+AO49+AP49</f>
        <v>2481.5</v>
      </c>
      <c r="AR49" s="17">
        <f>SUM(AR50:AR54)</f>
        <v>309.09999999999997</v>
      </c>
      <c r="AS49" s="17">
        <f>SUM(AS50:AS54)</f>
        <v>482.85200000000003</v>
      </c>
      <c r="AT49" s="17">
        <f>SUM(AT50:AT54)</f>
        <v>228.76</v>
      </c>
      <c r="AU49" s="17">
        <f>SUM(AU50:AU54)</f>
        <v>869.7</v>
      </c>
      <c r="AV49" s="12">
        <f t="shared" ref="AV49:AV54" si="64">+AR49+AS49+AT49+AU49</f>
        <v>1890.412</v>
      </c>
      <c r="AW49" s="17">
        <f>SUM(AW50:AW54)</f>
        <v>319.7</v>
      </c>
      <c r="AX49" s="17">
        <f>SUM(AX50:AX54)</f>
        <v>674.59999999999991</v>
      </c>
      <c r="AY49" s="17">
        <f>SUM(AY50:AY54)</f>
        <v>253.79999999999998</v>
      </c>
      <c r="AZ49" s="17">
        <f>SUM(AZ50:AZ54)</f>
        <v>702.90000000000009</v>
      </c>
      <c r="BA49" s="12">
        <f t="shared" ref="BA49:BA54" si="65">+AW49+AX49+AY49+AZ49</f>
        <v>1951</v>
      </c>
      <c r="BB49" s="17">
        <f>SUM(BB50:BB54)</f>
        <v>189.29999999999998</v>
      </c>
      <c r="BC49" s="17">
        <f>SUM(BC50:BC54)</f>
        <v>600.30300000000011</v>
      </c>
      <c r="BD49" s="17">
        <f>SUM(BD50:BD54)</f>
        <v>234.4</v>
      </c>
      <c r="BE49" s="17">
        <f>SUM(BE50:BE54)</f>
        <v>556</v>
      </c>
      <c r="BF49" s="17">
        <f t="shared" si="25"/>
        <v>1580.0030000000002</v>
      </c>
      <c r="BG49" s="17">
        <f>SUM(BG50:BG54)</f>
        <v>191.5</v>
      </c>
      <c r="BH49" s="17">
        <f>SUM(BH50:BH54)</f>
        <v>537</v>
      </c>
      <c r="BI49" s="17">
        <f>SUM(BI50:BI54)</f>
        <v>398.59999999999997</v>
      </c>
      <c r="BJ49" s="17">
        <f>SUM(BJ50:BJ54)</f>
        <v>750.3</v>
      </c>
      <c r="BK49" s="17">
        <f t="shared" si="26"/>
        <v>1877.3999999999999</v>
      </c>
      <c r="BL49" s="17">
        <f>SUM(BL50:BL54)</f>
        <v>271.60000000000002</v>
      </c>
      <c r="BM49" s="17">
        <f>SUM(BM50:BM54)</f>
        <v>882.29999999999984</v>
      </c>
      <c r="BN49" s="17">
        <f>SUM(BN50:BN54)</f>
        <v>397.79999999999995</v>
      </c>
      <c r="BO49" s="17">
        <f>SUM(BO50:BO54)</f>
        <v>819.59999999999991</v>
      </c>
      <c r="BP49" s="17">
        <f t="shared" si="27"/>
        <v>2371.2999999999997</v>
      </c>
      <c r="BQ49" s="17">
        <f>SUM(BQ50:BQ54)</f>
        <v>238.10000000000002</v>
      </c>
      <c r="BR49" s="17">
        <f>SUM(BR50:BR54)</f>
        <v>515.5</v>
      </c>
      <c r="BS49" s="17">
        <f>SUM(BS50:BS54)</f>
        <v>417.3</v>
      </c>
      <c r="BT49" s="17">
        <f>SUM(BT50:BT54)</f>
        <v>701.7</v>
      </c>
      <c r="BU49" s="17">
        <f t="shared" ref="BU49:BU54" si="66">+BQ49-BL49</f>
        <v>-33.5</v>
      </c>
      <c r="BV49" s="17">
        <f t="shared" si="0"/>
        <v>753.6</v>
      </c>
      <c r="BW49" s="17">
        <f t="shared" si="28"/>
        <v>1170.9000000000001</v>
      </c>
      <c r="BX49" s="17">
        <f t="shared" ref="BX49:BX54" si="67">+BR49-BM49</f>
        <v>-366.79999999999984</v>
      </c>
      <c r="BY49" s="17">
        <f t="shared" ref="BY49:BY54" si="68">+BU49/(BL49)*100</f>
        <v>-12.334315169366715</v>
      </c>
      <c r="BZ49" s="17">
        <f t="shared" ref="BZ49:BZ54" si="69">+BX49/(BM49)*100</f>
        <v>-41.573161056330036</v>
      </c>
      <c r="CA49" s="17">
        <f>SUM(BQ49:BT49)+CA55</f>
        <v>9287.2999999999993</v>
      </c>
      <c r="CB49" s="17">
        <f>SUM(CB50:CB55)</f>
        <v>1644.1000000000001</v>
      </c>
      <c r="CC49" s="17">
        <f t="shared" ref="CC49:CF49" si="70">SUM(CC50:CC55)</f>
        <v>3153.2</v>
      </c>
      <c r="CD49" s="17">
        <f t="shared" si="70"/>
        <v>1824.1</v>
      </c>
      <c r="CE49" s="17">
        <f t="shared" si="70"/>
        <v>5506.6</v>
      </c>
      <c r="CF49" s="17">
        <f t="shared" si="70"/>
        <v>12128</v>
      </c>
      <c r="CG49" s="17">
        <f t="shared" ref="CG49" si="71">SUM(CG50:CG55)</f>
        <v>1963.6</v>
      </c>
      <c r="CH49" s="17">
        <f t="shared" ref="CH49:CJ49" si="72">SUM(CH50:CH55)</f>
        <v>3635.7999999999997</v>
      </c>
      <c r="CI49" s="17">
        <f t="shared" si="72"/>
        <v>1321.7</v>
      </c>
      <c r="CJ49" s="17">
        <f t="shared" si="72"/>
        <v>2043.2999999999997</v>
      </c>
      <c r="CK49" s="17">
        <f t="shared" si="2"/>
        <v>8964.4</v>
      </c>
      <c r="CL49" s="17">
        <f t="shared" ref="CL49:CM49" si="73">SUM(CL50:CL55)</f>
        <v>792.2</v>
      </c>
      <c r="CM49" s="17">
        <f t="shared" si="73"/>
        <v>2900</v>
      </c>
      <c r="CN49" s="17"/>
      <c r="CO49" s="17"/>
      <c r="CP49" s="17">
        <f t="shared" ref="CP49:CS49" si="74">SUM(CP50:CP55)</f>
        <v>450.5</v>
      </c>
      <c r="CQ49" s="17">
        <f t="shared" si="74"/>
        <v>734.1</v>
      </c>
      <c r="CR49" s="17">
        <f t="shared" si="42"/>
        <v>4876.8</v>
      </c>
      <c r="CS49" s="17">
        <f t="shared" si="74"/>
        <v>1459.5</v>
      </c>
      <c r="CT49" s="17">
        <f t="shared" si="43"/>
        <v>667.3</v>
      </c>
      <c r="CU49" s="17">
        <f t="shared" si="44"/>
        <v>84.233779348649321</v>
      </c>
      <c r="CV49" s="17">
        <f t="shared" si="5"/>
        <v>-4087.5999999999995</v>
      </c>
      <c r="CW49" s="17">
        <f t="shared" si="6"/>
        <v>-45.59814376868502</v>
      </c>
      <c r="CX49" s="9"/>
      <c r="CY49" s="9"/>
      <c r="CZ49" s="9"/>
      <c r="DA49" s="9"/>
      <c r="DB49" s="9"/>
      <c r="DC49" s="9"/>
    </row>
    <row r="50" spans="1:111" x14ac:dyDescent="0.2">
      <c r="B50" s="4" t="s">
        <v>33</v>
      </c>
      <c r="C50" s="4" t="s">
        <v>53</v>
      </c>
      <c r="E50" s="8"/>
      <c r="F50" s="10">
        <v>54</v>
      </c>
      <c r="G50" s="20">
        <f t="shared" si="58"/>
        <v>563</v>
      </c>
      <c r="H50" s="20">
        <v>692</v>
      </c>
      <c r="I50" s="20"/>
      <c r="J50" s="10">
        <v>174</v>
      </c>
      <c r="K50" s="20">
        <v>14</v>
      </c>
      <c r="L50" s="20">
        <v>111</v>
      </c>
      <c r="M50" s="20">
        <v>264</v>
      </c>
      <c r="N50" s="8"/>
      <c r="O50" s="20">
        <v>157</v>
      </c>
      <c r="P50" s="20">
        <v>74</v>
      </c>
      <c r="Q50" s="20">
        <v>74</v>
      </c>
      <c r="R50" s="20">
        <v>386</v>
      </c>
      <c r="S50" s="11">
        <v>168.5</v>
      </c>
      <c r="T50" s="14">
        <v>256.60000000000002</v>
      </c>
      <c r="U50" s="14">
        <v>101.4</v>
      </c>
      <c r="V50" s="11">
        <v>411.7</v>
      </c>
      <c r="W50" s="14"/>
      <c r="X50" s="11">
        <f t="shared" si="61"/>
        <v>938.2</v>
      </c>
      <c r="Y50" s="14"/>
      <c r="Z50" s="24">
        <v>166.8</v>
      </c>
      <c r="AA50" s="14">
        <v>242.2877</v>
      </c>
      <c r="AB50" s="14">
        <v>184.4</v>
      </c>
      <c r="AC50" s="11">
        <v>264.3</v>
      </c>
      <c r="AD50" s="14"/>
      <c r="AE50" s="11">
        <f>SUM(Z50:AC50)</f>
        <v>857.78770000000009</v>
      </c>
      <c r="AF50" s="14"/>
      <c r="AG50" s="11">
        <v>92.5</v>
      </c>
      <c r="AH50" s="14">
        <v>183.7</v>
      </c>
      <c r="AI50" s="14">
        <v>89.3</v>
      </c>
      <c r="AJ50" s="25">
        <v>183.5</v>
      </c>
      <c r="AK50" s="11">
        <f t="shared" si="62"/>
        <v>549</v>
      </c>
      <c r="AL50" s="73">
        <v>549</v>
      </c>
      <c r="AM50" s="25">
        <v>228.1</v>
      </c>
      <c r="AN50" s="14">
        <v>346.6</v>
      </c>
      <c r="AO50" s="14">
        <v>136.30000000000001</v>
      </c>
      <c r="AP50" s="14">
        <v>747.2</v>
      </c>
      <c r="AQ50" s="11">
        <f t="shared" si="63"/>
        <v>1458.2</v>
      </c>
      <c r="AR50" s="14">
        <v>248.4</v>
      </c>
      <c r="AS50" s="14">
        <v>316.83199999999999</v>
      </c>
      <c r="AT50" s="14">
        <v>141.25899999999999</v>
      </c>
      <c r="AU50" s="14">
        <v>258.89999999999998</v>
      </c>
      <c r="AV50" s="11">
        <f t="shared" si="64"/>
        <v>965.39099999999996</v>
      </c>
      <c r="AW50" s="14">
        <v>175</v>
      </c>
      <c r="AX50" s="25">
        <v>275.10000000000002</v>
      </c>
      <c r="AY50" s="25">
        <v>128.69999999999999</v>
      </c>
      <c r="AZ50" s="25">
        <v>164.9</v>
      </c>
      <c r="BA50" s="11">
        <f t="shared" si="65"/>
        <v>743.69999999999993</v>
      </c>
      <c r="BB50" s="11">
        <v>57.9</v>
      </c>
      <c r="BC50" s="11">
        <v>127.4</v>
      </c>
      <c r="BD50" s="11">
        <v>118.1</v>
      </c>
      <c r="BE50" s="11">
        <v>223.5</v>
      </c>
      <c r="BF50" s="11">
        <f t="shared" si="25"/>
        <v>526.9</v>
      </c>
      <c r="BG50" s="11">
        <v>101.7</v>
      </c>
      <c r="BH50" s="11">
        <v>217.1</v>
      </c>
      <c r="BI50" s="11">
        <v>175.6</v>
      </c>
      <c r="BJ50" s="11">
        <v>417.4</v>
      </c>
      <c r="BK50" s="11">
        <f t="shared" si="26"/>
        <v>911.8</v>
      </c>
      <c r="BL50" s="11">
        <v>184</v>
      </c>
      <c r="BM50" s="11">
        <v>289.39999999999998</v>
      </c>
      <c r="BN50" s="11">
        <v>201.2</v>
      </c>
      <c r="BO50" s="11">
        <v>350.7</v>
      </c>
      <c r="BP50" s="11">
        <f t="shared" si="27"/>
        <v>1025.3</v>
      </c>
      <c r="BQ50" s="11">
        <v>156.4</v>
      </c>
      <c r="BR50" s="11">
        <v>224.8</v>
      </c>
      <c r="BS50" s="11">
        <v>279.10000000000002</v>
      </c>
      <c r="BT50" s="11">
        <v>336.6</v>
      </c>
      <c r="BU50" s="11">
        <f t="shared" si="66"/>
        <v>-27.599999999999994</v>
      </c>
      <c r="BV50" s="11">
        <f t="shared" si="0"/>
        <v>381.20000000000005</v>
      </c>
      <c r="BW50" s="11">
        <f t="shared" si="28"/>
        <v>660.30000000000007</v>
      </c>
      <c r="BX50" s="11">
        <f t="shared" si="67"/>
        <v>-64.599999999999966</v>
      </c>
      <c r="BY50" s="11">
        <f t="shared" si="68"/>
        <v>-14.999999999999996</v>
      </c>
      <c r="BZ50" s="11">
        <f t="shared" si="69"/>
        <v>-22.322045611610218</v>
      </c>
      <c r="CA50" s="11">
        <f t="shared" si="1"/>
        <v>996.90000000000009</v>
      </c>
      <c r="CB50" s="11">
        <v>148.19999999999999</v>
      </c>
      <c r="CC50" s="11">
        <v>178.2</v>
      </c>
      <c r="CD50" s="11">
        <v>259.2</v>
      </c>
      <c r="CE50" s="11">
        <v>262.39999999999998</v>
      </c>
      <c r="CF50" s="11">
        <f t="shared" si="29"/>
        <v>847.99999999999989</v>
      </c>
      <c r="CG50" s="11">
        <v>141.1</v>
      </c>
      <c r="CH50" s="11">
        <v>294.60000000000002</v>
      </c>
      <c r="CI50" s="11">
        <v>291.8</v>
      </c>
      <c r="CJ50" s="11">
        <f>518.8-82.2</f>
        <v>436.59999999999997</v>
      </c>
      <c r="CK50" s="11">
        <f t="shared" si="2"/>
        <v>1164.0999999999999</v>
      </c>
      <c r="CL50" s="11">
        <f>174.4-11.9</f>
        <v>162.5</v>
      </c>
      <c r="CM50" s="11">
        <v>222.1</v>
      </c>
      <c r="CN50" s="11"/>
      <c r="CO50" s="11"/>
      <c r="CP50" s="11">
        <v>153.5</v>
      </c>
      <c r="CQ50" s="11">
        <v>276</v>
      </c>
      <c r="CR50" s="11">
        <f t="shared" si="42"/>
        <v>814.1</v>
      </c>
      <c r="CS50" s="11">
        <v>170.7</v>
      </c>
      <c r="CT50" s="11">
        <f t="shared" si="43"/>
        <v>8.1999999999999886</v>
      </c>
      <c r="CU50" s="11">
        <f t="shared" si="44"/>
        <v>5.0461538461538389</v>
      </c>
      <c r="CV50" s="11">
        <f t="shared" si="5"/>
        <v>-350</v>
      </c>
      <c r="CW50" s="11">
        <f t="shared" si="6"/>
        <v>-30.066145520144321</v>
      </c>
      <c r="CX50" s="3"/>
      <c r="CY50" s="3"/>
      <c r="CZ50" s="3"/>
      <c r="DA50" s="3"/>
      <c r="DB50" s="3"/>
      <c r="DC50" s="3"/>
    </row>
    <row r="51" spans="1:111" ht="25.5" customHeight="1" x14ac:dyDescent="0.2">
      <c r="B51" s="78" t="s">
        <v>54</v>
      </c>
      <c r="C51" s="114" t="s">
        <v>55</v>
      </c>
      <c r="D51" s="114"/>
      <c r="E51" s="8"/>
      <c r="F51" s="10"/>
      <c r="G51" s="20">
        <f t="shared" si="58"/>
        <v>12</v>
      </c>
      <c r="H51" s="20">
        <f t="shared" si="59"/>
        <v>23</v>
      </c>
      <c r="I51" s="20"/>
      <c r="J51" s="14">
        <v>1</v>
      </c>
      <c r="K51" s="24">
        <v>4</v>
      </c>
      <c r="L51" s="25">
        <v>1</v>
      </c>
      <c r="M51" s="25">
        <v>6</v>
      </c>
      <c r="N51" s="8"/>
      <c r="O51" s="25">
        <v>0</v>
      </c>
      <c r="P51" s="25">
        <v>3</v>
      </c>
      <c r="Q51" s="25">
        <v>0</v>
      </c>
      <c r="R51" s="25">
        <v>20</v>
      </c>
      <c r="S51" s="11">
        <v>0.24745900000000001</v>
      </c>
      <c r="T51" s="14">
        <v>3.5</v>
      </c>
      <c r="U51" s="14">
        <v>1.3</v>
      </c>
      <c r="V51" s="11">
        <v>42.8</v>
      </c>
      <c r="W51" s="14"/>
      <c r="X51" s="11">
        <f t="shared" si="61"/>
        <v>47.847459000000001</v>
      </c>
      <c r="Y51" s="14"/>
      <c r="Z51" s="24">
        <v>5.3</v>
      </c>
      <c r="AA51" s="14">
        <v>5</v>
      </c>
      <c r="AB51" s="14"/>
      <c r="AC51" s="24">
        <v>40.700000000000003</v>
      </c>
      <c r="AD51" s="25"/>
      <c r="AE51" s="24">
        <f>SUM(Z51:AC51)</f>
        <v>51</v>
      </c>
      <c r="AF51" s="25"/>
      <c r="AG51" s="24">
        <v>1.2</v>
      </c>
      <c r="AH51" s="14">
        <v>17.7</v>
      </c>
      <c r="AI51" s="14">
        <v>1.5</v>
      </c>
      <c r="AJ51" s="25">
        <v>44.6</v>
      </c>
      <c r="AK51" s="11">
        <f t="shared" si="62"/>
        <v>65</v>
      </c>
      <c r="AL51" s="73">
        <v>65</v>
      </c>
      <c r="AM51" s="25">
        <v>2.8</v>
      </c>
      <c r="AN51" s="14">
        <v>6.5</v>
      </c>
      <c r="AO51" s="14">
        <v>3.2</v>
      </c>
      <c r="AP51" s="14">
        <v>80</v>
      </c>
      <c r="AQ51" s="11">
        <f t="shared" si="63"/>
        <v>92.5</v>
      </c>
      <c r="AR51" s="14">
        <v>2.1</v>
      </c>
      <c r="AS51" s="14">
        <v>29.135999999999999</v>
      </c>
      <c r="AT51" s="14">
        <v>16.36</v>
      </c>
      <c r="AU51" s="14">
        <v>135.4</v>
      </c>
      <c r="AV51" s="11">
        <f t="shared" si="64"/>
        <v>182.99600000000001</v>
      </c>
      <c r="AW51" s="14">
        <v>9</v>
      </c>
      <c r="AX51" s="25">
        <v>25</v>
      </c>
      <c r="AY51" s="25">
        <v>13.6</v>
      </c>
      <c r="AZ51" s="25">
        <v>50.2</v>
      </c>
      <c r="BA51" s="11">
        <f t="shared" si="65"/>
        <v>97.800000000000011</v>
      </c>
      <c r="BB51" s="11">
        <v>4.8</v>
      </c>
      <c r="BC51" s="11">
        <v>59</v>
      </c>
      <c r="BD51" s="11">
        <v>11.6</v>
      </c>
      <c r="BE51" s="11">
        <v>48.1</v>
      </c>
      <c r="BF51" s="11">
        <f t="shared" si="25"/>
        <v>123.5</v>
      </c>
      <c r="BG51" s="11">
        <v>6.3</v>
      </c>
      <c r="BH51" s="11">
        <v>7.5</v>
      </c>
      <c r="BI51" s="11">
        <v>16.100000000000001</v>
      </c>
      <c r="BJ51" s="11">
        <v>43.4</v>
      </c>
      <c r="BK51" s="11">
        <f t="shared" si="26"/>
        <v>73.3</v>
      </c>
      <c r="BL51" s="11">
        <v>0.8</v>
      </c>
      <c r="BM51" s="11">
        <v>5.3</v>
      </c>
      <c r="BN51" s="11">
        <v>6.7</v>
      </c>
      <c r="BO51" s="11">
        <v>64.8</v>
      </c>
      <c r="BP51" s="11">
        <f t="shared" si="27"/>
        <v>77.599999999999994</v>
      </c>
      <c r="BQ51" s="11">
        <v>2</v>
      </c>
      <c r="BR51" s="11">
        <v>9.5</v>
      </c>
      <c r="BS51" s="11">
        <v>7.3</v>
      </c>
      <c r="BT51" s="11">
        <v>136.6</v>
      </c>
      <c r="BU51" s="11">
        <f t="shared" si="66"/>
        <v>1.2</v>
      </c>
      <c r="BV51" s="11">
        <f t="shared" si="0"/>
        <v>11.5</v>
      </c>
      <c r="BW51" s="11">
        <f t="shared" si="28"/>
        <v>18.8</v>
      </c>
      <c r="BX51" s="11">
        <f t="shared" si="67"/>
        <v>4.2</v>
      </c>
      <c r="BY51" s="11">
        <f t="shared" si="68"/>
        <v>149.99999999999997</v>
      </c>
      <c r="BZ51" s="11">
        <f t="shared" si="69"/>
        <v>79.245283018867923</v>
      </c>
      <c r="CA51" s="11">
        <f t="shared" si="1"/>
        <v>155.4</v>
      </c>
      <c r="CB51" s="11">
        <v>30.4</v>
      </c>
      <c r="CC51" s="11">
        <v>18.899999999999999</v>
      </c>
      <c r="CD51" s="11">
        <v>10.6</v>
      </c>
      <c r="CE51" s="11">
        <v>83.4</v>
      </c>
      <c r="CF51" s="11">
        <f t="shared" si="29"/>
        <v>143.30000000000001</v>
      </c>
      <c r="CG51" s="11">
        <v>17</v>
      </c>
      <c r="CH51" s="11">
        <v>30.4</v>
      </c>
      <c r="CI51" s="11">
        <v>19.7</v>
      </c>
      <c r="CJ51" s="11">
        <v>86.5</v>
      </c>
      <c r="CK51" s="11">
        <f t="shared" si="2"/>
        <v>153.6</v>
      </c>
      <c r="CL51" s="11">
        <v>7.2</v>
      </c>
      <c r="CM51" s="11">
        <v>28.4</v>
      </c>
      <c r="CN51" s="11"/>
      <c r="CO51" s="11"/>
      <c r="CP51" s="11">
        <v>9.1999999999999993</v>
      </c>
      <c r="CQ51" s="11">
        <v>29.2</v>
      </c>
      <c r="CR51" s="11">
        <f t="shared" si="42"/>
        <v>74</v>
      </c>
      <c r="CS51" s="11">
        <v>2.7</v>
      </c>
      <c r="CT51" s="11">
        <f t="shared" si="43"/>
        <v>-4.5</v>
      </c>
      <c r="CU51" s="11">
        <f t="shared" si="44"/>
        <v>-62.5</v>
      </c>
      <c r="CV51" s="11">
        <f t="shared" si="5"/>
        <v>-79.599999999999994</v>
      </c>
      <c r="CW51" s="11">
        <f t="shared" si="6"/>
        <v>-51.822916666666664</v>
      </c>
      <c r="CX51" s="11"/>
      <c r="CY51" s="11"/>
      <c r="CZ51" s="11"/>
      <c r="DA51" s="3"/>
      <c r="DB51" s="3"/>
      <c r="DC51" s="3"/>
      <c r="DD51" s="3"/>
      <c r="DE51" s="3"/>
    </row>
    <row r="52" spans="1:111" x14ac:dyDescent="0.2">
      <c r="B52" s="4" t="s">
        <v>56</v>
      </c>
      <c r="C52" s="4" t="s">
        <v>34</v>
      </c>
      <c r="E52" s="8"/>
      <c r="F52" s="10">
        <v>688</v>
      </c>
      <c r="G52" s="20">
        <f t="shared" si="58"/>
        <v>1290</v>
      </c>
      <c r="H52" s="20">
        <f t="shared" si="59"/>
        <v>727</v>
      </c>
      <c r="I52" s="20"/>
      <c r="J52" s="10">
        <v>78</v>
      </c>
      <c r="K52" s="20">
        <v>59</v>
      </c>
      <c r="L52" s="20">
        <v>92</v>
      </c>
      <c r="M52" s="20">
        <v>1061</v>
      </c>
      <c r="N52" s="8"/>
      <c r="O52" s="20">
        <v>46</v>
      </c>
      <c r="P52" s="20">
        <v>79</v>
      </c>
      <c r="Q52" s="20">
        <v>181</v>
      </c>
      <c r="R52" s="20">
        <v>421</v>
      </c>
      <c r="S52" s="11">
        <v>109.583865</v>
      </c>
      <c r="T52" s="14">
        <v>102.7</v>
      </c>
      <c r="U52" s="14">
        <v>55.4</v>
      </c>
      <c r="V52" s="11">
        <v>338.4</v>
      </c>
      <c r="W52" s="14"/>
      <c r="X52" s="11">
        <f t="shared" si="61"/>
        <v>606.08386499999995</v>
      </c>
      <c r="Y52" s="14"/>
      <c r="Z52" s="24">
        <v>48.1</v>
      </c>
      <c r="AA52" s="14">
        <v>125.9</v>
      </c>
      <c r="AB52" s="14">
        <v>38.1</v>
      </c>
      <c r="AC52" s="24">
        <v>283.7</v>
      </c>
      <c r="AD52" s="25"/>
      <c r="AE52" s="24">
        <f>SUM(Z52:AC52)</f>
        <v>495.79999999999995</v>
      </c>
      <c r="AF52" s="25"/>
      <c r="AG52" s="24">
        <v>51.1</v>
      </c>
      <c r="AH52" s="14">
        <v>124.3</v>
      </c>
      <c r="AI52" s="14">
        <v>55.6</v>
      </c>
      <c r="AJ52" s="25">
        <v>389.9</v>
      </c>
      <c r="AK52" s="11">
        <f t="shared" si="62"/>
        <v>620.9</v>
      </c>
      <c r="AL52" s="73">
        <v>620.9</v>
      </c>
      <c r="AM52" s="25">
        <v>52.3</v>
      </c>
      <c r="AN52" s="14">
        <v>209.3</v>
      </c>
      <c r="AO52" s="14">
        <v>125.9</v>
      </c>
      <c r="AP52" s="14">
        <v>496.6</v>
      </c>
      <c r="AQ52" s="11">
        <f t="shared" si="63"/>
        <v>884.1</v>
      </c>
      <c r="AR52" s="14">
        <v>70</v>
      </c>
      <c r="AS52" s="14">
        <v>134</v>
      </c>
      <c r="AT52" s="14">
        <v>59.643999999999998</v>
      </c>
      <c r="AU52" s="14">
        <v>294.10000000000002</v>
      </c>
      <c r="AV52" s="11">
        <f t="shared" si="64"/>
        <v>557.74400000000003</v>
      </c>
      <c r="AW52" s="14">
        <v>118.8</v>
      </c>
      <c r="AX52" s="25">
        <v>126</v>
      </c>
      <c r="AY52" s="25">
        <v>52.7</v>
      </c>
      <c r="AZ52" s="25">
        <v>222</v>
      </c>
      <c r="BA52" s="11">
        <f t="shared" si="65"/>
        <v>519.5</v>
      </c>
      <c r="BB52" s="11">
        <v>64</v>
      </c>
      <c r="BC52" s="11">
        <v>130.80000000000001</v>
      </c>
      <c r="BD52" s="11">
        <v>43.4</v>
      </c>
      <c r="BE52" s="11">
        <v>279.2</v>
      </c>
      <c r="BF52" s="11">
        <f t="shared" si="25"/>
        <v>517.4</v>
      </c>
      <c r="BG52" s="11">
        <v>83.1</v>
      </c>
      <c r="BH52" s="11">
        <v>127.8</v>
      </c>
      <c r="BI52" s="11">
        <v>77.599999999999994</v>
      </c>
      <c r="BJ52" s="11">
        <v>255.4</v>
      </c>
      <c r="BK52" s="11">
        <f t="shared" si="26"/>
        <v>543.9</v>
      </c>
      <c r="BL52" s="11">
        <v>59.3</v>
      </c>
      <c r="BM52" s="11">
        <v>507.4</v>
      </c>
      <c r="BN52" s="11">
        <v>150.9</v>
      </c>
      <c r="BO52" s="11">
        <v>248</v>
      </c>
      <c r="BP52" s="11">
        <f t="shared" si="27"/>
        <v>965.59999999999991</v>
      </c>
      <c r="BQ52" s="11">
        <v>34</v>
      </c>
      <c r="BR52" s="11">
        <v>89.3</v>
      </c>
      <c r="BS52" s="11">
        <v>96.5</v>
      </c>
      <c r="BT52" s="11">
        <v>331.8</v>
      </c>
      <c r="BU52" s="11">
        <f t="shared" si="66"/>
        <v>-25.299999999999997</v>
      </c>
      <c r="BV52" s="11">
        <f t="shared" si="0"/>
        <v>123.3</v>
      </c>
      <c r="BW52" s="11">
        <f t="shared" si="28"/>
        <v>219.8</v>
      </c>
      <c r="BX52" s="11">
        <f t="shared" si="67"/>
        <v>-418.09999999999997</v>
      </c>
      <c r="BY52" s="11">
        <f t="shared" si="68"/>
        <v>-42.664418212478914</v>
      </c>
      <c r="BZ52" s="11">
        <f t="shared" si="69"/>
        <v>-82.400472999605839</v>
      </c>
      <c r="CA52" s="11">
        <f t="shared" si="1"/>
        <v>551.6</v>
      </c>
      <c r="CB52" s="11">
        <v>31.8</v>
      </c>
      <c r="CC52" s="11">
        <v>223.6</v>
      </c>
      <c r="CD52" s="11">
        <v>56.6</v>
      </c>
      <c r="CE52" s="11">
        <v>250</v>
      </c>
      <c r="CF52" s="11">
        <f t="shared" si="29"/>
        <v>562</v>
      </c>
      <c r="CG52" s="11">
        <v>84.1</v>
      </c>
      <c r="CH52" s="11">
        <v>143.9</v>
      </c>
      <c r="CI52" s="11">
        <v>65.5</v>
      </c>
      <c r="CJ52" s="11">
        <f>215.3+83.3</f>
        <v>298.60000000000002</v>
      </c>
      <c r="CK52" s="11">
        <f t="shared" si="2"/>
        <v>592.1</v>
      </c>
      <c r="CL52" s="11">
        <f>94.9+11.9</f>
        <v>106.80000000000001</v>
      </c>
      <c r="CM52" s="11">
        <v>105.6</v>
      </c>
      <c r="CN52" s="11"/>
      <c r="CO52" s="11"/>
      <c r="CP52" s="11">
        <v>75.900000000000006</v>
      </c>
      <c r="CQ52" s="11">
        <v>339.5</v>
      </c>
      <c r="CR52" s="11">
        <f t="shared" si="42"/>
        <v>627.79999999999995</v>
      </c>
      <c r="CS52" s="11">
        <v>74.2</v>
      </c>
      <c r="CT52" s="11">
        <f t="shared" si="43"/>
        <v>-32.600000000000009</v>
      </c>
      <c r="CU52" s="11">
        <f t="shared" si="44"/>
        <v>-30.524344569288392</v>
      </c>
      <c r="CV52" s="11">
        <f t="shared" si="5"/>
        <v>35.699999999999932</v>
      </c>
      <c r="CW52" s="11">
        <f t="shared" si="6"/>
        <v>6.0293869278837917</v>
      </c>
      <c r="CX52" s="3"/>
      <c r="CY52" s="3"/>
      <c r="CZ52" s="3"/>
      <c r="DA52" s="3"/>
      <c r="DB52" s="3"/>
      <c r="DC52" s="3"/>
    </row>
    <row r="53" spans="1:111" x14ac:dyDescent="0.2">
      <c r="B53" s="4" t="s">
        <v>35</v>
      </c>
      <c r="C53" s="38" t="s">
        <v>104</v>
      </c>
      <c r="E53" s="8"/>
      <c r="F53" s="10"/>
      <c r="G53" s="20">
        <f t="shared" si="58"/>
        <v>8</v>
      </c>
      <c r="H53" s="20">
        <f t="shared" si="59"/>
        <v>26.286000000000001</v>
      </c>
      <c r="I53" s="20"/>
      <c r="J53" s="10">
        <v>0</v>
      </c>
      <c r="K53" s="20">
        <v>3</v>
      </c>
      <c r="L53" s="20">
        <v>0</v>
      </c>
      <c r="M53" s="20">
        <v>5</v>
      </c>
      <c r="N53" s="8"/>
      <c r="O53" s="20">
        <v>0.28599999999999998</v>
      </c>
      <c r="P53" s="20">
        <v>18</v>
      </c>
      <c r="Q53" s="20">
        <v>0</v>
      </c>
      <c r="R53" s="20">
        <v>8</v>
      </c>
      <c r="S53" s="11">
        <v>1.5E-3</v>
      </c>
      <c r="T53" s="14">
        <v>0.5</v>
      </c>
      <c r="U53" s="14">
        <v>0.5</v>
      </c>
      <c r="V53" s="11">
        <v>31</v>
      </c>
      <c r="W53" s="14"/>
      <c r="X53" s="11">
        <f t="shared" si="61"/>
        <v>32.0015</v>
      </c>
      <c r="Y53" s="14"/>
      <c r="Z53" s="24">
        <v>12.5</v>
      </c>
      <c r="AA53" s="14">
        <v>34.799999999999997</v>
      </c>
      <c r="AB53" s="14">
        <v>8.3000000000000007</v>
      </c>
      <c r="AC53" s="24">
        <v>106</v>
      </c>
      <c r="AD53" s="25"/>
      <c r="AE53" s="24">
        <f>SUM(Z53:AC53)</f>
        <v>161.6</v>
      </c>
      <c r="AF53" s="25"/>
      <c r="AG53" s="24">
        <v>4.0999999999999996</v>
      </c>
      <c r="AH53" s="14">
        <v>83.8</v>
      </c>
      <c r="AI53" s="14">
        <v>22.6</v>
      </c>
      <c r="AJ53" s="25">
        <v>61.7</v>
      </c>
      <c r="AK53" s="11">
        <f t="shared" si="62"/>
        <v>172.2</v>
      </c>
      <c r="AL53" s="73">
        <v>172.2</v>
      </c>
      <c r="AM53" s="25">
        <v>22.3</v>
      </c>
      <c r="AN53" s="14">
        <v>23.2</v>
      </c>
      <c r="AO53" s="14">
        <v>7.9</v>
      </c>
      <c r="AP53" s="14">
        <v>75.400000000000006</v>
      </c>
      <c r="AQ53" s="11">
        <f t="shared" si="63"/>
        <v>128.80000000000001</v>
      </c>
      <c r="AR53" s="14">
        <v>10.9</v>
      </c>
      <c r="AS53" s="14">
        <v>13.18</v>
      </c>
      <c r="AT53" s="14">
        <v>16.792000000000002</v>
      </c>
      <c r="AU53" s="14">
        <v>242.3</v>
      </c>
      <c r="AV53" s="11">
        <f t="shared" si="64"/>
        <v>283.17200000000003</v>
      </c>
      <c r="AW53" s="14">
        <v>57</v>
      </c>
      <c r="AX53" s="25">
        <v>261.2</v>
      </c>
      <c r="AY53" s="25">
        <v>64.900000000000006</v>
      </c>
      <c r="AZ53" s="25">
        <v>283.3</v>
      </c>
      <c r="BA53" s="11">
        <f t="shared" si="65"/>
        <v>666.40000000000009</v>
      </c>
      <c r="BB53" s="11">
        <v>87.6</v>
      </c>
      <c r="BC53" s="11">
        <v>296.60000000000002</v>
      </c>
      <c r="BD53" s="11">
        <v>69.900000000000006</v>
      </c>
      <c r="BE53" s="11">
        <v>88.7</v>
      </c>
      <c r="BF53" s="11">
        <f t="shared" si="25"/>
        <v>542.80000000000007</v>
      </c>
      <c r="BG53" s="11">
        <v>39.200000000000003</v>
      </c>
      <c r="BH53" s="11">
        <v>199.5</v>
      </c>
      <c r="BI53" s="11">
        <v>158.5</v>
      </c>
      <c r="BJ53" s="11">
        <v>123.1</v>
      </c>
      <c r="BK53" s="11">
        <f t="shared" si="26"/>
        <v>520.29999999999995</v>
      </c>
      <c r="BL53" s="11">
        <v>63.2</v>
      </c>
      <c r="BM53" s="11">
        <v>190.4</v>
      </c>
      <c r="BN53" s="11">
        <v>67.599999999999994</v>
      </c>
      <c r="BO53" s="11">
        <v>214.3</v>
      </c>
      <c r="BP53" s="11">
        <f t="shared" si="27"/>
        <v>535.5</v>
      </c>
      <c r="BQ53" s="11">
        <v>50.7</v>
      </c>
      <c r="BR53" s="11">
        <v>239.6</v>
      </c>
      <c r="BS53" s="11">
        <v>41.5</v>
      </c>
      <c r="BT53" s="11">
        <v>48.1</v>
      </c>
      <c r="BU53" s="11">
        <f t="shared" si="66"/>
        <v>-12.5</v>
      </c>
      <c r="BV53" s="11">
        <f t="shared" si="0"/>
        <v>290.3</v>
      </c>
      <c r="BW53" s="11">
        <f t="shared" si="28"/>
        <v>331.8</v>
      </c>
      <c r="BX53" s="11">
        <f t="shared" si="67"/>
        <v>49.199999999999989</v>
      </c>
      <c r="BY53" s="11">
        <f t="shared" si="68"/>
        <v>-19.778481012658229</v>
      </c>
      <c r="BZ53" s="11">
        <f t="shared" si="69"/>
        <v>25.840336134453771</v>
      </c>
      <c r="CA53" s="11">
        <f t="shared" si="1"/>
        <v>379.90000000000003</v>
      </c>
      <c r="CB53" s="11">
        <v>167.4</v>
      </c>
      <c r="CC53" s="11">
        <v>148.19999999999999</v>
      </c>
      <c r="CD53" s="11">
        <v>51.2</v>
      </c>
      <c r="CE53" s="11">
        <v>175.5</v>
      </c>
      <c r="CF53" s="11">
        <f t="shared" si="29"/>
        <v>542.29999999999995</v>
      </c>
      <c r="CG53" s="11">
        <v>171.9</v>
      </c>
      <c r="CH53" s="11">
        <v>135.9</v>
      </c>
      <c r="CI53" s="11">
        <v>109.3</v>
      </c>
      <c r="CJ53" s="11">
        <v>55.3</v>
      </c>
      <c r="CK53" s="11">
        <f t="shared" si="2"/>
        <v>472.40000000000003</v>
      </c>
      <c r="CL53" s="11">
        <v>124.6</v>
      </c>
      <c r="CM53" s="11">
        <v>105.2</v>
      </c>
      <c r="CN53" s="11"/>
      <c r="CO53" s="11"/>
      <c r="CP53" s="11">
        <v>68.900000000000006</v>
      </c>
      <c r="CQ53" s="11">
        <v>51.9</v>
      </c>
      <c r="CR53" s="11">
        <f t="shared" si="42"/>
        <v>350.6</v>
      </c>
      <c r="CS53" s="11">
        <v>22.1</v>
      </c>
      <c r="CT53" s="11">
        <f t="shared" si="43"/>
        <v>-102.5</v>
      </c>
      <c r="CU53" s="11">
        <f t="shared" si="44"/>
        <v>-82.263242375601934</v>
      </c>
      <c r="CV53" s="11">
        <f t="shared" si="5"/>
        <v>-121.79999999999998</v>
      </c>
      <c r="CW53" s="11">
        <f t="shared" si="6"/>
        <v>-25.783234546994066</v>
      </c>
      <c r="CX53" s="3"/>
      <c r="CY53" s="11"/>
      <c r="CZ53" s="3"/>
      <c r="DA53" s="3"/>
      <c r="DB53" s="3"/>
      <c r="DC53" s="3"/>
    </row>
    <row r="54" spans="1:111" x14ac:dyDescent="0.2">
      <c r="B54" s="4" t="s">
        <v>46</v>
      </c>
      <c r="C54" s="38" t="s">
        <v>47</v>
      </c>
      <c r="E54" s="8"/>
      <c r="F54" s="10">
        <v>-3</v>
      </c>
      <c r="G54" s="20">
        <f t="shared" si="58"/>
        <v>-59</v>
      </c>
      <c r="H54" s="20">
        <f t="shared" si="59"/>
        <v>-234</v>
      </c>
      <c r="I54" s="20"/>
      <c r="J54" s="10">
        <v>-1</v>
      </c>
      <c r="K54" s="20">
        <v>-1</v>
      </c>
      <c r="L54" s="20">
        <v>0</v>
      </c>
      <c r="M54" s="20">
        <v>-57</v>
      </c>
      <c r="N54" s="8"/>
      <c r="O54" s="20">
        <v>0</v>
      </c>
      <c r="P54" s="20">
        <v>-164</v>
      </c>
      <c r="Q54" s="20">
        <v>-34</v>
      </c>
      <c r="R54" s="20">
        <v>-36</v>
      </c>
      <c r="S54" s="11">
        <v>-11.368482</v>
      </c>
      <c r="T54" s="14">
        <v>-9.9</v>
      </c>
      <c r="U54" s="14">
        <v>-6.6</v>
      </c>
      <c r="V54" s="11">
        <v>-18.8</v>
      </c>
      <c r="W54" s="14"/>
      <c r="X54" s="11">
        <f t="shared" si="61"/>
        <v>-46.668481999999997</v>
      </c>
      <c r="Y54" s="14"/>
      <c r="Z54" s="24">
        <v>-7.2</v>
      </c>
      <c r="AA54" s="14">
        <v>-22.477922</v>
      </c>
      <c r="AB54" s="14">
        <v>-1.8</v>
      </c>
      <c r="AC54" s="24">
        <v>-7.4</v>
      </c>
      <c r="AD54" s="25"/>
      <c r="AE54" s="24">
        <f>SUM(Z54:AC54)</f>
        <v>-38.877921999999998</v>
      </c>
      <c r="AF54" s="25"/>
      <c r="AG54" s="24">
        <v>-13.19</v>
      </c>
      <c r="AH54" s="14">
        <v>-1.83</v>
      </c>
      <c r="AI54" s="14">
        <v>-8.4499999999999993</v>
      </c>
      <c r="AJ54" s="25">
        <v>-17.29</v>
      </c>
      <c r="AK54" s="11">
        <f t="shared" si="62"/>
        <v>-40.76</v>
      </c>
      <c r="AL54" s="73">
        <v>-40.700000000000003</v>
      </c>
      <c r="AM54" s="25">
        <f>-5.5-24.6</f>
        <v>-30.1</v>
      </c>
      <c r="AN54" s="14">
        <v>-18.5</v>
      </c>
      <c r="AO54" s="14">
        <v>-4.3</v>
      </c>
      <c r="AP54" s="14">
        <f>-26.2-3</f>
        <v>-29.2</v>
      </c>
      <c r="AQ54" s="11">
        <f t="shared" si="63"/>
        <v>-82.1</v>
      </c>
      <c r="AR54" s="14">
        <v>-22.3</v>
      </c>
      <c r="AS54" s="14">
        <v>-10.295999999999999</v>
      </c>
      <c r="AT54" s="14">
        <v>-5.2949999999999999</v>
      </c>
      <c r="AU54" s="14">
        <v>-61</v>
      </c>
      <c r="AV54" s="11">
        <f t="shared" si="64"/>
        <v>-98.891000000000005</v>
      </c>
      <c r="AW54" s="14">
        <v>-40.1</v>
      </c>
      <c r="AX54" s="25">
        <v>-12.7</v>
      </c>
      <c r="AY54" s="25">
        <v>-6.1</v>
      </c>
      <c r="AZ54" s="25">
        <v>-17.5</v>
      </c>
      <c r="BA54" s="11">
        <f t="shared" si="65"/>
        <v>-76.400000000000006</v>
      </c>
      <c r="BB54" s="11">
        <v>-25</v>
      </c>
      <c r="BC54" s="11">
        <v>-13.497</v>
      </c>
      <c r="BD54" s="11">
        <v>-8.6</v>
      </c>
      <c r="BE54" s="11">
        <v>-83.5</v>
      </c>
      <c r="BF54" s="11">
        <f t="shared" si="25"/>
        <v>-130.59700000000001</v>
      </c>
      <c r="BG54" s="11">
        <f>-31.8-7</f>
        <v>-38.799999999999997</v>
      </c>
      <c r="BH54" s="11">
        <v>-14.9</v>
      </c>
      <c r="BI54" s="11">
        <v>-29.2</v>
      </c>
      <c r="BJ54" s="11">
        <f>-226+137</f>
        <v>-89</v>
      </c>
      <c r="BK54" s="11">
        <f t="shared" si="26"/>
        <v>-171.89999999999998</v>
      </c>
      <c r="BL54" s="11">
        <f>-1.8-33.9</f>
        <v>-35.699999999999996</v>
      </c>
      <c r="BM54" s="11">
        <v>-110.2</v>
      </c>
      <c r="BN54" s="11">
        <v>-28.6</v>
      </c>
      <c r="BO54" s="11">
        <v>-58.2</v>
      </c>
      <c r="BP54" s="11">
        <f t="shared" si="27"/>
        <v>-232.7</v>
      </c>
      <c r="BQ54" s="11">
        <f>-5</f>
        <v>-5</v>
      </c>
      <c r="BR54" s="11">
        <v>-47.7</v>
      </c>
      <c r="BS54" s="11">
        <v>-7.1</v>
      </c>
      <c r="BT54" s="11">
        <v>-151.4</v>
      </c>
      <c r="BU54" s="11">
        <f t="shared" si="66"/>
        <v>30.699999999999996</v>
      </c>
      <c r="BV54" s="11">
        <f t="shared" si="0"/>
        <v>-52.7</v>
      </c>
      <c r="BW54" s="11">
        <f t="shared" si="28"/>
        <v>-59.800000000000004</v>
      </c>
      <c r="BX54" s="11">
        <f t="shared" si="67"/>
        <v>62.5</v>
      </c>
      <c r="BY54" s="11">
        <f t="shared" si="68"/>
        <v>-85.994397759103634</v>
      </c>
      <c r="BZ54" s="11">
        <f t="shared" si="69"/>
        <v>-56.715063520871148</v>
      </c>
      <c r="CA54" s="11">
        <f t="shared" si="1"/>
        <v>-211.20000000000002</v>
      </c>
      <c r="CB54" s="11">
        <v>-1.9</v>
      </c>
      <c r="CC54" s="11">
        <v>-3.6</v>
      </c>
      <c r="CD54" s="11">
        <v>-5.5</v>
      </c>
      <c r="CE54" s="11">
        <v>-26.2</v>
      </c>
      <c r="CF54" s="11">
        <f t="shared" si="29"/>
        <v>-37.200000000000003</v>
      </c>
      <c r="CG54" s="11">
        <v>-6.1</v>
      </c>
      <c r="CH54" s="11">
        <v>-3.2</v>
      </c>
      <c r="CI54" s="11">
        <v>-2.7</v>
      </c>
      <c r="CJ54" s="11">
        <v>-3.3</v>
      </c>
      <c r="CK54" s="11">
        <f t="shared" si="2"/>
        <v>-15.3</v>
      </c>
      <c r="CL54" s="11">
        <v>-1</v>
      </c>
      <c r="CM54" s="11">
        <v>-6.8</v>
      </c>
      <c r="CN54" s="11"/>
      <c r="CO54" s="11"/>
      <c r="CP54" s="11">
        <v>-4.8</v>
      </c>
      <c r="CQ54" s="11">
        <v>-12.2</v>
      </c>
      <c r="CR54" s="11">
        <f t="shared" si="42"/>
        <v>-24.799999999999997</v>
      </c>
      <c r="CS54" s="11">
        <v>-2.1</v>
      </c>
      <c r="CT54" s="11">
        <f t="shared" si="43"/>
        <v>-1.1000000000000001</v>
      </c>
      <c r="CU54" s="11">
        <f t="shared" si="44"/>
        <v>110.00000000000001</v>
      </c>
      <c r="CV54" s="11">
        <f t="shared" si="5"/>
        <v>-9.4999999999999964</v>
      </c>
      <c r="CW54" s="11">
        <f t="shared" si="6"/>
        <v>62.091503267973835</v>
      </c>
      <c r="CX54" s="3"/>
      <c r="CY54" s="3"/>
      <c r="CZ54" s="3"/>
      <c r="DA54" s="3"/>
      <c r="DB54" s="3"/>
      <c r="DC54" s="3"/>
    </row>
    <row r="55" spans="1:111" x14ac:dyDescent="0.2">
      <c r="B55" s="4" t="s">
        <v>120</v>
      </c>
      <c r="C55" s="38" t="s">
        <v>121</v>
      </c>
      <c r="E55" s="8"/>
      <c r="F55" s="10"/>
      <c r="G55" s="20"/>
      <c r="H55" s="20"/>
      <c r="I55" s="20"/>
      <c r="J55" s="10"/>
      <c r="K55" s="20"/>
      <c r="L55" s="20"/>
      <c r="M55" s="20"/>
      <c r="N55" s="8"/>
      <c r="O55" s="20"/>
      <c r="P55" s="20"/>
      <c r="Q55" s="20"/>
      <c r="R55" s="20"/>
      <c r="S55" s="11"/>
      <c r="T55" s="14"/>
      <c r="U55" s="14"/>
      <c r="V55" s="11"/>
      <c r="W55" s="14"/>
      <c r="X55" s="11"/>
      <c r="Y55" s="14"/>
      <c r="Z55" s="24"/>
      <c r="AA55" s="14"/>
      <c r="AB55" s="14"/>
      <c r="AC55" s="24"/>
      <c r="AD55" s="25"/>
      <c r="AE55" s="24"/>
      <c r="AF55" s="25"/>
      <c r="AG55" s="24"/>
      <c r="AH55" s="14"/>
      <c r="AI55" s="14"/>
      <c r="AJ55" s="25"/>
      <c r="AK55" s="11"/>
      <c r="AL55" s="73"/>
      <c r="AM55" s="25"/>
      <c r="AN55" s="14"/>
      <c r="AO55" s="14"/>
      <c r="AP55" s="14"/>
      <c r="AQ55" s="11"/>
      <c r="AR55" s="14"/>
      <c r="AS55" s="14"/>
      <c r="AT55" s="14"/>
      <c r="AU55" s="14"/>
      <c r="AV55" s="11"/>
      <c r="AW55" s="14"/>
      <c r="AX55" s="25"/>
      <c r="AY55" s="25"/>
      <c r="AZ55" s="25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>
        <v>7414.7</v>
      </c>
      <c r="CB55" s="11">
        <v>1268.2</v>
      </c>
      <c r="CC55" s="11">
        <v>2587.9</v>
      </c>
      <c r="CD55" s="11">
        <v>1452</v>
      </c>
      <c r="CE55" s="11">
        <v>4761.5</v>
      </c>
      <c r="CF55" s="11">
        <f t="shared" ref="CF55" si="75">SUM(CB55:CE55)</f>
        <v>10069.6</v>
      </c>
      <c r="CG55" s="11">
        <v>1555.6</v>
      </c>
      <c r="CH55" s="11">
        <v>3034.2</v>
      </c>
      <c r="CI55" s="11">
        <v>838.1</v>
      </c>
      <c r="CJ55" s="11">
        <v>1169.5999999999999</v>
      </c>
      <c r="CK55" s="11">
        <f>+CG55+CH55+CI55+CJ55-696</f>
        <v>5901.5</v>
      </c>
      <c r="CL55" s="11">
        <v>392.1</v>
      </c>
      <c r="CM55" s="11">
        <v>2445.5</v>
      </c>
      <c r="CN55" s="11"/>
      <c r="CO55" s="11"/>
      <c r="CP55" s="11">
        <v>147.80000000000001</v>
      </c>
      <c r="CQ55" s="11">
        <v>49.7</v>
      </c>
      <c r="CR55" s="11">
        <f t="shared" si="42"/>
        <v>3035.1</v>
      </c>
      <c r="CS55" s="11">
        <v>1191.9000000000001</v>
      </c>
      <c r="CT55" s="11">
        <f t="shared" si="43"/>
        <v>799.80000000000007</v>
      </c>
      <c r="CU55" s="11">
        <f t="shared" si="44"/>
        <v>203.9785768936496</v>
      </c>
      <c r="CV55" s="11">
        <f t="shared" si="5"/>
        <v>-3562.3999999999996</v>
      </c>
      <c r="CW55" s="11">
        <f t="shared" si="6"/>
        <v>-53.996210685865854</v>
      </c>
      <c r="CX55" s="3"/>
      <c r="CY55" s="3"/>
      <c r="CZ55" s="96"/>
      <c r="DA55" s="3"/>
      <c r="DB55" s="96"/>
      <c r="DC55" s="3"/>
    </row>
    <row r="56" spans="1:111" ht="9" customHeight="1" x14ac:dyDescent="0.2">
      <c r="E56" s="8"/>
      <c r="F56" s="8"/>
      <c r="G56" s="17"/>
      <c r="H56" s="17" t="s">
        <v>10</v>
      </c>
      <c r="I56" s="17"/>
      <c r="J56" s="10"/>
      <c r="K56" s="24"/>
      <c r="L56" s="24"/>
      <c r="N56" s="8"/>
      <c r="O56" s="22"/>
      <c r="P56" s="22"/>
      <c r="Q56" s="24"/>
      <c r="R56" s="24"/>
      <c r="S56" s="12"/>
      <c r="T56" s="12"/>
      <c r="U56" s="12"/>
      <c r="V56" s="12"/>
      <c r="W56" s="14"/>
      <c r="X56" s="12" t="str">
        <f>IF(O56="","",(O56+P56+Q56+R56))</f>
        <v/>
      </c>
      <c r="Y56" s="14"/>
      <c r="Z56" s="23"/>
      <c r="AA56" s="44"/>
      <c r="AC56" s="23"/>
      <c r="AD56" s="25"/>
      <c r="AE56" s="23" t="str">
        <f>IF(Y56="","",(Y56+Z56+AA56+AB56))</f>
        <v/>
      </c>
      <c r="AF56" s="25"/>
      <c r="AG56" s="23"/>
      <c r="AH56" s="44"/>
      <c r="AI56" s="44"/>
      <c r="AJ56" s="29"/>
      <c r="AK56" s="12" t="s">
        <v>10</v>
      </c>
      <c r="AL56" s="72" t="s">
        <v>10</v>
      </c>
      <c r="AM56" s="29"/>
      <c r="AN56" s="44"/>
      <c r="AO56" s="44"/>
      <c r="AP56" s="44"/>
      <c r="AQ56" s="12" t="s">
        <v>10</v>
      </c>
      <c r="AR56" s="44"/>
      <c r="AS56" s="44"/>
      <c r="AT56" s="44"/>
      <c r="AU56" s="44"/>
      <c r="AV56" s="12" t="s">
        <v>10</v>
      </c>
      <c r="AW56" s="44"/>
      <c r="AX56" s="29"/>
      <c r="AY56" s="29"/>
      <c r="AZ56" s="29"/>
      <c r="BA56" s="12" t="s">
        <v>10</v>
      </c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3"/>
      <c r="CY56" s="3"/>
      <c r="CZ56" s="3"/>
      <c r="DA56" s="3"/>
      <c r="DB56" s="3"/>
      <c r="DC56" s="3"/>
    </row>
    <row r="57" spans="1:111" s="7" customFormat="1" x14ac:dyDescent="0.2">
      <c r="A57" s="41"/>
      <c r="C57" s="48" t="s">
        <v>64</v>
      </c>
      <c r="D57" s="48"/>
      <c r="E57" s="44"/>
      <c r="F57" s="49">
        <f>IF(F49="","",F49)</f>
        <v>739</v>
      </c>
      <c r="G57" s="49">
        <f t="shared" ref="G57:U57" si="76">IF(G49="","",G49)</f>
        <v>1814</v>
      </c>
      <c r="H57" s="49">
        <f t="shared" si="76"/>
        <v>1233.2860000000001</v>
      </c>
      <c r="I57" s="44"/>
      <c r="J57" s="49">
        <f t="shared" si="76"/>
        <v>252</v>
      </c>
      <c r="K57" s="49">
        <f t="shared" si="76"/>
        <v>79</v>
      </c>
      <c r="L57" s="49">
        <f t="shared" si="76"/>
        <v>204</v>
      </c>
      <c r="M57" s="49">
        <f t="shared" si="76"/>
        <v>1279</v>
      </c>
      <c r="N57" s="44"/>
      <c r="O57" s="49">
        <f t="shared" si="76"/>
        <v>203.286</v>
      </c>
      <c r="P57" s="49">
        <f t="shared" si="76"/>
        <v>10</v>
      </c>
      <c r="Q57" s="49">
        <f t="shared" si="76"/>
        <v>221</v>
      </c>
      <c r="R57" s="49">
        <f t="shared" si="76"/>
        <v>799</v>
      </c>
      <c r="S57" s="49">
        <f t="shared" si="76"/>
        <v>266.96434199999999</v>
      </c>
      <c r="T57" s="49">
        <f t="shared" si="76"/>
        <v>353.40000000000003</v>
      </c>
      <c r="U57" s="49">
        <f t="shared" si="76"/>
        <v>152</v>
      </c>
      <c r="V57" s="49">
        <f>IF(V49="","",V49)</f>
        <v>805.1</v>
      </c>
      <c r="W57" s="58"/>
      <c r="X57" s="49">
        <f>IF(O57="","",(S57+T57+U57+V57))</f>
        <v>1577.4643420000002</v>
      </c>
      <c r="Y57" s="44"/>
      <c r="Z57" s="61">
        <f>IF(Z49="","",Z49)</f>
        <v>225.50000000000003</v>
      </c>
      <c r="AA57" s="49">
        <f>IF(AA49="","",AA49)</f>
        <v>385.50977800000004</v>
      </c>
      <c r="AB57" s="49">
        <f>IF(AB49="","",AB49)</f>
        <v>229</v>
      </c>
      <c r="AC57" s="61">
        <f>IF(AC49="","",AC49)</f>
        <v>687.30000000000007</v>
      </c>
      <c r="AD57" s="65"/>
      <c r="AE57" s="61">
        <f>SUM(Z57:AC57)</f>
        <v>1527.3097780000003</v>
      </c>
      <c r="AF57" s="29"/>
      <c r="AG57" s="61">
        <f>IF(AG49="","",AG49)</f>
        <v>135.71</v>
      </c>
      <c r="AH57" s="49">
        <f>+AH49</f>
        <v>407.67</v>
      </c>
      <c r="AI57" s="49">
        <f>+AI49</f>
        <v>160.55000000000001</v>
      </c>
      <c r="AJ57" s="61">
        <f>+AJ49</f>
        <v>662.41000000000008</v>
      </c>
      <c r="AK57" s="49">
        <f>+AG57+AH57+AI57+AJ57</f>
        <v>1366.3400000000001</v>
      </c>
      <c r="AL57" s="75">
        <v>1366.4</v>
      </c>
      <c r="AM57" s="61">
        <f>+AM49</f>
        <v>275.39999999999998</v>
      </c>
      <c r="AN57" s="49">
        <f>+AN49</f>
        <v>567.10000000000014</v>
      </c>
      <c r="AO57" s="49">
        <f>+AO49</f>
        <v>268.99999999999994</v>
      </c>
      <c r="AP57" s="49">
        <f>+AP49</f>
        <v>1370.0000000000002</v>
      </c>
      <c r="AQ57" s="49">
        <f>+AM57+AN57+AO57+AP57</f>
        <v>2481.5</v>
      </c>
      <c r="AR57" s="49">
        <f>+AR49</f>
        <v>309.09999999999997</v>
      </c>
      <c r="AS57" s="49">
        <f>+AS49</f>
        <v>482.85200000000003</v>
      </c>
      <c r="AT57" s="49">
        <f>+AT49</f>
        <v>228.76</v>
      </c>
      <c r="AU57" s="49">
        <f>+AU49</f>
        <v>869.7</v>
      </c>
      <c r="AV57" s="49">
        <f>+AR57+AS57+AT57+AU57</f>
        <v>1890.412</v>
      </c>
      <c r="AW57" s="49">
        <f>+AW49</f>
        <v>319.7</v>
      </c>
      <c r="AX57" s="61">
        <f>+AX49</f>
        <v>674.59999999999991</v>
      </c>
      <c r="AY57" s="61">
        <f>+AY49</f>
        <v>253.79999999999998</v>
      </c>
      <c r="AZ57" s="61">
        <f>+AZ49</f>
        <v>702.90000000000009</v>
      </c>
      <c r="BA57" s="49">
        <f>+AW57+AX57+AY57+AZ57</f>
        <v>1951</v>
      </c>
      <c r="BB57" s="61">
        <f>+BB49</f>
        <v>189.29999999999998</v>
      </c>
      <c r="BC57" s="61">
        <f>+BC49</f>
        <v>600.30300000000011</v>
      </c>
      <c r="BD57" s="61">
        <f>+BD49</f>
        <v>234.4</v>
      </c>
      <c r="BE57" s="61">
        <f>+BE49</f>
        <v>556</v>
      </c>
      <c r="BF57" s="61">
        <f t="shared" si="25"/>
        <v>1580.0030000000002</v>
      </c>
      <c r="BG57" s="61">
        <f>+BG49</f>
        <v>191.5</v>
      </c>
      <c r="BH57" s="61">
        <f>+BH49</f>
        <v>537</v>
      </c>
      <c r="BI57" s="61">
        <f>+BI49</f>
        <v>398.59999999999997</v>
      </c>
      <c r="BJ57" s="61">
        <f>+BJ49</f>
        <v>750.3</v>
      </c>
      <c r="BK57" s="61">
        <f t="shared" si="26"/>
        <v>1877.3999999999999</v>
      </c>
      <c r="BL57" s="61">
        <f>+BL49</f>
        <v>271.60000000000002</v>
      </c>
      <c r="BM57" s="61">
        <f>+BM49</f>
        <v>882.29999999999984</v>
      </c>
      <c r="BN57" s="61">
        <f>+BN49</f>
        <v>397.79999999999995</v>
      </c>
      <c r="BO57" s="61">
        <f>+BO49</f>
        <v>819.59999999999991</v>
      </c>
      <c r="BP57" s="61">
        <f t="shared" si="27"/>
        <v>2371.2999999999997</v>
      </c>
      <c r="BQ57" s="61">
        <f>+BQ49</f>
        <v>238.10000000000002</v>
      </c>
      <c r="BR57" s="61">
        <f>+BR49</f>
        <v>515.5</v>
      </c>
      <c r="BS57" s="61">
        <f>+BS49</f>
        <v>417.3</v>
      </c>
      <c r="BT57" s="61">
        <f>+BT49</f>
        <v>701.7</v>
      </c>
      <c r="BU57" s="61">
        <f>+BQ57-BL57</f>
        <v>-33.5</v>
      </c>
      <c r="BV57" s="61">
        <f t="shared" si="0"/>
        <v>753.6</v>
      </c>
      <c r="BW57" s="61">
        <f t="shared" si="28"/>
        <v>1170.9000000000001</v>
      </c>
      <c r="BX57" s="61">
        <f>+BR57-BM57</f>
        <v>-366.79999999999984</v>
      </c>
      <c r="BY57" s="61">
        <f>+BU57/(BL57)*100</f>
        <v>-12.334315169366715</v>
      </c>
      <c r="BZ57" s="61">
        <f>+BX57/(BM57)*100</f>
        <v>-41.573161056330036</v>
      </c>
      <c r="CA57" s="61">
        <f>SUM(BQ57:BT57)+CA55</f>
        <v>9287.2999999999993</v>
      </c>
      <c r="CB57" s="61">
        <f>+CB49</f>
        <v>1644.1000000000001</v>
      </c>
      <c r="CC57" s="61">
        <f>+CC49</f>
        <v>3153.2</v>
      </c>
      <c r="CD57" s="61">
        <f>+CD49</f>
        <v>1824.1</v>
      </c>
      <c r="CE57" s="61">
        <f>+CE49</f>
        <v>5506.6</v>
      </c>
      <c r="CF57" s="61">
        <f t="shared" si="29"/>
        <v>12128</v>
      </c>
      <c r="CG57" s="61">
        <f>+CG49</f>
        <v>1963.6</v>
      </c>
      <c r="CH57" s="61">
        <f>+CH49</f>
        <v>3635.7999999999997</v>
      </c>
      <c r="CI57" s="61">
        <f>+CI49</f>
        <v>1321.7</v>
      </c>
      <c r="CJ57" s="61">
        <f>+CJ49</f>
        <v>2043.2999999999997</v>
      </c>
      <c r="CK57" s="61">
        <f t="shared" si="2"/>
        <v>8964.4</v>
      </c>
      <c r="CL57" s="61">
        <f>+CL49</f>
        <v>792.2</v>
      </c>
      <c r="CM57" s="61">
        <f>+CM49</f>
        <v>2900</v>
      </c>
      <c r="CN57" s="61"/>
      <c r="CO57" s="61"/>
      <c r="CP57" s="61">
        <f>+CP49</f>
        <v>450.5</v>
      </c>
      <c r="CQ57" s="61">
        <f>+CQ49</f>
        <v>734.1</v>
      </c>
      <c r="CR57" s="61">
        <f t="shared" si="42"/>
        <v>4876.8</v>
      </c>
      <c r="CS57" s="61">
        <f>+CS49</f>
        <v>1459.5</v>
      </c>
      <c r="CT57" s="61">
        <f t="shared" si="43"/>
        <v>667.3</v>
      </c>
      <c r="CU57" s="61">
        <f t="shared" si="44"/>
        <v>84.233779348649321</v>
      </c>
      <c r="CV57" s="61">
        <f t="shared" si="5"/>
        <v>-4087.5999999999995</v>
      </c>
      <c r="CW57" s="61">
        <f t="shared" si="6"/>
        <v>-45.59814376868502</v>
      </c>
      <c r="CX57" s="9"/>
      <c r="CY57" s="9"/>
      <c r="CZ57" s="9"/>
      <c r="DA57" s="9"/>
      <c r="DB57" s="9"/>
      <c r="DC57" s="9"/>
      <c r="DD57" s="9"/>
      <c r="DE57" s="9"/>
      <c r="DF57" s="9"/>
      <c r="DG57" s="9"/>
    </row>
    <row r="58" spans="1:111" s="7" customFormat="1" ht="10.5" customHeight="1" x14ac:dyDescent="0.2">
      <c r="A58" s="41"/>
      <c r="E58" s="44"/>
      <c r="F58" s="8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14"/>
      <c r="X58" s="12" t="str">
        <f>IF(O58="","",(O58+P58+Q58+R58))</f>
        <v/>
      </c>
      <c r="Y58" s="44"/>
      <c r="Z58" s="29"/>
      <c r="AA58" s="44"/>
      <c r="AC58" s="29"/>
      <c r="AD58" s="25"/>
      <c r="AE58" s="23" t="str">
        <f>IF(Y58="","",(Y58+Z58+AA58+AB58))</f>
        <v/>
      </c>
      <c r="AF58" s="29"/>
      <c r="AG58" s="29"/>
      <c r="AH58" s="44"/>
      <c r="AI58" s="44"/>
      <c r="AJ58" s="29"/>
      <c r="AK58" s="12" t="s">
        <v>10</v>
      </c>
      <c r="AL58" s="72" t="s">
        <v>10</v>
      </c>
      <c r="AM58" s="29"/>
      <c r="AN58" s="44"/>
      <c r="AO58" s="44"/>
      <c r="AP58" s="44"/>
      <c r="AQ58" s="12" t="s">
        <v>10</v>
      </c>
      <c r="AR58" s="44"/>
      <c r="AS58" s="44"/>
      <c r="AT58" s="44"/>
      <c r="AU58" s="44"/>
      <c r="AV58" s="12" t="s">
        <v>10</v>
      </c>
      <c r="AW58" s="44"/>
      <c r="AX58" s="29"/>
      <c r="AY58" s="29"/>
      <c r="AZ58" s="29"/>
      <c r="BA58" s="12" t="s">
        <v>10</v>
      </c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9"/>
      <c r="CY58" s="9"/>
      <c r="CZ58" s="9"/>
      <c r="DA58" s="9"/>
      <c r="DB58" s="9"/>
      <c r="DC58" s="9"/>
      <c r="DD58" s="9"/>
      <c r="DE58" s="9"/>
      <c r="DF58" s="9"/>
      <c r="DG58" s="9"/>
    </row>
    <row r="59" spans="1:111" s="7" customFormat="1" x14ac:dyDescent="0.2">
      <c r="A59" s="41">
        <v>6</v>
      </c>
      <c r="B59" s="7" t="s">
        <v>36</v>
      </c>
      <c r="E59" s="8"/>
      <c r="F59" s="8">
        <f>SUM(F60)</f>
        <v>481</v>
      </c>
      <c r="G59" s="17">
        <f>SUM(J59:M59)</f>
        <v>664</v>
      </c>
      <c r="H59" s="17">
        <f>SUM(O59:R59)</f>
        <v>752</v>
      </c>
      <c r="I59" s="17"/>
      <c r="J59" s="8">
        <v>169</v>
      </c>
      <c r="K59" s="17">
        <v>179</v>
      </c>
      <c r="L59" s="17">
        <v>232</v>
      </c>
      <c r="M59" s="17">
        <v>84</v>
      </c>
      <c r="N59" s="8"/>
      <c r="O59" s="17">
        <v>165</v>
      </c>
      <c r="P59" s="17">
        <f t="shared" ref="P59:V59" si="77">P60</f>
        <v>196</v>
      </c>
      <c r="Q59" s="17">
        <f t="shared" si="77"/>
        <v>202</v>
      </c>
      <c r="R59" s="17">
        <f t="shared" si="77"/>
        <v>189</v>
      </c>
      <c r="S59" s="17">
        <f t="shared" si="77"/>
        <v>176.5</v>
      </c>
      <c r="T59" s="17">
        <f t="shared" si="77"/>
        <v>162.5</v>
      </c>
      <c r="U59" s="17">
        <f t="shared" si="77"/>
        <v>138.69999999999999</v>
      </c>
      <c r="V59" s="17">
        <f t="shared" si="77"/>
        <v>184.03671399999999</v>
      </c>
      <c r="W59" s="14"/>
      <c r="X59" s="12">
        <f>IF(O59="","",(S59+T59+U59+V59))</f>
        <v>661.73671400000001</v>
      </c>
      <c r="Y59" s="14"/>
      <c r="Z59" s="17">
        <f>Z60</f>
        <v>174.9</v>
      </c>
      <c r="AA59" s="17">
        <f>AA60</f>
        <v>154.6</v>
      </c>
      <c r="AB59" s="17">
        <f>AB60</f>
        <v>121.3</v>
      </c>
      <c r="AC59" s="17">
        <f>AC60</f>
        <v>128.1</v>
      </c>
      <c r="AD59" s="25"/>
      <c r="AE59" s="23">
        <f>SUM(AE60:AE61)</f>
        <v>578.29999999999995</v>
      </c>
      <c r="AF59" s="25"/>
      <c r="AG59" s="17">
        <f>AG60</f>
        <v>102.8</v>
      </c>
      <c r="AH59" s="17">
        <f>+AH60+AH61</f>
        <v>57.515700000000002</v>
      </c>
      <c r="AI59" s="17">
        <f>+AI60+AI61</f>
        <v>92.111729999999994</v>
      </c>
      <c r="AJ59" s="17">
        <f>+AJ60+AJ61</f>
        <v>47.930799999999998</v>
      </c>
      <c r="AK59" s="12">
        <f>+AG59+AH59+AI59+AJ59</f>
        <v>300.35822999999999</v>
      </c>
      <c r="AL59" s="70">
        <f>+AL60+AL61</f>
        <v>300.34370000000001</v>
      </c>
      <c r="AM59" s="17">
        <f>+AM60+AM61</f>
        <v>90.4</v>
      </c>
      <c r="AN59" s="17">
        <f>+AN60+AN61</f>
        <v>46.7</v>
      </c>
      <c r="AO59" s="17">
        <f>+AO60+AO61</f>
        <v>88.600000000000009</v>
      </c>
      <c r="AP59" s="17">
        <f>+AP60+AP61</f>
        <v>68.7</v>
      </c>
      <c r="AQ59" s="12">
        <f>+AM59+AN59+AO59+AP59</f>
        <v>294.40000000000003</v>
      </c>
      <c r="AR59" s="17">
        <f>+AR60+AR61</f>
        <v>105.2</v>
      </c>
      <c r="AS59" s="17">
        <f>+AS60+AS61</f>
        <v>141.11900000000003</v>
      </c>
      <c r="AT59" s="17">
        <f>+AT60+AT61</f>
        <v>113.914</v>
      </c>
      <c r="AU59" s="17">
        <f>+AU60+AU61</f>
        <v>157.4</v>
      </c>
      <c r="AV59" s="12">
        <f>+AR59+AS59+AT59+AU59</f>
        <v>517.63300000000004</v>
      </c>
      <c r="AW59" s="17">
        <f>+AW60+AW61</f>
        <v>122</v>
      </c>
      <c r="AX59" s="17">
        <f>+AX60+AX61</f>
        <v>113</v>
      </c>
      <c r="AY59" s="17">
        <f>+AY60+AY61</f>
        <v>111.9</v>
      </c>
      <c r="AZ59" s="17">
        <f>+AZ60+AZ61</f>
        <v>78.100000000000009</v>
      </c>
      <c r="BA59" s="12">
        <f>+AW59+AX59+AY59+AZ59</f>
        <v>425</v>
      </c>
      <c r="BB59" s="17">
        <f>+BB60+BB61</f>
        <v>94</v>
      </c>
      <c r="BC59" s="17">
        <f>+BC60+BC61</f>
        <v>93.9</v>
      </c>
      <c r="BD59" s="17">
        <f>+BD60+BD61</f>
        <v>102.4</v>
      </c>
      <c r="BE59" s="17">
        <f>+BE60+BE61</f>
        <v>104.3</v>
      </c>
      <c r="BF59" s="17">
        <f t="shared" si="25"/>
        <v>394.6</v>
      </c>
      <c r="BG59" s="17">
        <f>+BG60+BG61</f>
        <v>63.5</v>
      </c>
      <c r="BH59" s="17">
        <f>+BH60+BH61</f>
        <v>66.7</v>
      </c>
      <c r="BI59" s="17">
        <f>+BI60+BI61</f>
        <v>67</v>
      </c>
      <c r="BJ59" s="17">
        <f>+BJ60+BJ61</f>
        <v>37.799999999999997</v>
      </c>
      <c r="BK59" s="17">
        <f t="shared" si="26"/>
        <v>235</v>
      </c>
      <c r="BL59" s="17">
        <f>+BL60+BL61</f>
        <v>54.4</v>
      </c>
      <c r="BM59" s="17">
        <f>+BM60+BM61</f>
        <v>59.1</v>
      </c>
      <c r="BN59" s="17">
        <f>+BN60+BN61</f>
        <v>57.500000000000007</v>
      </c>
      <c r="BO59" s="17">
        <f>+BO60+BO61</f>
        <v>63.300000000000004</v>
      </c>
      <c r="BP59" s="17">
        <f t="shared" si="27"/>
        <v>234.3</v>
      </c>
      <c r="BQ59" s="17">
        <f>+BQ60+BQ61</f>
        <v>36.599999999999994</v>
      </c>
      <c r="BR59" s="17">
        <f>+BR60+BR61</f>
        <v>50.199999999999996</v>
      </c>
      <c r="BS59" s="17">
        <f>+BS60+BS61</f>
        <v>51.7</v>
      </c>
      <c r="BT59" s="17">
        <f>+BT60+BT61</f>
        <v>47.2</v>
      </c>
      <c r="BU59" s="17">
        <f>+BQ59-BL59</f>
        <v>-17.800000000000004</v>
      </c>
      <c r="BV59" s="17">
        <f t="shared" si="0"/>
        <v>86.799999999999983</v>
      </c>
      <c r="BW59" s="17">
        <f t="shared" si="28"/>
        <v>138.5</v>
      </c>
      <c r="BX59" s="17">
        <f>+BR59-BM59</f>
        <v>-8.9000000000000057</v>
      </c>
      <c r="BY59" s="17">
        <f>+BU59/(BL59)*100</f>
        <v>-32.72058823529413</v>
      </c>
      <c r="BZ59" s="17">
        <f>+BX59/(BM59)*100</f>
        <v>-15.05922165820644</v>
      </c>
      <c r="CA59" s="17">
        <f t="shared" si="1"/>
        <v>185.7</v>
      </c>
      <c r="CB59" s="17">
        <f>+CB60+CB61</f>
        <v>43.199999999999996</v>
      </c>
      <c r="CC59" s="17">
        <f>+CC60+CC61</f>
        <v>46.4</v>
      </c>
      <c r="CD59" s="17">
        <f>+CD60+CD61</f>
        <v>47.6</v>
      </c>
      <c r="CE59" s="17">
        <f>+CE60+CE61</f>
        <v>45.800000000000004</v>
      </c>
      <c r="CF59" s="17">
        <f t="shared" si="29"/>
        <v>183</v>
      </c>
      <c r="CG59" s="17">
        <f>+CG60+CG61</f>
        <v>48.9</v>
      </c>
      <c r="CH59" s="17">
        <f>+CH60+CH61</f>
        <v>51.9</v>
      </c>
      <c r="CI59" s="17">
        <f>+CI60+CI61</f>
        <v>40.1</v>
      </c>
      <c r="CJ59" s="17">
        <f>+CJ60+CJ61</f>
        <v>37</v>
      </c>
      <c r="CK59" s="17">
        <f t="shared" si="2"/>
        <v>177.9</v>
      </c>
      <c r="CL59" s="17">
        <f>+CL60+CL61</f>
        <v>34.800000000000004</v>
      </c>
      <c r="CM59" s="17">
        <f>+CM60+CM61</f>
        <v>30.9</v>
      </c>
      <c r="CN59" s="17"/>
      <c r="CO59" s="17"/>
      <c r="CP59" s="17">
        <f>+CP60+CP61</f>
        <v>20.7</v>
      </c>
      <c r="CQ59" s="17">
        <f>+CQ60+CQ61</f>
        <v>17.899999999999999</v>
      </c>
      <c r="CR59" s="17">
        <f t="shared" si="42"/>
        <v>104.30000000000001</v>
      </c>
      <c r="CS59" s="17">
        <f>+CS60+CS61</f>
        <v>21.8</v>
      </c>
      <c r="CT59" s="17">
        <f t="shared" si="43"/>
        <v>-13.000000000000004</v>
      </c>
      <c r="CU59" s="17">
        <f t="shared" si="44"/>
        <v>-37.356321839080465</v>
      </c>
      <c r="CV59" s="17">
        <f t="shared" si="5"/>
        <v>-73.599999999999994</v>
      </c>
      <c r="CW59" s="17">
        <f t="shared" si="6"/>
        <v>-41.371557054525013</v>
      </c>
      <c r="CX59" s="9"/>
      <c r="CY59" s="9"/>
      <c r="CZ59" s="9"/>
      <c r="DA59" s="9"/>
      <c r="DB59" s="9"/>
      <c r="DC59" s="9"/>
    </row>
    <row r="60" spans="1:111" x14ac:dyDescent="0.2">
      <c r="B60" s="4" t="s">
        <v>37</v>
      </c>
      <c r="C60" s="4" t="s">
        <v>38</v>
      </c>
      <c r="E60" s="8"/>
      <c r="F60" s="10">
        <v>481</v>
      </c>
      <c r="G60" s="20">
        <f>SUM(J60:M60)</f>
        <v>664</v>
      </c>
      <c r="H60" s="20">
        <f>SUM(O60:R60)</f>
        <v>752</v>
      </c>
      <c r="I60" s="20"/>
      <c r="J60" s="10">
        <v>169</v>
      </c>
      <c r="K60" s="24">
        <v>179</v>
      </c>
      <c r="L60" s="24">
        <v>232</v>
      </c>
      <c r="M60" s="25">
        <v>84</v>
      </c>
      <c r="N60" s="8"/>
      <c r="O60" s="24">
        <v>165</v>
      </c>
      <c r="P60" s="24">
        <v>196</v>
      </c>
      <c r="Q60" s="24">
        <v>202</v>
      </c>
      <c r="R60" s="24">
        <v>189</v>
      </c>
      <c r="S60" s="11">
        <v>176.5</v>
      </c>
      <c r="T60" s="14">
        <v>162.5</v>
      </c>
      <c r="U60" s="14">
        <v>138.69999999999999</v>
      </c>
      <c r="V60" s="11">
        <v>184.03671399999999</v>
      </c>
      <c r="W60" s="14"/>
      <c r="X60" s="11">
        <f>IF(O60="","",(S60+T60+U60+V60))</f>
        <v>661.73671400000001</v>
      </c>
      <c r="Y60" s="14"/>
      <c r="Z60" s="24">
        <v>174.9</v>
      </c>
      <c r="AA60" s="14">
        <v>154.6</v>
      </c>
      <c r="AB60" s="14">
        <v>121.3</v>
      </c>
      <c r="AC60" s="24">
        <v>128.1</v>
      </c>
      <c r="AD60" s="25"/>
      <c r="AE60" s="24">
        <f>SUM(Z60:AC60)</f>
        <v>578.9</v>
      </c>
      <c r="AF60" s="25"/>
      <c r="AG60" s="24">
        <v>102.8</v>
      </c>
      <c r="AH60" s="14">
        <v>58</v>
      </c>
      <c r="AI60" s="14">
        <v>89.5</v>
      </c>
      <c r="AJ60" s="25">
        <v>50.5</v>
      </c>
      <c r="AK60" s="11">
        <f>+AG60+AH60+AI60+AJ60</f>
        <v>300.8</v>
      </c>
      <c r="AL60" s="73">
        <v>300.78899999999999</v>
      </c>
      <c r="AM60" s="25">
        <v>95.2</v>
      </c>
      <c r="AN60" s="14">
        <v>58.4</v>
      </c>
      <c r="AO60" s="14">
        <v>94.4</v>
      </c>
      <c r="AP60" s="14">
        <v>83.4</v>
      </c>
      <c r="AQ60" s="11">
        <f>+AM60+AN60+AO60+AP60</f>
        <v>331.4</v>
      </c>
      <c r="AR60" s="14">
        <v>105.4</v>
      </c>
      <c r="AS60" s="14">
        <v>159.96700000000001</v>
      </c>
      <c r="AT60" s="14">
        <v>124.443</v>
      </c>
      <c r="AU60" s="14">
        <v>165.1</v>
      </c>
      <c r="AV60" s="11">
        <f>+AR60+AS60+AT60+AU60</f>
        <v>554.91</v>
      </c>
      <c r="AW60" s="14">
        <v>130</v>
      </c>
      <c r="AX60" s="25">
        <v>126.7</v>
      </c>
      <c r="AY60" s="25">
        <v>123</v>
      </c>
      <c r="AZ60" s="25">
        <v>88.9</v>
      </c>
      <c r="BA60" s="11">
        <f>+AW60+AX60+AY60+AZ60</f>
        <v>468.6</v>
      </c>
      <c r="BB60" s="11">
        <v>101</v>
      </c>
      <c r="BC60" s="11">
        <v>99.4</v>
      </c>
      <c r="BD60" s="11">
        <v>107.7</v>
      </c>
      <c r="BE60" s="11">
        <v>108.7</v>
      </c>
      <c r="BF60" s="11">
        <f t="shared" si="25"/>
        <v>416.8</v>
      </c>
      <c r="BG60" s="11">
        <v>68</v>
      </c>
      <c r="BH60" s="11">
        <v>71.3</v>
      </c>
      <c r="BI60" s="11">
        <v>72</v>
      </c>
      <c r="BJ60" s="11">
        <v>44.3</v>
      </c>
      <c r="BK60" s="11">
        <f t="shared" si="26"/>
        <v>255.60000000000002</v>
      </c>
      <c r="BL60" s="11">
        <v>61.5</v>
      </c>
      <c r="BM60" s="11">
        <f>1.7+65.3</f>
        <v>67</v>
      </c>
      <c r="BN60" s="11">
        <v>65.900000000000006</v>
      </c>
      <c r="BO60" s="11">
        <v>70.7</v>
      </c>
      <c r="BP60" s="11">
        <f t="shared" si="27"/>
        <v>265.10000000000002</v>
      </c>
      <c r="BQ60" s="11">
        <v>42.3</v>
      </c>
      <c r="BR60" s="11">
        <v>55.3</v>
      </c>
      <c r="BS60" s="11">
        <v>57.5</v>
      </c>
      <c r="BT60" s="11">
        <v>51.7</v>
      </c>
      <c r="BU60" s="11">
        <f>+BQ60-BL60</f>
        <v>-19.200000000000003</v>
      </c>
      <c r="BV60" s="11">
        <f t="shared" si="0"/>
        <v>97.6</v>
      </c>
      <c r="BW60" s="11">
        <f t="shared" si="28"/>
        <v>155.1</v>
      </c>
      <c r="BX60" s="11">
        <f>+BR60-BM60</f>
        <v>-11.700000000000003</v>
      </c>
      <c r="BY60" s="11">
        <f>+BU60/(BL60)*100</f>
        <v>-31.219512195121958</v>
      </c>
      <c r="BZ60" s="11">
        <f>+BX60/(BM60)*100</f>
        <v>-17.462686567164184</v>
      </c>
      <c r="CA60" s="11">
        <f t="shared" si="1"/>
        <v>206.8</v>
      </c>
      <c r="CB60" s="11">
        <v>47.4</v>
      </c>
      <c r="CC60" s="11">
        <v>51.1</v>
      </c>
      <c r="CD60" s="11">
        <v>52.7</v>
      </c>
      <c r="CE60" s="11">
        <v>51.2</v>
      </c>
      <c r="CF60" s="11">
        <f t="shared" si="29"/>
        <v>202.39999999999998</v>
      </c>
      <c r="CG60" s="11">
        <v>54.8</v>
      </c>
      <c r="CH60" s="11">
        <v>58.4</v>
      </c>
      <c r="CI60" s="11">
        <v>48</v>
      </c>
      <c r="CJ60" s="11">
        <v>45.3</v>
      </c>
      <c r="CK60" s="11">
        <f t="shared" si="2"/>
        <v>206.5</v>
      </c>
      <c r="CL60" s="11">
        <v>41.1</v>
      </c>
      <c r="CM60" s="11">
        <v>35.799999999999997</v>
      </c>
      <c r="CN60" s="11"/>
      <c r="CO60" s="11"/>
      <c r="CP60" s="11">
        <v>25.2</v>
      </c>
      <c r="CQ60" s="11">
        <v>21.7</v>
      </c>
      <c r="CR60" s="11">
        <f t="shared" si="42"/>
        <v>123.80000000000001</v>
      </c>
      <c r="CS60" s="11">
        <v>24.7</v>
      </c>
      <c r="CT60" s="11">
        <f t="shared" si="43"/>
        <v>-16.400000000000002</v>
      </c>
      <c r="CU60" s="11">
        <f t="shared" si="44"/>
        <v>-39.902676399026767</v>
      </c>
      <c r="CV60" s="11">
        <f t="shared" si="5"/>
        <v>-82.699999999999989</v>
      </c>
      <c r="CW60" s="11">
        <f t="shared" si="6"/>
        <v>-40.04842615012106</v>
      </c>
      <c r="CX60" s="3"/>
      <c r="CY60" s="3"/>
      <c r="CZ60" s="3"/>
      <c r="DA60" s="3"/>
      <c r="DB60" s="3"/>
      <c r="DC60" s="3"/>
    </row>
    <row r="61" spans="1:111" x14ac:dyDescent="0.2">
      <c r="B61" s="4" t="s">
        <v>93</v>
      </c>
      <c r="C61" s="4" t="s">
        <v>94</v>
      </c>
      <c r="E61" s="8"/>
      <c r="F61" s="10"/>
      <c r="G61" s="20"/>
      <c r="H61" s="20"/>
      <c r="I61" s="20"/>
      <c r="J61" s="10"/>
      <c r="K61" s="24"/>
      <c r="L61" s="24"/>
      <c r="M61" s="25"/>
      <c r="N61" s="8"/>
      <c r="O61" s="24"/>
      <c r="P61" s="24"/>
      <c r="Q61" s="24"/>
      <c r="R61" s="24"/>
      <c r="S61" s="11"/>
      <c r="T61" s="14"/>
      <c r="U61" s="14"/>
      <c r="V61" s="11">
        <v>-3.3774999999999999E-2</v>
      </c>
      <c r="W61" s="14"/>
      <c r="X61" s="11"/>
      <c r="Y61" s="14"/>
      <c r="Z61" s="24">
        <v>-0.1</v>
      </c>
      <c r="AA61" s="14">
        <v>-0.2</v>
      </c>
      <c r="AB61" s="14">
        <v>-0.1</v>
      </c>
      <c r="AC61" s="11">
        <v>-0.2</v>
      </c>
      <c r="AD61" s="14"/>
      <c r="AE61" s="11">
        <f>SUM(Z61:AC61)</f>
        <v>-0.60000000000000009</v>
      </c>
      <c r="AF61" s="14"/>
      <c r="AG61" s="11">
        <v>3.4350000000000001E-3</v>
      </c>
      <c r="AH61" s="14">
        <v>-0.48430000000000001</v>
      </c>
      <c r="AI61" s="14">
        <v>2.6117300000000001</v>
      </c>
      <c r="AJ61" s="25">
        <v>-2.5691999999999999</v>
      </c>
      <c r="AK61" s="11">
        <f>+AG61+AH61+AI61+AJ61</f>
        <v>-0.43833499999999992</v>
      </c>
      <c r="AL61" s="73">
        <v>-0.44529999999999997</v>
      </c>
      <c r="AM61" s="25">
        <v>-4.8</v>
      </c>
      <c r="AN61" s="14">
        <v>-11.7</v>
      </c>
      <c r="AO61" s="14">
        <v>-5.8</v>
      </c>
      <c r="AP61" s="14">
        <v>-14.7</v>
      </c>
      <c r="AQ61" s="11">
        <f>+AM61+AN61+AO61+AP61</f>
        <v>-37</v>
      </c>
      <c r="AR61" s="14">
        <v>-0.2</v>
      </c>
      <c r="AS61" s="14">
        <v>-18.847999999999999</v>
      </c>
      <c r="AT61" s="14">
        <v>-10.529</v>
      </c>
      <c r="AU61" s="14">
        <v>-7.7</v>
      </c>
      <c r="AV61" s="11">
        <f>+AR61+AS61+AT61+AU61</f>
        <v>-37.277000000000001</v>
      </c>
      <c r="AW61" s="14">
        <v>-8</v>
      </c>
      <c r="AX61" s="25">
        <v>-13.7</v>
      </c>
      <c r="AY61" s="25">
        <v>-11.1</v>
      </c>
      <c r="AZ61" s="25">
        <v>-10.8</v>
      </c>
      <c r="BA61" s="11">
        <f>+AW61+AX61+AY61+AZ61</f>
        <v>-43.599999999999994</v>
      </c>
      <c r="BB61" s="11">
        <v>-7</v>
      </c>
      <c r="BC61" s="11">
        <v>-5.5</v>
      </c>
      <c r="BD61" s="11">
        <v>-5.3</v>
      </c>
      <c r="BE61" s="11">
        <v>-4.4000000000000004</v>
      </c>
      <c r="BF61" s="11">
        <f t="shared" si="25"/>
        <v>-22.200000000000003</v>
      </c>
      <c r="BG61" s="11">
        <v>-4.5</v>
      </c>
      <c r="BH61" s="11">
        <v>-4.5999999999999996</v>
      </c>
      <c r="BI61" s="11">
        <v>-5</v>
      </c>
      <c r="BJ61" s="11">
        <v>-6.5</v>
      </c>
      <c r="BK61" s="11">
        <f t="shared" si="26"/>
        <v>-20.6</v>
      </c>
      <c r="BL61" s="11">
        <v>-7.1</v>
      </c>
      <c r="BM61" s="11">
        <v>-7.9</v>
      </c>
      <c r="BN61" s="11">
        <v>-8.4</v>
      </c>
      <c r="BO61" s="11">
        <v>-7.4</v>
      </c>
      <c r="BP61" s="11">
        <f t="shared" si="27"/>
        <v>-30.799999999999997</v>
      </c>
      <c r="BQ61" s="11">
        <v>-5.7</v>
      </c>
      <c r="BR61" s="11">
        <v>-5.0999999999999996</v>
      </c>
      <c r="BS61" s="11">
        <v>-5.8</v>
      </c>
      <c r="BT61" s="11">
        <v>-4.5</v>
      </c>
      <c r="BU61" s="11">
        <f>+BQ61-BL61</f>
        <v>1.3999999999999995</v>
      </c>
      <c r="BV61" s="11">
        <f t="shared" si="0"/>
        <v>-10.8</v>
      </c>
      <c r="BW61" s="11">
        <f t="shared" si="28"/>
        <v>-16.600000000000001</v>
      </c>
      <c r="BX61" s="11">
        <f>+BR61-BM61</f>
        <v>2.8000000000000007</v>
      </c>
      <c r="BY61" s="11">
        <f>+BU61/(BL61)*100</f>
        <v>-19.718309859154921</v>
      </c>
      <c r="BZ61" s="11">
        <f>+BX61/(BM61)*100</f>
        <v>-35.443037974683548</v>
      </c>
      <c r="CA61" s="11">
        <f t="shared" si="1"/>
        <v>-21.1</v>
      </c>
      <c r="CB61" s="11">
        <v>-4.2</v>
      </c>
      <c r="CC61" s="11">
        <v>-4.7</v>
      </c>
      <c r="CD61" s="11">
        <v>-5.0999999999999996</v>
      </c>
      <c r="CE61" s="11">
        <v>-5.4</v>
      </c>
      <c r="CF61" s="11">
        <f t="shared" si="29"/>
        <v>-19.399999999999999</v>
      </c>
      <c r="CG61" s="11">
        <v>-5.9</v>
      </c>
      <c r="CH61" s="11">
        <v>-6.5</v>
      </c>
      <c r="CI61" s="11">
        <v>-7.9</v>
      </c>
      <c r="CJ61" s="11">
        <v>-8.3000000000000007</v>
      </c>
      <c r="CK61" s="11">
        <f t="shared" si="2"/>
        <v>-28.6</v>
      </c>
      <c r="CL61" s="11">
        <v>-6.3</v>
      </c>
      <c r="CM61" s="11">
        <v>-4.9000000000000004</v>
      </c>
      <c r="CN61" s="11"/>
      <c r="CO61" s="11"/>
      <c r="CP61" s="11">
        <v>-4.5</v>
      </c>
      <c r="CQ61" s="11">
        <v>-3.8</v>
      </c>
      <c r="CR61" s="11">
        <f t="shared" si="42"/>
        <v>-19.5</v>
      </c>
      <c r="CS61" s="11">
        <v>-2.9</v>
      </c>
      <c r="CT61" s="11">
        <f t="shared" si="43"/>
        <v>3.4</v>
      </c>
      <c r="CU61" s="11">
        <f t="shared" si="44"/>
        <v>-53.968253968253968</v>
      </c>
      <c r="CV61" s="11">
        <f t="shared" si="5"/>
        <v>9.1000000000000014</v>
      </c>
      <c r="CW61" s="11">
        <f t="shared" si="6"/>
        <v>-31.818181818181824</v>
      </c>
      <c r="CX61" s="3"/>
      <c r="CY61" s="3"/>
      <c r="CZ61" s="3"/>
      <c r="DA61" s="3"/>
      <c r="DB61" s="3"/>
      <c r="DC61" s="3"/>
    </row>
    <row r="62" spans="1:111" ht="9" customHeight="1" x14ac:dyDescent="0.2">
      <c r="E62" s="8"/>
      <c r="F62" s="8"/>
      <c r="G62" s="17"/>
      <c r="H62" s="17" t="s">
        <v>10</v>
      </c>
      <c r="I62" s="17"/>
      <c r="J62" s="10"/>
      <c r="K62" s="24"/>
      <c r="L62" s="24"/>
      <c r="N62" s="8"/>
      <c r="O62" s="22"/>
      <c r="P62" s="22"/>
      <c r="Q62" s="24"/>
      <c r="R62" s="24"/>
      <c r="S62" s="12"/>
      <c r="T62" s="12"/>
      <c r="U62" s="12"/>
      <c r="V62" s="12"/>
      <c r="W62" s="14"/>
      <c r="X62" s="12" t="str">
        <f>IF(O62="","",(O62+P62+Q62+R62))</f>
        <v/>
      </c>
      <c r="Y62" s="14"/>
      <c r="Z62" s="23"/>
      <c r="AA62" s="44"/>
      <c r="AC62" s="12"/>
      <c r="AD62" s="14"/>
      <c r="AE62" s="12" t="str">
        <f>IF(Y62="","",(Y62+Z62+AA62+AB62))</f>
        <v/>
      </c>
      <c r="AF62" s="14"/>
      <c r="AG62" s="12"/>
      <c r="AH62" s="44"/>
      <c r="AI62" s="44"/>
      <c r="AJ62" s="29"/>
      <c r="AK62" s="12" t="s">
        <v>10</v>
      </c>
      <c r="AL62" s="72" t="s">
        <v>10</v>
      </c>
      <c r="AM62" s="29"/>
      <c r="AN62" s="44"/>
      <c r="AO62" s="44"/>
      <c r="AP62" s="44"/>
      <c r="AQ62" s="12" t="s">
        <v>10</v>
      </c>
      <c r="AR62" s="44"/>
      <c r="AS62" s="44"/>
      <c r="AT62" s="44"/>
      <c r="AU62" s="44"/>
      <c r="AV62" s="12" t="s">
        <v>10</v>
      </c>
      <c r="AW62" s="44"/>
      <c r="AX62" s="29"/>
      <c r="AY62" s="29"/>
      <c r="AZ62" s="29"/>
      <c r="BA62" s="12" t="s">
        <v>10</v>
      </c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3"/>
      <c r="CY62" s="3"/>
      <c r="CZ62" s="3"/>
      <c r="DA62" s="3"/>
      <c r="DB62" s="3"/>
      <c r="DC62" s="3"/>
    </row>
    <row r="63" spans="1:111" s="7" customFormat="1" x14ac:dyDescent="0.2">
      <c r="A63" s="41"/>
      <c r="C63" s="48" t="s">
        <v>62</v>
      </c>
      <c r="D63" s="48"/>
      <c r="E63" s="8"/>
      <c r="F63" s="47">
        <f>F59</f>
        <v>481</v>
      </c>
      <c r="G63" s="47">
        <f t="shared" ref="G63:U63" si="78">G59</f>
        <v>664</v>
      </c>
      <c r="H63" s="47">
        <f t="shared" si="78"/>
        <v>752</v>
      </c>
      <c r="I63" s="8"/>
      <c r="J63" s="47">
        <f t="shared" si="78"/>
        <v>169</v>
      </c>
      <c r="K63" s="47">
        <f t="shared" si="78"/>
        <v>179</v>
      </c>
      <c r="L63" s="47">
        <f t="shared" si="78"/>
        <v>232</v>
      </c>
      <c r="M63" s="47">
        <f t="shared" si="78"/>
        <v>84</v>
      </c>
      <c r="N63" s="8"/>
      <c r="O63" s="47">
        <f t="shared" si="78"/>
        <v>165</v>
      </c>
      <c r="P63" s="47">
        <f t="shared" si="78"/>
        <v>196</v>
      </c>
      <c r="Q63" s="47">
        <f t="shared" si="78"/>
        <v>202</v>
      </c>
      <c r="R63" s="47">
        <f t="shared" si="78"/>
        <v>189</v>
      </c>
      <c r="S63" s="47">
        <f t="shared" si="78"/>
        <v>176.5</v>
      </c>
      <c r="T63" s="47">
        <f t="shared" si="78"/>
        <v>162.5</v>
      </c>
      <c r="U63" s="47">
        <f t="shared" si="78"/>
        <v>138.69999999999999</v>
      </c>
      <c r="V63" s="47">
        <f>V59</f>
        <v>184.03671399999999</v>
      </c>
      <c r="W63" s="58"/>
      <c r="X63" s="49">
        <f>IF(O63="","",(S63+T63+U63+V63))</f>
        <v>661.73671400000001</v>
      </c>
      <c r="Y63" s="8"/>
      <c r="Z63" s="45">
        <f>Z59</f>
        <v>174.9</v>
      </c>
      <c r="AA63" s="47">
        <f>AA59</f>
        <v>154.6</v>
      </c>
      <c r="AB63" s="47">
        <f>AB59</f>
        <v>121.3</v>
      </c>
      <c r="AC63" s="47">
        <f>AC59</f>
        <v>128.1</v>
      </c>
      <c r="AD63" s="58"/>
      <c r="AE63" s="49">
        <f>+AE59</f>
        <v>578.29999999999995</v>
      </c>
      <c r="AF63" s="8"/>
      <c r="AG63" s="47">
        <f>AG59</f>
        <v>102.8</v>
      </c>
      <c r="AH63" s="47">
        <f>+AH59</f>
        <v>57.515700000000002</v>
      </c>
      <c r="AI63" s="47">
        <f>+AI59</f>
        <v>92.111729999999994</v>
      </c>
      <c r="AJ63" s="45">
        <f>+AJ59</f>
        <v>47.930799999999998</v>
      </c>
      <c r="AK63" s="49">
        <f>+AG63+AH63+AI63+AJ63</f>
        <v>300.35822999999999</v>
      </c>
      <c r="AL63" s="71">
        <f>+AL59</f>
        <v>300.34370000000001</v>
      </c>
      <c r="AM63" s="45">
        <f>+AM59</f>
        <v>90.4</v>
      </c>
      <c r="AN63" s="47">
        <f>+AN59</f>
        <v>46.7</v>
      </c>
      <c r="AO63" s="47">
        <f>+AO59</f>
        <v>88.600000000000009</v>
      </c>
      <c r="AP63" s="47">
        <f>+AP59</f>
        <v>68.7</v>
      </c>
      <c r="AQ63" s="49">
        <f>+AM63+AN63+AO63+AP63</f>
        <v>294.40000000000003</v>
      </c>
      <c r="AR63" s="47">
        <f>+AR59</f>
        <v>105.2</v>
      </c>
      <c r="AS63" s="47">
        <f>+AS59</f>
        <v>141.11900000000003</v>
      </c>
      <c r="AT63" s="47">
        <f>+AT59</f>
        <v>113.914</v>
      </c>
      <c r="AU63" s="47">
        <f>+AU59</f>
        <v>157.4</v>
      </c>
      <c r="AV63" s="49">
        <f>+AR63+AS63+AT63+AU63</f>
        <v>517.63300000000004</v>
      </c>
      <c r="AW63" s="47">
        <f>+AW59</f>
        <v>122</v>
      </c>
      <c r="AX63" s="45">
        <f>+AX59</f>
        <v>113</v>
      </c>
      <c r="AY63" s="45">
        <f>+AY59</f>
        <v>111.9</v>
      </c>
      <c r="AZ63" s="45">
        <f>+AZ59</f>
        <v>78.100000000000009</v>
      </c>
      <c r="BA63" s="49">
        <f>+AW63+AX63+AY63+AZ63</f>
        <v>425</v>
      </c>
      <c r="BB63" s="45">
        <f>+BB59</f>
        <v>94</v>
      </c>
      <c r="BC63" s="45">
        <f>+BC59</f>
        <v>93.9</v>
      </c>
      <c r="BD63" s="45">
        <f>+BD59</f>
        <v>102.4</v>
      </c>
      <c r="BE63" s="45">
        <f>+BE59</f>
        <v>104.3</v>
      </c>
      <c r="BF63" s="45">
        <f t="shared" si="25"/>
        <v>394.6</v>
      </c>
      <c r="BG63" s="45">
        <f>+BG59</f>
        <v>63.5</v>
      </c>
      <c r="BH63" s="45">
        <f>+BH59</f>
        <v>66.7</v>
      </c>
      <c r="BI63" s="45">
        <f>+BI59</f>
        <v>67</v>
      </c>
      <c r="BJ63" s="45">
        <f>+BJ59</f>
        <v>37.799999999999997</v>
      </c>
      <c r="BK63" s="45">
        <f t="shared" si="26"/>
        <v>235</v>
      </c>
      <c r="BL63" s="45">
        <f>+BL59</f>
        <v>54.4</v>
      </c>
      <c r="BM63" s="45">
        <f>+BM59</f>
        <v>59.1</v>
      </c>
      <c r="BN63" s="45">
        <f>+BN59</f>
        <v>57.500000000000007</v>
      </c>
      <c r="BO63" s="45">
        <f>+BO59</f>
        <v>63.300000000000004</v>
      </c>
      <c r="BP63" s="45">
        <f t="shared" si="27"/>
        <v>234.3</v>
      </c>
      <c r="BQ63" s="45">
        <f>+BQ59</f>
        <v>36.599999999999994</v>
      </c>
      <c r="BR63" s="45">
        <f>+BR59</f>
        <v>50.199999999999996</v>
      </c>
      <c r="BS63" s="45">
        <f>+BS59</f>
        <v>51.7</v>
      </c>
      <c r="BT63" s="45">
        <f>+BT59</f>
        <v>47.2</v>
      </c>
      <c r="BU63" s="45">
        <f>+BQ63-BL63</f>
        <v>-17.800000000000004</v>
      </c>
      <c r="BV63" s="45">
        <f t="shared" si="0"/>
        <v>86.799999999999983</v>
      </c>
      <c r="BW63" s="45">
        <f t="shared" si="28"/>
        <v>138.5</v>
      </c>
      <c r="BX63" s="45">
        <f>+BR63-BM63</f>
        <v>-8.9000000000000057</v>
      </c>
      <c r="BY63" s="45">
        <f>+BU63/(BL63)*100</f>
        <v>-32.72058823529413</v>
      </c>
      <c r="BZ63" s="45">
        <f>+BX63/(BM63)*100</f>
        <v>-15.05922165820644</v>
      </c>
      <c r="CA63" s="45">
        <f t="shared" si="1"/>
        <v>185.7</v>
      </c>
      <c r="CB63" s="45">
        <f>+CB59</f>
        <v>43.199999999999996</v>
      </c>
      <c r="CC63" s="45">
        <f>+CC59</f>
        <v>46.4</v>
      </c>
      <c r="CD63" s="45">
        <f>+CD59</f>
        <v>47.6</v>
      </c>
      <c r="CE63" s="45">
        <f>+CE59</f>
        <v>45.800000000000004</v>
      </c>
      <c r="CF63" s="45">
        <f t="shared" si="29"/>
        <v>183</v>
      </c>
      <c r="CG63" s="45">
        <f>+CG59</f>
        <v>48.9</v>
      </c>
      <c r="CH63" s="45">
        <f>+CH59</f>
        <v>51.9</v>
      </c>
      <c r="CI63" s="45">
        <f>+CI59</f>
        <v>40.1</v>
      </c>
      <c r="CJ63" s="45">
        <f>+CJ59</f>
        <v>37</v>
      </c>
      <c r="CK63" s="45">
        <f t="shared" si="2"/>
        <v>177.9</v>
      </c>
      <c r="CL63" s="45">
        <f>+CL59</f>
        <v>34.800000000000004</v>
      </c>
      <c r="CM63" s="45">
        <f>+CM59</f>
        <v>30.9</v>
      </c>
      <c r="CN63" s="45"/>
      <c r="CO63" s="45"/>
      <c r="CP63" s="45">
        <f>+CP59</f>
        <v>20.7</v>
      </c>
      <c r="CQ63" s="45">
        <f>+CQ59</f>
        <v>17.899999999999999</v>
      </c>
      <c r="CR63" s="45">
        <f t="shared" si="42"/>
        <v>104.30000000000001</v>
      </c>
      <c r="CS63" s="45">
        <f>+CS59</f>
        <v>21.8</v>
      </c>
      <c r="CT63" s="45">
        <f t="shared" si="43"/>
        <v>-13.000000000000004</v>
      </c>
      <c r="CU63" s="45">
        <f t="shared" si="44"/>
        <v>-37.356321839080465</v>
      </c>
      <c r="CV63" s="45">
        <f t="shared" si="5"/>
        <v>-73.599999999999994</v>
      </c>
      <c r="CW63" s="45">
        <f t="shared" si="6"/>
        <v>-41.371557054525013</v>
      </c>
      <c r="CX63" s="9"/>
      <c r="CY63" s="9"/>
      <c r="CZ63" s="9"/>
      <c r="DA63" s="9"/>
      <c r="DB63" s="9"/>
      <c r="DC63" s="9"/>
      <c r="DD63" s="9"/>
      <c r="DE63" s="9"/>
      <c r="DF63" s="9"/>
      <c r="DG63" s="9"/>
    </row>
    <row r="64" spans="1:111" s="7" customFormat="1" ht="10.5" customHeight="1" x14ac:dyDescent="0.2">
      <c r="A64" s="41"/>
      <c r="E64" s="44"/>
      <c r="F64" s="8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14"/>
      <c r="X64" s="12" t="str">
        <f>IF(O64="","",(O64+P64+Q64+R64))</f>
        <v/>
      </c>
      <c r="Y64" s="44"/>
      <c r="Z64" s="29"/>
      <c r="AA64" s="44"/>
      <c r="AC64" s="44"/>
      <c r="AD64" s="14"/>
      <c r="AE64" s="12" t="str">
        <f>IF(Y64="","",(Y64+Z64+AA64+AB64))</f>
        <v/>
      </c>
      <c r="AF64" s="44"/>
      <c r="AG64" s="44"/>
      <c r="AH64" s="44"/>
      <c r="AI64" s="44"/>
      <c r="AJ64" s="29"/>
      <c r="AK64" s="12" t="s">
        <v>10</v>
      </c>
      <c r="AL64" s="72" t="s">
        <v>10</v>
      </c>
      <c r="AM64" s="29"/>
      <c r="AN64" s="44"/>
      <c r="AO64" s="44"/>
      <c r="AP64" s="44"/>
      <c r="AQ64" s="12" t="s">
        <v>10</v>
      </c>
      <c r="AR64" s="44"/>
      <c r="AS64" s="44"/>
      <c r="AT64" s="44"/>
      <c r="AU64" s="44"/>
      <c r="AV64" s="12" t="s">
        <v>10</v>
      </c>
      <c r="AW64" s="44"/>
      <c r="AX64" s="29"/>
      <c r="AY64" s="29"/>
      <c r="AZ64" s="29"/>
      <c r="BA64" s="12" t="s">
        <v>10</v>
      </c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9"/>
      <c r="CY64" s="9"/>
      <c r="CZ64" s="9"/>
      <c r="DA64" s="9"/>
      <c r="DB64" s="9"/>
      <c r="DC64" s="9"/>
      <c r="DD64" s="9"/>
      <c r="DE64" s="9"/>
      <c r="DF64" s="9"/>
      <c r="DG64" s="9"/>
    </row>
    <row r="65" spans="1:111" s="7" customFormat="1" x14ac:dyDescent="0.2">
      <c r="A65" s="41">
        <v>7</v>
      </c>
      <c r="B65" s="7" t="s">
        <v>39</v>
      </c>
      <c r="D65" s="20"/>
      <c r="E65" s="8"/>
      <c r="F65" s="8">
        <v>675</v>
      </c>
      <c r="G65" s="17">
        <f>SUM(J65:M65)</f>
        <v>997</v>
      </c>
      <c r="H65" s="17">
        <f>SUM(O65:R65)</f>
        <v>1164</v>
      </c>
      <c r="I65" s="17"/>
      <c r="J65" s="8">
        <v>210</v>
      </c>
      <c r="K65" s="17">
        <v>297</v>
      </c>
      <c r="L65" s="17">
        <v>182</v>
      </c>
      <c r="M65" s="17">
        <v>308</v>
      </c>
      <c r="N65" s="8"/>
      <c r="O65" s="17">
        <f t="shared" ref="O65:V65" si="79">O67</f>
        <v>227</v>
      </c>
      <c r="P65" s="17">
        <f t="shared" si="79"/>
        <v>355</v>
      </c>
      <c r="Q65" s="17">
        <f t="shared" si="79"/>
        <v>236</v>
      </c>
      <c r="R65" s="17">
        <f t="shared" si="79"/>
        <v>346</v>
      </c>
      <c r="S65" s="17">
        <f t="shared" si="79"/>
        <v>184.21299999999999</v>
      </c>
      <c r="T65" s="17">
        <f t="shared" si="79"/>
        <v>358.5</v>
      </c>
      <c r="U65" s="17">
        <f t="shared" si="79"/>
        <v>225.6</v>
      </c>
      <c r="V65" s="17">
        <f t="shared" si="79"/>
        <v>417.4</v>
      </c>
      <c r="W65" s="14"/>
      <c r="X65" s="12">
        <f>IF(O65="","",(S65+T65+U65+V65))</f>
        <v>1185.713</v>
      </c>
      <c r="Y65" s="14"/>
      <c r="Z65" s="17">
        <f>Z67</f>
        <v>188.6</v>
      </c>
      <c r="AA65" s="17">
        <f>AA67</f>
        <v>348.6</v>
      </c>
      <c r="AB65" s="17">
        <f>AB67</f>
        <v>244.5</v>
      </c>
      <c r="AC65" s="17">
        <f>AC67</f>
        <v>344.7</v>
      </c>
      <c r="AD65" s="14"/>
      <c r="AE65" s="12">
        <f>+AE67</f>
        <v>1126.4000000000001</v>
      </c>
      <c r="AF65" s="14"/>
      <c r="AG65" s="17">
        <f>AG67</f>
        <v>279.10000000000002</v>
      </c>
      <c r="AH65" s="17">
        <f>+AH67</f>
        <v>430.3</v>
      </c>
      <c r="AI65" s="17">
        <f>+AI67</f>
        <v>340</v>
      </c>
      <c r="AJ65" s="17">
        <f>+AJ67</f>
        <v>629</v>
      </c>
      <c r="AK65" s="12">
        <f>+AG65+AH65+AI65+AJ65</f>
        <v>1678.4</v>
      </c>
      <c r="AL65" s="72">
        <v>1678.4</v>
      </c>
      <c r="AM65" s="17">
        <f>+AM67</f>
        <v>464.4</v>
      </c>
      <c r="AN65" s="17">
        <f>+AN67</f>
        <v>501.8</v>
      </c>
      <c r="AO65" s="17">
        <f>+AO67</f>
        <v>426</v>
      </c>
      <c r="AP65" s="17">
        <f>+AP67</f>
        <v>561</v>
      </c>
      <c r="AQ65" s="12">
        <f>+AM65+AN65+AO65+AP65</f>
        <v>1953.2</v>
      </c>
      <c r="AR65" s="17">
        <f>+AR67</f>
        <v>579.5</v>
      </c>
      <c r="AS65" s="17">
        <f>+AS67</f>
        <v>561.24900000000002</v>
      </c>
      <c r="AT65" s="17">
        <f>+AT67</f>
        <v>516.37099999999998</v>
      </c>
      <c r="AU65" s="17">
        <f>+AU67</f>
        <v>673.4</v>
      </c>
      <c r="AV65" s="12">
        <f>+AR65+AS65+AT65+AU65</f>
        <v>2330.52</v>
      </c>
      <c r="AW65" s="17">
        <f>+AW67</f>
        <v>581</v>
      </c>
      <c r="AX65" s="17">
        <f>+AX67</f>
        <v>691.7</v>
      </c>
      <c r="AY65" s="17">
        <f>+AY67</f>
        <v>472</v>
      </c>
      <c r="AZ65" s="17">
        <f>+AZ67</f>
        <v>751.9</v>
      </c>
      <c r="BA65" s="12">
        <f>+AW65+AX65+AY65+AZ65</f>
        <v>2496.6</v>
      </c>
      <c r="BB65" s="17">
        <f>+BB67</f>
        <v>372.8</v>
      </c>
      <c r="BC65" s="17">
        <f>+BC67</f>
        <v>706.1</v>
      </c>
      <c r="BD65" s="17">
        <f>+BD67</f>
        <v>539</v>
      </c>
      <c r="BE65" s="17">
        <f>+BE67</f>
        <v>799.5</v>
      </c>
      <c r="BF65" s="17">
        <f t="shared" si="25"/>
        <v>2417.4</v>
      </c>
      <c r="BG65" s="17">
        <f>+BG67</f>
        <v>503.1</v>
      </c>
      <c r="BH65" s="17">
        <f>+BH67</f>
        <v>365.9</v>
      </c>
      <c r="BI65" s="17">
        <f>+BI67</f>
        <v>403.5</v>
      </c>
      <c r="BJ65" s="17">
        <f>+BJ67</f>
        <v>722.3</v>
      </c>
      <c r="BK65" s="17">
        <f t="shared" si="26"/>
        <v>1994.8</v>
      </c>
      <c r="BL65" s="17">
        <f>+BL67</f>
        <v>316.7</v>
      </c>
      <c r="BM65" s="17">
        <f>+BM67</f>
        <v>278.2</v>
      </c>
      <c r="BN65" s="17">
        <f>+BN67</f>
        <v>175.9</v>
      </c>
      <c r="BO65" s="17">
        <f>+BO67</f>
        <v>264.89999999999998</v>
      </c>
      <c r="BP65" s="17">
        <f t="shared" si="27"/>
        <v>1035.6999999999998</v>
      </c>
      <c r="BQ65" s="17">
        <f>+BQ67</f>
        <v>197.2</v>
      </c>
      <c r="BR65" s="17">
        <f>+BR67</f>
        <v>261.5</v>
      </c>
      <c r="BS65" s="17">
        <f>+BS67</f>
        <v>203.7</v>
      </c>
      <c r="BT65" s="17">
        <f>+BT67</f>
        <v>350.9</v>
      </c>
      <c r="BU65" s="17">
        <f>+BQ65-BL65</f>
        <v>-119.5</v>
      </c>
      <c r="BV65" s="17">
        <f t="shared" si="0"/>
        <v>458.7</v>
      </c>
      <c r="BW65" s="17">
        <f t="shared" si="28"/>
        <v>662.4</v>
      </c>
      <c r="BX65" s="17">
        <f>+BR65-BM65</f>
        <v>-16.699999999999989</v>
      </c>
      <c r="BY65" s="17">
        <f>+BU65/(BL65)*100</f>
        <v>-37.732870224186932</v>
      </c>
      <c r="BZ65" s="17">
        <f>+BX65/(BM65)*100</f>
        <v>-6.0028756290438494</v>
      </c>
      <c r="CA65" s="17">
        <f t="shared" si="1"/>
        <v>1013.3</v>
      </c>
      <c r="CB65" s="17">
        <f>+CB67</f>
        <v>137.69999999999999</v>
      </c>
      <c r="CC65" s="17">
        <f>+CC67</f>
        <v>277.7</v>
      </c>
      <c r="CD65" s="17">
        <f>+CD67</f>
        <v>264</v>
      </c>
      <c r="CE65" s="17">
        <f>+CE67</f>
        <v>348.6</v>
      </c>
      <c r="CF65" s="17">
        <f t="shared" si="29"/>
        <v>1028</v>
      </c>
      <c r="CG65" s="17">
        <f t="shared" ref="CG65:CI65" si="80">+CG67+CG66</f>
        <v>145</v>
      </c>
      <c r="CH65" s="17">
        <f t="shared" si="80"/>
        <v>179</v>
      </c>
      <c r="CI65" s="17">
        <f t="shared" si="80"/>
        <v>136</v>
      </c>
      <c r="CJ65" s="17">
        <f>+CJ67+CJ66</f>
        <v>245.4</v>
      </c>
      <c r="CK65" s="17">
        <f t="shared" si="2"/>
        <v>705.4</v>
      </c>
      <c r="CL65" s="17">
        <f>+CL67+CL66</f>
        <v>151.1</v>
      </c>
      <c r="CM65" s="17">
        <f>+CM67+CM66</f>
        <v>108.6</v>
      </c>
      <c r="CN65" s="17"/>
      <c r="CO65" s="17"/>
      <c r="CP65" s="17">
        <f>+CP67+CP66</f>
        <v>61</v>
      </c>
      <c r="CQ65" s="17">
        <f>+CQ67+CQ66</f>
        <v>157.89999999999998</v>
      </c>
      <c r="CR65" s="17">
        <f t="shared" si="42"/>
        <v>478.59999999999997</v>
      </c>
      <c r="CS65" s="17">
        <f>+CS67+CS66</f>
        <v>156.30000000000001</v>
      </c>
      <c r="CT65" s="17">
        <f t="shared" si="43"/>
        <v>5.2000000000000171</v>
      </c>
      <c r="CU65" s="17">
        <f t="shared" si="44"/>
        <v>3.4414295168762523</v>
      </c>
      <c r="CV65" s="17">
        <f t="shared" si="5"/>
        <v>-226.80000000000004</v>
      </c>
      <c r="CW65" s="17">
        <f t="shared" si="6"/>
        <v>-32.151970513184011</v>
      </c>
      <c r="CX65" s="11"/>
      <c r="CY65" s="11"/>
      <c r="CZ65" s="11"/>
      <c r="DA65" s="9"/>
      <c r="DB65" s="9"/>
      <c r="DC65" s="9"/>
      <c r="DD65" s="9"/>
      <c r="DE65" s="9"/>
    </row>
    <row r="66" spans="1:111" s="7" customFormat="1" x14ac:dyDescent="0.2">
      <c r="A66" s="41"/>
      <c r="C66" s="4" t="s">
        <v>126</v>
      </c>
      <c r="D66" s="98" t="s">
        <v>127</v>
      </c>
      <c r="E66" s="8"/>
      <c r="F66" s="8"/>
      <c r="G66" s="17"/>
      <c r="H66" s="17"/>
      <c r="I66" s="17"/>
      <c r="J66" s="8"/>
      <c r="K66" s="17"/>
      <c r="L66" s="17"/>
      <c r="M66" s="17"/>
      <c r="N66" s="8"/>
      <c r="O66" s="17"/>
      <c r="P66" s="17"/>
      <c r="Q66" s="17"/>
      <c r="R66" s="17"/>
      <c r="S66" s="17"/>
      <c r="T66" s="17"/>
      <c r="U66" s="17"/>
      <c r="V66" s="17"/>
      <c r="W66" s="14"/>
      <c r="X66" s="12"/>
      <c r="Y66" s="14"/>
      <c r="Z66" s="17"/>
      <c r="AA66" s="17"/>
      <c r="AB66" s="17"/>
      <c r="AC66" s="17"/>
      <c r="AD66" s="14"/>
      <c r="AE66" s="12"/>
      <c r="AF66" s="14"/>
      <c r="AG66" s="17"/>
      <c r="AH66" s="17"/>
      <c r="AI66" s="17"/>
      <c r="AJ66" s="17"/>
      <c r="AK66" s="12"/>
      <c r="AL66" s="72"/>
      <c r="AM66" s="17"/>
      <c r="AN66" s="17"/>
      <c r="AO66" s="17"/>
      <c r="AP66" s="17"/>
      <c r="AQ66" s="12"/>
      <c r="AR66" s="17"/>
      <c r="AS66" s="17"/>
      <c r="AT66" s="17"/>
      <c r="AU66" s="17"/>
      <c r="AV66" s="12"/>
      <c r="AW66" s="17"/>
      <c r="AX66" s="17"/>
      <c r="AY66" s="17"/>
      <c r="AZ66" s="17"/>
      <c r="BA66" s="12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1">
        <v>0</v>
      </c>
      <c r="CG66" s="11">
        <v>0</v>
      </c>
      <c r="CH66" s="11">
        <v>0</v>
      </c>
      <c r="CI66" s="11">
        <v>0</v>
      </c>
      <c r="CJ66" s="11">
        <v>0.6</v>
      </c>
      <c r="CK66" s="11">
        <f t="shared" si="2"/>
        <v>0.6</v>
      </c>
      <c r="CL66" s="11">
        <v>0</v>
      </c>
      <c r="CM66" s="11">
        <v>0.6</v>
      </c>
      <c r="CN66" s="11"/>
      <c r="CO66" s="11"/>
      <c r="CP66" s="11">
        <v>0</v>
      </c>
      <c r="CQ66" s="11">
        <v>0.2</v>
      </c>
      <c r="CR66" s="11">
        <f t="shared" si="42"/>
        <v>0.8</v>
      </c>
      <c r="CS66" s="11">
        <v>0.3</v>
      </c>
      <c r="CT66" s="11">
        <f t="shared" si="43"/>
        <v>0.3</v>
      </c>
      <c r="CU66" s="11"/>
      <c r="CV66" s="11">
        <f t="shared" si="5"/>
        <v>0.20000000000000007</v>
      </c>
      <c r="CW66" s="11">
        <f t="shared" si="6"/>
        <v>33.33333333333335</v>
      </c>
      <c r="CX66" s="11"/>
      <c r="CY66" s="11"/>
      <c r="CZ66" s="11"/>
      <c r="DA66" s="9"/>
      <c r="DB66" s="9"/>
      <c r="DC66" s="9"/>
      <c r="DD66" s="9"/>
      <c r="DE66" s="9"/>
    </row>
    <row r="67" spans="1:111" x14ac:dyDescent="0.2">
      <c r="C67" s="4" t="s">
        <v>57</v>
      </c>
      <c r="D67" s="4" t="s">
        <v>58</v>
      </c>
      <c r="E67" s="8"/>
      <c r="F67" s="10">
        <v>675</v>
      </c>
      <c r="G67" s="20">
        <f>SUM(J67:M67)</f>
        <v>997</v>
      </c>
      <c r="H67" s="20">
        <f>SUM(O67:R67)</f>
        <v>1164</v>
      </c>
      <c r="I67" s="20"/>
      <c r="J67" s="14">
        <v>210</v>
      </c>
      <c r="K67" s="24">
        <v>297</v>
      </c>
      <c r="L67" s="25">
        <v>182</v>
      </c>
      <c r="M67" s="25">
        <v>308</v>
      </c>
      <c r="N67" s="8"/>
      <c r="O67" s="25">
        <v>227</v>
      </c>
      <c r="P67" s="25">
        <v>355</v>
      </c>
      <c r="Q67" s="25">
        <v>236</v>
      </c>
      <c r="R67" s="25">
        <v>346</v>
      </c>
      <c r="S67" s="11">
        <v>184.21299999999999</v>
      </c>
      <c r="T67" s="14">
        <v>358.5</v>
      </c>
      <c r="U67" s="14">
        <v>225.6</v>
      </c>
      <c r="V67" s="11">
        <v>417.4</v>
      </c>
      <c r="W67" s="14"/>
      <c r="X67" s="11">
        <f>IF(O67="","",(S67+T67+U67+V67))</f>
        <v>1185.713</v>
      </c>
      <c r="Y67" s="14"/>
      <c r="Z67" s="24">
        <v>188.6</v>
      </c>
      <c r="AA67" s="14">
        <v>348.6</v>
      </c>
      <c r="AB67" s="14">
        <v>244.5</v>
      </c>
      <c r="AC67" s="11">
        <v>344.7</v>
      </c>
      <c r="AD67" s="14"/>
      <c r="AE67" s="11">
        <f>SUM(Z67:AC67)</f>
        <v>1126.4000000000001</v>
      </c>
      <c r="AF67" s="14"/>
      <c r="AG67" s="11">
        <v>279.10000000000002</v>
      </c>
      <c r="AH67" s="14">
        <v>430.3</v>
      </c>
      <c r="AI67" s="14">
        <v>340</v>
      </c>
      <c r="AJ67" s="25">
        <v>629</v>
      </c>
      <c r="AK67" s="11">
        <f>+AG67+AH67+AI67+AJ67</f>
        <v>1678.4</v>
      </c>
      <c r="AL67" s="73">
        <v>1678.4</v>
      </c>
      <c r="AM67" s="25">
        <v>464.4</v>
      </c>
      <c r="AN67" s="14">
        <v>501.8</v>
      </c>
      <c r="AO67" s="14">
        <v>426</v>
      </c>
      <c r="AP67" s="14">
        <v>561</v>
      </c>
      <c r="AQ67" s="11">
        <f>+AM67+AN67+AO67+AP67</f>
        <v>1953.2</v>
      </c>
      <c r="AR67" s="14">
        <v>579.5</v>
      </c>
      <c r="AS67" s="14">
        <v>561.24900000000002</v>
      </c>
      <c r="AT67" s="14">
        <v>516.37099999999998</v>
      </c>
      <c r="AU67" s="14">
        <v>673.4</v>
      </c>
      <c r="AV67" s="11">
        <f>+AR67+AS67+AT67+AU67</f>
        <v>2330.52</v>
      </c>
      <c r="AW67" s="14">
        <v>581</v>
      </c>
      <c r="AX67" s="25">
        <v>691.7</v>
      </c>
      <c r="AY67" s="25">
        <v>472</v>
      </c>
      <c r="AZ67" s="25">
        <v>751.9</v>
      </c>
      <c r="BA67" s="11">
        <f>+AW67+AX67+AY67+AZ67</f>
        <v>2496.6</v>
      </c>
      <c r="BB67" s="11">
        <v>372.8</v>
      </c>
      <c r="BC67" s="11">
        <v>706.1</v>
      </c>
      <c r="BD67" s="11">
        <v>539</v>
      </c>
      <c r="BE67" s="11">
        <v>799.5</v>
      </c>
      <c r="BF67" s="11">
        <f t="shared" si="25"/>
        <v>2417.4</v>
      </c>
      <c r="BG67" s="11">
        <v>503.1</v>
      </c>
      <c r="BH67" s="11">
        <v>365.9</v>
      </c>
      <c r="BI67" s="11">
        <v>403.5</v>
      </c>
      <c r="BJ67" s="11">
        <v>722.3</v>
      </c>
      <c r="BK67" s="11">
        <f t="shared" si="26"/>
        <v>1994.8</v>
      </c>
      <c r="BL67" s="11">
        <f>321.7-5</f>
        <v>316.7</v>
      </c>
      <c r="BM67" s="11">
        <v>278.2</v>
      </c>
      <c r="BN67" s="11">
        <v>175.9</v>
      </c>
      <c r="BO67" s="11">
        <v>264.89999999999998</v>
      </c>
      <c r="BP67" s="11">
        <f t="shared" si="27"/>
        <v>1035.6999999999998</v>
      </c>
      <c r="BQ67" s="11">
        <v>197.2</v>
      </c>
      <c r="BR67" s="11">
        <v>261.5</v>
      </c>
      <c r="BS67" s="11">
        <v>203.7</v>
      </c>
      <c r="BT67" s="11">
        <v>350.9</v>
      </c>
      <c r="BU67" s="11">
        <f>+BQ67-BL67</f>
        <v>-119.5</v>
      </c>
      <c r="BV67" s="11">
        <f t="shared" si="0"/>
        <v>458.7</v>
      </c>
      <c r="BW67" s="11">
        <f t="shared" si="28"/>
        <v>662.4</v>
      </c>
      <c r="BX67" s="11">
        <f>+BR67-BM67</f>
        <v>-16.699999999999989</v>
      </c>
      <c r="BY67" s="11">
        <f>+BU67/(BL67)*100</f>
        <v>-37.732870224186932</v>
      </c>
      <c r="BZ67" s="11">
        <f>+BX67/(BM67)*100</f>
        <v>-6.0028756290438494</v>
      </c>
      <c r="CA67" s="11">
        <f t="shared" si="1"/>
        <v>1013.3</v>
      </c>
      <c r="CB67" s="11">
        <v>137.69999999999999</v>
      </c>
      <c r="CC67" s="11">
        <v>277.7</v>
      </c>
      <c r="CD67" s="11">
        <v>264</v>
      </c>
      <c r="CE67" s="11">
        <v>348.6</v>
      </c>
      <c r="CF67" s="11">
        <f t="shared" si="29"/>
        <v>1028</v>
      </c>
      <c r="CG67" s="11">
        <v>145</v>
      </c>
      <c r="CH67" s="11">
        <v>179</v>
      </c>
      <c r="CI67" s="11">
        <v>136</v>
      </c>
      <c r="CJ67" s="11">
        <f>245.4-0.6</f>
        <v>244.8</v>
      </c>
      <c r="CK67" s="11">
        <f t="shared" si="2"/>
        <v>704.8</v>
      </c>
      <c r="CL67" s="11">
        <v>151.1</v>
      </c>
      <c r="CM67" s="11">
        <f>108.6-0.6</f>
        <v>108</v>
      </c>
      <c r="CN67" s="11"/>
      <c r="CO67" s="11"/>
      <c r="CP67" s="11">
        <v>61</v>
      </c>
      <c r="CQ67" s="11">
        <v>157.69999999999999</v>
      </c>
      <c r="CR67" s="11">
        <f t="shared" si="42"/>
        <v>477.8</v>
      </c>
      <c r="CS67" s="11">
        <v>156</v>
      </c>
      <c r="CT67" s="11">
        <f t="shared" si="43"/>
        <v>4.9000000000000057</v>
      </c>
      <c r="CU67" s="11">
        <f t="shared" si="44"/>
        <v>3.242885506287231</v>
      </c>
      <c r="CV67" s="11">
        <f t="shared" si="5"/>
        <v>-227</v>
      </c>
      <c r="CW67" s="11">
        <f t="shared" si="6"/>
        <v>-32.207718501702615</v>
      </c>
      <c r="CX67" s="11"/>
      <c r="CY67" s="11"/>
      <c r="CZ67" s="11"/>
      <c r="DA67" s="3"/>
      <c r="DB67" s="3"/>
      <c r="DC67" s="3"/>
      <c r="DD67" s="3"/>
      <c r="DE67" s="3"/>
    </row>
    <row r="68" spans="1:111" s="7" customFormat="1" ht="10.5" customHeight="1" x14ac:dyDescent="0.2">
      <c r="A68" s="41"/>
      <c r="E68" s="44"/>
      <c r="F68" s="8"/>
      <c r="G68" s="44"/>
      <c r="H68" s="44" t="s">
        <v>10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12" t="str">
        <f>IF(O68="","",(O68+P68+Q68+R68))</f>
        <v/>
      </c>
      <c r="Y68" s="44"/>
      <c r="Z68" s="29"/>
      <c r="AA68" s="44"/>
      <c r="AC68" s="44"/>
      <c r="AD68" s="44"/>
      <c r="AE68" s="12" t="str">
        <f>IF(Y68="","",(Y68+Z68+AA68+AB68))</f>
        <v/>
      </c>
      <c r="AF68" s="44"/>
      <c r="AG68" s="44"/>
      <c r="AH68" s="44"/>
      <c r="AI68" s="44"/>
      <c r="AJ68" s="29"/>
      <c r="AK68" s="12" t="s">
        <v>10</v>
      </c>
      <c r="AL68" s="72" t="s">
        <v>10</v>
      </c>
      <c r="AM68" s="29"/>
      <c r="AN68" s="44"/>
      <c r="AO68" s="44"/>
      <c r="AP68" s="44"/>
      <c r="AQ68" s="12" t="s">
        <v>10</v>
      </c>
      <c r="AR68" s="44"/>
      <c r="AS68" s="44"/>
      <c r="AT68" s="44"/>
      <c r="AU68" s="44"/>
      <c r="AV68" s="12" t="s">
        <v>10</v>
      </c>
      <c r="AW68" s="44"/>
      <c r="AX68" s="29"/>
      <c r="AY68" s="29"/>
      <c r="AZ68" s="29"/>
      <c r="BA68" s="12" t="s">
        <v>10</v>
      </c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9"/>
      <c r="CY68" s="9"/>
      <c r="CZ68" s="9"/>
      <c r="DA68" s="9"/>
      <c r="DB68" s="9"/>
      <c r="DC68" s="9"/>
      <c r="DD68" s="9"/>
      <c r="DE68" s="9"/>
      <c r="DF68" s="9"/>
      <c r="DG68" s="9"/>
    </row>
    <row r="69" spans="1:111" s="7" customFormat="1" x14ac:dyDescent="0.2">
      <c r="A69" s="41">
        <v>8</v>
      </c>
      <c r="B69" s="7" t="s">
        <v>40</v>
      </c>
      <c r="E69" s="8"/>
      <c r="F69" s="8" t="e">
        <f>#REF!+F77+F74</f>
        <v>#REF!</v>
      </c>
      <c r="G69" s="17" t="e">
        <f t="shared" ref="G69:G77" si="81">SUM(J69:M69)</f>
        <v>#REF!</v>
      </c>
      <c r="H69" s="17" t="e">
        <f>SUM(O69:R69)</f>
        <v>#REF!</v>
      </c>
      <c r="I69" s="17"/>
      <c r="J69" s="8" t="e">
        <f>#REF!+J74+J77</f>
        <v>#REF!</v>
      </c>
      <c r="K69" s="17" t="e">
        <f>#REF!+K74+K77</f>
        <v>#REF!</v>
      </c>
      <c r="L69" s="17" t="e">
        <f>#REF!+L74+L77</f>
        <v>#REF!</v>
      </c>
      <c r="M69" s="17" t="e">
        <f>#REF!+M74+M77</f>
        <v>#REF!</v>
      </c>
      <c r="N69" s="8"/>
      <c r="O69" s="17" t="e">
        <f>#REF!+O74+O77</f>
        <v>#REF!</v>
      </c>
      <c r="P69" s="17" t="e">
        <f>#REF!+P74+P77</f>
        <v>#REF!</v>
      </c>
      <c r="Q69" s="17" t="e">
        <f>#REF!+Q74+Q77</f>
        <v>#REF!</v>
      </c>
      <c r="R69" s="17" t="e">
        <f>#REF!+R74+R77</f>
        <v>#REF!</v>
      </c>
      <c r="S69" s="17">
        <f>S70+S72+S74+S77</f>
        <v>222.22943000000001</v>
      </c>
      <c r="T69" s="17">
        <f>T70+T72+T74+T77</f>
        <v>277.3</v>
      </c>
      <c r="U69" s="17">
        <f>U70+U72+U74+U77</f>
        <v>159.10000000000002</v>
      </c>
      <c r="V69" s="17">
        <f>V70+V72+V74+V77</f>
        <v>229.8</v>
      </c>
      <c r="W69" s="17"/>
      <c r="X69" s="17">
        <f>X70+X72+X74+X77</f>
        <v>888.42942999999991</v>
      </c>
      <c r="Y69" s="17"/>
      <c r="Z69" s="17">
        <f>Z70+Z72+Z74+Z77</f>
        <v>204.76570799999999</v>
      </c>
      <c r="AA69" s="17">
        <f>AA70+AA72+AA74+AA77</f>
        <v>197.739924</v>
      </c>
      <c r="AB69" s="17">
        <f>AB70+AB72+AB74+AB77</f>
        <v>206.3</v>
      </c>
      <c r="AC69" s="17">
        <f>AC70+AC72+AC74+AC77</f>
        <v>202.5</v>
      </c>
      <c r="AD69" s="17"/>
      <c r="AE69" s="17">
        <f>+AE70+AE72+AE74+AE77</f>
        <v>811.30563199999995</v>
      </c>
      <c r="AF69" s="17"/>
      <c r="AG69" s="17">
        <f>AG70+AG72+AG74+AG77</f>
        <v>228.703757</v>
      </c>
      <c r="AH69" s="17">
        <f>+AH70+AH72+AH74+AH77</f>
        <v>300.19624299999998</v>
      </c>
      <c r="AI69" s="17">
        <f>+AI70+AI72+AI74+AI77</f>
        <v>164.2</v>
      </c>
      <c r="AJ69" s="17">
        <f>+AJ70+AJ72+AJ74+AJ77</f>
        <v>189.39999999999998</v>
      </c>
      <c r="AK69" s="12">
        <f t="shared" ref="AK69:AK77" si="82">+AG69+AH69+AI69+AJ69</f>
        <v>882.49999999999989</v>
      </c>
      <c r="AL69" s="72">
        <v>882.3</v>
      </c>
      <c r="AM69" s="17">
        <f>+AM70+AM72+AM74+AM77</f>
        <v>225.79999999999998</v>
      </c>
      <c r="AN69" s="17">
        <f>+AN70+AN72+AN74+AN77</f>
        <v>218.9</v>
      </c>
      <c r="AO69" s="17">
        <f>+AO70+AO72+AO74+AO77</f>
        <v>225.9</v>
      </c>
      <c r="AP69" s="17">
        <f>+AP70+AP72+AP74+AP77</f>
        <v>232.2</v>
      </c>
      <c r="AQ69" s="12">
        <f t="shared" ref="AQ69:AQ77" si="83">+AM69+AN69+AO69+AP69</f>
        <v>902.8</v>
      </c>
      <c r="AR69" s="17">
        <f>+AR70+AR72+AR74+AR77</f>
        <v>241</v>
      </c>
      <c r="AS69" s="17">
        <f>+AS70+AS72+AS74+AS77</f>
        <v>237.3</v>
      </c>
      <c r="AT69" s="17">
        <f>+AT70+AT72+AT74+AT77</f>
        <v>231.09300000000002</v>
      </c>
      <c r="AU69" s="17">
        <f>+AU70+AU72+AU74+AU77</f>
        <v>235.8</v>
      </c>
      <c r="AV69" s="12">
        <f t="shared" ref="AV69:AV77" si="84">+AR69+AS69+AT69+AU69</f>
        <v>945.19299999999998</v>
      </c>
      <c r="AW69" s="17">
        <f>+AW70+AW72+AW74+AW77</f>
        <v>239.5</v>
      </c>
      <c r="AX69" s="17">
        <f>+AX70+AX72+AX74+AX77</f>
        <v>226.1</v>
      </c>
      <c r="AY69" s="17">
        <f>+AY70+AY72+AY74+AY77</f>
        <v>248.29999999999998</v>
      </c>
      <c r="AZ69" s="17">
        <f>+AZ70+AZ72+AZ74+AZ77</f>
        <v>420</v>
      </c>
      <c r="BA69" s="12">
        <f t="shared" ref="BA69:BA77" si="85">+AW69+AX69+AY69+AZ69</f>
        <v>1133.9000000000001</v>
      </c>
      <c r="BB69" s="17">
        <f>+BB70+BB72+BB74+BB77</f>
        <v>204.88200000000001</v>
      </c>
      <c r="BC69" s="17">
        <f>+BC70+BC72+BC74+BC77</f>
        <v>204.7</v>
      </c>
      <c r="BD69" s="17">
        <f>+BD70+BD72+BD74+BD77</f>
        <v>182.09999999999997</v>
      </c>
      <c r="BE69" s="17">
        <f>+BE70+BE72+BE74+BE77</f>
        <v>373.8</v>
      </c>
      <c r="BF69" s="17">
        <f t="shared" si="25"/>
        <v>965.48199999999997</v>
      </c>
      <c r="BG69" s="17">
        <f>+BG70+BG72+BG74+BG77</f>
        <v>138.72200000000001</v>
      </c>
      <c r="BH69" s="17">
        <f>+BH70+BH72+BH74+BH77</f>
        <v>122.70099999999999</v>
      </c>
      <c r="BI69" s="17">
        <f>+BI70+BI72+BI74+BI77</f>
        <v>112.6</v>
      </c>
      <c r="BJ69" s="17">
        <f>+BJ70+BJ72+BJ74+BJ77</f>
        <v>107</v>
      </c>
      <c r="BK69" s="17">
        <f t="shared" si="26"/>
        <v>481.02300000000002</v>
      </c>
      <c r="BL69" s="17">
        <f>+BL70+BL72+BL74+BL77</f>
        <v>65.099999999999994</v>
      </c>
      <c r="BM69" s="17">
        <f>+BM70+BM72+BM74+BM77</f>
        <v>59.699999999999996</v>
      </c>
      <c r="BN69" s="17">
        <f>+BN70+BN72+BN74+BN77</f>
        <v>54.2</v>
      </c>
      <c r="BO69" s="17">
        <f>+BO70+BO72+BO74+BO77</f>
        <v>71.5</v>
      </c>
      <c r="BP69" s="17">
        <f t="shared" si="27"/>
        <v>250.5</v>
      </c>
      <c r="BQ69" s="17">
        <f>+BQ70+BQ72+BQ74+BQ77</f>
        <v>50.8</v>
      </c>
      <c r="BR69" s="17">
        <f>+BR70+BR72+BR74+BR77</f>
        <v>44.6</v>
      </c>
      <c r="BS69" s="17">
        <f>+BS70+BS72+BS74+BS77</f>
        <v>40.9</v>
      </c>
      <c r="BT69" s="17">
        <f>+BT70+BT72+BT74+BT77</f>
        <v>37.9</v>
      </c>
      <c r="BU69" s="17">
        <f t="shared" ref="BU69:BU80" si="86">+BQ69-BL69</f>
        <v>-14.299999999999997</v>
      </c>
      <c r="BV69" s="17">
        <f t="shared" si="0"/>
        <v>95.4</v>
      </c>
      <c r="BW69" s="17">
        <f t="shared" si="28"/>
        <v>136.30000000000001</v>
      </c>
      <c r="BX69" s="17">
        <f t="shared" ref="BX69:BX77" si="87">+BR69-BM69</f>
        <v>-15.099999999999994</v>
      </c>
      <c r="BY69" s="17">
        <f t="shared" ref="BY69:BY77" si="88">+BU69/(BL69)*100</f>
        <v>-21.966205837173579</v>
      </c>
      <c r="BZ69" s="17">
        <f>+BX69/(BM69)*100</f>
        <v>-25.2931323283082</v>
      </c>
      <c r="CA69" s="17">
        <f t="shared" si="1"/>
        <v>174.20000000000002</v>
      </c>
      <c r="CB69" s="17">
        <f>+CB70+CB72+CB74+CB77</f>
        <v>62.8</v>
      </c>
      <c r="CC69" s="17">
        <f>+CC70+CC72+CC74+CC77</f>
        <v>60.199999999999996</v>
      </c>
      <c r="CD69" s="17">
        <f>+CD70+CD72+CD74+CD77</f>
        <v>57.3</v>
      </c>
      <c r="CE69" s="17">
        <f>+CE70+CE72+CE74+CE77</f>
        <v>54.4</v>
      </c>
      <c r="CF69" s="17">
        <f t="shared" si="29"/>
        <v>234.70000000000002</v>
      </c>
      <c r="CG69" s="17">
        <f>+CG70+CG72+CG74+CG77</f>
        <v>53.1</v>
      </c>
      <c r="CH69" s="17">
        <f>+CH70+CH72+CH74+CH77</f>
        <v>70.599999999999994</v>
      </c>
      <c r="CI69" s="17">
        <f>+CI70+CI72+CI74+CI77</f>
        <v>44</v>
      </c>
      <c r="CJ69" s="17">
        <f>+CJ70+CJ72+CJ74+CJ77</f>
        <v>53.1</v>
      </c>
      <c r="CK69" s="17">
        <f t="shared" si="2"/>
        <v>220.79999999999998</v>
      </c>
      <c r="CL69" s="17">
        <f>+CL70+CL72+CL74+CL77</f>
        <v>46.6</v>
      </c>
      <c r="CM69" s="17">
        <f>+CM70+CM72+CM74+CM77</f>
        <v>45.699999999999996</v>
      </c>
      <c r="CN69" s="17"/>
      <c r="CO69" s="17"/>
      <c r="CP69" s="17">
        <f>+CP70+CP72+CP74+CP77</f>
        <v>37.400000000000006</v>
      </c>
      <c r="CQ69" s="17">
        <f>+CQ70+CQ72+CQ74+CQ77</f>
        <v>39.299999999999997</v>
      </c>
      <c r="CR69" s="17">
        <f t="shared" si="42"/>
        <v>169</v>
      </c>
      <c r="CS69" s="17">
        <f>+CS70+CS72+CS74+CS77</f>
        <v>36.299999999999997</v>
      </c>
      <c r="CT69" s="17">
        <f t="shared" si="43"/>
        <v>-10.300000000000004</v>
      </c>
      <c r="CU69" s="17">
        <f t="shared" si="44"/>
        <v>-22.103004291845501</v>
      </c>
      <c r="CV69" s="17">
        <f t="shared" si="5"/>
        <v>-51.79999999999999</v>
      </c>
      <c r="CW69" s="17">
        <f t="shared" si="6"/>
        <v>-23.460144927536227</v>
      </c>
      <c r="CX69" s="9"/>
      <c r="CY69" s="9"/>
      <c r="CZ69" s="9"/>
      <c r="DA69" s="9"/>
      <c r="DB69" s="9"/>
      <c r="DC69" s="9"/>
    </row>
    <row r="70" spans="1:111" x14ac:dyDescent="0.2">
      <c r="B70" s="4" t="s">
        <v>86</v>
      </c>
      <c r="C70" s="4" t="s">
        <v>41</v>
      </c>
      <c r="E70" s="8"/>
      <c r="F70" s="10"/>
      <c r="G70" s="20"/>
      <c r="H70" s="20"/>
      <c r="I70" s="20"/>
      <c r="J70" s="10"/>
      <c r="K70" s="20"/>
      <c r="L70" s="20"/>
      <c r="N70" s="8"/>
      <c r="O70" s="22"/>
      <c r="P70" s="22"/>
      <c r="Q70" s="20"/>
      <c r="R70" s="20"/>
      <c r="S70" s="11">
        <f>+S71</f>
        <v>0</v>
      </c>
      <c r="T70" s="11">
        <f>+T71</f>
        <v>0</v>
      </c>
      <c r="U70" s="11">
        <f>+U71</f>
        <v>0.4</v>
      </c>
      <c r="V70" s="11">
        <f>+V71</f>
        <v>1.3</v>
      </c>
      <c r="W70" s="11"/>
      <c r="X70" s="11">
        <f>+X71</f>
        <v>1.7000000000000002</v>
      </c>
      <c r="Y70" s="14"/>
      <c r="Z70" s="24">
        <f>+Z71</f>
        <v>0.4</v>
      </c>
      <c r="AA70" s="11">
        <f>+AA71</f>
        <v>2.080803</v>
      </c>
      <c r="AB70" s="11">
        <f>+AB71</f>
        <v>1.3</v>
      </c>
      <c r="AC70" s="11">
        <f>+AC71</f>
        <v>1.7</v>
      </c>
      <c r="AD70" s="11"/>
      <c r="AE70" s="11">
        <f t="shared" ref="AE70:AE77" si="89">SUM(Z70:AC70)</f>
        <v>5.4808029999999999</v>
      </c>
      <c r="AF70" s="14"/>
      <c r="AG70" s="11">
        <f>+AG71</f>
        <v>0</v>
      </c>
      <c r="AH70" s="11">
        <f>+AH71</f>
        <v>1.5</v>
      </c>
      <c r="AI70" s="11">
        <f>+AI71</f>
        <v>0.2</v>
      </c>
      <c r="AJ70" s="24">
        <f>+AJ71</f>
        <v>0.2</v>
      </c>
      <c r="AK70" s="11">
        <f t="shared" si="82"/>
        <v>1.9</v>
      </c>
      <c r="AL70" s="73">
        <v>1.9</v>
      </c>
      <c r="AM70" s="24">
        <f>+AM71</f>
        <v>0</v>
      </c>
      <c r="AN70" s="11">
        <f>+AN71</f>
        <v>0</v>
      </c>
      <c r="AO70" s="11">
        <f>+AO71</f>
        <v>0</v>
      </c>
      <c r="AP70" s="11">
        <f>+AP71</f>
        <v>1.9</v>
      </c>
      <c r="AQ70" s="11">
        <f t="shared" si="83"/>
        <v>1.9</v>
      </c>
      <c r="AR70" s="11">
        <f>+AR71</f>
        <v>0</v>
      </c>
      <c r="AS70" s="11">
        <f>+AS71</f>
        <v>0</v>
      </c>
      <c r="AT70" s="11">
        <f>+AT71</f>
        <v>0</v>
      </c>
      <c r="AU70" s="11">
        <f>+AU71</f>
        <v>0</v>
      </c>
      <c r="AV70" s="11">
        <f t="shared" si="84"/>
        <v>0</v>
      </c>
      <c r="AW70" s="11">
        <f>+AW71</f>
        <v>6</v>
      </c>
      <c r="AX70" s="24">
        <f>+AX71</f>
        <v>1.4</v>
      </c>
      <c r="AY70" s="24">
        <f>+AY71</f>
        <v>30.6</v>
      </c>
      <c r="AZ70" s="24">
        <f>+AZ71</f>
        <v>3.1</v>
      </c>
      <c r="BA70" s="11">
        <f t="shared" si="85"/>
        <v>41.1</v>
      </c>
      <c r="BB70" s="24">
        <f>+BB71</f>
        <v>3.1819999999999999</v>
      </c>
      <c r="BC70" s="24">
        <f>+BC71</f>
        <v>20.399999999999999</v>
      </c>
      <c r="BD70" s="24">
        <f>+BD71</f>
        <v>3.6</v>
      </c>
      <c r="BE70" s="24">
        <f>+BE71</f>
        <v>1</v>
      </c>
      <c r="BF70" s="24">
        <f t="shared" si="25"/>
        <v>28.181999999999999</v>
      </c>
      <c r="BG70" s="24">
        <f>+BG71</f>
        <v>0.92200000000000004</v>
      </c>
      <c r="BH70" s="24">
        <f>+BH71</f>
        <v>0.20100000000000001</v>
      </c>
      <c r="BI70" s="24">
        <f>+BI71</f>
        <v>0.2</v>
      </c>
      <c r="BJ70" s="24">
        <f>+BJ71</f>
        <v>0.3</v>
      </c>
      <c r="BK70" s="24">
        <f t="shared" si="26"/>
        <v>1.623</v>
      </c>
      <c r="BL70" s="24">
        <f>+BL71</f>
        <v>1.1000000000000001</v>
      </c>
      <c r="BM70" s="24">
        <f>+BM71</f>
        <v>3.3</v>
      </c>
      <c r="BN70" s="24">
        <f>+BN71</f>
        <v>3</v>
      </c>
      <c r="BO70" s="24">
        <f>+BO71</f>
        <v>7.3</v>
      </c>
      <c r="BP70" s="24">
        <f t="shared" si="27"/>
        <v>14.7</v>
      </c>
      <c r="BQ70" s="24">
        <f>+BQ71</f>
        <v>0.3</v>
      </c>
      <c r="BR70" s="24">
        <f>+BR71</f>
        <v>2.2000000000000002</v>
      </c>
      <c r="BS70" s="24">
        <f>+BS71</f>
        <v>2.2999999999999998</v>
      </c>
      <c r="BT70" s="24">
        <f>+BT71</f>
        <v>0.8</v>
      </c>
      <c r="BU70" s="24">
        <f t="shared" si="86"/>
        <v>-0.8</v>
      </c>
      <c r="BV70" s="24">
        <f t="shared" si="0"/>
        <v>2.5</v>
      </c>
      <c r="BW70" s="24">
        <f t="shared" si="28"/>
        <v>4.8</v>
      </c>
      <c r="BX70" s="24">
        <f t="shared" si="87"/>
        <v>-1.0999999999999996</v>
      </c>
      <c r="BY70" s="24">
        <f t="shared" si="88"/>
        <v>-72.727272727272734</v>
      </c>
      <c r="BZ70" s="24">
        <f>+BX70/(BM70)*100</f>
        <v>-33.333333333333329</v>
      </c>
      <c r="CA70" s="24">
        <f t="shared" si="1"/>
        <v>5.6</v>
      </c>
      <c r="CB70" s="24">
        <f>+CB71</f>
        <v>0.4</v>
      </c>
      <c r="CC70" s="24">
        <f>+CC71</f>
        <v>0.3</v>
      </c>
      <c r="CD70" s="24">
        <f>+CD71</f>
        <v>0.5</v>
      </c>
      <c r="CE70" s="24">
        <f>+CE71</f>
        <v>0.5</v>
      </c>
      <c r="CF70" s="24">
        <f t="shared" si="29"/>
        <v>1.7</v>
      </c>
      <c r="CG70" s="24">
        <f>+CG71</f>
        <v>1.2</v>
      </c>
      <c r="CH70" s="24">
        <f>+CH71</f>
        <v>0.3</v>
      </c>
      <c r="CI70" s="24">
        <f>+CI71</f>
        <v>0.2</v>
      </c>
      <c r="CJ70" s="24">
        <f>+CJ71</f>
        <v>0.5</v>
      </c>
      <c r="CK70" s="24">
        <f t="shared" si="2"/>
        <v>2.2000000000000002</v>
      </c>
      <c r="CL70" s="24">
        <f>+CL71</f>
        <v>0.4</v>
      </c>
      <c r="CM70" s="24">
        <f>+CM71</f>
        <v>-5.6</v>
      </c>
      <c r="CN70" s="24"/>
      <c r="CO70" s="24"/>
      <c r="CP70" s="24">
        <f>+CP71</f>
        <v>7.5</v>
      </c>
      <c r="CQ70" s="24">
        <f>+CQ71</f>
        <v>1.5</v>
      </c>
      <c r="CR70" s="24">
        <f t="shared" si="42"/>
        <v>3.8000000000000007</v>
      </c>
      <c r="CS70" s="24">
        <f>+CS71</f>
        <v>0.5</v>
      </c>
      <c r="CT70" s="24">
        <f t="shared" si="43"/>
        <v>9.9999999999999978E-2</v>
      </c>
      <c r="CU70" s="24">
        <f t="shared" si="44"/>
        <v>24.999999999999993</v>
      </c>
      <c r="CV70" s="24">
        <f t="shared" si="5"/>
        <v>1.6000000000000005</v>
      </c>
      <c r="CW70" s="24">
        <f t="shared" si="6"/>
        <v>72.727272727272734</v>
      </c>
      <c r="CX70" s="3"/>
      <c r="CY70" s="3"/>
      <c r="CZ70" s="3"/>
      <c r="DA70" s="3"/>
      <c r="DB70" s="3"/>
      <c r="DC70" s="3"/>
      <c r="DD70" s="3"/>
      <c r="DE70" s="3"/>
    </row>
    <row r="71" spans="1:111" x14ac:dyDescent="0.2">
      <c r="C71" s="4" t="s">
        <v>87</v>
      </c>
      <c r="D71" s="4" t="s">
        <v>88</v>
      </c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/>
      <c r="T71" s="11"/>
      <c r="U71" s="11">
        <v>0.4</v>
      </c>
      <c r="V71" s="11">
        <v>1.3</v>
      </c>
      <c r="W71" s="14"/>
      <c r="X71" s="11">
        <f>SUM(S71:V71)</f>
        <v>1.7000000000000002</v>
      </c>
      <c r="Y71" s="14"/>
      <c r="Z71" s="24">
        <v>0.4</v>
      </c>
      <c r="AA71" s="11">
        <v>2.080803</v>
      </c>
      <c r="AB71" s="11">
        <v>1.3</v>
      </c>
      <c r="AC71" s="11">
        <v>1.7</v>
      </c>
      <c r="AD71" s="14"/>
      <c r="AE71" s="11">
        <f t="shared" si="89"/>
        <v>5.4808029999999999</v>
      </c>
      <c r="AF71" s="14"/>
      <c r="AG71" s="11"/>
      <c r="AH71" s="11">
        <v>1.5</v>
      </c>
      <c r="AI71" s="11">
        <v>0.2</v>
      </c>
      <c r="AJ71" s="24">
        <v>0.2</v>
      </c>
      <c r="AK71" s="11">
        <f t="shared" si="82"/>
        <v>1.9</v>
      </c>
      <c r="AL71" s="73">
        <v>1.9</v>
      </c>
      <c r="AM71" s="24"/>
      <c r="AN71" s="11"/>
      <c r="AO71" s="11"/>
      <c r="AP71" s="11">
        <v>1.9</v>
      </c>
      <c r="AQ71" s="11">
        <f t="shared" si="83"/>
        <v>1.9</v>
      </c>
      <c r="AR71" s="11"/>
      <c r="AS71" s="11"/>
      <c r="AT71" s="11"/>
      <c r="AU71" s="11"/>
      <c r="AV71" s="11">
        <f t="shared" si="84"/>
        <v>0</v>
      </c>
      <c r="AW71" s="11">
        <v>6</v>
      </c>
      <c r="AX71" s="24">
        <v>1.4</v>
      </c>
      <c r="AY71" s="24">
        <v>30.6</v>
      </c>
      <c r="AZ71" s="24">
        <v>3.1</v>
      </c>
      <c r="BA71" s="11">
        <f t="shared" si="85"/>
        <v>41.1</v>
      </c>
      <c r="BB71" s="11">
        <v>3.1819999999999999</v>
      </c>
      <c r="BC71" s="11">
        <v>20.399999999999999</v>
      </c>
      <c r="BD71" s="11">
        <v>3.6</v>
      </c>
      <c r="BE71" s="11">
        <v>1</v>
      </c>
      <c r="BF71" s="11">
        <f t="shared" si="25"/>
        <v>28.181999999999999</v>
      </c>
      <c r="BG71" s="11">
        <v>0.92200000000000004</v>
      </c>
      <c r="BH71" s="11">
        <v>0.20100000000000001</v>
      </c>
      <c r="BI71" s="11">
        <v>0.2</v>
      </c>
      <c r="BJ71" s="11">
        <v>0.3</v>
      </c>
      <c r="BK71" s="11">
        <f t="shared" si="26"/>
        <v>1.623</v>
      </c>
      <c r="BL71" s="11">
        <v>1.1000000000000001</v>
      </c>
      <c r="BM71" s="11">
        <v>3.3</v>
      </c>
      <c r="BN71" s="11">
        <v>3</v>
      </c>
      <c r="BO71" s="11">
        <v>7.3</v>
      </c>
      <c r="BP71" s="11">
        <f t="shared" si="27"/>
        <v>14.7</v>
      </c>
      <c r="BQ71" s="11">
        <v>0.3</v>
      </c>
      <c r="BR71" s="11">
        <v>2.2000000000000002</v>
      </c>
      <c r="BS71" s="11">
        <v>2.2999999999999998</v>
      </c>
      <c r="BT71" s="11">
        <v>0.8</v>
      </c>
      <c r="BU71" s="11">
        <f t="shared" si="86"/>
        <v>-0.8</v>
      </c>
      <c r="BV71" s="11">
        <f t="shared" si="0"/>
        <v>2.5</v>
      </c>
      <c r="BW71" s="11">
        <f t="shared" si="28"/>
        <v>4.8</v>
      </c>
      <c r="BX71" s="11">
        <f t="shared" si="87"/>
        <v>-1.0999999999999996</v>
      </c>
      <c r="BY71" s="11">
        <f t="shared" si="88"/>
        <v>-72.727272727272734</v>
      </c>
      <c r="BZ71" s="11">
        <f>+BX71/(BM71)*100</f>
        <v>-33.333333333333329</v>
      </c>
      <c r="CA71" s="11">
        <f t="shared" si="1"/>
        <v>5.6</v>
      </c>
      <c r="CB71" s="11">
        <v>0.4</v>
      </c>
      <c r="CC71" s="11">
        <v>0.3</v>
      </c>
      <c r="CD71" s="11">
        <v>0.5</v>
      </c>
      <c r="CE71" s="11">
        <v>0.5</v>
      </c>
      <c r="CF71" s="11">
        <f t="shared" si="29"/>
        <v>1.7</v>
      </c>
      <c r="CG71" s="11">
        <v>1.2</v>
      </c>
      <c r="CH71" s="11">
        <v>0.3</v>
      </c>
      <c r="CI71" s="11">
        <v>0.2</v>
      </c>
      <c r="CJ71" s="11">
        <v>0.5</v>
      </c>
      <c r="CK71" s="11">
        <f t="shared" si="2"/>
        <v>2.2000000000000002</v>
      </c>
      <c r="CL71" s="11">
        <v>0.4</v>
      </c>
      <c r="CM71" s="11">
        <v>-5.6</v>
      </c>
      <c r="CN71" s="11"/>
      <c r="CO71" s="11"/>
      <c r="CP71" s="11">
        <v>7.5</v>
      </c>
      <c r="CQ71" s="11">
        <v>1.5</v>
      </c>
      <c r="CR71" s="11">
        <f t="shared" si="42"/>
        <v>3.8000000000000007</v>
      </c>
      <c r="CS71" s="11">
        <v>0.5</v>
      </c>
      <c r="CT71" s="11">
        <f t="shared" si="43"/>
        <v>9.9999999999999978E-2</v>
      </c>
      <c r="CU71" s="11">
        <f t="shared" si="44"/>
        <v>24.999999999999993</v>
      </c>
      <c r="CV71" s="11">
        <f t="shared" ref="CV71:CV94" si="90">+CL71+CM71+CP71+CQ71-CG71-CH71-CI71-CJ71</f>
        <v>1.6000000000000005</v>
      </c>
      <c r="CW71" s="11">
        <f t="shared" ref="CW71:CW94" si="91">+CV71/(CG71+CH71+CI71+CJ71)*100</f>
        <v>72.727272727272734</v>
      </c>
      <c r="CX71" s="3"/>
      <c r="CY71" s="3"/>
      <c r="CZ71" s="3"/>
      <c r="DA71" s="12"/>
      <c r="DB71" s="3"/>
      <c r="DC71" s="3"/>
      <c r="DD71" s="3"/>
      <c r="DE71" s="3"/>
    </row>
    <row r="72" spans="1:111" x14ac:dyDescent="0.2">
      <c r="B72" s="4" t="s">
        <v>70</v>
      </c>
      <c r="C72" s="4" t="s">
        <v>72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>
        <f>S73</f>
        <v>3</v>
      </c>
      <c r="T72" s="11">
        <f>T73</f>
        <v>0</v>
      </c>
      <c r="U72" s="11">
        <f>U73</f>
        <v>3</v>
      </c>
      <c r="V72" s="11">
        <f>V73</f>
        <v>0</v>
      </c>
      <c r="W72" s="11"/>
      <c r="X72" s="11">
        <f>X73</f>
        <v>6</v>
      </c>
      <c r="Y72" s="14"/>
      <c r="Z72" s="24">
        <f>Z73</f>
        <v>6.5</v>
      </c>
      <c r="AA72" s="11">
        <f>AA73</f>
        <v>0</v>
      </c>
      <c r="AB72" s="11">
        <f>AB73</f>
        <v>0</v>
      </c>
      <c r="AC72" s="11">
        <f>AC73</f>
        <v>2.9</v>
      </c>
      <c r="AD72" s="11"/>
      <c r="AE72" s="11">
        <f t="shared" si="89"/>
        <v>9.4</v>
      </c>
      <c r="AF72" s="14"/>
      <c r="AG72" s="11">
        <f>AG73</f>
        <v>3.7569999999999999E-3</v>
      </c>
      <c r="AH72" s="11">
        <f>+AH73</f>
        <v>-3.7569999999999999E-3</v>
      </c>
      <c r="AI72" s="11"/>
      <c r="AJ72" s="24"/>
      <c r="AK72" s="11">
        <f t="shared" si="82"/>
        <v>0</v>
      </c>
      <c r="AL72" s="73">
        <v>0</v>
      </c>
      <c r="AM72" s="11">
        <f>+AM73</f>
        <v>0</v>
      </c>
      <c r="AN72" s="11">
        <f>+AN73</f>
        <v>0</v>
      </c>
      <c r="AO72" s="11">
        <f>+AO73</f>
        <v>0</v>
      </c>
      <c r="AP72" s="11">
        <f>+AP73</f>
        <v>1</v>
      </c>
      <c r="AQ72" s="11">
        <f t="shared" si="83"/>
        <v>1</v>
      </c>
      <c r="AR72" s="11">
        <f>+AR73</f>
        <v>0</v>
      </c>
      <c r="AS72" s="11">
        <f>+AS73</f>
        <v>0</v>
      </c>
      <c r="AT72" s="11">
        <f>+AT73</f>
        <v>0</v>
      </c>
      <c r="AU72" s="11">
        <f>+AU73</f>
        <v>0</v>
      </c>
      <c r="AV72" s="11">
        <f t="shared" si="84"/>
        <v>0</v>
      </c>
      <c r="AW72" s="11">
        <f>+AW73</f>
        <v>0</v>
      </c>
      <c r="AX72" s="24">
        <f>+AX73</f>
        <v>0</v>
      </c>
      <c r="AY72" s="24">
        <f>+AY73</f>
        <v>0</v>
      </c>
      <c r="AZ72" s="24">
        <f>+AZ73</f>
        <v>0</v>
      </c>
      <c r="BA72" s="11">
        <f t="shared" si="85"/>
        <v>0</v>
      </c>
      <c r="BB72" s="24">
        <f>+BB73</f>
        <v>0</v>
      </c>
      <c r="BC72" s="24">
        <f>+BC73</f>
        <v>0</v>
      </c>
      <c r="BD72" s="24">
        <f>+BD73</f>
        <v>0</v>
      </c>
      <c r="BE72" s="24">
        <f>+BE73</f>
        <v>0</v>
      </c>
      <c r="BF72" s="24">
        <f t="shared" si="25"/>
        <v>0</v>
      </c>
      <c r="BG72" s="24">
        <f>+BG73</f>
        <v>0</v>
      </c>
      <c r="BH72" s="24">
        <f>+BH73</f>
        <v>0</v>
      </c>
      <c r="BI72" s="24">
        <f>+BI73</f>
        <v>0</v>
      </c>
      <c r="BJ72" s="24">
        <f>+BJ73</f>
        <v>0</v>
      </c>
      <c r="BK72" s="24">
        <f t="shared" si="26"/>
        <v>0</v>
      </c>
      <c r="BL72" s="24">
        <f>+BL73</f>
        <v>0</v>
      </c>
      <c r="BM72" s="24">
        <f>+BM73</f>
        <v>0</v>
      </c>
      <c r="BN72" s="24">
        <f>+BN73</f>
        <v>0</v>
      </c>
      <c r="BO72" s="24">
        <f>+BO73</f>
        <v>0</v>
      </c>
      <c r="BP72" s="24">
        <f t="shared" si="27"/>
        <v>0</v>
      </c>
      <c r="BQ72" s="24">
        <f>+BQ73</f>
        <v>0</v>
      </c>
      <c r="BR72" s="24">
        <f>+BR73</f>
        <v>0</v>
      </c>
      <c r="BS72" s="24">
        <f>+BS73</f>
        <v>0</v>
      </c>
      <c r="BT72" s="24">
        <f>+BT73</f>
        <v>0</v>
      </c>
      <c r="BU72" s="24">
        <f t="shared" si="86"/>
        <v>0</v>
      </c>
      <c r="BV72" s="24">
        <f t="shared" si="0"/>
        <v>0</v>
      </c>
      <c r="BW72" s="24">
        <f t="shared" si="28"/>
        <v>0</v>
      </c>
      <c r="BX72" s="24">
        <f t="shared" si="87"/>
        <v>0</v>
      </c>
      <c r="BY72" s="24" t="e">
        <f t="shared" si="88"/>
        <v>#DIV/0!</v>
      </c>
      <c r="BZ72" s="85" t="s">
        <v>115</v>
      </c>
      <c r="CA72" s="24">
        <f t="shared" si="1"/>
        <v>0</v>
      </c>
      <c r="CB72" s="24">
        <f>+CB73</f>
        <v>0</v>
      </c>
      <c r="CC72" s="24">
        <f>+CC73</f>
        <v>0</v>
      </c>
      <c r="CD72" s="24">
        <f>+CD73</f>
        <v>0</v>
      </c>
      <c r="CE72" s="24">
        <f>+CE73</f>
        <v>0</v>
      </c>
      <c r="CF72" s="24">
        <f t="shared" si="29"/>
        <v>0</v>
      </c>
      <c r="CG72" s="24">
        <f>+CG73</f>
        <v>0</v>
      </c>
      <c r="CH72" s="24">
        <f>+CH73</f>
        <v>0</v>
      </c>
      <c r="CI72" s="24">
        <f>+CI73</f>
        <v>0</v>
      </c>
      <c r="CJ72" s="24">
        <f>+CJ73</f>
        <v>0</v>
      </c>
      <c r="CK72" s="24">
        <f t="shared" ref="CK72:CK94" si="92">+CG72+CH72+CI72+CJ72</f>
        <v>0</v>
      </c>
      <c r="CL72" s="24">
        <f>+CL73</f>
        <v>0</v>
      </c>
      <c r="CM72" s="24">
        <f>+CM73</f>
        <v>0</v>
      </c>
      <c r="CN72" s="24"/>
      <c r="CO72" s="24"/>
      <c r="CP72" s="24">
        <f>+CP73</f>
        <v>0</v>
      </c>
      <c r="CQ72" s="24">
        <f>+CQ73</f>
        <v>0</v>
      </c>
      <c r="CR72" s="24">
        <f t="shared" si="42"/>
        <v>0</v>
      </c>
      <c r="CS72" s="24">
        <f>+CS73</f>
        <v>0</v>
      </c>
      <c r="CT72" s="24">
        <f t="shared" si="43"/>
        <v>0</v>
      </c>
      <c r="CU72" s="24"/>
      <c r="CV72" s="24">
        <f t="shared" si="90"/>
        <v>0</v>
      </c>
      <c r="CW72" s="24"/>
      <c r="CX72" s="3"/>
      <c r="CY72" s="3"/>
      <c r="CZ72" s="3"/>
      <c r="DA72" s="17"/>
      <c r="DB72" s="3"/>
      <c r="DC72" s="3"/>
      <c r="DD72" s="3"/>
      <c r="DE72" s="3"/>
    </row>
    <row r="73" spans="1:111" x14ac:dyDescent="0.2">
      <c r="C73" s="4" t="s">
        <v>71</v>
      </c>
      <c r="D73" s="4" t="s">
        <v>73</v>
      </c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v>3</v>
      </c>
      <c r="T73" s="14"/>
      <c r="U73" s="14">
        <v>3</v>
      </c>
      <c r="V73" s="11"/>
      <c r="W73" s="14"/>
      <c r="X73" s="11">
        <f>SUM(S73:V73)</f>
        <v>6</v>
      </c>
      <c r="Y73" s="14"/>
      <c r="Z73" s="24">
        <v>6.5</v>
      </c>
      <c r="AA73" s="14"/>
      <c r="AB73" s="14"/>
      <c r="AC73" s="11">
        <v>2.9</v>
      </c>
      <c r="AD73" s="14"/>
      <c r="AE73" s="11">
        <f t="shared" si="89"/>
        <v>9.4</v>
      </c>
      <c r="AF73" s="14"/>
      <c r="AG73" s="11">
        <v>3.7569999999999999E-3</v>
      </c>
      <c r="AH73" s="14">
        <v>-3.7569999999999999E-3</v>
      </c>
      <c r="AI73" s="14"/>
      <c r="AJ73" s="25"/>
      <c r="AK73" s="11">
        <f t="shared" si="82"/>
        <v>0</v>
      </c>
      <c r="AL73" s="73">
        <v>0</v>
      </c>
      <c r="AM73" s="25"/>
      <c r="AN73" s="14"/>
      <c r="AO73" s="14"/>
      <c r="AP73" s="11">
        <v>1</v>
      </c>
      <c r="AQ73" s="11">
        <f t="shared" si="83"/>
        <v>1</v>
      </c>
      <c r="AR73" s="14"/>
      <c r="AS73" s="14"/>
      <c r="AT73" s="14"/>
      <c r="AU73" s="14"/>
      <c r="AV73" s="11">
        <f t="shared" si="84"/>
        <v>0</v>
      </c>
      <c r="AW73" s="14"/>
      <c r="AX73" s="25"/>
      <c r="AY73" s="25"/>
      <c r="AZ73" s="25"/>
      <c r="BA73" s="11">
        <f t="shared" si="85"/>
        <v>0</v>
      </c>
      <c r="BB73" s="11"/>
      <c r="BC73" s="11"/>
      <c r="BD73" s="11"/>
      <c r="BE73" s="11"/>
      <c r="BF73" s="11">
        <f t="shared" si="25"/>
        <v>0</v>
      </c>
      <c r="BG73" s="11">
        <v>0</v>
      </c>
      <c r="BH73" s="11"/>
      <c r="BI73" s="11"/>
      <c r="BJ73" s="11"/>
      <c r="BK73" s="11">
        <f t="shared" si="26"/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f t="shared" si="27"/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f t="shared" si="86"/>
        <v>0</v>
      </c>
      <c r="BV73" s="11">
        <f t="shared" si="0"/>
        <v>0</v>
      </c>
      <c r="BW73" s="11">
        <f t="shared" si="28"/>
        <v>0</v>
      </c>
      <c r="BX73" s="11">
        <f t="shared" si="87"/>
        <v>0</v>
      </c>
      <c r="BY73" s="11" t="e">
        <f t="shared" si="88"/>
        <v>#DIV/0!</v>
      </c>
      <c r="BZ73" s="85" t="s">
        <v>115</v>
      </c>
      <c r="CA73" s="11">
        <f t="shared" ref="CA73:CA94" si="93">SUM(BQ73:BT73)</f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f t="shared" si="29"/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f t="shared" si="92"/>
        <v>0</v>
      </c>
      <c r="CL73" s="11">
        <v>0</v>
      </c>
      <c r="CM73" s="11">
        <v>0</v>
      </c>
      <c r="CN73" s="11"/>
      <c r="CO73" s="11"/>
      <c r="CP73" s="11">
        <v>0</v>
      </c>
      <c r="CQ73" s="11">
        <v>0</v>
      </c>
      <c r="CR73" s="11">
        <f t="shared" si="42"/>
        <v>0</v>
      </c>
      <c r="CS73" s="11">
        <v>0</v>
      </c>
      <c r="CT73" s="11">
        <f t="shared" si="43"/>
        <v>0</v>
      </c>
      <c r="CU73" s="11"/>
      <c r="CV73" s="11">
        <f t="shared" si="90"/>
        <v>0</v>
      </c>
      <c r="CW73" s="11"/>
      <c r="CX73" s="3"/>
      <c r="CY73" s="3"/>
      <c r="CZ73" s="3"/>
      <c r="DA73" s="11"/>
      <c r="DB73" s="3"/>
      <c r="DC73" s="3"/>
      <c r="DD73" s="3"/>
      <c r="DE73" s="3"/>
    </row>
    <row r="74" spans="1:111" x14ac:dyDescent="0.2">
      <c r="B74" s="4" t="s">
        <v>42</v>
      </c>
      <c r="C74" s="4" t="s">
        <v>43</v>
      </c>
      <c r="E74" s="8"/>
      <c r="F74" s="10">
        <f>F76</f>
        <v>449</v>
      </c>
      <c r="G74" s="20">
        <f t="shared" si="81"/>
        <v>455</v>
      </c>
      <c r="H74" s="20">
        <f>SUM(O74:R74)</f>
        <v>573</v>
      </c>
      <c r="I74" s="20"/>
      <c r="J74" s="10">
        <v>101</v>
      </c>
      <c r="K74" s="20">
        <v>108</v>
      </c>
      <c r="L74" s="20">
        <v>120</v>
      </c>
      <c r="M74" s="20">
        <v>126</v>
      </c>
      <c r="N74" s="8"/>
      <c r="O74" s="20">
        <f>SUM(O76:O76)</f>
        <v>138</v>
      </c>
      <c r="P74" s="20">
        <f>SUM(P76:P76)</f>
        <v>142</v>
      </c>
      <c r="Q74" s="20">
        <v>149</v>
      </c>
      <c r="R74" s="20">
        <v>144</v>
      </c>
      <c r="S74" s="11">
        <f>SUM(S76:S76)</f>
        <v>168.525766</v>
      </c>
      <c r="T74" s="11">
        <f>SUM(T76:T76)</f>
        <v>226.5</v>
      </c>
      <c r="U74" s="11">
        <f>SUM(U76:U76)</f>
        <v>105</v>
      </c>
      <c r="V74" s="11">
        <f>SUM(V76:V76)</f>
        <v>177.8</v>
      </c>
      <c r="W74" s="14"/>
      <c r="X74" s="11">
        <f>IF(O74="","",(S74+T74+U74+V74))</f>
        <v>677.82576599999993</v>
      </c>
      <c r="Y74" s="14"/>
      <c r="Z74" s="24">
        <f>SUM(Z76:Z76)</f>
        <v>174.26570799999999</v>
      </c>
      <c r="AA74" s="11">
        <f>SUM(AA76:AA76)</f>
        <v>172.059121</v>
      </c>
      <c r="AB74" s="11">
        <f>SUM(AB76:AB76)</f>
        <v>181.4</v>
      </c>
      <c r="AC74" s="11">
        <f>SUM(AC76:AC76)</f>
        <v>174.3</v>
      </c>
      <c r="AD74" s="14"/>
      <c r="AE74" s="11">
        <f t="shared" si="89"/>
        <v>702.02482899999995</v>
      </c>
      <c r="AF74" s="14"/>
      <c r="AG74" s="11">
        <f>SUM(AG76:AG76)</f>
        <v>193.7</v>
      </c>
      <c r="AH74" s="11">
        <f>+AH76</f>
        <v>263.7</v>
      </c>
      <c r="AI74" s="11">
        <f>+AI76</f>
        <v>129</v>
      </c>
      <c r="AJ74" s="24">
        <f>+AJ76</f>
        <v>154.19999999999999</v>
      </c>
      <c r="AK74" s="11">
        <f t="shared" si="82"/>
        <v>740.59999999999991</v>
      </c>
      <c r="AL74" s="73">
        <v>740.4</v>
      </c>
      <c r="AM74" s="24">
        <f>+AM76</f>
        <v>188.2</v>
      </c>
      <c r="AN74" s="11">
        <f>+AN76</f>
        <v>181.3</v>
      </c>
      <c r="AO74" s="11">
        <f>+AO76</f>
        <v>188.3</v>
      </c>
      <c r="AP74" s="11">
        <f>+AP76</f>
        <v>191.7</v>
      </c>
      <c r="AQ74" s="11">
        <f t="shared" si="83"/>
        <v>749.5</v>
      </c>
      <c r="AR74" s="11">
        <f>+AR76</f>
        <v>194.6</v>
      </c>
      <c r="AS74" s="11">
        <f>+AS76</f>
        <v>190.9</v>
      </c>
      <c r="AT74" s="11">
        <f>+AT76</f>
        <v>184.703</v>
      </c>
      <c r="AU74" s="11">
        <f>+AU76</f>
        <v>189.4</v>
      </c>
      <c r="AV74" s="11">
        <f t="shared" si="84"/>
        <v>759.60299999999995</v>
      </c>
      <c r="AW74" s="11">
        <f>+AW76</f>
        <v>187.5</v>
      </c>
      <c r="AX74" s="24">
        <f>+AX76</f>
        <v>178.6</v>
      </c>
      <c r="AY74" s="24">
        <f>+AY76</f>
        <v>171.6</v>
      </c>
      <c r="AZ74" s="24">
        <f>+AZ76</f>
        <v>181.1</v>
      </c>
      <c r="BA74" s="11">
        <f t="shared" si="85"/>
        <v>718.80000000000007</v>
      </c>
      <c r="BB74" s="24">
        <f>+BB76</f>
        <v>155.9</v>
      </c>
      <c r="BC74" s="24">
        <f>+BC76</f>
        <v>138.5</v>
      </c>
      <c r="BD74" s="24">
        <f>+BD76</f>
        <v>132.69999999999999</v>
      </c>
      <c r="BE74" s="24">
        <f>+BE76</f>
        <v>150.30000000000001</v>
      </c>
      <c r="BF74" s="24">
        <f t="shared" si="25"/>
        <v>577.4</v>
      </c>
      <c r="BG74" s="24">
        <f>+BG76</f>
        <v>106.5</v>
      </c>
      <c r="BH74" s="24">
        <f>+BH76</f>
        <v>91.2</v>
      </c>
      <c r="BI74" s="24">
        <f>+BI76</f>
        <v>81.099999999999994</v>
      </c>
      <c r="BJ74" s="24">
        <f>+BJ76</f>
        <v>75.400000000000006</v>
      </c>
      <c r="BK74" s="24">
        <f t="shared" si="26"/>
        <v>354.19999999999993</v>
      </c>
      <c r="BL74" s="24">
        <f>+BL76</f>
        <v>64</v>
      </c>
      <c r="BM74" s="24">
        <f>+BM76</f>
        <v>56.4</v>
      </c>
      <c r="BN74" s="24">
        <f>+BN76</f>
        <v>51.2</v>
      </c>
      <c r="BO74" s="24">
        <f>+BO76</f>
        <v>64.2</v>
      </c>
      <c r="BP74" s="24">
        <f t="shared" si="27"/>
        <v>235.8</v>
      </c>
      <c r="BQ74" s="24">
        <f>+BQ76</f>
        <v>50.5</v>
      </c>
      <c r="BR74" s="24">
        <f>+BR76</f>
        <v>42.4</v>
      </c>
      <c r="BS74" s="24">
        <f>+BS76</f>
        <v>38.6</v>
      </c>
      <c r="BT74" s="24">
        <f>+BT76</f>
        <v>37.1</v>
      </c>
      <c r="BU74" s="24">
        <f t="shared" si="86"/>
        <v>-13.5</v>
      </c>
      <c r="BV74" s="24">
        <f t="shared" ref="BV74:BV94" si="94">+BQ74+BR74</f>
        <v>92.9</v>
      </c>
      <c r="BW74" s="24">
        <f t="shared" si="28"/>
        <v>131.5</v>
      </c>
      <c r="BX74" s="24">
        <f t="shared" si="87"/>
        <v>-14</v>
      </c>
      <c r="BY74" s="24">
        <f t="shared" si="88"/>
        <v>-21.09375</v>
      </c>
      <c r="BZ74" s="24">
        <f>+BX74/(BM74)*100</f>
        <v>-24.822695035460992</v>
      </c>
      <c r="CA74" s="24">
        <f t="shared" si="93"/>
        <v>168.6</v>
      </c>
      <c r="CB74" s="24">
        <f>+CB76</f>
        <v>62.4</v>
      </c>
      <c r="CC74" s="24">
        <f>+CC76</f>
        <v>59.9</v>
      </c>
      <c r="CD74" s="24">
        <f>+CD76</f>
        <v>56.8</v>
      </c>
      <c r="CE74" s="24">
        <f>+CE76</f>
        <v>53.9</v>
      </c>
      <c r="CF74" s="24">
        <f t="shared" ref="CF74:CG74" si="95">+CF76+CF75</f>
        <v>233</v>
      </c>
      <c r="CG74" s="24">
        <f t="shared" si="95"/>
        <v>51.9</v>
      </c>
      <c r="CH74" s="24">
        <f>+CH76+CH75</f>
        <v>70.3</v>
      </c>
      <c r="CI74" s="24">
        <f t="shared" ref="CI74:CJ74" si="96">+CI76+CI75</f>
        <v>43.8</v>
      </c>
      <c r="CJ74" s="24">
        <f t="shared" si="96"/>
        <v>52.6</v>
      </c>
      <c r="CK74" s="24">
        <f t="shared" si="92"/>
        <v>218.6</v>
      </c>
      <c r="CL74" s="24">
        <f>+CL76+CL75</f>
        <v>46.2</v>
      </c>
      <c r="CM74" s="24">
        <f>+CM76+CM75</f>
        <v>51.3</v>
      </c>
      <c r="CN74" s="24"/>
      <c r="CO74" s="24"/>
      <c r="CP74" s="24">
        <f>+CP76+CP75</f>
        <v>29.900000000000002</v>
      </c>
      <c r="CQ74" s="24">
        <f>+CQ76+CQ75</f>
        <v>37.799999999999997</v>
      </c>
      <c r="CR74" s="24">
        <f t="shared" si="42"/>
        <v>165.2</v>
      </c>
      <c r="CS74" s="24">
        <f>+CS76+CS75</f>
        <v>35.799999999999997</v>
      </c>
      <c r="CT74" s="24">
        <f t="shared" si="43"/>
        <v>-10.400000000000006</v>
      </c>
      <c r="CU74" s="24">
        <f t="shared" si="44"/>
        <v>-22.510822510822521</v>
      </c>
      <c r="CV74" s="24">
        <f t="shared" si="90"/>
        <v>-53.400000000000013</v>
      </c>
      <c r="CW74" s="24">
        <f t="shared" si="91"/>
        <v>-24.428179322964326</v>
      </c>
      <c r="CX74" s="3"/>
      <c r="CY74" s="3"/>
      <c r="CZ74" s="3"/>
      <c r="DA74" s="12"/>
      <c r="DB74" s="3"/>
      <c r="DC74" s="3"/>
    </row>
    <row r="75" spans="1:111" x14ac:dyDescent="0.2">
      <c r="C75" s="4" t="s">
        <v>124</v>
      </c>
      <c r="D75" s="4" t="s">
        <v>125</v>
      </c>
      <c r="E75" s="8"/>
      <c r="F75" s="10"/>
      <c r="G75" s="20"/>
      <c r="H75" s="20"/>
      <c r="I75" s="20"/>
      <c r="J75" s="10"/>
      <c r="K75" s="20"/>
      <c r="L75" s="20"/>
      <c r="M75" s="20"/>
      <c r="N75" s="8"/>
      <c r="O75" s="20"/>
      <c r="P75" s="20"/>
      <c r="Q75" s="20"/>
      <c r="R75" s="20"/>
      <c r="S75" s="11"/>
      <c r="T75" s="11"/>
      <c r="U75" s="11"/>
      <c r="V75" s="11"/>
      <c r="W75" s="14"/>
      <c r="X75" s="11"/>
      <c r="Y75" s="14"/>
      <c r="Z75" s="24"/>
      <c r="AA75" s="11"/>
      <c r="AB75" s="11"/>
      <c r="AC75" s="11"/>
      <c r="AD75" s="14"/>
      <c r="AE75" s="11"/>
      <c r="AF75" s="14"/>
      <c r="AG75" s="11"/>
      <c r="AH75" s="11"/>
      <c r="AI75" s="11"/>
      <c r="AJ75" s="24"/>
      <c r="AK75" s="11"/>
      <c r="AL75" s="73"/>
      <c r="AM75" s="24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24"/>
      <c r="AY75" s="24"/>
      <c r="AZ75" s="24"/>
      <c r="BA75" s="11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>
        <v>1.3</v>
      </c>
      <c r="CG75" s="24">
        <v>0</v>
      </c>
      <c r="CH75" s="24">
        <v>22.8</v>
      </c>
      <c r="CI75" s="24">
        <v>0</v>
      </c>
      <c r="CJ75" s="24">
        <v>11</v>
      </c>
      <c r="CK75" s="24">
        <f t="shared" si="92"/>
        <v>33.799999999999997</v>
      </c>
      <c r="CL75" s="24">
        <v>8.3000000000000007</v>
      </c>
      <c r="CM75" s="24">
        <v>16.100000000000001</v>
      </c>
      <c r="CN75" s="24"/>
      <c r="CO75" s="24"/>
      <c r="CP75" s="24">
        <v>0.3</v>
      </c>
      <c r="CQ75" s="24">
        <v>9.1</v>
      </c>
      <c r="CR75" s="24">
        <f t="shared" si="42"/>
        <v>33.800000000000004</v>
      </c>
      <c r="CS75" s="24">
        <v>9.8000000000000007</v>
      </c>
      <c r="CT75" s="24">
        <f t="shared" si="43"/>
        <v>1.5</v>
      </c>
      <c r="CU75" s="24">
        <f t="shared" si="44"/>
        <v>18.072289156626503</v>
      </c>
      <c r="CV75" s="24">
        <f t="shared" si="90"/>
        <v>0</v>
      </c>
      <c r="CW75" s="24">
        <f t="shared" si="91"/>
        <v>0</v>
      </c>
      <c r="CX75" s="3"/>
      <c r="CY75" s="3"/>
      <c r="CZ75" s="3"/>
      <c r="DA75" s="12"/>
      <c r="DB75" s="3"/>
      <c r="DC75" s="3"/>
    </row>
    <row r="76" spans="1:111" x14ac:dyDescent="0.2">
      <c r="C76" s="4" t="s">
        <v>44</v>
      </c>
      <c r="D76" s="4" t="s">
        <v>45</v>
      </c>
      <c r="E76" s="8"/>
      <c r="F76" s="10">
        <v>449</v>
      </c>
      <c r="G76" s="20">
        <f t="shared" si="81"/>
        <v>449</v>
      </c>
      <c r="H76" s="20">
        <f>SUM(O76:R76)</f>
        <v>573</v>
      </c>
      <c r="I76" s="20"/>
      <c r="J76" s="14">
        <v>101</v>
      </c>
      <c r="K76" s="25">
        <v>108</v>
      </c>
      <c r="L76" s="25">
        <v>120</v>
      </c>
      <c r="M76" s="25">
        <v>120</v>
      </c>
      <c r="N76" s="8"/>
      <c r="O76" s="25">
        <v>138</v>
      </c>
      <c r="P76" s="25">
        <v>142</v>
      </c>
      <c r="Q76" s="25">
        <v>149</v>
      </c>
      <c r="R76" s="25">
        <v>144</v>
      </c>
      <c r="S76" s="11">
        <v>168.525766</v>
      </c>
      <c r="T76" s="11">
        <v>226.5</v>
      </c>
      <c r="U76" s="11">
        <v>105</v>
      </c>
      <c r="V76" s="11">
        <v>177.8</v>
      </c>
      <c r="W76" s="14"/>
      <c r="X76" s="11">
        <f>IF(O76="","",(S76+T76+U76+V76))</f>
        <v>677.82576599999993</v>
      </c>
      <c r="Y76" s="14"/>
      <c r="Z76" s="24">
        <v>174.26570799999999</v>
      </c>
      <c r="AA76" s="11">
        <v>172.059121</v>
      </c>
      <c r="AB76" s="11">
        <v>181.4</v>
      </c>
      <c r="AC76" s="11">
        <v>174.3</v>
      </c>
      <c r="AD76" s="14"/>
      <c r="AE76" s="11">
        <f t="shared" si="89"/>
        <v>702.02482899999995</v>
      </c>
      <c r="AF76" s="14"/>
      <c r="AG76" s="11">
        <v>193.7</v>
      </c>
      <c r="AH76" s="11">
        <v>263.7</v>
      </c>
      <c r="AI76" s="11">
        <v>129</v>
      </c>
      <c r="AJ76" s="24">
        <v>154.19999999999999</v>
      </c>
      <c r="AK76" s="11">
        <f t="shared" si="82"/>
        <v>740.59999999999991</v>
      </c>
      <c r="AL76" s="73">
        <v>740.4</v>
      </c>
      <c r="AM76" s="24">
        <v>188.2</v>
      </c>
      <c r="AN76" s="11">
        <v>181.3</v>
      </c>
      <c r="AO76" s="11">
        <v>188.3</v>
      </c>
      <c r="AP76" s="11">
        <v>191.7</v>
      </c>
      <c r="AQ76" s="11">
        <f t="shared" si="83"/>
        <v>749.5</v>
      </c>
      <c r="AR76" s="11">
        <v>194.6</v>
      </c>
      <c r="AS76" s="11">
        <v>190.9</v>
      </c>
      <c r="AT76" s="11">
        <v>184.703</v>
      </c>
      <c r="AU76" s="11">
        <v>189.4</v>
      </c>
      <c r="AV76" s="11">
        <f t="shared" si="84"/>
        <v>759.60299999999995</v>
      </c>
      <c r="AW76" s="11">
        <v>187.5</v>
      </c>
      <c r="AX76" s="24">
        <v>178.6</v>
      </c>
      <c r="AY76" s="24">
        <v>171.6</v>
      </c>
      <c r="AZ76" s="24">
        <v>181.1</v>
      </c>
      <c r="BA76" s="11">
        <f t="shared" si="85"/>
        <v>718.80000000000007</v>
      </c>
      <c r="BB76" s="11">
        <v>155.9</v>
      </c>
      <c r="BC76" s="11">
        <v>138.5</v>
      </c>
      <c r="BD76" s="11">
        <v>132.69999999999999</v>
      </c>
      <c r="BE76" s="11">
        <v>150.30000000000001</v>
      </c>
      <c r="BF76" s="11">
        <f t="shared" si="25"/>
        <v>577.4</v>
      </c>
      <c r="BG76" s="11">
        <v>106.5</v>
      </c>
      <c r="BH76" s="11">
        <v>91.2</v>
      </c>
      <c r="BI76" s="11">
        <v>81.099999999999994</v>
      </c>
      <c r="BJ76" s="11">
        <v>75.400000000000006</v>
      </c>
      <c r="BK76" s="11">
        <f t="shared" si="26"/>
        <v>354.19999999999993</v>
      </c>
      <c r="BL76" s="11">
        <v>64</v>
      </c>
      <c r="BM76" s="11">
        <v>56.4</v>
      </c>
      <c r="BN76" s="11">
        <v>51.2</v>
      </c>
      <c r="BO76" s="11">
        <v>64.2</v>
      </c>
      <c r="BP76" s="11">
        <f t="shared" si="27"/>
        <v>235.8</v>
      </c>
      <c r="BQ76" s="11">
        <v>50.5</v>
      </c>
      <c r="BR76" s="11">
        <v>42.4</v>
      </c>
      <c r="BS76" s="11">
        <v>38.6</v>
      </c>
      <c r="BT76" s="11">
        <v>37.1</v>
      </c>
      <c r="BU76" s="11">
        <f t="shared" si="86"/>
        <v>-13.5</v>
      </c>
      <c r="BV76" s="11">
        <f t="shared" si="94"/>
        <v>92.9</v>
      </c>
      <c r="BW76" s="11">
        <f t="shared" si="28"/>
        <v>131.5</v>
      </c>
      <c r="BX76" s="11">
        <f t="shared" si="87"/>
        <v>-14</v>
      </c>
      <c r="BY76" s="11">
        <f t="shared" si="88"/>
        <v>-21.09375</v>
      </c>
      <c r="BZ76" s="11">
        <f>+BX76/(BM76)*100</f>
        <v>-24.822695035460992</v>
      </c>
      <c r="CA76" s="11">
        <f t="shared" si="93"/>
        <v>168.6</v>
      </c>
      <c r="CB76" s="11">
        <v>62.4</v>
      </c>
      <c r="CC76" s="11">
        <v>59.9</v>
      </c>
      <c r="CD76" s="11">
        <v>56.8</v>
      </c>
      <c r="CE76" s="11">
        <v>53.9</v>
      </c>
      <c r="CF76" s="11">
        <f>SUM(CB76:CE76)-1.3</f>
        <v>231.7</v>
      </c>
      <c r="CG76" s="11">
        <v>51.9</v>
      </c>
      <c r="CH76" s="11">
        <f>70.3-22.8</f>
        <v>47.5</v>
      </c>
      <c r="CI76" s="11">
        <v>43.8</v>
      </c>
      <c r="CJ76" s="11">
        <f>52.6-11</f>
        <v>41.6</v>
      </c>
      <c r="CK76" s="11">
        <f t="shared" si="92"/>
        <v>184.79999999999998</v>
      </c>
      <c r="CL76" s="11">
        <f>46.2-8.3</f>
        <v>37.900000000000006</v>
      </c>
      <c r="CM76" s="11">
        <f>51.3-16.1</f>
        <v>35.199999999999996</v>
      </c>
      <c r="CN76" s="11"/>
      <c r="CO76" s="11"/>
      <c r="CP76" s="11">
        <v>29.6</v>
      </c>
      <c r="CQ76" s="11">
        <v>28.7</v>
      </c>
      <c r="CR76" s="11">
        <f t="shared" si="42"/>
        <v>131.39999999999998</v>
      </c>
      <c r="CS76" s="11">
        <v>26</v>
      </c>
      <c r="CT76" s="11">
        <f t="shared" si="43"/>
        <v>-11.900000000000006</v>
      </c>
      <c r="CU76" s="11">
        <f t="shared" si="44"/>
        <v>-31.398416886543544</v>
      </c>
      <c r="CV76" s="11">
        <f t="shared" si="90"/>
        <v>-53.400000000000027</v>
      </c>
      <c r="CW76" s="11">
        <f t="shared" si="91"/>
        <v>-28.896103896103913</v>
      </c>
      <c r="CX76" s="3"/>
      <c r="CY76" s="3"/>
      <c r="CZ76" s="3"/>
      <c r="DA76" s="17"/>
      <c r="DB76" s="3"/>
      <c r="DC76" s="3"/>
      <c r="DD76" s="3"/>
      <c r="DE76" s="3"/>
    </row>
    <row r="77" spans="1:111" x14ac:dyDescent="0.2">
      <c r="B77" s="4" t="s">
        <v>59</v>
      </c>
      <c r="C77" s="4" t="s">
        <v>60</v>
      </c>
      <c r="E77" s="8"/>
      <c r="F77" s="10">
        <v>0</v>
      </c>
      <c r="G77" s="20">
        <f t="shared" si="81"/>
        <v>4</v>
      </c>
      <c r="H77" s="20">
        <f>SUM(O77:R77)</f>
        <v>240</v>
      </c>
      <c r="I77" s="20"/>
      <c r="J77" s="14">
        <v>1</v>
      </c>
      <c r="K77" s="25">
        <v>1</v>
      </c>
      <c r="L77" s="25">
        <v>1</v>
      </c>
      <c r="M77" s="25">
        <v>1</v>
      </c>
      <c r="N77" s="8"/>
      <c r="O77" s="25">
        <v>80</v>
      </c>
      <c r="P77" s="25">
        <v>40</v>
      </c>
      <c r="Q77" s="25">
        <v>80</v>
      </c>
      <c r="R77" s="25">
        <v>40</v>
      </c>
      <c r="S77" s="11">
        <v>50.703664000000003</v>
      </c>
      <c r="T77" s="14">
        <v>50.8</v>
      </c>
      <c r="U77" s="14">
        <v>50.7</v>
      </c>
      <c r="V77" s="11">
        <v>50.7</v>
      </c>
      <c r="W77" s="14"/>
      <c r="X77" s="11">
        <f>IF(O77="","",(S77+T77+U77+V77))</f>
        <v>202.90366399999999</v>
      </c>
      <c r="Y77" s="14"/>
      <c r="Z77" s="24">
        <v>23.6</v>
      </c>
      <c r="AA77" s="14">
        <v>23.6</v>
      </c>
      <c r="AB77" s="14">
        <v>23.6</v>
      </c>
      <c r="AC77" s="11">
        <v>23.6</v>
      </c>
      <c r="AD77" s="14"/>
      <c r="AE77" s="11">
        <f t="shared" si="89"/>
        <v>94.4</v>
      </c>
      <c r="AF77" s="14"/>
      <c r="AG77" s="11">
        <v>35</v>
      </c>
      <c r="AH77" s="14">
        <v>35</v>
      </c>
      <c r="AI77" s="14">
        <v>35</v>
      </c>
      <c r="AJ77" s="25">
        <v>35</v>
      </c>
      <c r="AK77" s="11">
        <f t="shared" si="82"/>
        <v>140</v>
      </c>
      <c r="AL77" s="73">
        <v>140</v>
      </c>
      <c r="AM77" s="25">
        <v>37.6</v>
      </c>
      <c r="AN77" s="14">
        <v>37.6</v>
      </c>
      <c r="AO77" s="14">
        <v>37.6</v>
      </c>
      <c r="AP77" s="14">
        <v>37.6</v>
      </c>
      <c r="AQ77" s="11">
        <f t="shared" si="83"/>
        <v>150.4</v>
      </c>
      <c r="AR77" s="14">
        <v>46.4</v>
      </c>
      <c r="AS77" s="14">
        <v>46.4</v>
      </c>
      <c r="AT77" s="14">
        <v>46.39</v>
      </c>
      <c r="AU77" s="14">
        <v>46.4</v>
      </c>
      <c r="AV77" s="11">
        <f t="shared" si="84"/>
        <v>185.59</v>
      </c>
      <c r="AW77" s="14">
        <v>46</v>
      </c>
      <c r="AX77" s="25">
        <v>46.1</v>
      </c>
      <c r="AY77" s="25">
        <v>46.1</v>
      </c>
      <c r="AZ77" s="25">
        <v>235.8</v>
      </c>
      <c r="BA77" s="11">
        <f t="shared" si="85"/>
        <v>374</v>
      </c>
      <c r="BB77" s="11">
        <v>45.8</v>
      </c>
      <c r="BC77" s="11">
        <v>45.8</v>
      </c>
      <c r="BD77" s="11">
        <v>45.8</v>
      </c>
      <c r="BE77" s="11">
        <v>222.5</v>
      </c>
      <c r="BF77" s="11">
        <f t="shared" si="25"/>
        <v>359.9</v>
      </c>
      <c r="BG77" s="11">
        <v>31.3</v>
      </c>
      <c r="BH77" s="11">
        <v>31.3</v>
      </c>
      <c r="BI77" s="11">
        <v>31.3</v>
      </c>
      <c r="BJ77" s="11">
        <v>31.3</v>
      </c>
      <c r="BK77" s="11">
        <f t="shared" si="26"/>
        <v>125.2</v>
      </c>
      <c r="BL77" s="11">
        <v>0</v>
      </c>
      <c r="BM77" s="11">
        <v>0</v>
      </c>
      <c r="BN77" s="11">
        <v>0</v>
      </c>
      <c r="BO77" s="11">
        <v>0</v>
      </c>
      <c r="BP77" s="11">
        <f t="shared" si="27"/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f t="shared" si="86"/>
        <v>0</v>
      </c>
      <c r="BV77" s="11">
        <f t="shared" si="94"/>
        <v>0</v>
      </c>
      <c r="BW77" s="11">
        <f t="shared" si="28"/>
        <v>0</v>
      </c>
      <c r="BX77" s="11">
        <f t="shared" si="87"/>
        <v>0</v>
      </c>
      <c r="BY77" s="11" t="e">
        <f t="shared" si="88"/>
        <v>#DIV/0!</v>
      </c>
      <c r="BZ77" s="85" t="s">
        <v>115</v>
      </c>
      <c r="CA77" s="11">
        <f t="shared" si="93"/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f t="shared" si="29"/>
        <v>0</v>
      </c>
      <c r="CG77" s="11">
        <v>0</v>
      </c>
      <c r="CH77" s="11">
        <v>0</v>
      </c>
      <c r="CI77" s="11">
        <v>0</v>
      </c>
      <c r="CJ77" s="11">
        <v>0</v>
      </c>
      <c r="CK77" s="11">
        <f t="shared" si="92"/>
        <v>0</v>
      </c>
      <c r="CL77" s="11">
        <v>0</v>
      </c>
      <c r="CM77" s="11">
        <v>0</v>
      </c>
      <c r="CN77" s="11"/>
      <c r="CO77" s="11"/>
      <c r="CP77" s="11">
        <v>0</v>
      </c>
      <c r="CQ77" s="11">
        <v>0</v>
      </c>
      <c r="CR77" s="11">
        <f t="shared" si="42"/>
        <v>0</v>
      </c>
      <c r="CS77" s="11">
        <v>0</v>
      </c>
      <c r="CT77" s="11">
        <f t="shared" si="43"/>
        <v>0</v>
      </c>
      <c r="CU77" s="11"/>
      <c r="CV77" s="11">
        <f t="shared" si="90"/>
        <v>0</v>
      </c>
      <c r="CW77" s="11"/>
      <c r="CX77" s="3"/>
      <c r="CY77" s="3"/>
      <c r="CZ77" s="3"/>
      <c r="DA77" s="24"/>
      <c r="DB77" s="3"/>
      <c r="DC77" s="3"/>
      <c r="DD77" s="3"/>
      <c r="DE77" s="3"/>
    </row>
    <row r="78" spans="1:111" s="7" customFormat="1" ht="10.5" customHeight="1" x14ac:dyDescent="0.2">
      <c r="A78" s="41"/>
      <c r="E78" s="44"/>
      <c r="F78" s="8"/>
      <c r="G78" s="44"/>
      <c r="H78" s="44" t="s">
        <v>10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12" t="str">
        <f>IF(O78="","",(O78+P78+Q78+R78))</f>
        <v/>
      </c>
      <c r="Y78" s="44"/>
      <c r="Z78" s="29"/>
      <c r="AA78" s="44"/>
      <c r="AC78" s="44"/>
      <c r="AD78" s="44"/>
      <c r="AE78" s="12" t="str">
        <f>IF(Y78="","",(Y78+Z78+AA78+AB78))</f>
        <v/>
      </c>
      <c r="AF78" s="44"/>
      <c r="AG78" s="44"/>
      <c r="AH78" s="44"/>
      <c r="AI78" s="44"/>
      <c r="AJ78" s="29"/>
      <c r="AK78" s="12" t="s">
        <v>10</v>
      </c>
      <c r="AL78" s="72" t="s">
        <v>10</v>
      </c>
      <c r="AM78" s="29"/>
      <c r="AN78" s="44"/>
      <c r="AO78" s="44"/>
      <c r="AP78" s="44"/>
      <c r="AQ78" s="12" t="s">
        <v>10</v>
      </c>
      <c r="AR78" s="44"/>
      <c r="AS78" s="44"/>
      <c r="AT78" s="44"/>
      <c r="AU78" s="44"/>
      <c r="AV78" s="12" t="s">
        <v>10</v>
      </c>
      <c r="AW78" s="44"/>
      <c r="AX78" s="29"/>
      <c r="AY78" s="29"/>
      <c r="AZ78" s="29"/>
      <c r="BA78" s="12" t="s">
        <v>10</v>
      </c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>
        <f t="shared" si="86"/>
        <v>0</v>
      </c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9"/>
      <c r="CY78" s="9"/>
      <c r="CZ78" s="9"/>
      <c r="DA78" s="11"/>
      <c r="DB78" s="9"/>
      <c r="DC78" s="9"/>
      <c r="DD78" s="9"/>
      <c r="DE78" s="9"/>
      <c r="DF78" s="9"/>
      <c r="DG78" s="9"/>
    </row>
    <row r="79" spans="1:111" s="7" customFormat="1" x14ac:dyDescent="0.2">
      <c r="A79" s="41">
        <v>10</v>
      </c>
      <c r="B79" s="7" t="s">
        <v>89</v>
      </c>
      <c r="E79" s="8"/>
      <c r="F79" s="8"/>
      <c r="G79" s="17"/>
      <c r="H79" s="17"/>
      <c r="I79" s="17"/>
      <c r="J79" s="8"/>
      <c r="K79" s="17"/>
      <c r="L79" s="17"/>
      <c r="M79" s="17"/>
      <c r="N79" s="8"/>
      <c r="O79" s="17"/>
      <c r="P79" s="17"/>
      <c r="Q79" s="17"/>
      <c r="R79" s="17"/>
      <c r="S79" s="17">
        <f>S80</f>
        <v>0.6</v>
      </c>
      <c r="T79" s="17">
        <f t="shared" ref="T79:AB79" si="97">T80</f>
        <v>0.1</v>
      </c>
      <c r="U79" s="17">
        <f t="shared" si="97"/>
        <v>0.3</v>
      </c>
      <c r="V79" s="17">
        <f t="shared" si="97"/>
        <v>0.4</v>
      </c>
      <c r="W79" s="17"/>
      <c r="X79" s="17">
        <f t="shared" si="97"/>
        <v>1.4</v>
      </c>
      <c r="Y79" s="17"/>
      <c r="Z79" s="17">
        <f t="shared" si="97"/>
        <v>0.5</v>
      </c>
      <c r="AA79" s="17">
        <f t="shared" si="97"/>
        <v>4.119993</v>
      </c>
      <c r="AB79" s="17">
        <f t="shared" si="97"/>
        <v>0.4</v>
      </c>
      <c r="AC79" s="17">
        <f>AC80</f>
        <v>0.4</v>
      </c>
      <c r="AD79" s="17"/>
      <c r="AE79" s="17">
        <f>AE80</f>
        <v>5.4199930000000007</v>
      </c>
      <c r="AF79" s="17"/>
      <c r="AG79" s="17">
        <f>AG80</f>
        <v>0.28999999999999998</v>
      </c>
      <c r="AH79" s="17">
        <f>+AH80</f>
        <v>0.31</v>
      </c>
      <c r="AI79" s="17">
        <f>+AI80</f>
        <v>0.32</v>
      </c>
      <c r="AJ79" s="17">
        <f>+AJ80</f>
        <v>0.33</v>
      </c>
      <c r="AK79" s="12">
        <f>+AG79+AH79+AI79+AJ79</f>
        <v>1.25</v>
      </c>
      <c r="AL79" s="72">
        <v>1.2</v>
      </c>
      <c r="AM79" s="17">
        <f>+AM80</f>
        <v>0.3</v>
      </c>
      <c r="AN79" s="17">
        <f>+AN80</f>
        <v>0.3</v>
      </c>
      <c r="AO79" s="17">
        <f>+AO80</f>
        <v>0.3</v>
      </c>
      <c r="AP79" s="17">
        <f>+AP80</f>
        <v>0.3</v>
      </c>
      <c r="AQ79" s="12">
        <f>+AM79+AN79+AO79+AP79</f>
        <v>1.2</v>
      </c>
      <c r="AR79" s="17">
        <f>+AR80</f>
        <v>0.3</v>
      </c>
      <c r="AS79" s="17">
        <f>+AS80</f>
        <v>0.4</v>
      </c>
      <c r="AT79" s="17">
        <f>+AT80</f>
        <v>0.05</v>
      </c>
      <c r="AU79" s="17">
        <f>+AU80</f>
        <v>0.3</v>
      </c>
      <c r="AV79" s="12">
        <f>+AR79+AS79+AT79+AU79</f>
        <v>1.05</v>
      </c>
      <c r="AW79" s="17">
        <f>+AW80</f>
        <v>0.3</v>
      </c>
      <c r="AX79" s="17">
        <f>+AX80</f>
        <v>0.3</v>
      </c>
      <c r="AY79" s="17">
        <f>+AY80</f>
        <v>0.3</v>
      </c>
      <c r="AZ79" s="17">
        <f>+AZ80</f>
        <v>0.2</v>
      </c>
      <c r="BA79" s="12">
        <f>+AW79+AX79+AY79+AZ79</f>
        <v>1.0999999999999999</v>
      </c>
      <c r="BB79" s="17">
        <f>+BB80</f>
        <v>0.20799999999999999</v>
      </c>
      <c r="BC79" s="17">
        <f>+BC80</f>
        <v>0.3</v>
      </c>
      <c r="BD79" s="17">
        <f>+BD80</f>
        <v>0.3</v>
      </c>
      <c r="BE79" s="17">
        <f>+BE80</f>
        <v>0.2</v>
      </c>
      <c r="BF79" s="17">
        <f t="shared" si="25"/>
        <v>1.008</v>
      </c>
      <c r="BG79" s="17">
        <f>+BG80</f>
        <v>0.27200000000000002</v>
      </c>
      <c r="BH79" s="17">
        <f>+BH80</f>
        <v>0.19800000000000001</v>
      </c>
      <c r="BI79" s="17">
        <f>+BI80</f>
        <v>0.3</v>
      </c>
      <c r="BJ79" s="17">
        <f>+BJ80</f>
        <v>0.2</v>
      </c>
      <c r="BK79" s="17">
        <f t="shared" si="26"/>
        <v>0.97</v>
      </c>
      <c r="BL79" s="17">
        <f>+BL80</f>
        <v>0.2</v>
      </c>
      <c r="BM79" s="17">
        <f>+BM80</f>
        <v>0.3</v>
      </c>
      <c r="BN79" s="17">
        <f>+BN80</f>
        <v>0.2</v>
      </c>
      <c r="BO79" s="17">
        <f>+BO80</f>
        <v>0.2</v>
      </c>
      <c r="BP79" s="17">
        <f t="shared" si="27"/>
        <v>0.89999999999999991</v>
      </c>
      <c r="BQ79" s="17">
        <f>+BQ80</f>
        <v>0.3</v>
      </c>
      <c r="BR79" s="17">
        <f>+BR80</f>
        <v>0.3</v>
      </c>
      <c r="BS79" s="17">
        <f>+BS80</f>
        <v>0.2</v>
      </c>
      <c r="BT79" s="17">
        <f>+BT80</f>
        <v>0.2</v>
      </c>
      <c r="BU79" s="17">
        <f t="shared" si="86"/>
        <v>9.9999999999999978E-2</v>
      </c>
      <c r="BV79" s="17">
        <f t="shared" si="94"/>
        <v>0.6</v>
      </c>
      <c r="BW79" s="17">
        <f t="shared" si="28"/>
        <v>0.8</v>
      </c>
      <c r="BX79" s="17">
        <f>+BR79-BM79</f>
        <v>0</v>
      </c>
      <c r="BY79" s="17">
        <f>+BU79/(BL79)*100</f>
        <v>49.999999999999986</v>
      </c>
      <c r="BZ79" s="17">
        <f>+BX79/(BM79)*100</f>
        <v>0</v>
      </c>
      <c r="CA79" s="17">
        <f t="shared" si="93"/>
        <v>1</v>
      </c>
      <c r="CB79" s="17">
        <f>+CB80</f>
        <v>0.2</v>
      </c>
      <c r="CC79" s="17">
        <f>+CC80</f>
        <v>0.2</v>
      </c>
      <c r="CD79" s="17">
        <f>+CD80</f>
        <v>0.2</v>
      </c>
      <c r="CE79" s="17">
        <f>+CE80</f>
        <v>0.2</v>
      </c>
      <c r="CF79" s="17">
        <f t="shared" si="29"/>
        <v>0.8</v>
      </c>
      <c r="CG79" s="17">
        <f>+CG80</f>
        <v>0.3</v>
      </c>
      <c r="CH79" s="17">
        <f>+CH80</f>
        <v>0.2</v>
      </c>
      <c r="CI79" s="17">
        <f>+CI80</f>
        <v>0.2</v>
      </c>
      <c r="CJ79" s="17">
        <f>+CJ80</f>
        <v>0.2</v>
      </c>
      <c r="CK79" s="17">
        <f t="shared" si="92"/>
        <v>0.89999999999999991</v>
      </c>
      <c r="CL79" s="17">
        <f>+CL80</f>
        <v>0.2</v>
      </c>
      <c r="CM79" s="17">
        <f>+CM80</f>
        <v>0.2</v>
      </c>
      <c r="CN79" s="17"/>
      <c r="CO79" s="17"/>
      <c r="CP79" s="17">
        <f>+CP80</f>
        <v>0.2</v>
      </c>
      <c r="CQ79" s="17">
        <f>+CQ80</f>
        <v>0.2</v>
      </c>
      <c r="CR79" s="17">
        <f t="shared" si="42"/>
        <v>0.8</v>
      </c>
      <c r="CS79" s="17">
        <f>+CS80</f>
        <v>0.2</v>
      </c>
      <c r="CT79" s="17">
        <f t="shared" si="43"/>
        <v>0</v>
      </c>
      <c r="CU79" s="17">
        <f t="shared" si="44"/>
        <v>0</v>
      </c>
      <c r="CV79" s="17">
        <f t="shared" si="90"/>
        <v>-0.10000000000000003</v>
      </c>
      <c r="CW79" s="17">
        <f t="shared" si="91"/>
        <v>-11.111111111111116</v>
      </c>
      <c r="CX79" s="9"/>
      <c r="CY79" s="9"/>
      <c r="CZ79" s="9"/>
      <c r="DA79" s="24"/>
      <c r="DB79" s="9"/>
      <c r="DC79" s="9"/>
    </row>
    <row r="80" spans="1:111" x14ac:dyDescent="0.2">
      <c r="B80" s="4" t="s">
        <v>79</v>
      </c>
      <c r="C80" s="4" t="s">
        <v>103</v>
      </c>
      <c r="E80" s="8"/>
      <c r="F80" s="10"/>
      <c r="G80" s="20"/>
      <c r="H80" s="20"/>
      <c r="I80" s="20"/>
      <c r="J80" s="10"/>
      <c r="K80" s="20"/>
      <c r="L80" s="20"/>
      <c r="N80" s="8"/>
      <c r="O80" s="22"/>
      <c r="P80" s="22"/>
      <c r="Q80" s="20"/>
      <c r="R80" s="20"/>
      <c r="S80" s="11">
        <v>0.6</v>
      </c>
      <c r="T80" s="14">
        <v>0.1</v>
      </c>
      <c r="U80" s="14">
        <v>0.3</v>
      </c>
      <c r="V80" s="11">
        <v>0.4</v>
      </c>
      <c r="W80" s="14"/>
      <c r="X80" s="11">
        <f>+S80+T80+U80+V80</f>
        <v>1.4</v>
      </c>
      <c r="Y80" s="14"/>
      <c r="Z80" s="24">
        <v>0.5</v>
      </c>
      <c r="AA80" s="14">
        <v>4.119993</v>
      </c>
      <c r="AB80" s="14">
        <v>0.4</v>
      </c>
      <c r="AC80" s="11">
        <v>0.4</v>
      </c>
      <c r="AD80" s="14"/>
      <c r="AE80" s="11">
        <f>SUM(Z80:AC80)</f>
        <v>5.4199930000000007</v>
      </c>
      <c r="AF80" s="14"/>
      <c r="AG80" s="11">
        <v>0.28999999999999998</v>
      </c>
      <c r="AH80" s="14">
        <v>0.31</v>
      </c>
      <c r="AI80" s="14">
        <v>0.32</v>
      </c>
      <c r="AJ80" s="25">
        <v>0.33</v>
      </c>
      <c r="AK80" s="11">
        <f>+AG80+AH80+AI80+AJ80</f>
        <v>1.25</v>
      </c>
      <c r="AL80" s="73">
        <v>1.2</v>
      </c>
      <c r="AM80" s="25">
        <v>0.3</v>
      </c>
      <c r="AN80" s="14">
        <v>0.3</v>
      </c>
      <c r="AO80" s="14">
        <v>0.3</v>
      </c>
      <c r="AP80" s="14">
        <v>0.3</v>
      </c>
      <c r="AQ80" s="11">
        <f>+AM80+AN80+AO80+AP80</f>
        <v>1.2</v>
      </c>
      <c r="AR80" s="14">
        <v>0.3</v>
      </c>
      <c r="AS80" s="14">
        <v>0.4</v>
      </c>
      <c r="AT80" s="14">
        <v>0.05</v>
      </c>
      <c r="AU80" s="14">
        <v>0.3</v>
      </c>
      <c r="AV80" s="11">
        <f>+AR80+AS80+AT80+AU80</f>
        <v>1.05</v>
      </c>
      <c r="AW80" s="14">
        <v>0.3</v>
      </c>
      <c r="AX80" s="25">
        <v>0.3</v>
      </c>
      <c r="AY80" s="25">
        <v>0.3</v>
      </c>
      <c r="AZ80" s="25">
        <v>0.2</v>
      </c>
      <c r="BA80" s="11">
        <f>+AW80+AX80+AY80+AZ80</f>
        <v>1.0999999999999999</v>
      </c>
      <c r="BB80" s="11">
        <v>0.20799999999999999</v>
      </c>
      <c r="BC80" s="11">
        <v>0.3</v>
      </c>
      <c r="BD80" s="11">
        <v>0.3</v>
      </c>
      <c r="BE80" s="11">
        <v>0.2</v>
      </c>
      <c r="BF80" s="11">
        <f t="shared" si="25"/>
        <v>1.008</v>
      </c>
      <c r="BG80" s="11">
        <v>0.27200000000000002</v>
      </c>
      <c r="BH80" s="11">
        <v>0.19800000000000001</v>
      </c>
      <c r="BI80" s="11">
        <v>0.3</v>
      </c>
      <c r="BJ80" s="11">
        <v>0.2</v>
      </c>
      <c r="BK80" s="11">
        <f t="shared" si="26"/>
        <v>0.97</v>
      </c>
      <c r="BL80" s="11">
        <v>0.2</v>
      </c>
      <c r="BM80" s="11">
        <v>0.3</v>
      </c>
      <c r="BN80" s="11">
        <v>0.2</v>
      </c>
      <c r="BO80" s="11">
        <v>0.2</v>
      </c>
      <c r="BP80" s="11">
        <f t="shared" si="27"/>
        <v>0.89999999999999991</v>
      </c>
      <c r="BQ80" s="11">
        <v>0.3</v>
      </c>
      <c r="BR80" s="11">
        <v>0.3</v>
      </c>
      <c r="BS80" s="11">
        <v>0.2</v>
      </c>
      <c r="BT80" s="11">
        <v>0.2</v>
      </c>
      <c r="BU80" s="11">
        <f t="shared" si="86"/>
        <v>9.9999999999999978E-2</v>
      </c>
      <c r="BV80" s="11">
        <f t="shared" si="94"/>
        <v>0.6</v>
      </c>
      <c r="BW80" s="11">
        <f t="shared" si="28"/>
        <v>0.8</v>
      </c>
      <c r="BX80" s="11">
        <f>+BR80-BM80</f>
        <v>0</v>
      </c>
      <c r="BY80" s="11">
        <f>+BU80/(BL80)*100</f>
        <v>49.999999999999986</v>
      </c>
      <c r="BZ80" s="11">
        <f>+BX80/(BM80)*100</f>
        <v>0</v>
      </c>
      <c r="CA80" s="11">
        <f t="shared" si="93"/>
        <v>1</v>
      </c>
      <c r="CB80" s="11">
        <v>0.2</v>
      </c>
      <c r="CC80" s="11">
        <v>0.2</v>
      </c>
      <c r="CD80" s="11">
        <v>0.2</v>
      </c>
      <c r="CE80" s="11">
        <v>0.2</v>
      </c>
      <c r="CF80" s="11">
        <f t="shared" si="29"/>
        <v>0.8</v>
      </c>
      <c r="CG80" s="11">
        <v>0.3</v>
      </c>
      <c r="CH80" s="11">
        <v>0.2</v>
      </c>
      <c r="CI80" s="11">
        <v>0.2</v>
      </c>
      <c r="CJ80" s="11">
        <v>0.2</v>
      </c>
      <c r="CK80" s="11">
        <f t="shared" si="92"/>
        <v>0.89999999999999991</v>
      </c>
      <c r="CL80" s="11">
        <v>0.2</v>
      </c>
      <c r="CM80" s="11">
        <v>0.2</v>
      </c>
      <c r="CN80" s="11"/>
      <c r="CO80" s="11"/>
      <c r="CP80" s="11">
        <v>0.2</v>
      </c>
      <c r="CQ80" s="11">
        <v>0.2</v>
      </c>
      <c r="CR80" s="11">
        <f t="shared" si="42"/>
        <v>0.8</v>
      </c>
      <c r="CS80" s="11">
        <v>0.2</v>
      </c>
      <c r="CT80" s="11">
        <f t="shared" si="43"/>
        <v>0</v>
      </c>
      <c r="CU80" s="11">
        <f t="shared" si="44"/>
        <v>0</v>
      </c>
      <c r="CV80" s="11">
        <f t="shared" si="90"/>
        <v>-0.10000000000000003</v>
      </c>
      <c r="CW80" s="11">
        <f t="shared" si="91"/>
        <v>-11.111111111111116</v>
      </c>
      <c r="CX80" s="3"/>
      <c r="CY80" s="3"/>
      <c r="CZ80" s="3"/>
      <c r="DA80" s="11"/>
      <c r="DB80" s="3"/>
      <c r="DC80" s="3"/>
      <c r="DD80" s="3"/>
      <c r="DE80" s="3"/>
    </row>
    <row r="81" spans="1:111" x14ac:dyDescent="0.2"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/>
      <c r="T81" s="14"/>
      <c r="U81" s="14"/>
      <c r="V81" s="11"/>
      <c r="W81" s="14"/>
      <c r="X81" s="11"/>
      <c r="Y81" s="14"/>
      <c r="Z81" s="24"/>
      <c r="AA81" s="14"/>
      <c r="AB81" s="14"/>
      <c r="AC81" s="11"/>
      <c r="AD81" s="14"/>
      <c r="AE81" s="11"/>
      <c r="AF81" s="14"/>
      <c r="AG81" s="11"/>
      <c r="AH81" s="14"/>
      <c r="AI81" s="14"/>
      <c r="AJ81" s="25"/>
      <c r="AK81" s="11"/>
      <c r="AL81" s="73"/>
      <c r="AM81" s="25"/>
      <c r="AN81" s="14"/>
      <c r="AO81" s="14"/>
      <c r="AP81" s="14"/>
      <c r="AQ81" s="11"/>
      <c r="AR81" s="14"/>
      <c r="AS81" s="14"/>
      <c r="AT81" s="14"/>
      <c r="AU81" s="14"/>
      <c r="AV81" s="11"/>
      <c r="AW81" s="14"/>
      <c r="AX81" s="25"/>
      <c r="AY81" s="25"/>
      <c r="AZ81" s="25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3"/>
      <c r="CY81" s="3"/>
      <c r="CZ81" s="3"/>
      <c r="DA81" s="24"/>
      <c r="DB81" s="3"/>
      <c r="DC81" s="3"/>
      <c r="DD81" s="3"/>
      <c r="DE81" s="3"/>
    </row>
    <row r="82" spans="1:111" ht="9" customHeight="1" x14ac:dyDescent="0.2">
      <c r="E82" s="8"/>
      <c r="F82" s="8"/>
      <c r="G82" s="17"/>
      <c r="H82" s="17"/>
      <c r="I82" s="17"/>
      <c r="J82" s="10"/>
      <c r="K82" s="20"/>
      <c r="L82" s="20"/>
      <c r="N82" s="8"/>
      <c r="O82" s="22"/>
      <c r="P82" s="22"/>
      <c r="Q82" s="20"/>
      <c r="R82" s="20"/>
      <c r="S82" s="12"/>
      <c r="T82" s="12"/>
      <c r="U82" s="12"/>
      <c r="V82" s="12"/>
      <c r="W82" s="14"/>
      <c r="X82" s="12"/>
      <c r="Y82" s="14"/>
      <c r="Z82" s="23"/>
      <c r="AA82" s="44"/>
      <c r="AC82" s="12"/>
      <c r="AD82" s="14"/>
      <c r="AE82" s="12"/>
      <c r="AF82" s="14"/>
      <c r="AG82" s="12"/>
      <c r="AH82" s="44"/>
      <c r="AI82" s="44"/>
      <c r="AJ82" s="29"/>
      <c r="AK82" s="12" t="s">
        <v>10</v>
      </c>
      <c r="AL82" s="72" t="s">
        <v>10</v>
      </c>
      <c r="AM82" s="29"/>
      <c r="AN82" s="44"/>
      <c r="AO82" s="44"/>
      <c r="AP82" s="44"/>
      <c r="AQ82" s="12" t="s">
        <v>10</v>
      </c>
      <c r="AR82" s="44"/>
      <c r="AS82" s="44"/>
      <c r="AT82" s="44"/>
      <c r="AU82" s="44"/>
      <c r="AV82" s="12" t="s">
        <v>10</v>
      </c>
      <c r="AW82" s="44"/>
      <c r="AX82" s="29"/>
      <c r="AY82" s="29"/>
      <c r="AZ82" s="29"/>
      <c r="BA82" s="12" t="s">
        <v>10</v>
      </c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3"/>
      <c r="CY82" s="3"/>
      <c r="CZ82" s="3"/>
      <c r="DA82" s="11"/>
      <c r="DB82" s="3"/>
      <c r="DC82" s="3"/>
    </row>
    <row r="83" spans="1:111" x14ac:dyDescent="0.2">
      <c r="C83" s="48" t="s">
        <v>63</v>
      </c>
      <c r="D83" s="48"/>
      <c r="E83" s="17"/>
      <c r="F83" s="45" t="e">
        <f>IF((F65+F69)="","",(F65+F69))</f>
        <v>#REF!</v>
      </c>
      <c r="G83" s="45" t="e">
        <f t="shared" ref="G83:R83" si="98">IF((G65+G69)="","",(G65+G69))</f>
        <v>#REF!</v>
      </c>
      <c r="H83" s="45" t="e">
        <f t="shared" si="98"/>
        <v>#REF!</v>
      </c>
      <c r="I83" s="17"/>
      <c r="J83" s="45" t="e">
        <f t="shared" si="98"/>
        <v>#REF!</v>
      </c>
      <c r="K83" s="45" t="e">
        <f t="shared" si="98"/>
        <v>#REF!</v>
      </c>
      <c r="L83" s="45" t="e">
        <f t="shared" si="98"/>
        <v>#REF!</v>
      </c>
      <c r="M83" s="45" t="e">
        <f t="shared" si="98"/>
        <v>#REF!</v>
      </c>
      <c r="N83" s="17"/>
      <c r="O83" s="45" t="e">
        <f t="shared" si="98"/>
        <v>#REF!</v>
      </c>
      <c r="P83" s="45" t="e">
        <f t="shared" si="98"/>
        <v>#REF!</v>
      </c>
      <c r="Q83" s="45" t="e">
        <f t="shared" si="98"/>
        <v>#REF!</v>
      </c>
      <c r="R83" s="45" t="e">
        <f t="shared" si="98"/>
        <v>#REF!</v>
      </c>
      <c r="S83" s="45">
        <f>S65+S69+S79</f>
        <v>407.04243000000002</v>
      </c>
      <c r="T83" s="45">
        <f t="shared" ref="T83:AB83" si="99">T65+T69+T79</f>
        <v>635.9</v>
      </c>
      <c r="U83" s="45">
        <f t="shared" si="99"/>
        <v>385.00000000000006</v>
      </c>
      <c r="V83" s="45">
        <f t="shared" si="99"/>
        <v>647.6</v>
      </c>
      <c r="W83" s="58"/>
      <c r="X83" s="45">
        <f t="shared" si="99"/>
        <v>2075.54243</v>
      </c>
      <c r="Y83" s="17"/>
      <c r="Z83" s="45">
        <f t="shared" si="99"/>
        <v>393.86570799999998</v>
      </c>
      <c r="AA83" s="45">
        <f t="shared" si="99"/>
        <v>550.45991700000002</v>
      </c>
      <c r="AB83" s="45">
        <f t="shared" si="99"/>
        <v>451.2</v>
      </c>
      <c r="AC83" s="45">
        <f>AC65+AC69+AC79</f>
        <v>547.6</v>
      </c>
      <c r="AD83" s="58"/>
      <c r="AE83" s="45">
        <f>+AE79+AE69+AE65</f>
        <v>1943.1256250000001</v>
      </c>
      <c r="AF83" s="17"/>
      <c r="AG83" s="45">
        <f>AG65+AG69+AG79</f>
        <v>508.09375700000004</v>
      </c>
      <c r="AH83" s="45">
        <f>AH65+AH69+AH79</f>
        <v>730.80624299999999</v>
      </c>
      <c r="AI83" s="45">
        <f>AI65+AI69+AI79</f>
        <v>504.52</v>
      </c>
      <c r="AJ83" s="45">
        <f>AJ65+AJ69+AJ79</f>
        <v>818.73</v>
      </c>
      <c r="AK83" s="49">
        <f>+AG83+AH83+AI83+AJ83</f>
        <v>2562.15</v>
      </c>
      <c r="AL83" s="75">
        <v>2561.9</v>
      </c>
      <c r="AM83" s="45">
        <f>AM65+AM69+AM79</f>
        <v>690.49999999999989</v>
      </c>
      <c r="AN83" s="45">
        <f>AN65+AN69+AN79</f>
        <v>721</v>
      </c>
      <c r="AO83" s="45">
        <f>AO65+AO69+AO79</f>
        <v>652.19999999999993</v>
      </c>
      <c r="AP83" s="45">
        <f>AP65+AP69+AP79</f>
        <v>793.5</v>
      </c>
      <c r="AQ83" s="49">
        <f>+AM83+AN83+AO83+AP83</f>
        <v>2857.2</v>
      </c>
      <c r="AR83" s="45">
        <f>AR65+AR69+AR79</f>
        <v>820.8</v>
      </c>
      <c r="AS83" s="45">
        <f>AS65+AS69+AS79</f>
        <v>798.94899999999996</v>
      </c>
      <c r="AT83" s="45">
        <f>AT65+AT69+AT79</f>
        <v>747.5139999999999</v>
      </c>
      <c r="AU83" s="45">
        <f>AU65+AU69+AU79</f>
        <v>909.5</v>
      </c>
      <c r="AV83" s="49">
        <f>+AR83+AS83+AT83+AU83</f>
        <v>3276.7629999999999</v>
      </c>
      <c r="AW83" s="45">
        <f>AW65+AW69+AW79</f>
        <v>820.8</v>
      </c>
      <c r="AX83" s="45">
        <f>AX65+AX69+AX79</f>
        <v>918.1</v>
      </c>
      <c r="AY83" s="45">
        <f>AY65+AY69+AY79</f>
        <v>720.59999999999991</v>
      </c>
      <c r="AZ83" s="45">
        <f>AZ65+AZ69+AZ79</f>
        <v>1172.1000000000001</v>
      </c>
      <c r="BA83" s="49">
        <f>+AW83+AX83+AY83+AZ83</f>
        <v>3631.6000000000004</v>
      </c>
      <c r="BB83" s="45">
        <f>BB65+BB69+BB79</f>
        <v>577.89</v>
      </c>
      <c r="BC83" s="45">
        <f>BC65+BC69+BC79</f>
        <v>911.09999999999991</v>
      </c>
      <c r="BD83" s="45">
        <f>BD65+BD69+BD79</f>
        <v>721.39999999999986</v>
      </c>
      <c r="BE83" s="45">
        <f>BE65+BE69+BE79</f>
        <v>1173.5</v>
      </c>
      <c r="BF83" s="45">
        <f t="shared" si="25"/>
        <v>3383.8899999999994</v>
      </c>
      <c r="BG83" s="45">
        <f>BG65+BG69+BG79</f>
        <v>642.09400000000005</v>
      </c>
      <c r="BH83" s="45">
        <f>BH65+BH69+BH79</f>
        <v>488.79899999999998</v>
      </c>
      <c r="BI83" s="45">
        <f>BI65+BI69+BI79</f>
        <v>516.4</v>
      </c>
      <c r="BJ83" s="45">
        <f>BJ65+BJ69+BJ79</f>
        <v>829.5</v>
      </c>
      <c r="BK83" s="45">
        <f t="shared" si="26"/>
        <v>2476.7930000000001</v>
      </c>
      <c r="BL83" s="45">
        <f>BL65+BL69+BL79</f>
        <v>381.99999999999994</v>
      </c>
      <c r="BM83" s="45">
        <f>BM65+BM69+BM79</f>
        <v>338.2</v>
      </c>
      <c r="BN83" s="45">
        <f>BN65+BN69+BN79</f>
        <v>230.3</v>
      </c>
      <c r="BO83" s="45">
        <f>BO65+BO69+BO79</f>
        <v>336.59999999999997</v>
      </c>
      <c r="BP83" s="45">
        <f t="shared" si="27"/>
        <v>1287.0999999999999</v>
      </c>
      <c r="BQ83" s="45">
        <f>BQ65+BQ69+BQ79</f>
        <v>248.3</v>
      </c>
      <c r="BR83" s="45">
        <f>BR65+BR69+BR79</f>
        <v>306.40000000000003</v>
      </c>
      <c r="BS83" s="45">
        <f>BS65+BS69+BS79</f>
        <v>244.79999999999998</v>
      </c>
      <c r="BT83" s="45">
        <f>BT65+BT69+BT79</f>
        <v>388.99999999999994</v>
      </c>
      <c r="BU83" s="45">
        <f>+BQ83-BL83</f>
        <v>-133.69999999999993</v>
      </c>
      <c r="BV83" s="45">
        <f t="shared" si="94"/>
        <v>554.70000000000005</v>
      </c>
      <c r="BW83" s="45">
        <f t="shared" si="28"/>
        <v>799.5</v>
      </c>
      <c r="BX83" s="45">
        <f>+BR83-BM83</f>
        <v>-31.799999999999955</v>
      </c>
      <c r="BY83" s="45">
        <f>+BU83/(BL83)*100</f>
        <v>-34.999999999999986</v>
      </c>
      <c r="BZ83" s="45">
        <f>+BX83/(BM83)*100</f>
        <v>-9.4027202838556931</v>
      </c>
      <c r="CA83" s="45">
        <f t="shared" si="93"/>
        <v>1188.5</v>
      </c>
      <c r="CB83" s="45">
        <f>CB65+CB69+CB79</f>
        <v>200.7</v>
      </c>
      <c r="CC83" s="45">
        <f>CC65+CC69+CC79</f>
        <v>338.09999999999997</v>
      </c>
      <c r="CD83" s="45">
        <f>CD65+CD69+CD79</f>
        <v>321.5</v>
      </c>
      <c r="CE83" s="45">
        <f>CE65+CE69+CE79</f>
        <v>403.2</v>
      </c>
      <c r="CF83" s="45">
        <f t="shared" si="29"/>
        <v>1263.5</v>
      </c>
      <c r="CG83" s="45">
        <f>CG65+CG69+CG79</f>
        <v>198.4</v>
      </c>
      <c r="CH83" s="45">
        <f>CH65+CH69+CH79</f>
        <v>249.79999999999998</v>
      </c>
      <c r="CI83" s="45">
        <f>CI65+CI69+CI79</f>
        <v>180.2</v>
      </c>
      <c r="CJ83" s="45">
        <f>CJ65+CJ69+CJ79</f>
        <v>298.7</v>
      </c>
      <c r="CK83" s="45">
        <f t="shared" si="92"/>
        <v>927.09999999999991</v>
      </c>
      <c r="CL83" s="45">
        <f>CL65+CL69+CL79</f>
        <v>197.89999999999998</v>
      </c>
      <c r="CM83" s="45">
        <f>CM65+CM69+CM79</f>
        <v>154.49999999999997</v>
      </c>
      <c r="CN83" s="45"/>
      <c r="CO83" s="45"/>
      <c r="CP83" s="45">
        <f>CP65+CP69+CP79</f>
        <v>98.600000000000009</v>
      </c>
      <c r="CQ83" s="45">
        <f>CQ65+CQ69+CQ79</f>
        <v>197.39999999999998</v>
      </c>
      <c r="CR83" s="45">
        <f t="shared" si="42"/>
        <v>648.4</v>
      </c>
      <c r="CS83" s="45">
        <f>CS65+CS69+CS79</f>
        <v>192.8</v>
      </c>
      <c r="CT83" s="45">
        <f t="shared" si="43"/>
        <v>-5.0999999999999659</v>
      </c>
      <c r="CU83" s="45">
        <f t="shared" si="44"/>
        <v>-2.5770591207680478</v>
      </c>
      <c r="CV83" s="45">
        <f t="shared" si="90"/>
        <v>-278.69999999999993</v>
      </c>
      <c r="CW83" s="45">
        <f t="shared" si="91"/>
        <v>-30.061482040772297</v>
      </c>
      <c r="CX83" s="3"/>
      <c r="CY83" s="3"/>
      <c r="CZ83" s="3"/>
      <c r="DA83" s="11"/>
      <c r="DB83" s="3"/>
      <c r="DC83" s="3"/>
      <c r="DD83" s="3"/>
      <c r="DE83" s="3"/>
      <c r="DF83" s="3"/>
      <c r="DG83" s="3"/>
    </row>
    <row r="84" spans="1:111" x14ac:dyDescent="0.2">
      <c r="C84" s="7"/>
      <c r="D84" s="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4"/>
      <c r="X84" s="17"/>
      <c r="Y84" s="17"/>
      <c r="Z84" s="17"/>
      <c r="AA84" s="17"/>
      <c r="AB84" s="17"/>
      <c r="AC84" s="17"/>
      <c r="AD84" s="14"/>
      <c r="AE84" s="17"/>
      <c r="AF84" s="17"/>
      <c r="AG84" s="17"/>
      <c r="AH84" s="17"/>
      <c r="AI84" s="17"/>
      <c r="AJ84" s="17"/>
      <c r="AK84" s="44"/>
      <c r="AL84" s="83"/>
      <c r="AM84" s="17"/>
      <c r="AN84" s="17"/>
      <c r="AO84" s="17"/>
      <c r="AP84" s="17"/>
      <c r="AQ84" s="44"/>
      <c r="AR84" s="17"/>
      <c r="AS84" s="17"/>
      <c r="AT84" s="17"/>
      <c r="AU84" s="17"/>
      <c r="AV84" s="44"/>
      <c r="AW84" s="17"/>
      <c r="AX84" s="17"/>
      <c r="AY84" s="17"/>
      <c r="AZ84" s="17"/>
      <c r="BA84" s="44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3"/>
      <c r="CY84" s="3"/>
      <c r="CZ84" s="3"/>
      <c r="DA84" s="12"/>
      <c r="DB84" s="3"/>
      <c r="DC84" s="3"/>
      <c r="DD84" s="3"/>
      <c r="DE84" s="3"/>
      <c r="DF84" s="3"/>
      <c r="DG84" s="3"/>
    </row>
    <row r="85" spans="1:111" x14ac:dyDescent="0.2">
      <c r="A85" s="41">
        <v>11</v>
      </c>
      <c r="B85" s="41" t="s">
        <v>111</v>
      </c>
      <c r="C85" s="7"/>
      <c r="D85" s="7"/>
      <c r="E85" s="17"/>
      <c r="F85" s="8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2" t="str">
        <f>IF(O85="","",(O85+P85+Q85+R85))</f>
        <v/>
      </c>
      <c r="Y85" s="17"/>
      <c r="Z85" s="17"/>
      <c r="AA85" s="44"/>
      <c r="AC85" s="17"/>
      <c r="AD85" s="14"/>
      <c r="AE85" s="12" t="str">
        <f>IF(Y85="","",(Y85+Z85+AA85+AB85))</f>
        <v/>
      </c>
      <c r="AF85" s="17"/>
      <c r="AG85" s="17"/>
      <c r="AH85" s="44"/>
      <c r="AI85" s="44"/>
      <c r="AJ85" s="29"/>
      <c r="AK85" s="12" t="s">
        <v>10</v>
      </c>
      <c r="AL85" s="72" t="s">
        <v>10</v>
      </c>
      <c r="AM85" s="29"/>
      <c r="AN85" s="44"/>
      <c r="AO85" s="44"/>
      <c r="AP85" s="44"/>
      <c r="AQ85" s="12" t="s">
        <v>10</v>
      </c>
      <c r="AR85" s="44"/>
      <c r="AS85" s="44"/>
      <c r="AT85" s="44"/>
      <c r="AU85" s="44"/>
      <c r="AV85" s="12" t="s">
        <v>10</v>
      </c>
      <c r="AW85" s="44"/>
      <c r="AX85" s="29"/>
      <c r="AY85" s="29"/>
      <c r="AZ85" s="29"/>
      <c r="BA85" s="12" t="s">
        <v>10</v>
      </c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>
        <f>+BQ86</f>
        <v>-15.7</v>
      </c>
      <c r="BR85" s="12">
        <f>+BR86</f>
        <v>-33</v>
      </c>
      <c r="BS85" s="12">
        <f>+BS86</f>
        <v>-54.7</v>
      </c>
      <c r="BT85" s="12">
        <f>+BT86</f>
        <v>560.1</v>
      </c>
      <c r="BU85" s="12"/>
      <c r="BV85" s="12">
        <f t="shared" si="94"/>
        <v>-48.7</v>
      </c>
      <c r="BW85" s="12">
        <f t="shared" si="28"/>
        <v>-103.4</v>
      </c>
      <c r="BX85" s="85" t="s">
        <v>115</v>
      </c>
      <c r="BY85" s="85" t="s">
        <v>115</v>
      </c>
      <c r="BZ85" s="85" t="s">
        <v>115</v>
      </c>
      <c r="CA85" s="12">
        <f t="shared" si="93"/>
        <v>456.70000000000005</v>
      </c>
      <c r="CB85" s="12">
        <f>+CB86</f>
        <v>-33.4</v>
      </c>
      <c r="CC85" s="12">
        <f>+CC86</f>
        <v>-142.19999999999999</v>
      </c>
      <c r="CD85" s="12">
        <f>+CD86</f>
        <v>1</v>
      </c>
      <c r="CE85" s="12">
        <f>+CE86</f>
        <v>354.1</v>
      </c>
      <c r="CF85" s="12">
        <f t="shared" si="29"/>
        <v>179.50000000000003</v>
      </c>
      <c r="CG85" s="12">
        <f>+CG86</f>
        <v>-110.4</v>
      </c>
      <c r="CH85" s="12">
        <f>+CH86</f>
        <v>337.2</v>
      </c>
      <c r="CI85" s="12">
        <f>+CI86</f>
        <v>-68.8</v>
      </c>
      <c r="CJ85" s="12">
        <f>+CJ86</f>
        <v>254.9</v>
      </c>
      <c r="CK85" s="12">
        <f t="shared" si="92"/>
        <v>412.9</v>
      </c>
      <c r="CL85" s="12">
        <f>+CL86</f>
        <v>557.79999999999995</v>
      </c>
      <c r="CM85" s="12">
        <f>+CM86</f>
        <v>1197</v>
      </c>
      <c r="CN85" s="12"/>
      <c r="CO85" s="12"/>
      <c r="CP85" s="12">
        <f>+CP86</f>
        <v>637.29999999999995</v>
      </c>
      <c r="CQ85" s="12">
        <f>+CQ86</f>
        <v>968.7</v>
      </c>
      <c r="CR85" s="12">
        <f t="shared" si="42"/>
        <v>3360.8</v>
      </c>
      <c r="CS85" s="12">
        <f>+CS86</f>
        <v>-14.6</v>
      </c>
      <c r="CT85" s="12">
        <f t="shared" si="43"/>
        <v>-572.4</v>
      </c>
      <c r="CU85" s="12">
        <f t="shared" si="44"/>
        <v>-102.6174256005737</v>
      </c>
      <c r="CV85" s="12">
        <f t="shared" si="90"/>
        <v>2947.9000000000005</v>
      </c>
      <c r="CW85" s="12">
        <f t="shared" si="91"/>
        <v>713.95010898522662</v>
      </c>
      <c r="CX85" s="3"/>
      <c r="CY85" s="3"/>
      <c r="CZ85" s="3"/>
      <c r="DA85" s="17"/>
      <c r="DB85" s="3"/>
      <c r="DC85" s="3"/>
      <c r="DD85" s="3"/>
      <c r="DE85" s="3"/>
      <c r="DF85" s="3"/>
      <c r="DG85" s="3"/>
    </row>
    <row r="86" spans="1:111" x14ac:dyDescent="0.2">
      <c r="B86" s="4" t="s">
        <v>110</v>
      </c>
      <c r="C86" s="4" t="s">
        <v>111</v>
      </c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/>
      <c r="Y86" s="17"/>
      <c r="Z86" s="17"/>
      <c r="AA86" s="44"/>
      <c r="AC86" s="17"/>
      <c r="AD86" s="14"/>
      <c r="AE86" s="12"/>
      <c r="AF86" s="17"/>
      <c r="AG86" s="17"/>
      <c r="AH86" s="44"/>
      <c r="AI86" s="44"/>
      <c r="AJ86" s="29"/>
      <c r="AK86" s="12"/>
      <c r="AL86" s="72"/>
      <c r="AM86" s="29"/>
      <c r="AN86" s="44"/>
      <c r="AO86" s="44"/>
      <c r="AP86" s="44"/>
      <c r="AQ86" s="12"/>
      <c r="AR86" s="44"/>
      <c r="AS86" s="44"/>
      <c r="AT86" s="44"/>
      <c r="AU86" s="44"/>
      <c r="AV86" s="12"/>
      <c r="AW86" s="44"/>
      <c r="AX86" s="29"/>
      <c r="AY86" s="29"/>
      <c r="AZ86" s="29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1">
        <v>-15.7</v>
      </c>
      <c r="BR86" s="11">
        <v>-33</v>
      </c>
      <c r="BS86" s="11">
        <v>-54.7</v>
      </c>
      <c r="BT86" s="11">
        <v>560.1</v>
      </c>
      <c r="BU86" s="12"/>
      <c r="BV86" s="11">
        <f t="shared" si="94"/>
        <v>-48.7</v>
      </c>
      <c r="BW86" s="11">
        <f t="shared" si="28"/>
        <v>-103.4</v>
      </c>
      <c r="BX86" s="85" t="s">
        <v>115</v>
      </c>
      <c r="BY86" s="85" t="s">
        <v>115</v>
      </c>
      <c r="BZ86" s="85" t="s">
        <v>115</v>
      </c>
      <c r="CA86" s="11">
        <f t="shared" si="93"/>
        <v>456.70000000000005</v>
      </c>
      <c r="CB86" s="11">
        <v>-33.4</v>
      </c>
      <c r="CC86" s="11">
        <v>-142.19999999999999</v>
      </c>
      <c r="CD86" s="11">
        <v>1</v>
      </c>
      <c r="CE86" s="11">
        <v>354.1</v>
      </c>
      <c r="CF86" s="11">
        <f t="shared" si="29"/>
        <v>179.50000000000003</v>
      </c>
      <c r="CG86" s="11">
        <v>-110.4</v>
      </c>
      <c r="CH86" s="11">
        <v>337.2</v>
      </c>
      <c r="CI86" s="11">
        <v>-68.8</v>
      </c>
      <c r="CJ86" s="11">
        <v>254.9</v>
      </c>
      <c r="CK86" s="11">
        <f>+CG86+CH86+CI86+CJ86+696</f>
        <v>1108.9000000000001</v>
      </c>
      <c r="CL86" s="11">
        <v>557.79999999999995</v>
      </c>
      <c r="CM86" s="11">
        <v>1197</v>
      </c>
      <c r="CN86" s="11"/>
      <c r="CO86" s="11"/>
      <c r="CP86" s="11">
        <v>637.29999999999995</v>
      </c>
      <c r="CQ86" s="11">
        <v>968.7</v>
      </c>
      <c r="CR86" s="11">
        <f t="shared" si="42"/>
        <v>3360.8</v>
      </c>
      <c r="CS86" s="11">
        <v>-14.6</v>
      </c>
      <c r="CT86" s="11">
        <f t="shared" si="43"/>
        <v>-572.4</v>
      </c>
      <c r="CU86" s="11">
        <f t="shared" si="44"/>
        <v>-102.6174256005737</v>
      </c>
      <c r="CV86" s="11">
        <f t="shared" si="90"/>
        <v>2947.9000000000005</v>
      </c>
      <c r="CW86" s="11">
        <f t="shared" si="91"/>
        <v>713.95010898522662</v>
      </c>
      <c r="CX86" s="3"/>
      <c r="CY86" s="3"/>
      <c r="CZ86" s="3"/>
      <c r="DA86" s="12"/>
      <c r="DB86" s="3"/>
      <c r="DC86" s="3"/>
      <c r="DD86" s="3"/>
      <c r="DE86" s="3"/>
      <c r="DF86" s="3"/>
      <c r="DG86" s="3"/>
    </row>
    <row r="87" spans="1:111" x14ac:dyDescent="0.2">
      <c r="D87" s="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44"/>
      <c r="AC87" s="17"/>
      <c r="AD87" s="14"/>
      <c r="AE87" s="12"/>
      <c r="AF87" s="17"/>
      <c r="AG87" s="17"/>
      <c r="AH87" s="44"/>
      <c r="AI87" s="44"/>
      <c r="AJ87" s="29"/>
      <c r="AK87" s="12"/>
      <c r="AL87" s="72"/>
      <c r="AM87" s="29"/>
      <c r="AN87" s="44"/>
      <c r="AO87" s="44"/>
      <c r="AP87" s="44"/>
      <c r="AQ87" s="12"/>
      <c r="AR87" s="44"/>
      <c r="AS87" s="44"/>
      <c r="AT87" s="44"/>
      <c r="AU87" s="44"/>
      <c r="AV87" s="12"/>
      <c r="AW87" s="44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/>
      <c r="BR87" s="11"/>
      <c r="BS87" s="11"/>
      <c r="BT87" s="11"/>
      <c r="BU87" s="12"/>
      <c r="BV87" s="11"/>
      <c r="BW87" s="11"/>
      <c r="BX87" s="12"/>
      <c r="BY87" s="12"/>
      <c r="BZ87" s="12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3"/>
      <c r="CY87" s="3"/>
      <c r="CZ87" s="3"/>
      <c r="DA87" s="12"/>
      <c r="DB87" s="3"/>
      <c r="DC87" s="3"/>
      <c r="DD87" s="3"/>
      <c r="DE87" s="3"/>
      <c r="DF87" s="3"/>
      <c r="DG87" s="3"/>
    </row>
    <row r="88" spans="1:111" x14ac:dyDescent="0.2">
      <c r="B88" s="7" t="s">
        <v>0</v>
      </c>
      <c r="E88" s="8"/>
      <c r="F88" s="8" t="e">
        <f>F23+F35+F43+F49+F59+F69+F20+F65</f>
        <v>#REF!</v>
      </c>
      <c r="G88" s="17" t="e">
        <f>SUM(J88:M88)</f>
        <v>#REF!</v>
      </c>
      <c r="H88" s="17" t="e">
        <f>SUM(O88:R88)</f>
        <v>#REF!</v>
      </c>
      <c r="I88" s="17"/>
      <c r="J88" s="17" t="e">
        <f>J20+J23+J35+J43+J49+J59+J65+J69</f>
        <v>#REF!</v>
      </c>
      <c r="K88" s="17" t="e">
        <f>K20+K23+K35+K43+K49+K59+K65+K69</f>
        <v>#REF!</v>
      </c>
      <c r="L88" s="17" t="e">
        <f>L20+L23+L35+L43+L49+L59+L65+L69</f>
        <v>#REF!</v>
      </c>
      <c r="M88" s="17" t="e">
        <f>M20+M23+M35+M43+M49+M59+M65+M69</f>
        <v>#REF!</v>
      </c>
      <c r="N88" s="8"/>
      <c r="O88" s="17" t="e">
        <f>O20+O23+O35+O43+O49+O59+O65+O69</f>
        <v>#REF!</v>
      </c>
      <c r="P88" s="17" t="e">
        <f>P20+P23+P35+P43+P49+P59+P65+P69</f>
        <v>#REF!</v>
      </c>
      <c r="Q88" s="17" t="e">
        <f>Q20+Q23+Q35+Q43+Q49+Q59+Q65+Q69</f>
        <v>#REF!</v>
      </c>
      <c r="R88" s="17" t="e">
        <f>R20+R23+R35+R43+R49+R59+R65+R69</f>
        <v>#REF!</v>
      </c>
      <c r="S88" s="17">
        <f>S20+S23+S35+S43+S49+S59+S65+S69+S79</f>
        <v>8787.7294310000016</v>
      </c>
      <c r="T88" s="17">
        <f>T20+T23+T35+T43+T49+T59+T65+T69+T79</f>
        <v>11112.846000000001</v>
      </c>
      <c r="U88" s="17">
        <f>U20+U23+U35+U43+U49+U59+U65+U69+U79</f>
        <v>8400</v>
      </c>
      <c r="V88" s="17">
        <f>V20+V23+V35+V43+V49+V59+V65+V69+V79</f>
        <v>13412.616713999998</v>
      </c>
      <c r="W88" s="14"/>
      <c r="X88" s="12">
        <f>SUM(S88:V88)</f>
        <v>41713.192145000001</v>
      </c>
      <c r="Z88" s="17">
        <f>Z20+Z23+Z35+Z43+Z49+Z59+Z65+Z69+Z79</f>
        <v>8741.231597</v>
      </c>
      <c r="AA88" s="17">
        <f>AA20+AA23+AA35+AA43+AA49+AA59+AA65+AA69+AA79</f>
        <v>10622.548278</v>
      </c>
      <c r="AB88" s="17">
        <f>AB20+AB23+AB35+AB43+AB49+AB59+AB65+AB69+AB79</f>
        <v>8592.4999999999982</v>
      </c>
      <c r="AC88" s="17">
        <f>AC20+AC23+AC35+AC43+AC49+AC59+AC65+AC69+AC79</f>
        <v>12623.3</v>
      </c>
      <c r="AD88" s="14"/>
      <c r="AE88" s="12">
        <f>SUM(Z88:AC88)</f>
        <v>40579.579874999996</v>
      </c>
      <c r="AG88" s="17">
        <f>AG20+AG23+AG35+AG43+AG49+AG59+AG65+AG69+AG79</f>
        <v>9110.9937570000002</v>
      </c>
      <c r="AH88" s="17">
        <f>AH20+AH23+AH35+AH43+AH49+AH59+AH65+AH69+AH79</f>
        <v>10890.471942999999</v>
      </c>
      <c r="AI88" s="17">
        <f>AI20+AI23+AI35+AI43+AI49+AI59+AI65+AI69+AI79</f>
        <v>7478.0117299999993</v>
      </c>
      <c r="AJ88" s="17">
        <f>AJ20+AJ23+AJ35+AJ43+AJ49+AJ59+AJ65+AJ69+AJ79</f>
        <v>11582.2808</v>
      </c>
      <c r="AK88" s="12">
        <f>+AG88+AH88+AI88+AJ88</f>
        <v>39061.758229999999</v>
      </c>
      <c r="AL88" s="70">
        <f>AL20+AL23+AL35+AL43+AL49+AL59+AL65+AL69+AL79</f>
        <v>39062.843700000005</v>
      </c>
      <c r="AM88" s="17">
        <f>AM20+AM23+AM35+AM43+AM49+AM59+AM65+AM69+AM79</f>
        <v>8077.5847949999998</v>
      </c>
      <c r="AN88" s="17">
        <f>AN20+AN23+AN35+AN43+AN49+AN59+AN65+AN69+AN79</f>
        <v>13535.947001999999</v>
      </c>
      <c r="AO88" s="17">
        <f>AO20+AO23+AO35+AO43+AO49+AO59+AO65+AO69+AO79</f>
        <v>7407.8</v>
      </c>
      <c r="AP88" s="17">
        <f>AP20+AP23+AP35+AP43+AP49+AP59+AP65+AP69+AP79</f>
        <v>11991.599999999999</v>
      </c>
      <c r="AQ88" s="12">
        <f>+AM88+AN88+AO88+AP88</f>
        <v>41012.931796999997</v>
      </c>
      <c r="AR88" s="17">
        <f>AR20+AR23+AR35+AR43+AR49+AR59+AR65+AR69+AR79</f>
        <v>8243.6</v>
      </c>
      <c r="AS88" s="17">
        <f>AS20+AS23+AS35+AS43+AS49+AS59+AS65+AS69+AS79</f>
        <v>11041.732</v>
      </c>
      <c r="AT88" s="17">
        <f>AT20+AT23+AT35+AT43+AT49+AT59+AT65+AT69+AT79</f>
        <v>7727.8320000000003</v>
      </c>
      <c r="AU88" s="17">
        <f>AU20+AU23+AU35+AU43+AU49+AU59+AU65+AU69+AU79</f>
        <v>12782.199999999997</v>
      </c>
      <c r="AV88" s="12">
        <f>+AR88+AS88+AT88+AU88</f>
        <v>39795.364000000001</v>
      </c>
      <c r="AW88" s="17">
        <f>AW20+AW23+AW35+AW43+AW49+AW59+AW65+AW69+AW79</f>
        <v>8605.1999999999971</v>
      </c>
      <c r="AX88" s="17">
        <f>AX20+AX23+AX35+AX43+AX49+AX59+AX65+AX69+AX79</f>
        <v>9375.6000000000022</v>
      </c>
      <c r="AY88" s="17">
        <f>AY20+AY23+AY35+AY43+AY49+AY59+AY65+AY69+AY79</f>
        <v>7377.5</v>
      </c>
      <c r="AZ88" s="17">
        <f>AZ20+AZ23+AZ35+AZ43+AZ49+AZ59+AZ65+AZ69+AZ79</f>
        <v>11679.68</v>
      </c>
      <c r="BA88" s="12">
        <f>+AW88+AX88+AY88+AZ88</f>
        <v>37037.979999999996</v>
      </c>
      <c r="BB88" s="17">
        <f>BB20+BB23+BB35+BB43+BB49+BB59+BB65+BB69+BB79</f>
        <v>7577.3899999999994</v>
      </c>
      <c r="BC88" s="17">
        <f>BC20+BC23+BC35+BC43+BC49+BC59+BC65+BC69+BC79</f>
        <v>10083.003000000002</v>
      </c>
      <c r="BD88" s="17">
        <f>BD20+BD23+BD35+BD43+BD49+BD59+BD65+BD69+BD79</f>
        <v>7304.2999999999993</v>
      </c>
      <c r="BE88" s="17">
        <f>BE20+BE23+BE35+BE43+BE49+BE59+BE65+BE69+BE79</f>
        <v>12234.900000000001</v>
      </c>
      <c r="BF88" s="17">
        <f t="shared" si="25"/>
        <v>37199.593000000008</v>
      </c>
      <c r="BG88" s="17">
        <f>BG20+BG23+BG35+BG43+BG49+BG59+BG65+BG69+BG79</f>
        <v>7922.3940000000011</v>
      </c>
      <c r="BH88" s="17">
        <f>BH20+BH23+BH35+BH43+BH49+BH59+BH65+BH69+BH79</f>
        <v>11734.376</v>
      </c>
      <c r="BI88" s="17">
        <f>BI20+BI23+BI35+BI43+BI49+BI59+BI65+BI69+BI79</f>
        <v>8035.8000000000011</v>
      </c>
      <c r="BJ88" s="17">
        <f>BJ20+BJ23+BJ35+BJ43+BJ49+BJ59+BJ65+BJ69+BJ79</f>
        <v>13572.5</v>
      </c>
      <c r="BK88" s="17">
        <f t="shared" si="26"/>
        <v>41265.07</v>
      </c>
      <c r="BL88" s="17">
        <f>BL20+BL23+BL35+BL43+BL49+BL59+BL65+BL69+BL79</f>
        <v>9147.2000000000025</v>
      </c>
      <c r="BM88" s="17">
        <f>BM20+BM23+BM35+BM43+BM49+BM59+BM65+BM69+BM79</f>
        <v>12357.020000000002</v>
      </c>
      <c r="BN88" s="17">
        <f>BN20+BN23+BN35+BN43+BN49+BN59+BN65+BN69+BN79</f>
        <v>8348.9000000000015</v>
      </c>
      <c r="BO88" s="17">
        <f>BO20+BO23+BO35+BO43+BO49+BO59+BO65+BO69+BO79</f>
        <v>13034.5</v>
      </c>
      <c r="BP88" s="17">
        <f t="shared" si="27"/>
        <v>42887.62000000001</v>
      </c>
      <c r="BQ88" s="17">
        <f>BQ20+BQ23+BQ35+BQ43+BQ49+BQ59+BQ65+BQ69+BQ79+BQ85</f>
        <v>8989.1999999999971</v>
      </c>
      <c r="BR88" s="17">
        <f>BR20+BR23+BR35+BR43+BR49+BR59+BR65+BR69+BR79+BR85</f>
        <v>11033.600000000002</v>
      </c>
      <c r="BS88" s="17">
        <f>BS20+BS23+BS35+BS43+BS49+BS59+BS65+BS69+BS79+BS85</f>
        <v>8694.1</v>
      </c>
      <c r="BT88" s="17">
        <f>BT20+BT23+BT35+BT43+BT49+BT59+BT65+BT69+BT79+BT85</f>
        <v>12666.2</v>
      </c>
      <c r="BU88" s="17">
        <f>+BQ88-BL88</f>
        <v>-158.00000000000546</v>
      </c>
      <c r="BV88" s="17">
        <f t="shared" si="94"/>
        <v>20022.8</v>
      </c>
      <c r="BW88" s="17">
        <f t="shared" ref="BW88:BW94" si="100">SUM(BQ88:BS88)</f>
        <v>28716.9</v>
      </c>
      <c r="BX88" s="17">
        <f>+BR88-BM88</f>
        <v>-1323.42</v>
      </c>
      <c r="BY88" s="17">
        <f>+BU88/(BL88)*100</f>
        <v>-1.7273045303481438</v>
      </c>
      <c r="BZ88" s="17">
        <f>+BX88/(BM88)*100</f>
        <v>-10.709863705003308</v>
      </c>
      <c r="CA88" s="17">
        <f t="shared" si="93"/>
        <v>41383.100000000006</v>
      </c>
      <c r="CB88" s="17">
        <f>CB20+CB23+CB35+CB43+CB49+CB59+CB65+CB69+CB79+CB85</f>
        <v>8956.1000000000022</v>
      </c>
      <c r="CC88" s="17">
        <f>CC20+CC23+CC35+CC43+CC49+CC59+CC65+CC69+CC79+CC85</f>
        <v>11563.5</v>
      </c>
      <c r="CD88" s="17">
        <f>CD20+CD23+CD35+CD43+CD49+CD59+CD65+CD69+CD79+CD85</f>
        <v>8766.7000000000007</v>
      </c>
      <c r="CE88" s="17">
        <f>CE20+CE23+CE35+CE43+CE49+CE59+CE65+CE69+CE79+CE85</f>
        <v>15143.3</v>
      </c>
      <c r="CF88" s="17">
        <f t="shared" ref="CF88:CF92" si="101">SUM(CB88:CE88)</f>
        <v>44429.600000000006</v>
      </c>
      <c r="CG88" s="17">
        <f>CG20+CG23+CG35+CG43+CG49+CG59+CG65+CG69+CG79+CG85</f>
        <v>9084.6</v>
      </c>
      <c r="CH88" s="17">
        <f>CH20+CH23+CH35+CH43+CH49+CH59+CH65+CH69+CH79+CH85</f>
        <v>12618.300000000001</v>
      </c>
      <c r="CI88" s="17">
        <f>CI20+CI23+CI35+CI43+CI49+CI59+CI65+CI69+CI79+CI85</f>
        <v>8032.5</v>
      </c>
      <c r="CJ88" s="17">
        <f>CJ20+CJ23+CJ35+CJ43+CJ49+CJ59+CJ65+CJ69+CJ79+CJ85</f>
        <v>12342.800000000001</v>
      </c>
      <c r="CK88" s="17">
        <f t="shared" si="92"/>
        <v>42078.200000000004</v>
      </c>
      <c r="CL88" s="17">
        <f>CL20+CL23+CL35+CL43+CL49+CL59+CL65+CL69+CL79+CL85</f>
        <v>9500.7999999999975</v>
      </c>
      <c r="CM88" s="17">
        <f>CM20+CM23+CM35+CM43+CM49+CM59+CM65+CM69+CM79+CM85</f>
        <v>11979.210000000001</v>
      </c>
      <c r="CN88" s="17"/>
      <c r="CO88" s="17"/>
      <c r="CP88" s="17">
        <f>CP20+CP23+CP35+CP43+CP49+CP59+CP65+CP69+CP79+CP85</f>
        <v>9119.06</v>
      </c>
      <c r="CQ88" s="17">
        <f>CQ20+CQ23+CQ35+CQ43+CQ49+CQ59+CQ65+CQ69+CQ79+CQ85</f>
        <v>11891.800000000001</v>
      </c>
      <c r="CR88" s="17">
        <f t="shared" ref="CR88:CR94" si="102">+CL88+CM88+CP88+CQ88</f>
        <v>42490.87</v>
      </c>
      <c r="CS88" s="17">
        <f>CS20+CS23+CS35+CS43+CS49+CS59+CS65+CS69+CS79+CS85</f>
        <v>9754.1999999999989</v>
      </c>
      <c r="CT88" s="17">
        <f t="shared" ref="CT88:CT94" si="103">+CS88-CL88</f>
        <v>253.40000000000146</v>
      </c>
      <c r="CU88" s="17">
        <f t="shared" ref="CU88:CU94" si="104">+CT88/CL88*100</f>
        <v>2.6671438194678503</v>
      </c>
      <c r="CV88" s="17">
        <f t="shared" si="90"/>
        <v>412.67000000000007</v>
      </c>
      <c r="CW88" s="17">
        <f t="shared" si="91"/>
        <v>0.98072160881406534</v>
      </c>
      <c r="CX88" s="3"/>
      <c r="CY88" s="3"/>
      <c r="CZ88" s="3"/>
      <c r="DA88" s="12"/>
      <c r="DB88" s="3"/>
      <c r="DC88" s="3"/>
    </row>
    <row r="89" spans="1:111" x14ac:dyDescent="0.2">
      <c r="E89" s="8"/>
      <c r="F89" s="8"/>
      <c r="G89" s="17"/>
      <c r="H89" s="17" t="s">
        <v>10</v>
      </c>
      <c r="I89" s="17"/>
      <c r="J89" s="10"/>
      <c r="K89" s="20"/>
      <c r="L89" s="20"/>
      <c r="N89" s="8"/>
      <c r="O89" s="22"/>
      <c r="P89" s="22"/>
      <c r="Q89" s="20"/>
      <c r="R89" s="20"/>
      <c r="S89" s="12"/>
      <c r="T89" s="12"/>
      <c r="U89" s="12"/>
      <c r="V89" s="12"/>
      <c r="W89" s="14"/>
      <c r="X89" s="12" t="str">
        <f>IF(O89="","",(O89+P89+Q89+R89))</f>
        <v/>
      </c>
      <c r="Z89" s="23"/>
      <c r="AA89" s="44"/>
      <c r="AC89" s="12"/>
      <c r="AD89" s="14"/>
      <c r="AE89" s="12" t="str">
        <f>IF(Y89="","",(Y89+Z89+AA89+AB89))</f>
        <v/>
      </c>
      <c r="AG89" s="12"/>
      <c r="AH89" s="44"/>
      <c r="AI89" s="44"/>
      <c r="AJ89" s="29"/>
      <c r="AK89" s="12" t="s">
        <v>10</v>
      </c>
      <c r="AL89" s="72" t="s">
        <v>10</v>
      </c>
      <c r="AM89" s="29"/>
      <c r="AN89" s="44"/>
      <c r="AO89" s="44"/>
      <c r="AP89" s="44"/>
      <c r="AQ89" s="12" t="s">
        <v>10</v>
      </c>
      <c r="AR89" s="44"/>
      <c r="AS89" s="44"/>
      <c r="AT89" s="44"/>
      <c r="AU89" s="44"/>
      <c r="AV89" s="12" t="s">
        <v>10</v>
      </c>
      <c r="AW89" s="44"/>
      <c r="AX89" s="29"/>
      <c r="AY89" s="29"/>
      <c r="AZ89" s="29"/>
      <c r="BA89" s="12" t="s">
        <v>10</v>
      </c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3"/>
      <c r="CY89" s="3"/>
      <c r="CZ89" s="3"/>
      <c r="DA89" s="12"/>
      <c r="DB89" s="3"/>
      <c r="DC89" s="3"/>
    </row>
    <row r="90" spans="1:111" x14ac:dyDescent="0.2">
      <c r="B90" s="7" t="s">
        <v>1</v>
      </c>
      <c r="C90" s="7"/>
      <c r="D90" s="7"/>
      <c r="E90" s="8"/>
      <c r="F90" s="8">
        <f>F8</f>
        <v>25</v>
      </c>
      <c r="G90" s="17">
        <f>SUM(J90:M90)</f>
        <v>30</v>
      </c>
      <c r="H90" s="17">
        <f>SUM(O90:R90)</f>
        <v>43</v>
      </c>
      <c r="I90" s="17"/>
      <c r="J90" s="8">
        <f>J8</f>
        <v>5</v>
      </c>
      <c r="K90" s="8">
        <f>K8</f>
        <v>9</v>
      </c>
      <c r="L90" s="8">
        <f>L8</f>
        <v>7</v>
      </c>
      <c r="M90" s="8">
        <f>M8</f>
        <v>9</v>
      </c>
      <c r="N90" s="8"/>
      <c r="O90" s="17">
        <v>10</v>
      </c>
      <c r="P90" s="17">
        <v>11</v>
      </c>
      <c r="Q90" s="17">
        <v>11</v>
      </c>
      <c r="R90" s="17">
        <v>11</v>
      </c>
      <c r="S90" s="17">
        <f>S8</f>
        <v>2.5684610000000001</v>
      </c>
      <c r="T90" s="17">
        <f>T8</f>
        <v>11.917674</v>
      </c>
      <c r="U90" s="17">
        <f>U8</f>
        <v>2.1182780000000001</v>
      </c>
      <c r="V90" s="17">
        <f>V8</f>
        <v>9.5217369999999999</v>
      </c>
      <c r="W90" s="14"/>
      <c r="X90" s="17">
        <f>X8</f>
        <v>26.126150000000003</v>
      </c>
      <c r="Y90" s="17"/>
      <c r="Z90" s="17">
        <f>Z8</f>
        <v>5.1836869999999999</v>
      </c>
      <c r="AA90" s="17">
        <f>AA8</f>
        <v>2.7778209999999999</v>
      </c>
      <c r="AB90" s="17">
        <f>AB8</f>
        <v>1.5</v>
      </c>
      <c r="AC90" s="17">
        <f>AC8</f>
        <v>3.5</v>
      </c>
      <c r="AD90" s="14"/>
      <c r="AE90" s="17">
        <f>AE8</f>
        <v>12.961508</v>
      </c>
      <c r="AF90" s="17"/>
      <c r="AG90" s="17">
        <f>AG8</f>
        <v>2.2999999999999998</v>
      </c>
      <c r="AH90" s="17">
        <f>AH8</f>
        <v>6.5</v>
      </c>
      <c r="AI90" s="17">
        <f>AI8</f>
        <v>11.3</v>
      </c>
      <c r="AJ90" s="17">
        <f>AJ8</f>
        <v>5</v>
      </c>
      <c r="AK90" s="12">
        <f>+AG90+AH90+AI90+AJ90</f>
        <v>25.1</v>
      </c>
      <c r="AL90" s="72">
        <v>25.1</v>
      </c>
      <c r="AM90" s="17">
        <f>AM8</f>
        <v>6.4</v>
      </c>
      <c r="AN90" s="17">
        <f>AN8</f>
        <v>13.8</v>
      </c>
      <c r="AO90" s="17">
        <f>AO8</f>
        <v>8.8000000000000007</v>
      </c>
      <c r="AP90" s="17">
        <f>AP8</f>
        <v>16.100000000000001</v>
      </c>
      <c r="AQ90" s="12">
        <f>+AM90+AN90+AO90+AP90</f>
        <v>45.100000000000009</v>
      </c>
      <c r="AR90" s="17">
        <f>AR8</f>
        <v>13</v>
      </c>
      <c r="AS90" s="17">
        <f>AS8</f>
        <v>8.0129999999999999</v>
      </c>
      <c r="AT90" s="17">
        <f>AT8</f>
        <v>4.9000000000000004</v>
      </c>
      <c r="AU90" s="17">
        <f>AU8</f>
        <v>11.120000000000001</v>
      </c>
      <c r="AV90" s="12">
        <f>+AR90+AS90+AT90+AU90</f>
        <v>37.033000000000001</v>
      </c>
      <c r="AW90" s="17">
        <f>AW8</f>
        <v>12</v>
      </c>
      <c r="AX90" s="17">
        <f>AX8</f>
        <v>2.1</v>
      </c>
      <c r="AY90" s="17">
        <f>AY8</f>
        <v>14.7</v>
      </c>
      <c r="AZ90" s="17">
        <f>AZ8</f>
        <v>66.900000000000006</v>
      </c>
      <c r="BA90" s="12">
        <f>+AW90+AX90+AY90+AZ90</f>
        <v>95.7</v>
      </c>
      <c r="BB90" s="17">
        <f>BB8</f>
        <v>13</v>
      </c>
      <c r="BC90" s="17">
        <f>BC8</f>
        <v>7.6999999999999993</v>
      </c>
      <c r="BD90" s="17">
        <f>BD8</f>
        <v>0.89999999999999991</v>
      </c>
      <c r="BE90" s="17">
        <f>BE8</f>
        <v>5.2</v>
      </c>
      <c r="BF90" s="17">
        <f t="shared" si="25"/>
        <v>26.799999999999997</v>
      </c>
      <c r="BG90" s="17">
        <f>BG8</f>
        <v>7</v>
      </c>
      <c r="BH90" s="17">
        <f>BH8</f>
        <v>4.2</v>
      </c>
      <c r="BI90" s="17">
        <f>BI8</f>
        <v>3.4</v>
      </c>
      <c r="BJ90" s="17">
        <f>BJ8</f>
        <v>4.3</v>
      </c>
      <c r="BK90" s="17">
        <f t="shared" si="26"/>
        <v>18.899999999999999</v>
      </c>
      <c r="BL90" s="17">
        <f>BL8</f>
        <v>5.8</v>
      </c>
      <c r="BM90" s="17">
        <f>BM8</f>
        <v>1.83</v>
      </c>
      <c r="BN90" s="17">
        <f>BN8</f>
        <v>5</v>
      </c>
      <c r="BO90" s="17">
        <f>BO8</f>
        <v>10.7</v>
      </c>
      <c r="BP90" s="17">
        <f t="shared" si="27"/>
        <v>23.33</v>
      </c>
      <c r="BQ90" s="17">
        <f>BQ8</f>
        <v>6.9</v>
      </c>
      <c r="BR90" s="17">
        <f>BR8</f>
        <v>1.8</v>
      </c>
      <c r="BS90" s="17">
        <f>BS8</f>
        <v>2</v>
      </c>
      <c r="BT90" s="17">
        <f>BT8</f>
        <v>4.2</v>
      </c>
      <c r="BU90" s="17">
        <f>+BQ90-BL90</f>
        <v>1.1000000000000005</v>
      </c>
      <c r="BV90" s="17">
        <f t="shared" si="94"/>
        <v>8.7000000000000011</v>
      </c>
      <c r="BW90" s="17">
        <f t="shared" si="100"/>
        <v>10.700000000000001</v>
      </c>
      <c r="BX90" s="17">
        <f>+BR90-BM90</f>
        <v>-3.0000000000000027E-2</v>
      </c>
      <c r="BY90" s="17">
        <f>+BU90/(BL90)*100</f>
        <v>18.96551724137932</v>
      </c>
      <c r="BZ90" s="17">
        <f>+BX90/(BM90)*100</f>
        <v>-1.6393442622950833</v>
      </c>
      <c r="CA90" s="17">
        <f t="shared" si="93"/>
        <v>14.900000000000002</v>
      </c>
      <c r="CB90" s="17">
        <f>CB8</f>
        <v>16</v>
      </c>
      <c r="CC90" s="17">
        <f>CC8</f>
        <v>5</v>
      </c>
      <c r="CD90" s="17">
        <f>CD8</f>
        <v>4.8</v>
      </c>
      <c r="CE90" s="17">
        <f>CE8</f>
        <v>26.2</v>
      </c>
      <c r="CF90" s="17">
        <f t="shared" si="101"/>
        <v>52</v>
      </c>
      <c r="CG90" s="17">
        <f>CG8</f>
        <v>5.8</v>
      </c>
      <c r="CH90" s="17">
        <f>CH8</f>
        <v>5.8000000000000007</v>
      </c>
      <c r="CI90" s="17">
        <f>CI8</f>
        <v>1.4</v>
      </c>
      <c r="CJ90" s="17">
        <f>CJ8</f>
        <v>8.3000000000000007</v>
      </c>
      <c r="CK90" s="17">
        <f t="shared" si="92"/>
        <v>21.300000000000004</v>
      </c>
      <c r="CL90" s="17">
        <f>CL8</f>
        <v>3.5</v>
      </c>
      <c r="CM90" s="17">
        <f>CM8</f>
        <v>7.1999999999999993</v>
      </c>
      <c r="CN90" s="17"/>
      <c r="CO90" s="17"/>
      <c r="CP90" s="17">
        <f>CP8</f>
        <v>3.9000000000000004</v>
      </c>
      <c r="CQ90" s="17">
        <f>CQ8</f>
        <v>11.8</v>
      </c>
      <c r="CR90" s="17">
        <f t="shared" si="102"/>
        <v>26.4</v>
      </c>
      <c r="CS90" s="17">
        <f>CS8</f>
        <v>4.4000000000000004</v>
      </c>
      <c r="CT90" s="17">
        <f t="shared" si="103"/>
        <v>0.90000000000000036</v>
      </c>
      <c r="CU90" s="17">
        <f t="shared" si="104"/>
        <v>25.714285714285722</v>
      </c>
      <c r="CV90" s="17">
        <f t="shared" si="90"/>
        <v>5.0999999999999961</v>
      </c>
      <c r="CW90" s="17">
        <f t="shared" si="91"/>
        <v>23.943661971830963</v>
      </c>
      <c r="DA90" s="12"/>
    </row>
    <row r="91" spans="1:111" ht="10.5" customHeight="1" x14ac:dyDescent="0.2">
      <c r="E91" s="8"/>
      <c r="F91" s="8"/>
      <c r="G91" s="17"/>
      <c r="H91" s="17" t="s">
        <v>10</v>
      </c>
      <c r="I91" s="17"/>
      <c r="J91" s="10"/>
      <c r="K91" s="20"/>
      <c r="L91" s="20"/>
      <c r="N91" s="8"/>
      <c r="O91" s="22"/>
      <c r="P91" s="22"/>
      <c r="Q91" s="20"/>
      <c r="R91" s="20"/>
      <c r="S91" s="12"/>
      <c r="T91" s="12"/>
      <c r="U91" s="12"/>
      <c r="V91" s="12"/>
      <c r="W91" s="14"/>
      <c r="X91" s="12" t="str">
        <f>IF(O91="","",(O91+P91+Q91+R91))</f>
        <v/>
      </c>
      <c r="Z91" s="23"/>
      <c r="AA91" s="44"/>
      <c r="AC91" s="12"/>
      <c r="AD91" s="14"/>
      <c r="AE91" s="12" t="str">
        <f>IF(Y91="","",(Y91+Z91+AA91+AB91))</f>
        <v/>
      </c>
      <c r="AG91" s="12"/>
      <c r="AH91" s="44"/>
      <c r="AI91" s="44"/>
      <c r="AJ91" s="29"/>
      <c r="AK91" s="12" t="s">
        <v>10</v>
      </c>
      <c r="AL91" s="72" t="s">
        <v>10</v>
      </c>
      <c r="AM91" s="29"/>
      <c r="AN91" s="44"/>
      <c r="AO91" s="44"/>
      <c r="AP91" s="44"/>
      <c r="AQ91" s="12" t="s">
        <v>10</v>
      </c>
      <c r="AR91" s="44"/>
      <c r="AS91" s="44"/>
      <c r="AT91" s="44"/>
      <c r="AU91" s="44"/>
      <c r="AV91" s="12" t="s">
        <v>10</v>
      </c>
      <c r="AW91" s="44"/>
      <c r="AX91" s="29"/>
      <c r="AY91" s="29"/>
      <c r="AZ91" s="29"/>
      <c r="BA91" s="12" t="s">
        <v>10</v>
      </c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3"/>
      <c r="CY91" s="3"/>
      <c r="CZ91" s="3"/>
      <c r="DA91" s="12"/>
      <c r="DB91" s="3"/>
      <c r="DC91" s="3"/>
    </row>
    <row r="92" spans="1:111" ht="13.5" thickBot="1" x14ac:dyDescent="0.25">
      <c r="B92" s="56" t="s">
        <v>2</v>
      </c>
      <c r="C92" s="57"/>
      <c r="D92" s="57"/>
      <c r="E92" s="8"/>
      <c r="F92" s="31" t="e">
        <f>F90-F88</f>
        <v>#REF!</v>
      </c>
      <c r="G92" s="30">
        <v>-43383.017999999996</v>
      </c>
      <c r="H92" s="30" t="e">
        <f>SUM(O92:R92)</f>
        <v>#REF!</v>
      </c>
      <c r="I92" s="30"/>
      <c r="J92" s="31">
        <v>-8432.6759999999995</v>
      </c>
      <c r="K92" s="30">
        <v>-11395.791999999999</v>
      </c>
      <c r="L92" s="30">
        <v>-9570.0329999999994</v>
      </c>
      <c r="M92" s="30">
        <v>-13983.517</v>
      </c>
      <c r="N92" s="31"/>
      <c r="O92" s="30" t="e">
        <f t="shared" ref="O92:U92" si="105">O90-O88</f>
        <v>#REF!</v>
      </c>
      <c r="P92" s="30" t="e">
        <f t="shared" si="105"/>
        <v>#REF!</v>
      </c>
      <c r="Q92" s="30" t="e">
        <f t="shared" si="105"/>
        <v>#REF!</v>
      </c>
      <c r="R92" s="30" t="e">
        <f t="shared" si="105"/>
        <v>#REF!</v>
      </c>
      <c r="S92" s="30">
        <f t="shared" si="105"/>
        <v>-8785.1609700000008</v>
      </c>
      <c r="T92" s="30">
        <f t="shared" si="105"/>
        <v>-11100.928326000001</v>
      </c>
      <c r="U92" s="30">
        <f t="shared" si="105"/>
        <v>-8397.8817220000001</v>
      </c>
      <c r="V92" s="30">
        <f>V90-V88</f>
        <v>-13403.094976999999</v>
      </c>
      <c r="W92" s="59"/>
      <c r="X92" s="30">
        <f>X90-X88</f>
        <v>-41687.065995000004</v>
      </c>
      <c r="Y92" s="17"/>
      <c r="Z92" s="30">
        <f>Z90-Z88</f>
        <v>-8736.0479099999993</v>
      </c>
      <c r="AA92" s="30">
        <f>AA90-AA88</f>
        <v>-10619.770457000001</v>
      </c>
      <c r="AB92" s="30">
        <f>AB90-AB88</f>
        <v>-8590.9999999999982</v>
      </c>
      <c r="AC92" s="30">
        <f>AC90-AC88</f>
        <v>-12619.8</v>
      </c>
      <c r="AD92" s="59"/>
      <c r="AE92" s="30">
        <f>AE90-AE88</f>
        <v>-40566.618366999995</v>
      </c>
      <c r="AF92" s="17"/>
      <c r="AG92" s="30">
        <f>AG90-AG88</f>
        <v>-9108.6937570000009</v>
      </c>
      <c r="AH92" s="30">
        <f>AH90-AH88</f>
        <v>-10883.971942999999</v>
      </c>
      <c r="AI92" s="30">
        <f>AI90-AI88</f>
        <v>-7466.7117299999991</v>
      </c>
      <c r="AJ92" s="30">
        <f>AJ90-AJ88</f>
        <v>-11577.2808</v>
      </c>
      <c r="AK92" s="64">
        <f>+AG92+AH92+AI92+AJ92</f>
        <v>-39036.658230000001</v>
      </c>
      <c r="AL92" s="74">
        <f>AL90-AL88</f>
        <v>-39037.743700000006</v>
      </c>
      <c r="AM92" s="30">
        <f>AM90-AM88</f>
        <v>-8071.1847950000001</v>
      </c>
      <c r="AN92" s="30">
        <f>AN90-AN88</f>
        <v>-13522.147002</v>
      </c>
      <c r="AO92" s="30">
        <f>AO90-AO88</f>
        <v>-7399</v>
      </c>
      <c r="AP92" s="30">
        <f>AP90-AP88</f>
        <v>-11975.499999999998</v>
      </c>
      <c r="AQ92" s="64">
        <f>+AM92+AN92+AO92+AP92</f>
        <v>-40967.831796999999</v>
      </c>
      <c r="AR92" s="30">
        <f>AR90-AR88</f>
        <v>-8230.6</v>
      </c>
      <c r="AS92" s="30">
        <f>AS90-AS88</f>
        <v>-11033.718999999999</v>
      </c>
      <c r="AT92" s="30">
        <f>AT90-AT88</f>
        <v>-7722.9320000000007</v>
      </c>
      <c r="AU92" s="30">
        <f>AU90-AU88</f>
        <v>-12771.079999999996</v>
      </c>
      <c r="AV92" s="64">
        <f>+AR92+AS92+AT92+AU92</f>
        <v>-39758.330999999998</v>
      </c>
      <c r="AW92" s="30">
        <f>AW90-AW88</f>
        <v>-8593.1999999999971</v>
      </c>
      <c r="AX92" s="30">
        <f>AX90-AX88</f>
        <v>-9373.5000000000018</v>
      </c>
      <c r="AY92" s="30">
        <f>AY90-AY88</f>
        <v>-7362.8</v>
      </c>
      <c r="AZ92" s="30">
        <f>AZ90-AZ88</f>
        <v>-11612.78</v>
      </c>
      <c r="BA92" s="64">
        <f>+AW92+AX92+AY92+AZ92</f>
        <v>-36942.28</v>
      </c>
      <c r="BB92" s="30">
        <f>BB90-BB88</f>
        <v>-7564.3899999999994</v>
      </c>
      <c r="BC92" s="30">
        <f>BC90-BC88</f>
        <v>-10075.303000000002</v>
      </c>
      <c r="BD92" s="30">
        <f>BD90-BD88</f>
        <v>-7303.4</v>
      </c>
      <c r="BE92" s="30">
        <f>BE90-BE88</f>
        <v>-12229.7</v>
      </c>
      <c r="BF92" s="30">
        <f>+BB92+BC92+BD92+BE92</f>
        <v>-37172.793000000005</v>
      </c>
      <c r="BG92" s="30">
        <f>BG90-BG88</f>
        <v>-7915.3940000000011</v>
      </c>
      <c r="BH92" s="30">
        <f>BH90-BH88</f>
        <v>-11730.175999999999</v>
      </c>
      <c r="BI92" s="30">
        <f>BI90-BI88</f>
        <v>-8032.4000000000015</v>
      </c>
      <c r="BJ92" s="30">
        <f>BJ90-BJ88</f>
        <v>-13568.2</v>
      </c>
      <c r="BK92" s="30">
        <f t="shared" ref="BK92:BK97" si="106">+BG92+BH92+BI92+BJ92</f>
        <v>-41246.17</v>
      </c>
      <c r="BL92" s="30">
        <f>BL90-BL88</f>
        <v>-9141.4000000000033</v>
      </c>
      <c r="BM92" s="30">
        <f>BM90-BM88</f>
        <v>-12355.190000000002</v>
      </c>
      <c r="BN92" s="30">
        <f>BN90-BN88</f>
        <v>-8343.9000000000015</v>
      </c>
      <c r="BO92" s="30">
        <f>BO90-BO88</f>
        <v>-13023.8</v>
      </c>
      <c r="BP92" s="30">
        <f>+BL92+BM92+BN92+BO92</f>
        <v>-42864.290000000008</v>
      </c>
      <c r="BQ92" s="30">
        <f>BQ90-BQ88</f>
        <v>-8982.2999999999975</v>
      </c>
      <c r="BR92" s="30">
        <f>BR90-BR88</f>
        <v>-11031.800000000003</v>
      </c>
      <c r="BS92" s="30">
        <f>BS90-BS88</f>
        <v>-8692.1</v>
      </c>
      <c r="BT92" s="30">
        <f>BT90-BT88</f>
        <v>-12662</v>
      </c>
      <c r="BU92" s="30">
        <f>+BQ92-BL92</f>
        <v>159.10000000000582</v>
      </c>
      <c r="BV92" s="30">
        <f t="shared" si="94"/>
        <v>-20014.099999999999</v>
      </c>
      <c r="BW92" s="30">
        <f t="shared" si="100"/>
        <v>-28706.199999999997</v>
      </c>
      <c r="BX92" s="30">
        <f>+BR92-BM92</f>
        <v>1323.3899999999994</v>
      </c>
      <c r="BY92" s="30">
        <f>+BU92/(BL92)*100</f>
        <v>-1.740433631610101</v>
      </c>
      <c r="BZ92" s="30">
        <f>+BX92/(BM92)*100</f>
        <v>-10.711207193090507</v>
      </c>
      <c r="CA92" s="30">
        <f t="shared" si="93"/>
        <v>-41368.199999999997</v>
      </c>
      <c r="CB92" s="30">
        <f>CB90-CB88</f>
        <v>-8940.1000000000022</v>
      </c>
      <c r="CC92" s="30">
        <f>CC90-CC88</f>
        <v>-11558.5</v>
      </c>
      <c r="CD92" s="30">
        <f>CD90-CD88</f>
        <v>-8761.9000000000015</v>
      </c>
      <c r="CE92" s="30">
        <f>CE90-CE88</f>
        <v>-15117.099999999999</v>
      </c>
      <c r="CF92" s="30">
        <f t="shared" si="101"/>
        <v>-44377.600000000006</v>
      </c>
      <c r="CG92" s="30">
        <f>CG90-CG88</f>
        <v>-9078.8000000000011</v>
      </c>
      <c r="CH92" s="30">
        <f>CH90-CH88</f>
        <v>-12612.500000000002</v>
      </c>
      <c r="CI92" s="30">
        <f>CI90-CI88</f>
        <v>-8031.1</v>
      </c>
      <c r="CJ92" s="30">
        <f>CJ90-CJ88</f>
        <v>-12334.500000000002</v>
      </c>
      <c r="CK92" s="30">
        <f t="shared" si="92"/>
        <v>-42056.9</v>
      </c>
      <c r="CL92" s="30">
        <f>CL90-CL88</f>
        <v>-9497.2999999999975</v>
      </c>
      <c r="CM92" s="30">
        <f>CM90-CM88</f>
        <v>-11972.01</v>
      </c>
      <c r="CN92" s="30"/>
      <c r="CO92" s="30"/>
      <c r="CP92" s="30">
        <f>CP90-CP88</f>
        <v>-9115.16</v>
      </c>
      <c r="CQ92" s="30">
        <f>CQ90-CQ88</f>
        <v>-11880.000000000002</v>
      </c>
      <c r="CR92" s="30">
        <f t="shared" si="102"/>
        <v>-42464.47</v>
      </c>
      <c r="CS92" s="30">
        <f>CS90-CS88</f>
        <v>-9749.7999999999993</v>
      </c>
      <c r="CT92" s="30">
        <f t="shared" si="103"/>
        <v>-252.50000000000182</v>
      </c>
      <c r="CU92" s="30">
        <f t="shared" si="104"/>
        <v>2.6586503532583143</v>
      </c>
      <c r="CV92" s="30">
        <f t="shared" si="90"/>
        <v>-407.56999999999607</v>
      </c>
      <c r="CW92" s="30">
        <f t="shared" si="91"/>
        <v>0.96909187315279077</v>
      </c>
      <c r="CX92" s="3"/>
      <c r="CY92" s="3"/>
      <c r="CZ92" s="3"/>
      <c r="DA92" s="11"/>
      <c r="DB92" s="3"/>
      <c r="DC92" s="3"/>
    </row>
    <row r="93" spans="1:111" ht="9.75" customHeight="1" thickTop="1" x14ac:dyDescent="0.2">
      <c r="B93" s="3"/>
      <c r="C93" s="3"/>
      <c r="D93" s="3"/>
      <c r="E93" s="8"/>
      <c r="F93" s="4"/>
      <c r="G93" s="1"/>
      <c r="H93" s="17" t="s">
        <v>10</v>
      </c>
      <c r="I93" s="17"/>
      <c r="J93" s="3"/>
      <c r="K93" s="22"/>
      <c r="L93" s="22"/>
      <c r="N93" s="8"/>
      <c r="O93" s="22"/>
      <c r="P93" s="22"/>
      <c r="Q93" s="22"/>
      <c r="R93" s="22"/>
      <c r="S93" s="9"/>
      <c r="T93" s="9"/>
      <c r="U93" s="9"/>
      <c r="V93" s="9"/>
      <c r="W93" s="14"/>
      <c r="X93" s="12" t="str">
        <f>IF(O93="","",(O93+P93+Q93+R93))</f>
        <v/>
      </c>
      <c r="Z93" s="26"/>
      <c r="AA93" s="44"/>
      <c r="AC93" s="9"/>
      <c r="AD93" s="14"/>
      <c r="AE93" s="12" t="str">
        <f>IF(Y93="","",(Y93+Z93+AA93+AB93))</f>
        <v/>
      </c>
      <c r="AG93" s="9"/>
      <c r="AH93" s="44"/>
      <c r="AI93" s="44"/>
      <c r="AJ93" s="29"/>
      <c r="AK93" s="12" t="s">
        <v>10</v>
      </c>
      <c r="AL93" s="12" t="s">
        <v>10</v>
      </c>
      <c r="AM93" s="29"/>
      <c r="AN93" s="44"/>
      <c r="AO93" s="44"/>
      <c r="AP93" s="44"/>
      <c r="AQ93" s="12" t="s">
        <v>10</v>
      </c>
      <c r="AR93" s="44"/>
      <c r="AS93" s="44"/>
      <c r="AT93" s="44"/>
      <c r="AU93" s="44"/>
      <c r="AV93" s="12" t="s">
        <v>10</v>
      </c>
      <c r="AW93" s="44"/>
      <c r="AX93" s="29"/>
      <c r="AY93" s="29"/>
      <c r="AZ93" s="29"/>
      <c r="BA93" s="12" t="s">
        <v>10</v>
      </c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3"/>
      <c r="CY93" s="3"/>
      <c r="CZ93" s="3"/>
      <c r="DA93" s="11"/>
      <c r="DB93" s="3"/>
      <c r="DC93" s="3"/>
    </row>
    <row r="94" spans="1:111" x14ac:dyDescent="0.2">
      <c r="B94" s="9" t="s">
        <v>101</v>
      </c>
      <c r="C94" s="3"/>
      <c r="D94" s="3"/>
      <c r="E94" s="8"/>
      <c r="F94" s="8">
        <v>41015</v>
      </c>
      <c r="G94" s="17">
        <f>SUM(J94:M94)</f>
        <v>43126</v>
      </c>
      <c r="H94" s="17">
        <f>SUM(O94:R94)</f>
        <v>41934</v>
      </c>
      <c r="I94" s="17"/>
      <c r="J94" s="8">
        <v>7502</v>
      </c>
      <c r="K94" s="17">
        <v>12172</v>
      </c>
      <c r="L94" s="17">
        <v>7232</v>
      </c>
      <c r="M94" s="17">
        <v>16220</v>
      </c>
      <c r="N94" s="8"/>
      <c r="O94" s="17">
        <v>7082</v>
      </c>
      <c r="P94" s="17">
        <v>10071</v>
      </c>
      <c r="Q94" s="17">
        <v>7394</v>
      </c>
      <c r="R94" s="17">
        <v>17387</v>
      </c>
      <c r="S94" s="12">
        <v>6928</v>
      </c>
      <c r="T94" s="44">
        <v>11978</v>
      </c>
      <c r="U94" s="44">
        <v>8419</v>
      </c>
      <c r="V94" s="12">
        <v>14685</v>
      </c>
      <c r="W94" s="14"/>
      <c r="X94" s="12">
        <f>SUM(S94:V94)</f>
        <v>42010</v>
      </c>
      <c r="Z94" s="23">
        <v>8577.7000000000007</v>
      </c>
      <c r="AA94" s="29">
        <v>9333</v>
      </c>
      <c r="AB94" s="44">
        <v>7850</v>
      </c>
      <c r="AC94" s="12">
        <v>14039</v>
      </c>
      <c r="AD94" s="14"/>
      <c r="AE94" s="12">
        <f>SUM(Z94:AC94)</f>
        <v>39799.699999999997</v>
      </c>
      <c r="AG94" s="12">
        <v>9985</v>
      </c>
      <c r="AH94" s="29">
        <v>8811</v>
      </c>
      <c r="AI94" s="29">
        <v>6982.5709999999999</v>
      </c>
      <c r="AJ94" s="29">
        <v>14731.584999999999</v>
      </c>
      <c r="AK94" s="12">
        <f>+AG94+AH94+AI94+AJ94</f>
        <v>40510.156000000003</v>
      </c>
      <c r="AL94" s="12">
        <v>40510.156000000003</v>
      </c>
      <c r="AM94" s="29">
        <v>7086.3</v>
      </c>
      <c r="AN94" s="29">
        <v>12974.2</v>
      </c>
      <c r="AO94" s="29">
        <v>6664.3</v>
      </c>
      <c r="AP94" s="29">
        <f>13657.7</f>
        <v>13657.7</v>
      </c>
      <c r="AQ94" s="12">
        <f>+AM94+AN94+AO94+AP94</f>
        <v>40382.5</v>
      </c>
      <c r="AR94" s="29">
        <v>8285.7999999999993</v>
      </c>
      <c r="AS94" s="29">
        <v>9995.4</v>
      </c>
      <c r="AT94" s="29">
        <v>6087</v>
      </c>
      <c r="AU94" s="29">
        <v>18067</v>
      </c>
      <c r="AV94" s="12">
        <f>+AR94+AS94+AT94+AU94</f>
        <v>42435.199999999997</v>
      </c>
      <c r="AW94" s="29">
        <v>6116</v>
      </c>
      <c r="AX94" s="29">
        <v>9054</v>
      </c>
      <c r="AY94" s="29">
        <v>6191</v>
      </c>
      <c r="AZ94" s="29">
        <v>17572</v>
      </c>
      <c r="BA94" s="12">
        <f>+AW94+AX94+AY94+AZ94</f>
        <v>38933</v>
      </c>
      <c r="BB94" s="12">
        <v>6478</v>
      </c>
      <c r="BC94" s="12">
        <v>8780</v>
      </c>
      <c r="BD94" s="12">
        <v>6283</v>
      </c>
      <c r="BE94" s="12">
        <v>16544</v>
      </c>
      <c r="BF94" s="12">
        <f>+BB94+BC94+BD94+BE94</f>
        <v>38085</v>
      </c>
      <c r="BG94" s="12">
        <v>7338</v>
      </c>
      <c r="BH94" s="12">
        <f>17009.2-BG94</f>
        <v>9671.2000000000007</v>
      </c>
      <c r="BI94" s="12">
        <f>22196-BH94-BG94</f>
        <v>5186.7999999999993</v>
      </c>
      <c r="BJ94" s="12">
        <f>19531+2-4</f>
        <v>19529</v>
      </c>
      <c r="BK94" s="12">
        <f t="shared" si="106"/>
        <v>41725</v>
      </c>
      <c r="BL94" s="12">
        <v>6271.6</v>
      </c>
      <c r="BM94" s="12">
        <v>9280.2000000000007</v>
      </c>
      <c r="BN94" s="12">
        <v>5845</v>
      </c>
      <c r="BO94" s="12">
        <v>18674</v>
      </c>
      <c r="BP94" s="12">
        <f>+BL94+BM94+BN94+BO94</f>
        <v>40070.800000000003</v>
      </c>
      <c r="BQ94" s="12">
        <v>5633</v>
      </c>
      <c r="BR94" s="12">
        <v>10776.8</v>
      </c>
      <c r="BS94" s="12">
        <v>5912.8</v>
      </c>
      <c r="BT94" s="12">
        <v>18960.5</v>
      </c>
      <c r="BU94" s="12">
        <f>+BQ94-BL94</f>
        <v>-638.60000000000036</v>
      </c>
      <c r="BV94" s="12">
        <f t="shared" si="94"/>
        <v>16409.8</v>
      </c>
      <c r="BW94" s="12">
        <f t="shared" si="100"/>
        <v>22322.6</v>
      </c>
      <c r="BX94" s="12">
        <f>+BR94-BM94</f>
        <v>1496.5999999999985</v>
      </c>
      <c r="BY94" s="12">
        <f>+BU94/(BL94)*100</f>
        <v>-10.182409592448503</v>
      </c>
      <c r="BZ94" s="12">
        <f>+BX94/(BM94)*100</f>
        <v>16.126807611904898</v>
      </c>
      <c r="CA94" s="17">
        <f t="shared" si="93"/>
        <v>41283.1</v>
      </c>
      <c r="CB94" s="17">
        <v>6818</v>
      </c>
      <c r="CC94" s="17">
        <v>10796</v>
      </c>
      <c r="CD94" s="17">
        <v>5894</v>
      </c>
      <c r="CE94" s="17">
        <v>17688</v>
      </c>
      <c r="CF94" s="17">
        <f>SUM(CB94:CE94)</f>
        <v>41196</v>
      </c>
      <c r="CG94" s="17">
        <v>8213</v>
      </c>
      <c r="CH94" s="17">
        <v>11387</v>
      </c>
      <c r="CI94" s="17">
        <v>5471</v>
      </c>
      <c r="CJ94" s="17">
        <v>18881.3</v>
      </c>
      <c r="CK94" s="17">
        <f t="shared" si="92"/>
        <v>43952.3</v>
      </c>
      <c r="CL94" s="17">
        <v>7333</v>
      </c>
      <c r="CM94" s="17">
        <v>11534.6</v>
      </c>
      <c r="CN94" s="17"/>
      <c r="CO94" s="17"/>
      <c r="CP94" s="17">
        <v>6356.8</v>
      </c>
      <c r="CQ94" s="17">
        <v>19226.7</v>
      </c>
      <c r="CR94" s="17">
        <f t="shared" si="102"/>
        <v>44451.1</v>
      </c>
      <c r="CS94" s="17">
        <v>7682</v>
      </c>
      <c r="CT94" s="17">
        <f t="shared" si="103"/>
        <v>349</v>
      </c>
      <c r="CU94" s="17">
        <f t="shared" si="104"/>
        <v>4.759307241238238</v>
      </c>
      <c r="CV94" s="12">
        <f t="shared" si="90"/>
        <v>498.79999999999927</v>
      </c>
      <c r="CW94" s="12">
        <f t="shared" si="91"/>
        <v>1.1348666622679571</v>
      </c>
      <c r="CX94" s="3"/>
      <c r="CY94" s="3"/>
      <c r="CZ94" s="3"/>
      <c r="DA94" s="17"/>
      <c r="DB94" s="3"/>
      <c r="DC94" s="3"/>
    </row>
    <row r="95" spans="1:111" ht="6" customHeight="1" x14ac:dyDescent="0.2">
      <c r="B95" s="9"/>
      <c r="C95" s="3"/>
      <c r="D95" s="3"/>
      <c r="E95" s="8"/>
      <c r="F95" s="8"/>
      <c r="G95" s="17"/>
      <c r="H95" s="17"/>
      <c r="I95" s="17"/>
      <c r="J95" s="8"/>
      <c r="K95" s="17"/>
      <c r="L95" s="17"/>
      <c r="M95" s="17"/>
      <c r="N95" s="8"/>
      <c r="O95" s="17"/>
      <c r="P95" s="17"/>
      <c r="Q95" s="17"/>
      <c r="R95" s="17"/>
      <c r="S95" s="9"/>
      <c r="T95" s="9"/>
      <c r="U95" s="9"/>
      <c r="V95" s="11"/>
      <c r="X95" s="9"/>
      <c r="Z95" s="26"/>
      <c r="AB95" s="11"/>
      <c r="AC95" s="11"/>
      <c r="AE95" s="9"/>
      <c r="AG95" s="9"/>
      <c r="AH95" s="29"/>
      <c r="AI95" s="29"/>
      <c r="AJ95" s="29"/>
      <c r="AK95" s="76"/>
      <c r="AL95" s="25"/>
      <c r="AN95" s="29"/>
      <c r="AP95" s="4"/>
      <c r="AQ95" s="14"/>
      <c r="AR95" s="4"/>
      <c r="AS95" s="4"/>
      <c r="AT95" s="4"/>
      <c r="AU95" s="4"/>
      <c r="AV95" s="4"/>
      <c r="AW95" s="4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2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3"/>
      <c r="CY95" s="3"/>
      <c r="CZ95" s="3"/>
      <c r="DA95" s="12"/>
      <c r="DB95" s="3"/>
      <c r="DC95" s="3"/>
    </row>
    <row r="96" spans="1:111" ht="5.25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9"/>
      <c r="X96" s="9"/>
      <c r="Z96" s="26"/>
      <c r="AC96" s="9"/>
      <c r="AE96" s="9"/>
      <c r="AG96" s="9"/>
      <c r="AK96" s="76"/>
      <c r="AP96" s="4"/>
      <c r="AQ96" s="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X96" s="3"/>
      <c r="CY96" s="3"/>
      <c r="CZ96" s="3"/>
      <c r="DA96" s="17"/>
      <c r="DB96" s="3"/>
      <c r="DC96" s="3"/>
    </row>
    <row r="97" spans="1:107" ht="0.75" customHeight="1" x14ac:dyDescent="0.2">
      <c r="A97" s="43"/>
      <c r="B97" s="3"/>
      <c r="C97" s="3"/>
      <c r="D97" s="3"/>
      <c r="E97" s="8"/>
      <c r="F97" s="8"/>
      <c r="G97" s="17"/>
      <c r="H97" s="17"/>
      <c r="I97" s="17"/>
      <c r="J97" s="8"/>
      <c r="K97" s="8"/>
      <c r="L97" s="8"/>
      <c r="M97" s="17"/>
      <c r="N97" s="8"/>
      <c r="O97" s="17"/>
      <c r="P97" s="17"/>
      <c r="Q97" s="8"/>
      <c r="R97" s="22"/>
      <c r="S97" s="9"/>
      <c r="T97" s="9"/>
      <c r="U97" s="9"/>
      <c r="V97" s="9"/>
      <c r="X97" s="9"/>
      <c r="Z97" s="26"/>
      <c r="AC97" s="9"/>
      <c r="AE97" s="9"/>
      <c r="AG97" s="9"/>
      <c r="AK97" s="76"/>
      <c r="AP97" s="4"/>
      <c r="AR97" s="13"/>
      <c r="AS97" s="13"/>
      <c r="AT97" s="13"/>
      <c r="AU97" s="13"/>
      <c r="AV97" s="13"/>
      <c r="AW97" s="13"/>
      <c r="BK97" s="12">
        <f t="shared" si="106"/>
        <v>0</v>
      </c>
      <c r="BL97" s="12"/>
      <c r="BM97" s="12"/>
      <c r="BN97" s="12"/>
      <c r="BO97" s="12"/>
      <c r="BP97" s="12"/>
      <c r="BQ97" s="12"/>
      <c r="BR97" s="12"/>
      <c r="BS97" s="12"/>
      <c r="BT97" s="12"/>
      <c r="BV97" s="12"/>
      <c r="BW97" s="12"/>
      <c r="CX97" s="3"/>
      <c r="CY97" s="3"/>
      <c r="CZ97" s="3"/>
      <c r="DA97" s="12"/>
      <c r="DB97" s="3"/>
      <c r="DC97" s="3"/>
    </row>
    <row r="98" spans="1:107" ht="12.75" hidden="1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7"/>
      <c r="T98" s="37"/>
      <c r="U98" s="37"/>
      <c r="V98" s="37"/>
      <c r="X98" s="37"/>
      <c r="Z98" s="62"/>
      <c r="AA98" s="37"/>
      <c r="AC98" s="37"/>
      <c r="AE98" s="37"/>
      <c r="AG98" s="37"/>
      <c r="AH98" s="37"/>
      <c r="AI98" s="37"/>
      <c r="AJ98" s="37"/>
      <c r="AK98" s="76"/>
      <c r="AN98" s="37"/>
      <c r="AP98" s="4"/>
      <c r="AQ98" s="37"/>
      <c r="AR98" s="68">
        <f>+AR92+AR94</f>
        <v>55.199999999998909</v>
      </c>
      <c r="AS98" s="68">
        <f>+AS92+AS94</f>
        <v>-1038.3189999999995</v>
      </c>
      <c r="AT98" s="68">
        <f>+AT92+AT94</f>
        <v>-1635.9320000000007</v>
      </c>
      <c r="AU98" s="68">
        <f>+AU92+AU94</f>
        <v>5295.9200000000037</v>
      </c>
      <c r="AV98" s="68">
        <f>SUM(AR98:AU98)</f>
        <v>2676.8690000000024</v>
      </c>
      <c r="AW98" s="68">
        <f>+AW92+AW94</f>
        <v>-2477.1999999999971</v>
      </c>
      <c r="AX98" s="68">
        <f>+AX92+AX94</f>
        <v>-319.50000000000182</v>
      </c>
      <c r="AY98" s="68">
        <f>+AY92+AY94</f>
        <v>-1171.8000000000002</v>
      </c>
      <c r="AZ98" s="68">
        <f>+AZ92+AZ94</f>
        <v>5959.2199999999993</v>
      </c>
      <c r="BA98" s="68">
        <f>SUM(AW98:AZ98)</f>
        <v>1990.7200000000003</v>
      </c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3"/>
      <c r="CY98" s="3"/>
      <c r="CZ98" s="3"/>
      <c r="DA98" s="30"/>
      <c r="DB98" s="3"/>
      <c r="DC98" s="3"/>
    </row>
    <row r="99" spans="1:107" ht="12.75" customHeight="1" x14ac:dyDescent="0.2">
      <c r="A99" s="16" t="s">
        <v>8</v>
      </c>
      <c r="B99" s="4" t="s">
        <v>107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7"/>
      <c r="T99" s="37"/>
      <c r="U99" s="37"/>
      <c r="V99" s="37"/>
      <c r="X99" s="37"/>
      <c r="Z99" s="62"/>
      <c r="AA99" s="37"/>
      <c r="AC99" s="37"/>
      <c r="AE99" s="37"/>
      <c r="AG99" s="37"/>
      <c r="AH99" s="37"/>
      <c r="AI99" s="37"/>
      <c r="AJ99" s="37"/>
      <c r="AK99" s="76"/>
      <c r="AN99" s="37"/>
      <c r="AP99" s="4"/>
      <c r="AQ99" s="37"/>
      <c r="AR99" s="37"/>
      <c r="AS99" s="37"/>
      <c r="AT99" s="37"/>
      <c r="AU99" s="37"/>
      <c r="AV99" s="37"/>
      <c r="AW99" s="37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U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3"/>
      <c r="CY99" s="3"/>
      <c r="CZ99" s="3"/>
      <c r="DA99" s="12"/>
      <c r="DB99" s="3"/>
      <c r="DC99" s="3"/>
    </row>
    <row r="100" spans="1:107" ht="12.75" customHeight="1" x14ac:dyDescent="0.2">
      <c r="B100" s="4" t="s">
        <v>102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7"/>
      <c r="T100" s="37"/>
      <c r="U100" s="37"/>
      <c r="V100" s="37"/>
      <c r="X100" s="37"/>
      <c r="Z100" s="62"/>
      <c r="AA100" s="37"/>
      <c r="AC100" s="37"/>
      <c r="AE100" s="37"/>
      <c r="AG100" s="37"/>
      <c r="AH100" s="37"/>
      <c r="AI100" s="37"/>
      <c r="AJ100" s="37"/>
      <c r="AK100" s="76"/>
      <c r="AN100" s="37"/>
      <c r="AP100" s="4"/>
      <c r="AQ100" s="37"/>
      <c r="AR100" s="37"/>
      <c r="AS100" s="37"/>
      <c r="AT100" s="37"/>
      <c r="AU100" s="37"/>
      <c r="AV100" s="37"/>
      <c r="AW100" s="37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U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3"/>
      <c r="CY100" s="3"/>
      <c r="CZ100" s="3"/>
      <c r="DA100" s="17"/>
      <c r="DB100" s="3"/>
      <c r="DC100" s="3"/>
    </row>
    <row r="101" spans="1:107" ht="9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7"/>
      <c r="T101" s="37"/>
      <c r="U101" s="37"/>
      <c r="V101" s="37"/>
      <c r="X101" s="37"/>
      <c r="Z101" s="62"/>
      <c r="AA101" s="37"/>
      <c r="AC101" s="37"/>
      <c r="AE101" s="37"/>
      <c r="AG101" s="37"/>
      <c r="AH101" s="37"/>
      <c r="AI101" s="37"/>
      <c r="AJ101" s="37"/>
      <c r="AK101" s="76"/>
      <c r="AN101" s="37"/>
      <c r="AP101" s="4"/>
      <c r="AQ101" s="37"/>
      <c r="AR101" s="37"/>
      <c r="AS101" s="37"/>
      <c r="AT101" s="37"/>
      <c r="AU101" s="37"/>
      <c r="AV101" s="37"/>
      <c r="AW101" s="37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/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3"/>
      <c r="CY101" s="3"/>
      <c r="CZ101" s="3"/>
      <c r="DA101" s="3"/>
      <c r="DB101" s="3"/>
      <c r="DC101" s="3"/>
    </row>
    <row r="102" spans="1:107" x14ac:dyDescent="0.2">
      <c r="A102" s="16" t="s">
        <v>9</v>
      </c>
      <c r="B102" s="4" t="s">
        <v>90</v>
      </c>
      <c r="F102" s="4"/>
      <c r="G102" s="1"/>
      <c r="H102" s="1"/>
      <c r="I102" s="1"/>
      <c r="J102" s="4"/>
      <c r="K102" s="4"/>
      <c r="O102" s="3"/>
      <c r="P102" s="3"/>
      <c r="R102" s="22"/>
      <c r="S102" s="9"/>
      <c r="T102" s="9"/>
      <c r="U102" s="9"/>
      <c r="V102" s="9"/>
      <c r="X102" s="9"/>
      <c r="Z102" s="26"/>
      <c r="AC102" s="9"/>
      <c r="AE102" s="9"/>
      <c r="AG102" s="9"/>
      <c r="AK102" s="76"/>
      <c r="AP102" s="4"/>
      <c r="CX102" s="3"/>
      <c r="CY102" s="3"/>
      <c r="CZ102" s="3"/>
      <c r="DA102" s="3"/>
      <c r="DB102" s="3"/>
      <c r="DC102" s="3"/>
    </row>
    <row r="103" spans="1:107" ht="12.75" customHeight="1" x14ac:dyDescent="0.2">
      <c r="B103" s="4" t="s">
        <v>96</v>
      </c>
      <c r="F103" s="4"/>
      <c r="G103" s="1"/>
      <c r="H103" s="1"/>
      <c r="I103" s="1"/>
      <c r="J103" s="4"/>
      <c r="K103" s="4"/>
      <c r="L103" s="4"/>
      <c r="Q103" s="4"/>
      <c r="AK103" s="76"/>
      <c r="AP103" s="4"/>
      <c r="CX103" s="3"/>
      <c r="CY103" s="3"/>
      <c r="CZ103" s="3"/>
      <c r="DA103" s="3"/>
      <c r="DB103" s="3"/>
      <c r="DC103" s="3"/>
    </row>
    <row r="104" spans="1:107" ht="14.25" customHeight="1" x14ac:dyDescent="0.2">
      <c r="B104" s="4" t="s">
        <v>105</v>
      </c>
      <c r="AK104" s="76"/>
      <c r="AP104" s="4"/>
      <c r="CX104" s="3"/>
      <c r="CY104" s="3"/>
      <c r="CZ104" s="3"/>
      <c r="DA104" s="3"/>
      <c r="DB104" s="3"/>
      <c r="DC104" s="3"/>
    </row>
    <row r="105" spans="1:107" ht="12.75" hidden="1" customHeight="1" x14ac:dyDescent="0.2">
      <c r="A105" s="16" t="s">
        <v>95</v>
      </c>
      <c r="B105" s="4" t="s">
        <v>97</v>
      </c>
      <c r="AK105" s="76"/>
      <c r="AP105" s="4"/>
    </row>
    <row r="106" spans="1:107" ht="12.75" hidden="1" customHeight="1" x14ac:dyDescent="0.2">
      <c r="B106" s="4" t="s">
        <v>98</v>
      </c>
      <c r="AK106" s="76"/>
      <c r="AP106" s="4"/>
    </row>
    <row r="107" spans="1:107" ht="12.75" hidden="1" customHeight="1" x14ac:dyDescent="0.2">
      <c r="B107" s="4" t="s">
        <v>99</v>
      </c>
      <c r="F107" s="4"/>
      <c r="G107" s="1"/>
      <c r="H107" s="1"/>
      <c r="I107" s="1"/>
      <c r="J107" s="4"/>
      <c r="K107" s="4"/>
      <c r="L107" s="4"/>
      <c r="Q107" s="4"/>
      <c r="AK107" s="76"/>
      <c r="AP107" s="4"/>
    </row>
    <row r="108" spans="1:107" ht="8.25" customHeight="1" x14ac:dyDescent="0.2">
      <c r="F108" s="4"/>
      <c r="G108" s="1"/>
      <c r="H108" s="1"/>
      <c r="I108" s="1"/>
      <c r="J108" s="4"/>
      <c r="K108" s="4"/>
      <c r="L108" s="4"/>
      <c r="Q108" s="4"/>
      <c r="AK108" s="76"/>
      <c r="AP108" s="4"/>
    </row>
    <row r="109" spans="1:107" ht="28.5" customHeight="1" x14ac:dyDescent="0.2">
      <c r="A109" s="77" t="s">
        <v>95</v>
      </c>
      <c r="B109" s="110" t="s">
        <v>130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3"/>
      <c r="CY109" s="3"/>
      <c r="CZ109" s="3"/>
      <c r="DA109" s="3"/>
      <c r="DB109" s="3"/>
      <c r="DC109" s="3"/>
    </row>
    <row r="110" spans="1:107" x14ac:dyDescent="0.2">
      <c r="F110" s="4"/>
      <c r="G110" s="1"/>
      <c r="H110" s="1"/>
      <c r="I110" s="1"/>
      <c r="J110" s="3"/>
      <c r="K110" s="3"/>
      <c r="O110" s="3"/>
      <c r="P110" s="3"/>
      <c r="R110" s="22"/>
      <c r="S110" s="9"/>
      <c r="T110" s="9"/>
      <c r="U110" s="9"/>
      <c r="V110" s="9"/>
      <c r="X110" s="9"/>
      <c r="Z110" s="26"/>
      <c r="AC110" s="9"/>
      <c r="AE110" s="9"/>
      <c r="AG110" s="9"/>
      <c r="AK110" s="76"/>
      <c r="AP110" s="4"/>
      <c r="CX110" s="3"/>
      <c r="CY110" s="3"/>
      <c r="CZ110" s="3"/>
      <c r="DA110" s="3"/>
      <c r="DB110" s="3"/>
      <c r="DC110" s="3"/>
    </row>
    <row r="111" spans="1:107" ht="33" customHeight="1" x14ac:dyDescent="0.2">
      <c r="B111" s="110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3"/>
      <c r="CY111" s="3"/>
      <c r="CZ111" s="3"/>
      <c r="DA111" s="3"/>
      <c r="DB111" s="3"/>
      <c r="DC111" s="3"/>
    </row>
    <row r="112" spans="1:107" x14ac:dyDescent="0.2">
      <c r="F112" s="4"/>
      <c r="G112" s="1"/>
      <c r="H112" s="1"/>
      <c r="I112" s="1"/>
      <c r="J112" s="3"/>
      <c r="K112" s="3"/>
      <c r="O112" s="3"/>
      <c r="P112" s="3"/>
      <c r="R112" s="22"/>
      <c r="S112" s="9"/>
      <c r="T112" s="9"/>
      <c r="U112" s="9"/>
      <c r="V112" s="9"/>
      <c r="X112" s="9"/>
      <c r="Z112" s="26"/>
      <c r="AC112" s="9"/>
      <c r="AE112" s="9"/>
      <c r="AG112" s="12"/>
      <c r="AK112" s="76"/>
      <c r="AP112" s="4"/>
      <c r="AT112" s="80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CC112" s="29">
        <f>SUM(CB94:CD94)</f>
        <v>23508</v>
      </c>
      <c r="CE112" s="29">
        <f>SUM(CG94:CI94)</f>
        <v>25071</v>
      </c>
      <c r="CF112" s="29"/>
      <c r="CX112" s="3"/>
      <c r="CY112" s="3"/>
      <c r="CZ112" s="3"/>
      <c r="DA112" s="3"/>
      <c r="DB112" s="3"/>
      <c r="DC112" s="3"/>
    </row>
    <row r="113" spans="1:107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9"/>
      <c r="AK113" s="76"/>
      <c r="AP113" s="4"/>
      <c r="BN113" s="29"/>
      <c r="CK113" s="29"/>
      <c r="CL113" s="84"/>
      <c r="CM113" s="29"/>
      <c r="CR113" s="29"/>
      <c r="CS113" s="29"/>
      <c r="CT113" s="84"/>
      <c r="CV113" s="29"/>
      <c r="CW113" s="84"/>
      <c r="CX113" s="3"/>
      <c r="CY113" s="3"/>
      <c r="CZ113" s="3"/>
      <c r="DA113" s="3"/>
      <c r="DB113" s="3"/>
      <c r="DC113" s="3"/>
    </row>
    <row r="114" spans="1:107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76"/>
      <c r="AP114" s="4"/>
      <c r="BD114" s="81"/>
      <c r="BE114" s="81"/>
      <c r="BN114" s="84"/>
      <c r="BP114" s="84"/>
      <c r="CA114" s="29">
        <v>2013</v>
      </c>
      <c r="CB114" s="84">
        <f>+CB94/CF94</f>
        <v>0.16550150500048549</v>
      </c>
      <c r="CD114" s="84">
        <f>(+CB94+CC94)/CF94</f>
        <v>0.42756578308573651</v>
      </c>
      <c r="CE114" s="84">
        <f>(CB94+CC94+CD94)/CF94</f>
        <v>0.57063792601223418</v>
      </c>
      <c r="CF114" s="84"/>
      <c r="CH114" s="84"/>
      <c r="CK114" s="29"/>
      <c r="CM114" s="29"/>
      <c r="CR114" s="29"/>
      <c r="CS114" s="29"/>
      <c r="CT114" s="29"/>
      <c r="CX114" s="3"/>
      <c r="CY114" s="3"/>
      <c r="CZ114" s="3"/>
      <c r="DA114" s="3"/>
      <c r="DB114" s="3"/>
      <c r="DC114" s="3"/>
    </row>
    <row r="115" spans="1:107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76"/>
      <c r="AP115" s="4"/>
      <c r="BM115" s="84"/>
      <c r="BO115" s="29"/>
      <c r="CA115" s="13">
        <v>2014</v>
      </c>
      <c r="CB115" s="84">
        <f>+CG94/42300</f>
        <v>0.19416075650118203</v>
      </c>
      <c r="CD115" s="84">
        <f>+(CG94+CH94)/42300</f>
        <v>0.46335697399527187</v>
      </c>
      <c r="CE115" s="84">
        <f>+CK94/42200</f>
        <v>1.0415236966824646</v>
      </c>
      <c r="CT115" s="29"/>
      <c r="CX115" s="3"/>
      <c r="CY115" s="3"/>
      <c r="CZ115" s="3"/>
      <c r="DA115" s="3"/>
      <c r="DB115" s="3"/>
      <c r="DC115" s="3"/>
    </row>
    <row r="116" spans="1:107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M116"/>
      <c r="CA116" s="84"/>
      <c r="CB116" s="97">
        <f>+CB115-CB114</f>
        <v>2.8659251500696536E-2</v>
      </c>
      <c r="CD116" s="97">
        <f>+CD115-CD114</f>
        <v>3.5791190909535364E-2</v>
      </c>
      <c r="CE116" s="97">
        <f>+CE115-CE114</f>
        <v>0.47088577067023041</v>
      </c>
      <c r="CM116" s="99"/>
      <c r="CR116" s="99"/>
      <c r="CS116" s="99"/>
      <c r="CT116" s="84"/>
      <c r="CX116" s="3"/>
      <c r="CY116" s="3"/>
      <c r="CZ116" s="3"/>
      <c r="DA116" s="3"/>
      <c r="DB116" s="3"/>
      <c r="DC116" s="3"/>
    </row>
    <row r="117" spans="1:107" x14ac:dyDescent="0.2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BI117" s="29"/>
      <c r="BO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3"/>
      <c r="CY117" s="3"/>
      <c r="CZ117" s="3"/>
      <c r="DA117" s="3"/>
      <c r="DB117" s="3"/>
      <c r="DC117" s="3"/>
    </row>
    <row r="118" spans="1:107" x14ac:dyDescent="0.2">
      <c r="A118" s="42"/>
      <c r="B118" s="3"/>
      <c r="C118" s="3"/>
      <c r="D118" s="3"/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K118" s="62"/>
      <c r="BL118" s="62"/>
      <c r="BM118" s="62"/>
      <c r="BN118" s="62"/>
      <c r="BO118" s="82"/>
      <c r="BP118" s="62"/>
      <c r="BQ118" s="62"/>
      <c r="BR118" s="62"/>
      <c r="BS118" s="62"/>
      <c r="BT118" s="62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3"/>
      <c r="CY118" s="3"/>
      <c r="CZ118" s="3"/>
      <c r="DA118" s="3"/>
      <c r="DB118" s="3"/>
      <c r="DC118" s="3"/>
    </row>
    <row r="119" spans="1:107" x14ac:dyDescent="0.2">
      <c r="A119" s="42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N119" s="9"/>
      <c r="BK119" s="82"/>
      <c r="BL119" s="82"/>
      <c r="BM119" s="82"/>
      <c r="BN119" s="82"/>
      <c r="BP119" s="82"/>
      <c r="BQ119" s="82"/>
      <c r="BR119" s="82"/>
      <c r="BS119" s="82"/>
      <c r="BT119" s="82"/>
      <c r="CX119" s="3"/>
      <c r="CY119" s="3"/>
      <c r="CZ119" s="3"/>
      <c r="DA119" s="3"/>
      <c r="DB119" s="3"/>
      <c r="DC119" s="3"/>
    </row>
    <row r="120" spans="1:107" x14ac:dyDescent="0.2">
      <c r="A120" s="42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CA120" s="84"/>
      <c r="CX120" s="3"/>
      <c r="CY120" s="3"/>
      <c r="CZ120" s="3"/>
      <c r="DA120" s="3"/>
      <c r="DB120" s="3"/>
      <c r="DC120" s="3"/>
    </row>
    <row r="121" spans="1:107" x14ac:dyDescent="0.2">
      <c r="A121" s="42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X121" s="3"/>
      <c r="CY121" s="3"/>
      <c r="CZ121" s="3"/>
      <c r="DA121" s="3"/>
      <c r="DB121" s="3"/>
      <c r="DC121" s="3"/>
    </row>
    <row r="122" spans="1:107" x14ac:dyDescent="0.2">
      <c r="A122" s="42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BH122" s="29"/>
      <c r="CA122" s="29"/>
      <c r="CS122" s="99"/>
      <c r="CX122" s="3"/>
      <c r="CY122" s="3"/>
      <c r="CZ122" s="3"/>
      <c r="DA122" s="3"/>
      <c r="DB122" s="3"/>
      <c r="DC122" s="3"/>
    </row>
    <row r="123" spans="1:107" x14ac:dyDescent="0.2">
      <c r="A123" s="42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CX123" s="3"/>
      <c r="CY123" s="3"/>
      <c r="CZ123" s="3"/>
      <c r="DA123" s="3"/>
      <c r="DB123" s="3"/>
      <c r="DC123" s="3"/>
    </row>
    <row r="124" spans="1:107" x14ac:dyDescent="0.2">
      <c r="A124" s="42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CA124" s="84"/>
      <c r="CX124" s="3"/>
      <c r="CY124" s="3"/>
      <c r="CZ124" s="3"/>
      <c r="DA124" s="3"/>
      <c r="DB124" s="3"/>
      <c r="DC124" s="3"/>
    </row>
    <row r="125" spans="1:107" x14ac:dyDescent="0.2">
      <c r="A125" s="42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X125" s="3"/>
      <c r="CY125" s="3"/>
      <c r="CZ125" s="3"/>
      <c r="DA125" s="3"/>
      <c r="DB125" s="3"/>
      <c r="DC125" s="3"/>
    </row>
    <row r="126" spans="1:107" x14ac:dyDescent="0.2">
      <c r="A126" s="42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CX126" s="3"/>
      <c r="CY126" s="3"/>
      <c r="CZ126" s="3"/>
      <c r="DA126" s="3"/>
      <c r="DB126" s="3"/>
      <c r="DC126" s="3"/>
    </row>
    <row r="127" spans="1:107" x14ac:dyDescent="0.2">
      <c r="A127" s="42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CX127" s="3"/>
      <c r="CY127" s="3"/>
      <c r="CZ127" s="3"/>
      <c r="DA127" s="3"/>
      <c r="DB127" s="3"/>
      <c r="DC127" s="3"/>
    </row>
    <row r="128" spans="1:107" x14ac:dyDescent="0.2">
      <c r="A128" s="42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CX128" s="3"/>
      <c r="CY128" s="3"/>
      <c r="CZ128" s="3"/>
      <c r="DA128" s="3"/>
      <c r="DB128" s="3"/>
      <c r="DC128" s="3"/>
    </row>
    <row r="129" spans="1:107" x14ac:dyDescent="0.2">
      <c r="A129" s="42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X129" s="3"/>
      <c r="CY129" s="3"/>
      <c r="CZ129" s="3"/>
      <c r="DA129" s="3"/>
      <c r="DB129" s="3"/>
      <c r="DC129" s="3"/>
    </row>
    <row r="130" spans="1:107" x14ac:dyDescent="0.2">
      <c r="A130" s="42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CX130" s="3"/>
      <c r="CY130" s="3"/>
      <c r="CZ130" s="3"/>
      <c r="DA130" s="3"/>
      <c r="DB130" s="3"/>
      <c r="DC130" s="3"/>
    </row>
    <row r="131" spans="1:107" x14ac:dyDescent="0.2">
      <c r="A131" s="42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CX131" s="3"/>
      <c r="CY131" s="3"/>
      <c r="CZ131" s="3"/>
      <c r="DA131" s="3"/>
      <c r="DB131" s="3"/>
      <c r="DC131" s="3"/>
    </row>
    <row r="132" spans="1:107" x14ac:dyDescent="0.2">
      <c r="A132" s="42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CX132" s="3"/>
      <c r="CY132" s="3"/>
      <c r="CZ132" s="3"/>
      <c r="DA132" s="3"/>
      <c r="DB132" s="3"/>
      <c r="DC132" s="3"/>
    </row>
    <row r="133" spans="1:107" x14ac:dyDescent="0.2">
      <c r="A133" s="42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CX133" s="3"/>
      <c r="CY133" s="3"/>
      <c r="CZ133" s="3"/>
      <c r="DA133" s="3"/>
      <c r="DB133" s="3"/>
      <c r="DC133" s="3"/>
    </row>
    <row r="134" spans="1:107" x14ac:dyDescent="0.2">
      <c r="A134" s="42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CX134" s="3"/>
      <c r="CY134" s="3"/>
      <c r="CZ134" s="3"/>
      <c r="DA134" s="3"/>
      <c r="DB134" s="3"/>
      <c r="DC134" s="3"/>
    </row>
    <row r="135" spans="1:107" x14ac:dyDescent="0.2">
      <c r="A135" s="42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CX135" s="3"/>
      <c r="CY135" s="3"/>
      <c r="CZ135" s="3"/>
      <c r="DA135" s="3"/>
      <c r="DB135" s="3"/>
      <c r="DC135" s="3"/>
    </row>
    <row r="136" spans="1:107" x14ac:dyDescent="0.2">
      <c r="A136" s="42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CX136" s="3"/>
      <c r="CY136" s="3"/>
      <c r="CZ136" s="3"/>
      <c r="DA136" s="3"/>
      <c r="DB136" s="3"/>
      <c r="DC136" s="3"/>
    </row>
    <row r="137" spans="1:107" x14ac:dyDescent="0.2">
      <c r="A137" s="42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CX137" s="3"/>
      <c r="CY137" s="3"/>
      <c r="CZ137" s="3"/>
      <c r="DA137" s="3"/>
      <c r="DB137" s="3"/>
      <c r="DC137" s="3"/>
    </row>
    <row r="138" spans="1:107" x14ac:dyDescent="0.2">
      <c r="A138" s="42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CX138" s="3"/>
      <c r="CY138" s="3"/>
      <c r="CZ138" s="3"/>
      <c r="DA138" s="3"/>
      <c r="DB138" s="3"/>
      <c r="DC138" s="3"/>
    </row>
    <row r="139" spans="1:107" x14ac:dyDescent="0.2">
      <c r="A139" s="42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CX139" s="3"/>
      <c r="CY139" s="3"/>
      <c r="CZ139" s="3"/>
      <c r="DA139" s="3"/>
      <c r="DB139" s="3"/>
      <c r="DC139" s="3"/>
    </row>
    <row r="140" spans="1:107" x14ac:dyDescent="0.2">
      <c r="A140" s="42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CX140" s="3"/>
      <c r="CY140" s="3"/>
      <c r="CZ140" s="3"/>
      <c r="DA140" s="3"/>
      <c r="DB140" s="3"/>
      <c r="DC140" s="3"/>
    </row>
    <row r="141" spans="1:107" x14ac:dyDescent="0.2">
      <c r="A141" s="42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CX141" s="3"/>
      <c r="CY141" s="3"/>
      <c r="CZ141" s="3"/>
      <c r="DA141" s="3"/>
      <c r="DB141" s="3"/>
      <c r="DC141" s="3"/>
    </row>
    <row r="142" spans="1:107" x14ac:dyDescent="0.2">
      <c r="A142" s="42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CX142" s="3"/>
      <c r="CY142" s="3"/>
      <c r="CZ142" s="3"/>
      <c r="DA142" s="3"/>
      <c r="DB142" s="3"/>
      <c r="DC142" s="3"/>
    </row>
    <row r="143" spans="1:107" x14ac:dyDescent="0.2">
      <c r="A143" s="42"/>
      <c r="B143" s="3"/>
      <c r="C143" s="3"/>
      <c r="D143" s="3"/>
      <c r="F143" s="4"/>
      <c r="G143" s="22"/>
      <c r="H143" s="22"/>
      <c r="I143" s="22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CX143" s="3"/>
      <c r="CY143" s="3"/>
      <c r="CZ143" s="3"/>
      <c r="DA143" s="3"/>
      <c r="DB143" s="3"/>
      <c r="DC143" s="3"/>
    </row>
    <row r="144" spans="1:107" x14ac:dyDescent="0.2">
      <c r="A144" s="42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CX144" s="3"/>
      <c r="CY144" s="3"/>
      <c r="CZ144" s="3"/>
      <c r="DA144" s="3"/>
      <c r="DB144" s="3"/>
      <c r="DC144" s="3"/>
    </row>
    <row r="145" spans="1:107" x14ac:dyDescent="0.2">
      <c r="A145" s="42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CX145" s="3"/>
      <c r="CY145" s="3"/>
      <c r="CZ145" s="3"/>
      <c r="DA145" s="3"/>
      <c r="DB145" s="3"/>
      <c r="DC145" s="3"/>
    </row>
    <row r="146" spans="1:107" x14ac:dyDescent="0.2">
      <c r="A146" s="42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CX146" s="3"/>
      <c r="CY146" s="3"/>
      <c r="CZ146" s="3"/>
      <c r="DA146" s="3"/>
      <c r="DB146" s="3"/>
      <c r="DC146" s="3"/>
    </row>
    <row r="147" spans="1:107" x14ac:dyDescent="0.2">
      <c r="A147" s="42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CX147" s="3"/>
      <c r="CY147" s="3"/>
      <c r="CZ147" s="3"/>
      <c r="DA147" s="3"/>
      <c r="DB147" s="3"/>
      <c r="DC147" s="3"/>
    </row>
    <row r="148" spans="1:107" x14ac:dyDescent="0.2">
      <c r="A148" s="42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CX148" s="3"/>
      <c r="CY148" s="3"/>
      <c r="CZ148" s="3"/>
      <c r="DA148" s="3"/>
      <c r="DB148" s="3"/>
      <c r="DC148" s="3"/>
    </row>
    <row r="149" spans="1:107" x14ac:dyDescent="0.2">
      <c r="A149" s="42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CX149" s="3"/>
      <c r="CY149" s="3"/>
      <c r="CZ149" s="3"/>
      <c r="DA149" s="3"/>
      <c r="DB149" s="3"/>
      <c r="DC149" s="3"/>
    </row>
    <row r="150" spans="1:107" x14ac:dyDescent="0.2">
      <c r="A150" s="42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CX150" s="3"/>
      <c r="CY150" s="3"/>
      <c r="CZ150" s="3"/>
      <c r="DA150" s="3"/>
      <c r="DB150" s="3"/>
      <c r="DC150" s="3"/>
    </row>
    <row r="151" spans="1:107" x14ac:dyDescent="0.2">
      <c r="A151" s="42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CX151" s="3"/>
      <c r="CY151" s="3"/>
      <c r="CZ151" s="3"/>
      <c r="DA151" s="3"/>
      <c r="DB151" s="3"/>
      <c r="DC151" s="3"/>
    </row>
    <row r="152" spans="1:107" x14ac:dyDescent="0.2">
      <c r="A152" s="42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CX152" s="3"/>
      <c r="CY152" s="3"/>
      <c r="CZ152" s="3"/>
      <c r="DA152" s="3"/>
      <c r="DB152" s="3"/>
      <c r="DC152" s="3"/>
    </row>
    <row r="153" spans="1:107" x14ac:dyDescent="0.2">
      <c r="A153" s="42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CX153" s="3"/>
      <c r="CY153" s="3"/>
      <c r="CZ153" s="3"/>
      <c r="DA153" s="3"/>
      <c r="DB153" s="3"/>
      <c r="DC153" s="3"/>
    </row>
    <row r="154" spans="1:107" x14ac:dyDescent="0.2">
      <c r="A154" s="42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CX154" s="3"/>
      <c r="CY154" s="3"/>
      <c r="CZ154" s="3"/>
      <c r="DA154" s="3"/>
      <c r="DB154" s="3"/>
      <c r="DC154" s="3"/>
    </row>
    <row r="155" spans="1:107" x14ac:dyDescent="0.2">
      <c r="A155" s="42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CX155" s="3"/>
      <c r="CY155" s="3"/>
      <c r="CZ155" s="3"/>
      <c r="DA155" s="3"/>
      <c r="DB155" s="3"/>
      <c r="DC155" s="3"/>
    </row>
    <row r="156" spans="1:107" x14ac:dyDescent="0.2">
      <c r="A156" s="42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CX156" s="3"/>
      <c r="CY156" s="3"/>
      <c r="CZ156" s="3"/>
      <c r="DA156" s="3"/>
      <c r="DB156" s="3"/>
      <c r="DC156" s="3"/>
    </row>
    <row r="157" spans="1:107" x14ac:dyDescent="0.2">
      <c r="A157" s="42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CX157" s="3"/>
      <c r="CY157" s="3"/>
      <c r="CZ157" s="3"/>
      <c r="DA157" s="3"/>
      <c r="DB157" s="3"/>
      <c r="DC157" s="3"/>
    </row>
    <row r="158" spans="1:107" x14ac:dyDescent="0.2">
      <c r="A158" s="42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CX158" s="3"/>
      <c r="CY158" s="3"/>
      <c r="CZ158" s="3"/>
      <c r="DA158" s="3"/>
      <c r="DB158" s="3"/>
      <c r="DC158" s="3"/>
    </row>
    <row r="159" spans="1:107" x14ac:dyDescent="0.2">
      <c r="A159" s="42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CX159" s="3"/>
      <c r="CY159" s="3"/>
      <c r="CZ159" s="3"/>
      <c r="DA159" s="3"/>
      <c r="DB159" s="3"/>
      <c r="DC159" s="3"/>
    </row>
    <row r="160" spans="1:107" x14ac:dyDescent="0.2">
      <c r="A160" s="42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CX160" s="3"/>
      <c r="CY160" s="3"/>
      <c r="CZ160" s="3"/>
      <c r="DA160" s="3"/>
      <c r="DB160" s="3"/>
      <c r="DC160" s="3"/>
    </row>
    <row r="161" spans="1:107" x14ac:dyDescent="0.2">
      <c r="A161" s="42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CX161" s="3"/>
      <c r="CY161" s="3"/>
      <c r="CZ161" s="3"/>
      <c r="DA161" s="3"/>
      <c r="DB161" s="3"/>
      <c r="DC161" s="3"/>
    </row>
    <row r="162" spans="1:107" x14ac:dyDescent="0.2">
      <c r="A162" s="42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CX162" s="3"/>
      <c r="CY162" s="3"/>
      <c r="CZ162" s="3"/>
      <c r="DA162" s="3"/>
      <c r="DB162" s="3"/>
      <c r="DC162" s="3"/>
    </row>
    <row r="163" spans="1:107" x14ac:dyDescent="0.2">
      <c r="A163" s="42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CX163" s="3"/>
      <c r="CY163" s="3"/>
      <c r="CZ163" s="3"/>
      <c r="DA163" s="3"/>
      <c r="DB163" s="3"/>
      <c r="DC163" s="3"/>
    </row>
    <row r="164" spans="1:107" x14ac:dyDescent="0.2">
      <c r="A164" s="42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CX164" s="3"/>
      <c r="CY164" s="3"/>
      <c r="CZ164" s="3"/>
      <c r="DA164" s="3"/>
      <c r="DB164" s="3"/>
      <c r="DC164" s="3"/>
    </row>
    <row r="165" spans="1:107" x14ac:dyDescent="0.2">
      <c r="A165" s="42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CX165" s="3"/>
      <c r="CY165" s="3"/>
      <c r="CZ165" s="3"/>
      <c r="DA165" s="3"/>
      <c r="DB165" s="3"/>
      <c r="DC165" s="3"/>
    </row>
    <row r="166" spans="1:107" x14ac:dyDescent="0.2">
      <c r="A166" s="42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CX166" s="3"/>
      <c r="CY166" s="3"/>
      <c r="CZ166" s="3"/>
      <c r="DA166" s="3"/>
      <c r="DB166" s="3"/>
      <c r="DC166" s="3"/>
    </row>
    <row r="167" spans="1:107" x14ac:dyDescent="0.2">
      <c r="A167" s="42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CX167" s="3"/>
      <c r="CY167" s="3"/>
      <c r="CZ167" s="3"/>
      <c r="DA167" s="3"/>
      <c r="DB167" s="3"/>
      <c r="DC167" s="3"/>
    </row>
    <row r="168" spans="1:107" x14ac:dyDescent="0.2">
      <c r="A168" s="42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CX168" s="3"/>
      <c r="CY168" s="3"/>
      <c r="CZ168" s="3"/>
      <c r="DA168" s="3"/>
      <c r="DB168" s="3"/>
      <c r="DC168" s="3"/>
    </row>
    <row r="169" spans="1:107" x14ac:dyDescent="0.2">
      <c r="A169" s="42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CX169" s="3"/>
      <c r="CY169" s="3"/>
      <c r="CZ169" s="3"/>
      <c r="DA169" s="3"/>
      <c r="DB169" s="3"/>
      <c r="DC169" s="3"/>
    </row>
    <row r="170" spans="1:107" x14ac:dyDescent="0.2">
      <c r="A170" s="42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CX170" s="3"/>
      <c r="CY170" s="3"/>
      <c r="CZ170" s="3"/>
      <c r="DA170" s="3"/>
      <c r="DB170" s="3"/>
      <c r="DC170" s="3"/>
    </row>
    <row r="171" spans="1:107" x14ac:dyDescent="0.2">
      <c r="A171" s="42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CX171" s="3"/>
      <c r="CY171" s="3"/>
      <c r="CZ171" s="3"/>
      <c r="DA171" s="3"/>
      <c r="DB171" s="3"/>
      <c r="DC171" s="3"/>
    </row>
    <row r="172" spans="1:107" x14ac:dyDescent="0.2">
      <c r="A172" s="42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CX172" s="3"/>
      <c r="CY172" s="3"/>
      <c r="CZ172" s="3"/>
      <c r="DA172" s="3"/>
      <c r="DB172" s="3"/>
      <c r="DC172" s="3"/>
    </row>
    <row r="173" spans="1:107" x14ac:dyDescent="0.2">
      <c r="A173" s="42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CX173" s="3"/>
      <c r="CY173" s="3"/>
      <c r="CZ173" s="3"/>
      <c r="DA173" s="3"/>
      <c r="DB173" s="3"/>
      <c r="DC173" s="3"/>
    </row>
    <row r="174" spans="1:107" x14ac:dyDescent="0.2">
      <c r="A174" s="42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CX174" s="3"/>
      <c r="CY174" s="3"/>
      <c r="CZ174" s="3"/>
      <c r="DA174" s="3"/>
      <c r="DB174" s="3"/>
      <c r="DC174" s="3"/>
    </row>
    <row r="175" spans="1:107" x14ac:dyDescent="0.2">
      <c r="A175" s="42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CX175" s="3"/>
      <c r="CY175" s="3"/>
      <c r="CZ175" s="3"/>
      <c r="DA175" s="3"/>
      <c r="DB175" s="3"/>
      <c r="DC175" s="3"/>
    </row>
    <row r="176" spans="1:107" x14ac:dyDescent="0.2">
      <c r="A176" s="42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CX176" s="3"/>
      <c r="CY176" s="3"/>
      <c r="CZ176" s="3"/>
      <c r="DA176" s="3"/>
      <c r="DB176" s="3"/>
      <c r="DC176" s="3"/>
    </row>
    <row r="177" spans="1:107" x14ac:dyDescent="0.2">
      <c r="A177" s="42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CX177" s="3"/>
      <c r="CY177" s="3"/>
      <c r="CZ177" s="3"/>
      <c r="DA177" s="3"/>
      <c r="DB177" s="3"/>
      <c r="DC177" s="3"/>
    </row>
    <row r="178" spans="1:107" x14ac:dyDescent="0.2">
      <c r="A178" s="42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CX178" s="3"/>
      <c r="CY178" s="3"/>
      <c r="CZ178" s="3"/>
      <c r="DA178" s="3"/>
      <c r="DB178" s="3"/>
      <c r="DC178" s="3"/>
    </row>
    <row r="179" spans="1:107" x14ac:dyDescent="0.2">
      <c r="A179" s="42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CX179" s="3"/>
      <c r="CY179" s="3"/>
      <c r="CZ179" s="3"/>
      <c r="DA179" s="3"/>
      <c r="DB179" s="3"/>
      <c r="DC179" s="3"/>
    </row>
    <row r="180" spans="1:107" x14ac:dyDescent="0.2">
      <c r="A180" s="42"/>
      <c r="B180" s="3"/>
      <c r="C180" s="3"/>
      <c r="D180" s="3"/>
      <c r="F180" s="4"/>
      <c r="G180" s="22"/>
      <c r="H180" s="22"/>
      <c r="I180" s="22"/>
      <c r="J180" s="3"/>
      <c r="K180" s="3"/>
    </row>
    <row r="181" spans="1:107" x14ac:dyDescent="0.2">
      <c r="A181" s="42"/>
      <c r="B181" s="3"/>
      <c r="C181" s="3"/>
      <c r="D181" s="3"/>
      <c r="F181" s="4"/>
      <c r="G181" s="22"/>
      <c r="H181" s="22"/>
      <c r="I181" s="22"/>
      <c r="J181" s="3"/>
      <c r="K181" s="3"/>
    </row>
    <row r="182" spans="1:107" x14ac:dyDescent="0.2">
      <c r="A182" s="42"/>
      <c r="B182" s="3"/>
      <c r="C182" s="3"/>
      <c r="D182" s="3"/>
      <c r="F182" s="4"/>
      <c r="G182" s="22"/>
      <c r="H182" s="22"/>
      <c r="I182" s="22"/>
      <c r="J182" s="3"/>
      <c r="K182" s="3"/>
    </row>
    <row r="183" spans="1:107" x14ac:dyDescent="0.2">
      <c r="A183" s="42"/>
      <c r="B183" s="3"/>
      <c r="C183" s="3"/>
      <c r="D183" s="3"/>
      <c r="F183" s="4"/>
      <c r="G183" s="22"/>
      <c r="H183" s="22"/>
      <c r="I183" s="22"/>
      <c r="J183" s="3"/>
      <c r="K183" s="3"/>
    </row>
    <row r="184" spans="1:107" x14ac:dyDescent="0.2">
      <c r="A184" s="42"/>
      <c r="B184" s="3"/>
      <c r="C184" s="3"/>
      <c r="D184" s="3"/>
      <c r="F184" s="4"/>
      <c r="G184" s="22"/>
      <c r="H184" s="22"/>
      <c r="I184" s="22"/>
      <c r="J184" s="3"/>
      <c r="K184" s="3"/>
    </row>
    <row r="185" spans="1:107" x14ac:dyDescent="0.2">
      <c r="A185" s="42"/>
      <c r="B185" s="3"/>
      <c r="C185" s="3"/>
      <c r="D185" s="3"/>
      <c r="F185" s="4"/>
      <c r="G185" s="22"/>
      <c r="H185" s="22"/>
      <c r="I185" s="22"/>
      <c r="J185" s="3"/>
      <c r="K185" s="3"/>
    </row>
    <row r="186" spans="1:107" x14ac:dyDescent="0.2">
      <c r="A186" s="42"/>
      <c r="B186" s="3"/>
      <c r="C186" s="3"/>
      <c r="D186" s="3"/>
      <c r="F186" s="4"/>
      <c r="G186" s="22"/>
      <c r="H186" s="22"/>
      <c r="I186" s="22"/>
      <c r="J186" s="3"/>
      <c r="K186" s="3"/>
    </row>
    <row r="187" spans="1:107" x14ac:dyDescent="0.2">
      <c r="A187" s="42"/>
      <c r="B187" s="3"/>
      <c r="C187" s="3"/>
      <c r="D187" s="3"/>
      <c r="F187" s="4"/>
      <c r="G187" s="22"/>
      <c r="H187" s="22"/>
      <c r="I187" s="22"/>
      <c r="J187" s="3"/>
      <c r="K187" s="3"/>
    </row>
    <row r="188" spans="1:107" x14ac:dyDescent="0.2">
      <c r="A188" s="42"/>
      <c r="B188" s="3"/>
      <c r="C188" s="3"/>
      <c r="D188" s="3"/>
      <c r="F188" s="4"/>
      <c r="G188" s="22"/>
      <c r="H188" s="22"/>
      <c r="I188" s="22"/>
      <c r="J188" s="3"/>
      <c r="K188" s="3"/>
    </row>
    <row r="189" spans="1:107" x14ac:dyDescent="0.2">
      <c r="A189" s="42"/>
      <c r="B189" s="3"/>
      <c r="C189" s="3"/>
      <c r="D189" s="3"/>
      <c r="F189" s="4"/>
      <c r="G189" s="22"/>
      <c r="H189" s="22"/>
      <c r="I189" s="22"/>
      <c r="J189" s="3"/>
      <c r="K189" s="3"/>
    </row>
    <row r="190" spans="1:107" x14ac:dyDescent="0.2">
      <c r="A190" s="42"/>
      <c r="B190" s="3"/>
      <c r="C190" s="3"/>
      <c r="D190" s="3"/>
      <c r="F190" s="4"/>
      <c r="G190" s="22"/>
      <c r="H190" s="22"/>
      <c r="I190" s="22"/>
      <c r="J190" s="3"/>
      <c r="K190" s="3"/>
    </row>
    <row r="191" spans="1:107" x14ac:dyDescent="0.2">
      <c r="A191" s="42"/>
      <c r="B191" s="3"/>
      <c r="C191" s="3"/>
      <c r="D191" s="3"/>
      <c r="F191" s="4"/>
      <c r="G191" s="22"/>
      <c r="H191" s="22"/>
      <c r="I191" s="22"/>
      <c r="J191" s="3"/>
      <c r="K191" s="3"/>
    </row>
    <row r="192" spans="1:107" x14ac:dyDescent="0.2">
      <c r="A192" s="42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42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42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42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42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42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42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42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42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42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42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42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42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42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42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42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42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42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42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42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42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42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42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42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42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42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42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42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42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42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42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42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42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42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42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42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42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42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42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42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42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42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42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42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42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42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42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42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42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42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42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42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42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42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42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42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42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42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42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42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42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42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42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42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42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42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42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42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42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42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42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42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42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42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42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42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42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42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42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42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42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42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42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42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42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42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42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42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42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42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42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42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42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42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42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42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42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42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42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42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42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42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42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42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42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42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42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42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42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42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42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42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42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42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42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42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42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42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42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42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42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42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42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42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42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42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42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42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42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42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42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42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42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42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42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42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42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42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42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42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42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42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42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42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42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42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42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42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42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42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42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42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42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42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42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42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42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42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42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42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42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42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42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42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42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42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42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42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42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42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42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42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42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42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42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42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42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42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42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42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42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42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42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42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42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42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42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42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42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42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42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42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42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42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42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42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42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42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42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42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42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42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42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42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42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42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42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42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42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42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42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42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42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42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42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42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42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42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42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42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42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42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42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42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42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42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42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42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42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42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42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42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42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42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42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42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42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42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42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42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42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42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42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42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42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42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42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42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42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42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42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42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42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42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42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42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42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42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42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42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42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42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42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42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42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42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42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42"/>
      <c r="B459" s="3"/>
      <c r="C459" s="3"/>
      <c r="D459" s="3"/>
      <c r="F459" s="4"/>
      <c r="G459" s="22"/>
      <c r="H459" s="22"/>
      <c r="I459" s="22"/>
      <c r="J459" s="3"/>
      <c r="K459" s="3"/>
    </row>
  </sheetData>
  <mergeCells count="18">
    <mergeCell ref="B111:CW111"/>
    <mergeCell ref="G2:H2"/>
    <mergeCell ref="S3:V3"/>
    <mergeCell ref="Z3:AC3"/>
    <mergeCell ref="B109:CW109"/>
    <mergeCell ref="C51:D51"/>
    <mergeCell ref="BL3:BP3"/>
    <mergeCell ref="AM3:AQ3"/>
    <mergeCell ref="AW3:AZ3"/>
    <mergeCell ref="AG3:AK3"/>
    <mergeCell ref="CL3:CR3"/>
    <mergeCell ref="CY3:DJ3"/>
    <mergeCell ref="BQ3:CA3"/>
    <mergeCell ref="CT3:CW3"/>
    <mergeCell ref="BU2:CW2"/>
    <mergeCell ref="BB3:BF3"/>
    <mergeCell ref="CB3:CF3"/>
    <mergeCell ref="CG3:CK3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95" fitToHeight="3" orientation="landscape" r:id="rId1"/>
  <headerFooter alignWithMargins="0"/>
  <rowBreaks count="2" manualBreakCount="2">
    <brk id="33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2016-05-11T14:48:19Z</cp:lastPrinted>
  <dcterms:created xsi:type="dcterms:W3CDTF">2000-11-22T09:20:07Z</dcterms:created>
  <dcterms:modified xsi:type="dcterms:W3CDTF">2016-05-11T14:50:17Z</dcterms:modified>
</cp:coreProperties>
</file>