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570" yWindow="-120" windowWidth="24375" windowHeight="11805"/>
  </bookViews>
  <sheets>
    <sheet name="Försvaret" sheetId="14" r:id="rId1"/>
  </sheets>
  <definedNames>
    <definedName name="_xlnm.Print_Area" localSheetId="0">Försvaret!$A$2:$DA$110</definedName>
    <definedName name="_xlnm.Print_Titles" localSheetId="0">Försvaret!$2:$5</definedName>
  </definedNames>
  <calcPr calcId="145621"/>
</workbook>
</file>

<file path=xl/calcChain.xml><?xml version="1.0" encoding="utf-8"?>
<calcChain xmlns="http://schemas.openxmlformats.org/spreadsheetml/2006/main">
  <c r="CK16" i="14" l="1"/>
  <c r="CK13" i="14"/>
  <c r="CK50" i="14"/>
  <c r="CK86" i="14"/>
  <c r="CQ89" i="14"/>
  <c r="CY95" i="14" l="1"/>
  <c r="CY91" i="14"/>
  <c r="CY87" i="14"/>
  <c r="CY86" i="14"/>
  <c r="CX84" i="14"/>
  <c r="CY84" i="14" s="1"/>
  <c r="CY81" i="14"/>
  <c r="CY80" i="14"/>
  <c r="CY77" i="14"/>
  <c r="CY76" i="14"/>
  <c r="CY75" i="14"/>
  <c r="CY72" i="14"/>
  <c r="CY71" i="14"/>
  <c r="CY70" i="14"/>
  <c r="CY68" i="14"/>
  <c r="CY67" i="14"/>
  <c r="CY66" i="14"/>
  <c r="CY61" i="14"/>
  <c r="CY55" i="14"/>
  <c r="CY54" i="14"/>
  <c r="CY53" i="14"/>
  <c r="CY52" i="14"/>
  <c r="CY51" i="14"/>
  <c r="CY50" i="14"/>
  <c r="CY46" i="14"/>
  <c r="CY45" i="14"/>
  <c r="CY44" i="14"/>
  <c r="CY42" i="14"/>
  <c r="CY41" i="14"/>
  <c r="CY40" i="14"/>
  <c r="CY39" i="14"/>
  <c r="CY38" i="14"/>
  <c r="CY37" i="14"/>
  <c r="CY36" i="14"/>
  <c r="CY32" i="14"/>
  <c r="CY31" i="14"/>
  <c r="CY30" i="14"/>
  <c r="CY29" i="14"/>
  <c r="CY28" i="14"/>
  <c r="CY27" i="14"/>
  <c r="CY26" i="14"/>
  <c r="CY25" i="14"/>
  <c r="CY24" i="14"/>
  <c r="CY16" i="14"/>
  <c r="CY12" i="14"/>
  <c r="CY9" i="14"/>
  <c r="CY8" i="14"/>
  <c r="CW84" i="14"/>
  <c r="CV84" i="14"/>
  <c r="CU84" i="14"/>
  <c r="CT84" i="14"/>
  <c r="CT95" i="14" l="1"/>
  <c r="CV86" i="14"/>
  <c r="CV80" i="14"/>
  <c r="CV75" i="14"/>
  <c r="CV73" i="14"/>
  <c r="CV71" i="14"/>
  <c r="CV66" i="14"/>
  <c r="CV60" i="14"/>
  <c r="CV50" i="14"/>
  <c r="CV44" i="14"/>
  <c r="CV36" i="14"/>
  <c r="CV24" i="14"/>
  <c r="CV21" i="14"/>
  <c r="CV16" i="14"/>
  <c r="CV15" i="14"/>
  <c r="CV9" i="14"/>
  <c r="CV91" i="14" s="1"/>
  <c r="CX95" i="14"/>
  <c r="CX87" i="14"/>
  <c r="CX81" i="14"/>
  <c r="CX78" i="14"/>
  <c r="CX77" i="14"/>
  <c r="CX76" i="14"/>
  <c r="CX74" i="14"/>
  <c r="CX72" i="14"/>
  <c r="CX68" i="14"/>
  <c r="CX67" i="14"/>
  <c r="CX62" i="14"/>
  <c r="CY62" i="14" s="1"/>
  <c r="CX61" i="14"/>
  <c r="CX56" i="14"/>
  <c r="CX55" i="14"/>
  <c r="CX54" i="14"/>
  <c r="CX53" i="14"/>
  <c r="CX52" i="14"/>
  <c r="CX51" i="14"/>
  <c r="CX46" i="14"/>
  <c r="CX45" i="14"/>
  <c r="CX42" i="14"/>
  <c r="CX41" i="14"/>
  <c r="CX40" i="14"/>
  <c r="CX39" i="14"/>
  <c r="CX38" i="14"/>
  <c r="CX37" i="14"/>
  <c r="CX34" i="14"/>
  <c r="CX33" i="14"/>
  <c r="CX32" i="14"/>
  <c r="CX31" i="14"/>
  <c r="CX30" i="14"/>
  <c r="CX29" i="14"/>
  <c r="CX28" i="14"/>
  <c r="CX27" i="14"/>
  <c r="CX26" i="14"/>
  <c r="CX8" i="14"/>
  <c r="CX7" i="14"/>
  <c r="CY7" i="14" s="1"/>
  <c r="CW95" i="14"/>
  <c r="CW87" i="14"/>
  <c r="CW81" i="14"/>
  <c r="CW78" i="14"/>
  <c r="CW77" i="14"/>
  <c r="CW74" i="14"/>
  <c r="CW72" i="14"/>
  <c r="CW67" i="14"/>
  <c r="CW62" i="14"/>
  <c r="CW61" i="14"/>
  <c r="CW55" i="14"/>
  <c r="CW54" i="14"/>
  <c r="CW53" i="14"/>
  <c r="CW52" i="14"/>
  <c r="CW51" i="14"/>
  <c r="CW46" i="14"/>
  <c r="CW45" i="14"/>
  <c r="CW42" i="14"/>
  <c r="CW41" i="14"/>
  <c r="CW40" i="14"/>
  <c r="CW39" i="14"/>
  <c r="CW38" i="14"/>
  <c r="CW37" i="14"/>
  <c r="CW34" i="14"/>
  <c r="CW33" i="14"/>
  <c r="CW32" i="14"/>
  <c r="CW31" i="14"/>
  <c r="CW30" i="14"/>
  <c r="CW29" i="14"/>
  <c r="CW28" i="14"/>
  <c r="CW27" i="14"/>
  <c r="CW26" i="14"/>
  <c r="CW8" i="14"/>
  <c r="CW7" i="14"/>
  <c r="CV58" i="14" l="1"/>
  <c r="CV70" i="14"/>
  <c r="CV48" i="14"/>
  <c r="CV64" i="14"/>
  <c r="CU44" i="14"/>
  <c r="CU86" i="14"/>
  <c r="CU80" i="14"/>
  <c r="CU75" i="14"/>
  <c r="CU73" i="14"/>
  <c r="CU71" i="14"/>
  <c r="CU66" i="14"/>
  <c r="CU60" i="14"/>
  <c r="CU50" i="14"/>
  <c r="CU58" i="14" s="1"/>
  <c r="CU13" i="14" s="1"/>
  <c r="CU36" i="14"/>
  <c r="CU24" i="14"/>
  <c r="CU21" i="14"/>
  <c r="CU16" i="14"/>
  <c r="CU15" i="14"/>
  <c r="CU9" i="14"/>
  <c r="CU91" i="14" s="1"/>
  <c r="CV13" i="14" l="1"/>
  <c r="CV89" i="14"/>
  <c r="CV14" i="14"/>
  <c r="CV12" i="14"/>
  <c r="CU64" i="14"/>
  <c r="CU14" i="14" s="1"/>
  <c r="CU70" i="14"/>
  <c r="CU48" i="14"/>
  <c r="CU12" i="14" s="1"/>
  <c r="CV93" i="14" l="1"/>
  <c r="CV17" i="14"/>
  <c r="CU17" i="14"/>
  <c r="CU89" i="14"/>
  <c r="CT56" i="14"/>
  <c r="CW56" i="14" s="1"/>
  <c r="CU93" i="14" l="1"/>
  <c r="CT25" i="14"/>
  <c r="CW25" i="14" s="1"/>
  <c r="CT21" i="14" l="1"/>
  <c r="CT86" i="14"/>
  <c r="CT76" i="14"/>
  <c r="CW76" i="14" s="1"/>
  <c r="CT68" i="14"/>
  <c r="CT80" i="14"/>
  <c r="CT73" i="14"/>
  <c r="CT71" i="14"/>
  <c r="CT60" i="14"/>
  <c r="CT64" i="14" s="1"/>
  <c r="CT50" i="14"/>
  <c r="CT44" i="14"/>
  <c r="CT36" i="14"/>
  <c r="CT24" i="14"/>
  <c r="CT75" i="14" l="1"/>
  <c r="CT66" i="14"/>
  <c r="CT89" i="14" s="1"/>
  <c r="CW68" i="14"/>
  <c r="CT58" i="14"/>
  <c r="CT13" i="14" s="1"/>
  <c r="CT48" i="14"/>
  <c r="CT12" i="14" s="1"/>
  <c r="CT70" i="14"/>
  <c r="CT16" i="14"/>
  <c r="CT15" i="14"/>
  <c r="CT14" i="14"/>
  <c r="CT9" i="14"/>
  <c r="CT91" i="14" s="1"/>
  <c r="CT93" i="14" l="1"/>
  <c r="CT17" i="14"/>
  <c r="CM38" i="14" l="1"/>
  <c r="CS9" i="14"/>
  <c r="CK87" i="14"/>
  <c r="CK56" i="14"/>
  <c r="CS86" i="14"/>
  <c r="CW86" i="14" s="1"/>
  <c r="CS75" i="14"/>
  <c r="CW75" i="14" s="1"/>
  <c r="CS73" i="14"/>
  <c r="CW73" i="14" s="1"/>
  <c r="CS71" i="14"/>
  <c r="CW71" i="14" s="1"/>
  <c r="CS80" i="14"/>
  <c r="CW80" i="14" s="1"/>
  <c r="CS66" i="14"/>
  <c r="CS60" i="14"/>
  <c r="CS50" i="14"/>
  <c r="CW50" i="14" s="1"/>
  <c r="CS44" i="14"/>
  <c r="CW44" i="14" s="1"/>
  <c r="CS36" i="14"/>
  <c r="CW36" i="14" s="1"/>
  <c r="CS24" i="14"/>
  <c r="CW24" i="14" s="1"/>
  <c r="CS21" i="14"/>
  <c r="CW21" i="14" s="1"/>
  <c r="CS91" i="14" l="1"/>
  <c r="CW91" i="14" s="1"/>
  <c r="CW9" i="14"/>
  <c r="CW66" i="14"/>
  <c r="CS64" i="14"/>
  <c r="CW60" i="14"/>
  <c r="CS58" i="14"/>
  <c r="CS48" i="14"/>
  <c r="CS16" i="14"/>
  <c r="CW16" i="14" s="1"/>
  <c r="CS70" i="14"/>
  <c r="CW70" i="14" s="1"/>
  <c r="CS14" i="14"/>
  <c r="CW14" i="14" s="1"/>
  <c r="CQ25" i="14"/>
  <c r="CX25" i="14" l="1"/>
  <c r="CS84" i="14"/>
  <c r="CS15" i="14" s="1"/>
  <c r="CW15" i="14" s="1"/>
  <c r="CS89" i="14"/>
  <c r="CW89" i="14" s="1"/>
  <c r="CS13" i="14"/>
  <c r="CW13" i="14" s="1"/>
  <c r="CS12" i="14"/>
  <c r="CW12" i="14" s="1"/>
  <c r="CL53" i="14"/>
  <c r="CL51" i="14"/>
  <c r="CJ53" i="14"/>
  <c r="CJ51" i="14"/>
  <c r="CS93" i="14" l="1"/>
  <c r="CW93" i="14" s="1"/>
  <c r="CS17" i="14"/>
  <c r="CW17" i="14" s="1"/>
  <c r="CZ7" i="14" l="1"/>
  <c r="CZ8" i="14"/>
  <c r="CZ25" i="14"/>
  <c r="CZ26" i="14"/>
  <c r="CZ28" i="14"/>
  <c r="CZ29" i="14"/>
  <c r="CZ30" i="14"/>
  <c r="CZ31" i="14"/>
  <c r="CZ32" i="14"/>
  <c r="CZ33" i="14"/>
  <c r="CZ34" i="14"/>
  <c r="CZ37" i="14"/>
  <c r="CZ38" i="14"/>
  <c r="CZ39" i="14"/>
  <c r="CZ40" i="14"/>
  <c r="CZ41" i="14"/>
  <c r="CZ42" i="14"/>
  <c r="CZ45" i="14"/>
  <c r="CZ46" i="14"/>
  <c r="CZ51" i="14"/>
  <c r="CZ52" i="14"/>
  <c r="CZ53" i="14"/>
  <c r="CZ54" i="14"/>
  <c r="CZ55" i="14"/>
  <c r="CZ56" i="14"/>
  <c r="CZ61" i="14"/>
  <c r="CZ62" i="14"/>
  <c r="CZ67" i="14"/>
  <c r="CZ72" i="14"/>
  <c r="CZ74" i="14"/>
  <c r="CZ76" i="14"/>
  <c r="CZ78" i="14"/>
  <c r="CZ81" i="14"/>
  <c r="CZ87" i="14"/>
  <c r="CZ95" i="14"/>
  <c r="CQ86" i="14"/>
  <c r="CQ80" i="14"/>
  <c r="CQ75" i="14"/>
  <c r="CQ73" i="14"/>
  <c r="CX73" i="14" s="1"/>
  <c r="CQ71" i="14"/>
  <c r="CQ66" i="14"/>
  <c r="CQ60" i="14"/>
  <c r="CQ50" i="14"/>
  <c r="CQ44" i="14"/>
  <c r="CQ36" i="14"/>
  <c r="CQ24" i="14"/>
  <c r="CX24" i="14" s="1"/>
  <c r="CQ21" i="14"/>
  <c r="CX21" i="14" s="1"/>
  <c r="CQ16" i="14"/>
  <c r="CX16" i="14" s="1"/>
  <c r="CQ9" i="14"/>
  <c r="CR95" i="14"/>
  <c r="CR87" i="14"/>
  <c r="CR81" i="14"/>
  <c r="CR78" i="14"/>
  <c r="CR76" i="14"/>
  <c r="CR74" i="14"/>
  <c r="CR72" i="14"/>
  <c r="CR67" i="14"/>
  <c r="CR62" i="14"/>
  <c r="CR61" i="14"/>
  <c r="CR56" i="14"/>
  <c r="CR55" i="14"/>
  <c r="CR54" i="14"/>
  <c r="CR53" i="14"/>
  <c r="CR52" i="14"/>
  <c r="CR51" i="14"/>
  <c r="CR46" i="14"/>
  <c r="CR45" i="14"/>
  <c r="CR42" i="14"/>
  <c r="CR41" i="14"/>
  <c r="CR40" i="14"/>
  <c r="CR39" i="14"/>
  <c r="CR38" i="14"/>
  <c r="CR37" i="14"/>
  <c r="CR34" i="14"/>
  <c r="CR33" i="14"/>
  <c r="CR32" i="14"/>
  <c r="CR31" i="14"/>
  <c r="CR30" i="14"/>
  <c r="CR29" i="14"/>
  <c r="CR28" i="14"/>
  <c r="CR27" i="14"/>
  <c r="CR26" i="14"/>
  <c r="CR25" i="14"/>
  <c r="CR8" i="14"/>
  <c r="CR7" i="14"/>
  <c r="CX44" i="14" l="1"/>
  <c r="CX71" i="14"/>
  <c r="CX86" i="14"/>
  <c r="CQ64" i="14"/>
  <c r="CQ14" i="14" s="1"/>
  <c r="CX14" i="14" s="1"/>
  <c r="CY14" i="14" s="1"/>
  <c r="CX60" i="14"/>
  <c r="CY60" i="14" s="1"/>
  <c r="CX75" i="14"/>
  <c r="CQ58" i="14"/>
  <c r="CQ13" i="14" s="1"/>
  <c r="CX13" i="14" s="1"/>
  <c r="CY13" i="14" s="1"/>
  <c r="CX50" i="14"/>
  <c r="CQ91" i="14"/>
  <c r="CX9" i="14"/>
  <c r="CX36" i="14"/>
  <c r="CX66" i="14"/>
  <c r="CX80" i="14"/>
  <c r="DA40" i="14"/>
  <c r="DA76" i="14"/>
  <c r="DA38" i="14"/>
  <c r="DA42" i="14"/>
  <c r="DA72" i="14"/>
  <c r="DA81" i="14"/>
  <c r="DA8" i="14"/>
  <c r="DA56" i="14"/>
  <c r="DA52" i="14"/>
  <c r="DA32" i="14"/>
  <c r="DA28" i="14"/>
  <c r="DA95" i="14"/>
  <c r="DA62" i="14"/>
  <c r="DA54" i="14"/>
  <c r="DA46" i="14"/>
  <c r="DA30" i="14"/>
  <c r="DA26" i="14"/>
  <c r="DA31" i="14"/>
  <c r="DA51" i="14"/>
  <c r="DA67" i="14"/>
  <c r="DA25" i="14"/>
  <c r="DA29" i="14"/>
  <c r="DA53" i="14"/>
  <c r="DA39" i="14"/>
  <c r="CQ70" i="14"/>
  <c r="CQ48" i="14"/>
  <c r="CX91" i="14" l="1"/>
  <c r="CX70" i="14"/>
  <c r="DA7" i="14"/>
  <c r="DA87" i="14"/>
  <c r="DA45" i="14"/>
  <c r="DA41" i="14"/>
  <c r="DA55" i="14"/>
  <c r="DA37" i="14"/>
  <c r="DA61" i="14"/>
  <c r="CQ12" i="14"/>
  <c r="CX12" i="14" s="1"/>
  <c r="CQ84" i="14"/>
  <c r="CX89" i="14" l="1"/>
  <c r="CY89" i="14" s="1"/>
  <c r="CQ93" i="14"/>
  <c r="CQ15" i="14"/>
  <c r="CX15" i="14" s="1"/>
  <c r="CY15" i="14" s="1"/>
  <c r="CP71" i="14"/>
  <c r="CP73" i="14"/>
  <c r="CP75" i="14"/>
  <c r="CP80" i="14"/>
  <c r="CP86" i="14"/>
  <c r="CP66" i="14"/>
  <c r="CP60" i="14"/>
  <c r="CP50" i="14"/>
  <c r="CP44" i="14"/>
  <c r="CP36" i="14"/>
  <c r="CP24" i="14"/>
  <c r="CP21" i="14"/>
  <c r="CP16" i="14"/>
  <c r="CP9" i="14"/>
  <c r="CX93" i="14" l="1"/>
  <c r="CY93" i="14" s="1"/>
  <c r="CP58" i="14"/>
  <c r="CP64" i="14"/>
  <c r="CP91" i="14"/>
  <c r="CQ17" i="14"/>
  <c r="CX17" i="14" s="1"/>
  <c r="CY17" i="14" s="1"/>
  <c r="CP70" i="14"/>
  <c r="CP48" i="14"/>
  <c r="CJ68" i="14"/>
  <c r="CP14" i="14" l="1"/>
  <c r="CP13" i="14"/>
  <c r="CP89" i="14"/>
  <c r="CP12" i="14"/>
  <c r="CP84" i="14"/>
  <c r="CL66" i="14"/>
  <c r="CI66" i="14"/>
  <c r="CH66" i="14"/>
  <c r="CG66" i="14"/>
  <c r="CJ66" i="14"/>
  <c r="CK67" i="14"/>
  <c r="CM68" i="14"/>
  <c r="CF77" i="14"/>
  <c r="CF75" i="14" s="1"/>
  <c r="CJ77" i="14"/>
  <c r="CI75" i="14"/>
  <c r="CG75" i="14"/>
  <c r="CH77" i="14"/>
  <c r="CH75" i="14" s="1"/>
  <c r="CK76" i="14"/>
  <c r="CM77" i="14"/>
  <c r="CL77" i="14"/>
  <c r="CM86" i="14"/>
  <c r="CM80" i="14"/>
  <c r="CM73" i="14"/>
  <c r="CM71" i="14"/>
  <c r="CM60" i="14"/>
  <c r="CM50" i="14"/>
  <c r="CM44" i="14"/>
  <c r="CM36" i="14"/>
  <c r="CM24" i="14"/>
  <c r="CM21" i="14"/>
  <c r="CM16" i="14"/>
  <c r="CM9" i="14"/>
  <c r="CM91" i="14" l="1"/>
  <c r="CZ68" i="14"/>
  <c r="CM75" i="14"/>
  <c r="CM58" i="14"/>
  <c r="CZ77" i="14"/>
  <c r="CJ75" i="14"/>
  <c r="CR68" i="14"/>
  <c r="DA68" i="14" s="1"/>
  <c r="CL75" i="14"/>
  <c r="CR77" i="14"/>
  <c r="CP93" i="14"/>
  <c r="CM66" i="14"/>
  <c r="CP15" i="14"/>
  <c r="CM64" i="14"/>
  <c r="CM48" i="14"/>
  <c r="CL21" i="14"/>
  <c r="CL86" i="14"/>
  <c r="CL80" i="14"/>
  <c r="CL73" i="14"/>
  <c r="CL71" i="14"/>
  <c r="CL60" i="14"/>
  <c r="CL50" i="14"/>
  <c r="CL44" i="14"/>
  <c r="CL36" i="14"/>
  <c r="CL24" i="14"/>
  <c r="CL16" i="14"/>
  <c r="CL9" i="14"/>
  <c r="CM70" i="14" l="1"/>
  <c r="CR66" i="14"/>
  <c r="CM13" i="14"/>
  <c r="CZ66" i="14"/>
  <c r="DA66" i="14" s="1"/>
  <c r="CZ75" i="14"/>
  <c r="DA77" i="14"/>
  <c r="CR16" i="14"/>
  <c r="CR50" i="14"/>
  <c r="CR80" i="14"/>
  <c r="CR24" i="14"/>
  <c r="CR60" i="14"/>
  <c r="CR86" i="14"/>
  <c r="CR36" i="14"/>
  <c r="CR71" i="14"/>
  <c r="CR21" i="14"/>
  <c r="CR75" i="14"/>
  <c r="CR9" i="14"/>
  <c r="CR44" i="14"/>
  <c r="CR73" i="14"/>
  <c r="CL58" i="14"/>
  <c r="CL64" i="14"/>
  <c r="CP17" i="14"/>
  <c r="CM89" i="14"/>
  <c r="CM84" i="14"/>
  <c r="CM14" i="14"/>
  <c r="CM12" i="14"/>
  <c r="CL91" i="14"/>
  <c r="CL70" i="14"/>
  <c r="CL48" i="14"/>
  <c r="CJ21" i="14"/>
  <c r="CJ16" i="14"/>
  <c r="CJ9" i="14"/>
  <c r="CJ86" i="14"/>
  <c r="CJ80" i="14"/>
  <c r="CJ73" i="14"/>
  <c r="CJ71" i="14"/>
  <c r="CJ60" i="14"/>
  <c r="CJ50" i="14"/>
  <c r="CJ44" i="14"/>
  <c r="CJ24" i="14"/>
  <c r="CJ36" i="14"/>
  <c r="CK95" i="14"/>
  <c r="CK81" i="14"/>
  <c r="CK78" i="14"/>
  <c r="CK77" i="14"/>
  <c r="CK74" i="14"/>
  <c r="CK72" i="14"/>
  <c r="CK68" i="14"/>
  <c r="CK62" i="14"/>
  <c r="CK61" i="14"/>
  <c r="CK55" i="14"/>
  <c r="CK54" i="14"/>
  <c r="CK53" i="14"/>
  <c r="CK52" i="14"/>
  <c r="CK51" i="14"/>
  <c r="CK46" i="14"/>
  <c r="CK45" i="14"/>
  <c r="CK42" i="14"/>
  <c r="CK41" i="14"/>
  <c r="CK40" i="14"/>
  <c r="CK39" i="14"/>
  <c r="CK38" i="14"/>
  <c r="CK37" i="14"/>
  <c r="CK34" i="14"/>
  <c r="CK33" i="14"/>
  <c r="CK32" i="14"/>
  <c r="CK31" i="14"/>
  <c r="CK30" i="14"/>
  <c r="CK29" i="14"/>
  <c r="CK28" i="14"/>
  <c r="CK26" i="14"/>
  <c r="CK25" i="14"/>
  <c r="CK8" i="14"/>
  <c r="CK7" i="14"/>
  <c r="CR91" i="14" l="1"/>
  <c r="CJ58" i="14"/>
  <c r="CJ64" i="14"/>
  <c r="CR48" i="14"/>
  <c r="CR64" i="14"/>
  <c r="CJ91" i="14"/>
  <c r="CR70" i="14"/>
  <c r="CR58" i="14"/>
  <c r="CL13" i="14"/>
  <c r="CL14" i="14"/>
  <c r="CL84" i="14"/>
  <c r="CM93" i="14"/>
  <c r="CM15" i="14"/>
  <c r="CL89" i="14"/>
  <c r="CL12" i="14"/>
  <c r="CJ70" i="14"/>
  <c r="CJ48" i="14"/>
  <c r="CI86" i="14"/>
  <c r="CI80" i="14"/>
  <c r="CI73" i="14"/>
  <c r="CI71" i="14"/>
  <c r="CI60" i="14"/>
  <c r="CI50" i="14"/>
  <c r="CI44" i="14"/>
  <c r="CI36" i="14"/>
  <c r="CI24" i="14"/>
  <c r="CI21" i="14"/>
  <c r="CI16" i="14"/>
  <c r="CI9" i="14"/>
  <c r="CM17" i="14" l="1"/>
  <c r="DA75" i="14"/>
  <c r="CJ84" i="14"/>
  <c r="CR12" i="14"/>
  <c r="CJ13" i="14"/>
  <c r="CR89" i="14"/>
  <c r="CR14" i="14"/>
  <c r="CJ12" i="14"/>
  <c r="CR13" i="14"/>
  <c r="CJ14" i="14"/>
  <c r="CL15" i="14"/>
  <c r="CR84" i="14"/>
  <c r="CI91" i="14"/>
  <c r="CL93" i="14"/>
  <c r="CI58" i="14"/>
  <c r="CJ89" i="14"/>
  <c r="CI64" i="14"/>
  <c r="CI70" i="14"/>
  <c r="CI48" i="14"/>
  <c r="CR15" i="14" l="1"/>
  <c r="CR93" i="14"/>
  <c r="CJ15" i="14"/>
  <c r="CJ93" i="14"/>
  <c r="CL17" i="14"/>
  <c r="CI13" i="14"/>
  <c r="CI84" i="14"/>
  <c r="CI89" i="14"/>
  <c r="CI14" i="14"/>
  <c r="CI12" i="14"/>
  <c r="CJ17" i="14" l="1"/>
  <c r="CR17" i="14"/>
  <c r="CI15" i="14"/>
  <c r="CI93" i="14"/>
  <c r="CH27" i="14"/>
  <c r="CH50" i="14"/>
  <c r="CG50" i="14"/>
  <c r="CE50" i="14"/>
  <c r="CD50" i="14"/>
  <c r="CC50" i="14"/>
  <c r="CB50" i="14"/>
  <c r="CF56" i="14"/>
  <c r="CH86" i="14"/>
  <c r="CH80" i="14"/>
  <c r="CH73" i="14"/>
  <c r="CH71" i="14"/>
  <c r="CH60" i="14"/>
  <c r="CH64" i="14" s="1"/>
  <c r="CH44" i="14"/>
  <c r="CH36" i="14"/>
  <c r="CH9" i="14"/>
  <c r="CH91" i="14" s="1"/>
  <c r="CH21" i="14"/>
  <c r="CH16" i="14"/>
  <c r="CZ50" i="14" l="1"/>
  <c r="DA50" i="14" s="1"/>
  <c r="CZ27" i="14"/>
  <c r="DA27" i="14" s="1"/>
  <c r="CI17" i="14"/>
  <c r="CK27" i="14"/>
  <c r="CH24" i="14"/>
  <c r="CH48" i="14" s="1"/>
  <c r="CH58" i="14"/>
  <c r="CH70" i="14"/>
  <c r="CH14" i="14"/>
  <c r="CH13" i="14" l="1"/>
  <c r="CH84" i="14"/>
  <c r="CH89" i="14"/>
  <c r="CH12" i="14"/>
  <c r="CG86" i="14"/>
  <c r="CG80" i="14"/>
  <c r="CG73" i="14"/>
  <c r="CG71" i="14"/>
  <c r="CG60" i="14"/>
  <c r="CG58" i="14"/>
  <c r="CG44" i="14"/>
  <c r="CG36" i="14"/>
  <c r="CG24" i="14"/>
  <c r="CG21" i="14"/>
  <c r="CG16" i="14"/>
  <c r="CG9" i="14"/>
  <c r="CZ24" i="14" l="1"/>
  <c r="DA24" i="14" s="1"/>
  <c r="CZ60" i="14"/>
  <c r="DA60" i="14" s="1"/>
  <c r="CZ86" i="14"/>
  <c r="DA86" i="14" s="1"/>
  <c r="CZ9" i="14"/>
  <c r="DA9" i="14" s="1"/>
  <c r="CZ36" i="14"/>
  <c r="DA36" i="14" s="1"/>
  <c r="CZ71" i="14"/>
  <c r="DA71" i="14" s="1"/>
  <c r="CZ16" i="14"/>
  <c r="DA16" i="14" s="1"/>
  <c r="CZ44" i="14"/>
  <c r="DA44" i="14" s="1"/>
  <c r="CZ73" i="14"/>
  <c r="CZ21" i="14"/>
  <c r="CZ58" i="14"/>
  <c r="DA58" i="14" s="1"/>
  <c r="CZ80" i="14"/>
  <c r="DA80" i="14" s="1"/>
  <c r="CH15" i="14"/>
  <c r="CH17" i="14" s="1"/>
  <c r="CH93" i="14"/>
  <c r="CK71" i="14"/>
  <c r="CK24" i="14"/>
  <c r="CK44" i="14"/>
  <c r="CK60" i="14"/>
  <c r="CK75" i="14"/>
  <c r="CK9" i="14"/>
  <c r="CK21" i="14"/>
  <c r="CK36" i="14"/>
  <c r="CK58" i="14"/>
  <c r="CK66" i="14"/>
  <c r="CK73" i="14"/>
  <c r="CK80" i="14"/>
  <c r="CG64" i="14"/>
  <c r="CG91" i="14"/>
  <c r="CG70" i="14"/>
  <c r="CG48" i="14"/>
  <c r="CG13" i="14"/>
  <c r="CZ91" i="14" l="1"/>
  <c r="DA91" i="14" s="1"/>
  <c r="CZ13" i="14"/>
  <c r="DA13" i="14" s="1"/>
  <c r="CZ70" i="14"/>
  <c r="DA70" i="14" s="1"/>
  <c r="CK91" i="14"/>
  <c r="CK70" i="14"/>
  <c r="CK48" i="14"/>
  <c r="CK64" i="14"/>
  <c r="CG14" i="14"/>
  <c r="CG89" i="14"/>
  <c r="CG12" i="14"/>
  <c r="CG84" i="14"/>
  <c r="BQ55" i="14"/>
  <c r="CE75" i="14"/>
  <c r="CE73" i="14"/>
  <c r="CE71" i="14"/>
  <c r="CF95" i="14"/>
  <c r="CF87" i="14"/>
  <c r="CF81" i="14"/>
  <c r="CF78" i="14"/>
  <c r="CF74" i="14"/>
  <c r="CF72" i="14"/>
  <c r="CF68" i="14"/>
  <c r="CF62" i="14"/>
  <c r="CF61" i="14"/>
  <c r="CF55" i="14"/>
  <c r="CF54" i="14"/>
  <c r="CF53" i="14"/>
  <c r="CF52" i="14"/>
  <c r="CF51" i="14"/>
  <c r="CF46" i="14"/>
  <c r="CF45" i="14"/>
  <c r="CF42" i="14"/>
  <c r="CF41" i="14"/>
  <c r="CF40" i="14"/>
  <c r="CF39" i="14"/>
  <c r="CF38" i="14"/>
  <c r="CF37" i="14"/>
  <c r="CF34" i="14"/>
  <c r="CF33" i="14"/>
  <c r="CF32" i="14"/>
  <c r="CF31" i="14"/>
  <c r="CF30" i="14"/>
  <c r="CF29" i="14"/>
  <c r="CF28" i="14"/>
  <c r="CF27" i="14"/>
  <c r="CF26" i="14"/>
  <c r="CF8" i="14"/>
  <c r="CF7" i="14"/>
  <c r="CE86" i="14"/>
  <c r="CE80" i="14"/>
  <c r="CE66" i="14"/>
  <c r="CE60" i="14"/>
  <c r="CE58" i="14"/>
  <c r="CE44" i="14"/>
  <c r="CE36" i="14"/>
  <c r="CE24" i="14"/>
  <c r="CE21" i="14"/>
  <c r="CE16" i="14"/>
  <c r="CE9" i="14"/>
  <c r="CZ14" i="14" l="1"/>
  <c r="DA14" i="14" s="1"/>
  <c r="CZ84" i="14"/>
  <c r="DA84" i="14" s="1"/>
  <c r="CZ12" i="14"/>
  <c r="DA12" i="14" s="1"/>
  <c r="CZ89" i="14"/>
  <c r="DA89" i="14" s="1"/>
  <c r="CK84" i="14"/>
  <c r="CK89" i="14"/>
  <c r="CK12" i="14"/>
  <c r="CK14" i="14"/>
  <c r="CE91" i="14"/>
  <c r="CE13" i="14"/>
  <c r="CE64" i="14"/>
  <c r="CG93" i="14"/>
  <c r="CG15" i="14"/>
  <c r="CF50" i="14"/>
  <c r="CE70" i="14"/>
  <c r="CE48" i="14"/>
  <c r="CD71" i="14"/>
  <c r="CD73" i="14"/>
  <c r="CD75" i="14"/>
  <c r="CD16" i="14"/>
  <c r="CD9" i="14"/>
  <c r="CD86" i="14"/>
  <c r="CD80" i="14"/>
  <c r="CD66" i="14"/>
  <c r="CD60" i="14"/>
  <c r="CD58" i="14"/>
  <c r="CD44" i="14"/>
  <c r="CD36" i="14"/>
  <c r="CD24" i="14"/>
  <c r="CD21" i="14"/>
  <c r="CZ15" i="14" l="1"/>
  <c r="DA15" i="14" s="1"/>
  <c r="CZ93" i="14"/>
  <c r="DA93" i="14" s="1"/>
  <c r="CK93" i="14"/>
  <c r="CK15" i="14"/>
  <c r="CE14" i="14"/>
  <c r="CD64" i="14"/>
  <c r="CD13" i="14"/>
  <c r="CD91" i="14"/>
  <c r="CG17" i="14"/>
  <c r="CE89" i="14"/>
  <c r="CE84" i="14"/>
  <c r="CE12" i="14"/>
  <c r="CD70" i="14"/>
  <c r="CD48" i="14"/>
  <c r="CZ17" i="14" l="1"/>
  <c r="DA17" i="14" s="1"/>
  <c r="CK17" i="14"/>
  <c r="CE93" i="14"/>
  <c r="CD12" i="14"/>
  <c r="CD14" i="14"/>
  <c r="CE15" i="14"/>
  <c r="CD89" i="14"/>
  <c r="CD84" i="14"/>
  <c r="CC86" i="14"/>
  <c r="CC80" i="14"/>
  <c r="CC75" i="14"/>
  <c r="CC73" i="14"/>
  <c r="CC71" i="14"/>
  <c r="CC66" i="14"/>
  <c r="CC60" i="14"/>
  <c r="CC58" i="14"/>
  <c r="CC44" i="14"/>
  <c r="CC36" i="14"/>
  <c r="CC24" i="14"/>
  <c r="CC21" i="14"/>
  <c r="CC16" i="14"/>
  <c r="CC9" i="14"/>
  <c r="CE17" i="14" l="1"/>
  <c r="CD93" i="14"/>
  <c r="CD15" i="14"/>
  <c r="CD17" i="14" s="1"/>
  <c r="CC91" i="14"/>
  <c r="CC64" i="14"/>
  <c r="CC14" i="14" s="1"/>
  <c r="CC70" i="14"/>
  <c r="CC13" i="14"/>
  <c r="CC48" i="14"/>
  <c r="CC12" i="14" l="1"/>
  <c r="CC84" i="14"/>
  <c r="CC89" i="14"/>
  <c r="CB25" i="14"/>
  <c r="CB86" i="14"/>
  <c r="CB80" i="14"/>
  <c r="CB75" i="14"/>
  <c r="CB73" i="14"/>
  <c r="CB71" i="14"/>
  <c r="CB66" i="14"/>
  <c r="CB60" i="14"/>
  <c r="CB58" i="14"/>
  <c r="CB44" i="14"/>
  <c r="CB36" i="14"/>
  <c r="CB21" i="14"/>
  <c r="CB16" i="14"/>
  <c r="CB9" i="14"/>
  <c r="CA95" i="14"/>
  <c r="BT86" i="14"/>
  <c r="BT80" i="14"/>
  <c r="BT75" i="14"/>
  <c r="BT73" i="14"/>
  <c r="BT71" i="14"/>
  <c r="BT66" i="14"/>
  <c r="BT60" i="14"/>
  <c r="BT50" i="14"/>
  <c r="BT44" i="14"/>
  <c r="BT36" i="14"/>
  <c r="BT24" i="14"/>
  <c r="BT21" i="14"/>
  <c r="BT16" i="14"/>
  <c r="BT9" i="14"/>
  <c r="CA7" i="14"/>
  <c r="CA25" i="14"/>
  <c r="CA26" i="14"/>
  <c r="CA27" i="14"/>
  <c r="CA28" i="14"/>
  <c r="CA29" i="14"/>
  <c r="CA30" i="14"/>
  <c r="CA31" i="14"/>
  <c r="CA32" i="14"/>
  <c r="CA33" i="14"/>
  <c r="CA34" i="14"/>
  <c r="CA37" i="14"/>
  <c r="CA38" i="14"/>
  <c r="CA39" i="14"/>
  <c r="CA40" i="14"/>
  <c r="CA41" i="14"/>
  <c r="CA42" i="14"/>
  <c r="CA45" i="14"/>
  <c r="CA51" i="14"/>
  <c r="CA52" i="14"/>
  <c r="CA53" i="14"/>
  <c r="CA54" i="14"/>
  <c r="CA55" i="14"/>
  <c r="CA61" i="14"/>
  <c r="CA62" i="14"/>
  <c r="CA68" i="14"/>
  <c r="CA72" i="14"/>
  <c r="CA74" i="14"/>
  <c r="CA77" i="14"/>
  <c r="CA78" i="14"/>
  <c r="CA81" i="14"/>
  <c r="CA87" i="14"/>
  <c r="BW95" i="14"/>
  <c r="BW87" i="14"/>
  <c r="BW81" i="14"/>
  <c r="BW78" i="14"/>
  <c r="BW77" i="14"/>
  <c r="BW74" i="14"/>
  <c r="BW72" i="14"/>
  <c r="BW68" i="14"/>
  <c r="BW62" i="14"/>
  <c r="BW61" i="14"/>
  <c r="BW55" i="14"/>
  <c r="BW54" i="14"/>
  <c r="BW53" i="14"/>
  <c r="BW52" i="14"/>
  <c r="BW51" i="14"/>
  <c r="BW45" i="14"/>
  <c r="BW42" i="14"/>
  <c r="BW41" i="14"/>
  <c r="BW40" i="14"/>
  <c r="BW39" i="14"/>
  <c r="BW38" i="14"/>
  <c r="BW37" i="14"/>
  <c r="BW34" i="14"/>
  <c r="BW33" i="14"/>
  <c r="BW32" i="14"/>
  <c r="BW31" i="14"/>
  <c r="BW30" i="14"/>
  <c r="BW29" i="14"/>
  <c r="BW28" i="14"/>
  <c r="BW27" i="14"/>
  <c r="BW26" i="14"/>
  <c r="BW25" i="14"/>
  <c r="BW22" i="14"/>
  <c r="BW7" i="14"/>
  <c r="BS71" i="14"/>
  <c r="BS86" i="14"/>
  <c r="BS80" i="14"/>
  <c r="BS75" i="14"/>
  <c r="BS73" i="14"/>
  <c r="BS66" i="14"/>
  <c r="BS60" i="14"/>
  <c r="BS64" i="14" s="1"/>
  <c r="BS50" i="14"/>
  <c r="BS58" i="14" s="1"/>
  <c r="BS13" i="14" s="1"/>
  <c r="BS44" i="14"/>
  <c r="BS36" i="14"/>
  <c r="BS24" i="14"/>
  <c r="BS21" i="14"/>
  <c r="BS16" i="14"/>
  <c r="BS9" i="14"/>
  <c r="BS91" i="14" s="1"/>
  <c r="BR46" i="14"/>
  <c r="BX46" i="14" s="1"/>
  <c r="BZ46" i="14" s="1"/>
  <c r="BR16" i="14"/>
  <c r="BQ16" i="14"/>
  <c r="BV95" i="14"/>
  <c r="BV87" i="14"/>
  <c r="BV81" i="14"/>
  <c r="BV78" i="14"/>
  <c r="BV77" i="14"/>
  <c r="BV74" i="14"/>
  <c r="BV72" i="14"/>
  <c r="BV68" i="14"/>
  <c r="BV62" i="14"/>
  <c r="BV61" i="14"/>
  <c r="BV55" i="14"/>
  <c r="BV54" i="14"/>
  <c r="BV53" i="14"/>
  <c r="BV52" i="14"/>
  <c r="BV51" i="14"/>
  <c r="BV45" i="14"/>
  <c r="BV42" i="14"/>
  <c r="BV41" i="14"/>
  <c r="BV40" i="14"/>
  <c r="BV39" i="14"/>
  <c r="BV38" i="14"/>
  <c r="BV37" i="14"/>
  <c r="BV34" i="14"/>
  <c r="BV33" i="14"/>
  <c r="BV32" i="14"/>
  <c r="BV31" i="14"/>
  <c r="BV30" i="14"/>
  <c r="BV29" i="14"/>
  <c r="BV28" i="14"/>
  <c r="BV27" i="14"/>
  <c r="BV26" i="14"/>
  <c r="BV25" i="14"/>
  <c r="BV22" i="14"/>
  <c r="BV7" i="14"/>
  <c r="BX95" i="14"/>
  <c r="BZ95" i="14" s="1"/>
  <c r="BX81" i="14"/>
  <c r="BZ81" i="14" s="1"/>
  <c r="BX78" i="14"/>
  <c r="BX77" i="14"/>
  <c r="BZ77" i="14" s="1"/>
  <c r="BX74" i="14"/>
  <c r="BX72" i="14"/>
  <c r="BZ72" i="14" s="1"/>
  <c r="BX68" i="14"/>
  <c r="BZ68" i="14" s="1"/>
  <c r="BX62" i="14"/>
  <c r="BZ62" i="14" s="1"/>
  <c r="BX55" i="14"/>
  <c r="BZ55" i="14" s="1"/>
  <c r="BX54" i="14"/>
  <c r="BZ54" i="14" s="1"/>
  <c r="BX53" i="14"/>
  <c r="BZ53" i="14" s="1"/>
  <c r="BX52" i="14"/>
  <c r="BZ52" i="14" s="1"/>
  <c r="BX51" i="14"/>
  <c r="BZ51" i="14" s="1"/>
  <c r="BX45" i="14"/>
  <c r="BZ45" i="14" s="1"/>
  <c r="BX42" i="14"/>
  <c r="BZ42" i="14" s="1"/>
  <c r="BX41" i="14"/>
  <c r="BZ41" i="14" s="1"/>
  <c r="BX40" i="14"/>
  <c r="BZ40" i="14" s="1"/>
  <c r="BX39" i="14"/>
  <c r="BZ39" i="14" s="1"/>
  <c r="BX38" i="14"/>
  <c r="BZ38" i="14" s="1"/>
  <c r="BX37" i="14"/>
  <c r="BZ37" i="14" s="1"/>
  <c r="BX34" i="14"/>
  <c r="BX33" i="14"/>
  <c r="BX32" i="14"/>
  <c r="BZ32" i="14" s="1"/>
  <c r="BX31" i="14"/>
  <c r="BZ31" i="14" s="1"/>
  <c r="BX30" i="14"/>
  <c r="BX29" i="14"/>
  <c r="BZ29" i="14" s="1"/>
  <c r="BX28" i="14"/>
  <c r="BZ28" i="14" s="1"/>
  <c r="BX27" i="14"/>
  <c r="BZ27" i="14" s="1"/>
  <c r="BX26" i="14"/>
  <c r="BZ26" i="14" s="1"/>
  <c r="BX25" i="14"/>
  <c r="BZ25" i="14" s="1"/>
  <c r="BX22" i="14"/>
  <c r="BZ22" i="14" s="1"/>
  <c r="BX8" i="14"/>
  <c r="BZ8" i="14" s="1"/>
  <c r="BX7" i="14"/>
  <c r="BZ7" i="14" s="1"/>
  <c r="BR86" i="14"/>
  <c r="BR80" i="14"/>
  <c r="BR75" i="14"/>
  <c r="BR73" i="14"/>
  <c r="BR71" i="14"/>
  <c r="BR66" i="14"/>
  <c r="BR60" i="14"/>
  <c r="BR64" i="14" s="1"/>
  <c r="BR14" i="14" s="1"/>
  <c r="BR50" i="14"/>
  <c r="BR36" i="14"/>
  <c r="BR24" i="14"/>
  <c r="BR21" i="14"/>
  <c r="BR9" i="14"/>
  <c r="BR91" i="14" s="1"/>
  <c r="BL55" i="14"/>
  <c r="BQ8" i="14"/>
  <c r="BW8" i="14" s="1"/>
  <c r="BQ86" i="14"/>
  <c r="BQ36" i="14"/>
  <c r="BU7" i="14"/>
  <c r="BY7" i="14" s="1"/>
  <c r="BU22" i="14"/>
  <c r="BY22" i="14" s="1"/>
  <c r="BU25" i="14"/>
  <c r="BY25" i="14" s="1"/>
  <c r="BU26" i="14"/>
  <c r="BY26" i="14" s="1"/>
  <c r="BU27" i="14"/>
  <c r="BY27" i="14" s="1"/>
  <c r="BU28" i="14"/>
  <c r="BY28" i="14" s="1"/>
  <c r="BU29" i="14"/>
  <c r="BY29" i="14" s="1"/>
  <c r="BU30" i="14"/>
  <c r="BY30" i="14" s="1"/>
  <c r="BU31" i="14"/>
  <c r="BY31" i="14" s="1"/>
  <c r="BU32" i="14"/>
  <c r="BY32" i="14" s="1"/>
  <c r="BU33" i="14"/>
  <c r="BY33" i="14" s="1"/>
  <c r="BU34" i="14"/>
  <c r="BY34" i="14" s="1"/>
  <c r="BU37" i="14"/>
  <c r="BY37" i="14" s="1"/>
  <c r="BU38" i="14"/>
  <c r="BY38" i="14" s="1"/>
  <c r="BU39" i="14"/>
  <c r="BY39" i="14" s="1"/>
  <c r="BU40" i="14"/>
  <c r="BY40" i="14" s="1"/>
  <c r="BU41" i="14"/>
  <c r="BY41" i="14" s="1"/>
  <c r="BU42" i="14"/>
  <c r="BY42" i="14" s="1"/>
  <c r="BU45" i="14"/>
  <c r="BY45" i="14" s="1"/>
  <c r="BU46" i="14"/>
  <c r="BY46" i="14" s="1"/>
  <c r="BU51" i="14"/>
  <c r="BY51" i="14" s="1"/>
  <c r="BU52" i="14"/>
  <c r="BY52" i="14" s="1"/>
  <c r="BU53" i="14"/>
  <c r="BY53" i="14" s="1"/>
  <c r="BU54" i="14"/>
  <c r="BY54" i="14" s="1"/>
  <c r="BU61" i="14"/>
  <c r="BY61" i="14" s="1"/>
  <c r="BU62" i="14"/>
  <c r="BY62" i="14" s="1"/>
  <c r="BU72" i="14"/>
  <c r="BY72" i="14" s="1"/>
  <c r="BU74" i="14"/>
  <c r="BY74" i="14" s="1"/>
  <c r="BU77" i="14"/>
  <c r="BY77" i="14" s="1"/>
  <c r="BU78" i="14"/>
  <c r="BY78" i="14" s="1"/>
  <c r="BU79" i="14"/>
  <c r="BU81" i="14"/>
  <c r="BY81" i="14" s="1"/>
  <c r="BU95" i="14"/>
  <c r="BY95" i="14" s="1"/>
  <c r="BQ80" i="14"/>
  <c r="BQ75" i="14"/>
  <c r="BV75" i="14" s="1"/>
  <c r="BQ73" i="14"/>
  <c r="BQ71" i="14"/>
  <c r="BQ66" i="14"/>
  <c r="BV66" i="14" s="1"/>
  <c r="BQ60" i="14"/>
  <c r="BQ64" i="14" s="1"/>
  <c r="BQ50" i="14"/>
  <c r="BQ44" i="14"/>
  <c r="BQ24" i="14"/>
  <c r="BV24" i="14" s="1"/>
  <c r="BQ21" i="14"/>
  <c r="BJ55" i="14"/>
  <c r="BJ50" i="14" s="1"/>
  <c r="BJ58" i="14" s="1"/>
  <c r="BJ13" i="14" s="1"/>
  <c r="BO71" i="14"/>
  <c r="BO73" i="14"/>
  <c r="BO75" i="14"/>
  <c r="BO80" i="14"/>
  <c r="BO66" i="14"/>
  <c r="BO60" i="14"/>
  <c r="BO50" i="14"/>
  <c r="BO58" i="14" s="1"/>
  <c r="BO13" i="14" s="1"/>
  <c r="BO44" i="14"/>
  <c r="BO36" i="14"/>
  <c r="BO24" i="14"/>
  <c r="BO21" i="14"/>
  <c r="BO9" i="14"/>
  <c r="BO91" i="14" s="1"/>
  <c r="BP95" i="14"/>
  <c r="BP81" i="14"/>
  <c r="BP78" i="14"/>
  <c r="BP77" i="14"/>
  <c r="BP74" i="14"/>
  <c r="BP72" i="14"/>
  <c r="BP62" i="14"/>
  <c r="BP54" i="14"/>
  <c r="BP53" i="14"/>
  <c r="BP52" i="14"/>
  <c r="BP51" i="14"/>
  <c r="BP46" i="14"/>
  <c r="BP45" i="14"/>
  <c r="BP42" i="14"/>
  <c r="BP41" i="14"/>
  <c r="BP40" i="14"/>
  <c r="BP39" i="14"/>
  <c r="BP38" i="14"/>
  <c r="BP37" i="14"/>
  <c r="BP34" i="14"/>
  <c r="BP33" i="14"/>
  <c r="BP32" i="14"/>
  <c r="BP31" i="14"/>
  <c r="BP30" i="14"/>
  <c r="BP29" i="14"/>
  <c r="BP28" i="14"/>
  <c r="BP27" i="14"/>
  <c r="BP26" i="14"/>
  <c r="BP25" i="14"/>
  <c r="BP22" i="14"/>
  <c r="BP8" i="14"/>
  <c r="BP7" i="14"/>
  <c r="BN80" i="14"/>
  <c r="BN75" i="14"/>
  <c r="BN73" i="14"/>
  <c r="BN71" i="14"/>
  <c r="BN66" i="14"/>
  <c r="BN60" i="14"/>
  <c r="BN64" i="14" s="1"/>
  <c r="BN14" i="14" s="1"/>
  <c r="BN50" i="14"/>
  <c r="BN58" i="14" s="1"/>
  <c r="BN13" i="14" s="1"/>
  <c r="BN9" i="14"/>
  <c r="BN91" i="14" s="1"/>
  <c r="BN21" i="14"/>
  <c r="BN24" i="14"/>
  <c r="BN36" i="14"/>
  <c r="BN44" i="14"/>
  <c r="BM61" i="14"/>
  <c r="BL68" i="14"/>
  <c r="BL66" i="14" s="1"/>
  <c r="BM80" i="14"/>
  <c r="BM75" i="14"/>
  <c r="BM73" i="14"/>
  <c r="BM71" i="14"/>
  <c r="BM66" i="14"/>
  <c r="BM50" i="14"/>
  <c r="BM58" i="14" s="1"/>
  <c r="BM13" i="14" s="1"/>
  <c r="BM44" i="14"/>
  <c r="BM36" i="14"/>
  <c r="BM24" i="14"/>
  <c r="BM21" i="14"/>
  <c r="BM9" i="14"/>
  <c r="BM91" i="14" s="1"/>
  <c r="BL9" i="14"/>
  <c r="BL91" i="14" s="1"/>
  <c r="BL21" i="14"/>
  <c r="BL24" i="14"/>
  <c r="BL36" i="14"/>
  <c r="BL44" i="14"/>
  <c r="BL60" i="14"/>
  <c r="BL64" i="14" s="1"/>
  <c r="BL71" i="14"/>
  <c r="BL73" i="14"/>
  <c r="BL75" i="14"/>
  <c r="BL80" i="14"/>
  <c r="BG9" i="14"/>
  <c r="BG91" i="14" s="1"/>
  <c r="BG21" i="14"/>
  <c r="BG24" i="14"/>
  <c r="BG36" i="14"/>
  <c r="BG44" i="14"/>
  <c r="BG55" i="14"/>
  <c r="BG60" i="14"/>
  <c r="BG64" i="14" s="1"/>
  <c r="BG14" i="14" s="1"/>
  <c r="BG66" i="14"/>
  <c r="BG71" i="14"/>
  <c r="BG73" i="14"/>
  <c r="BG75" i="14"/>
  <c r="BG80" i="14"/>
  <c r="BJ95" i="14"/>
  <c r="BJ80" i="14"/>
  <c r="BJ75" i="14"/>
  <c r="BJ73" i="14"/>
  <c r="BJ71" i="14"/>
  <c r="BJ66" i="14"/>
  <c r="BJ60" i="14"/>
  <c r="BJ64" i="14" s="1"/>
  <c r="BJ14" i="14" s="1"/>
  <c r="BJ44" i="14"/>
  <c r="BJ36" i="14"/>
  <c r="BJ24" i="14"/>
  <c r="BJ21" i="14"/>
  <c r="BJ9" i="14"/>
  <c r="BJ91" i="14" s="1"/>
  <c r="BE9" i="14"/>
  <c r="BE91" i="14" s="1"/>
  <c r="AE7" i="14"/>
  <c r="AE8" i="14"/>
  <c r="AE95" i="14"/>
  <c r="AR8" i="14"/>
  <c r="AR9" i="14" s="1"/>
  <c r="AR91" i="14" s="1"/>
  <c r="AR21" i="14"/>
  <c r="AR24" i="14"/>
  <c r="AR36" i="14"/>
  <c r="AR44" i="14"/>
  <c r="AR50" i="14"/>
  <c r="AR58" i="14" s="1"/>
  <c r="AR13" i="14" s="1"/>
  <c r="AR60" i="14"/>
  <c r="AR64" i="14" s="1"/>
  <c r="AR66" i="14"/>
  <c r="AR71" i="14"/>
  <c r="AR73" i="14"/>
  <c r="AR75" i="14"/>
  <c r="AR80" i="14"/>
  <c r="AS8" i="14"/>
  <c r="AS9" i="14" s="1"/>
  <c r="AS91" i="14" s="1"/>
  <c r="AS21" i="14"/>
  <c r="AS24" i="14"/>
  <c r="AS36" i="14"/>
  <c r="AS44" i="14"/>
  <c r="AS50" i="14"/>
  <c r="AS58" i="14" s="1"/>
  <c r="AS13" i="14" s="1"/>
  <c r="AS60" i="14"/>
  <c r="AS64" i="14" s="1"/>
  <c r="AS14" i="14" s="1"/>
  <c r="AS66" i="14"/>
  <c r="AS71" i="14"/>
  <c r="AS73" i="14"/>
  <c r="AS75" i="14"/>
  <c r="AS80" i="14"/>
  <c r="AW9" i="14"/>
  <c r="AW91" i="14" s="1"/>
  <c r="AW21" i="14"/>
  <c r="AW25" i="14"/>
  <c r="AW24" i="14" s="1"/>
  <c r="AW36" i="14"/>
  <c r="AW45" i="14"/>
  <c r="AW44" i="14" s="1"/>
  <c r="AW50" i="14"/>
  <c r="AW58" i="14" s="1"/>
  <c r="AW60" i="14"/>
  <c r="AW64" i="14" s="1"/>
  <c r="AW14" i="14" s="1"/>
  <c r="AW66" i="14"/>
  <c r="AW71" i="14"/>
  <c r="AW73" i="14"/>
  <c r="AW75" i="14"/>
  <c r="AW80" i="14"/>
  <c r="AX9" i="14"/>
  <c r="AX91" i="14" s="1"/>
  <c r="AX21" i="14"/>
  <c r="AX24" i="14"/>
  <c r="AX36" i="14"/>
  <c r="AX45" i="14"/>
  <c r="AX44" i="14" s="1"/>
  <c r="AX50" i="14"/>
  <c r="AX58" i="14" s="1"/>
  <c r="AX13" i="14" s="1"/>
  <c r="AX60" i="14"/>
  <c r="AX64" i="14" s="1"/>
  <c r="AX14" i="14" s="1"/>
  <c r="AX66" i="14"/>
  <c r="AX71" i="14"/>
  <c r="AX73" i="14"/>
  <c r="AX75" i="14"/>
  <c r="AX80" i="14"/>
  <c r="AE81" i="14"/>
  <c r="AE80" i="14" s="1"/>
  <c r="BE80" i="14"/>
  <c r="AE78" i="14"/>
  <c r="AE77" i="14"/>
  <c r="BE75" i="14"/>
  <c r="Z75" i="14"/>
  <c r="AA75" i="14"/>
  <c r="AB75" i="14"/>
  <c r="AC75" i="14"/>
  <c r="AE74" i="14"/>
  <c r="BE73" i="14"/>
  <c r="AE72" i="14"/>
  <c r="BE71" i="14"/>
  <c r="Z71" i="14"/>
  <c r="AA71" i="14"/>
  <c r="AB71" i="14"/>
  <c r="AC71" i="14"/>
  <c r="AE68" i="14"/>
  <c r="AE66" i="14" s="1"/>
  <c r="BE66" i="14"/>
  <c r="AE62" i="14"/>
  <c r="AE61" i="14"/>
  <c r="BE60" i="14"/>
  <c r="AE55" i="14"/>
  <c r="AE53" i="14"/>
  <c r="AE51" i="14"/>
  <c r="BE50" i="14"/>
  <c r="BE58" i="14" s="1"/>
  <c r="BE13" i="14" s="1"/>
  <c r="AE52" i="14"/>
  <c r="AE54" i="14"/>
  <c r="AE46" i="14"/>
  <c r="AE45" i="14"/>
  <c r="BE44" i="14"/>
  <c r="AE42" i="14"/>
  <c r="AE41" i="14"/>
  <c r="AE40" i="14"/>
  <c r="AE39" i="14"/>
  <c r="AE38" i="14"/>
  <c r="AE37" i="14"/>
  <c r="BE36" i="14"/>
  <c r="AE34" i="14"/>
  <c r="AE33" i="14"/>
  <c r="AE32" i="14"/>
  <c r="AE31" i="14"/>
  <c r="AE30" i="14"/>
  <c r="AE29" i="14"/>
  <c r="AE28" i="14"/>
  <c r="AE27" i="14"/>
  <c r="AE26" i="14"/>
  <c r="AE25" i="14"/>
  <c r="BE24" i="14"/>
  <c r="BE21" i="14"/>
  <c r="AE22" i="14"/>
  <c r="AE21" i="14" s="1"/>
  <c r="BK98" i="14"/>
  <c r="BH95" i="14"/>
  <c r="BI95" i="14" s="1"/>
  <c r="BK81" i="14"/>
  <c r="BH80" i="14"/>
  <c r="BI80" i="14"/>
  <c r="BK78" i="14"/>
  <c r="BK77" i="14"/>
  <c r="BH75" i="14"/>
  <c r="BI75" i="14"/>
  <c r="BK74" i="14"/>
  <c r="BH73" i="14"/>
  <c r="BI73" i="14"/>
  <c r="BK72" i="14"/>
  <c r="BK68" i="14"/>
  <c r="BH66" i="14"/>
  <c r="BI66" i="14"/>
  <c r="BK62" i="14"/>
  <c r="BK61" i="14"/>
  <c r="BH60" i="14"/>
  <c r="BH64" i="14" s="1"/>
  <c r="BH14" i="14" s="1"/>
  <c r="BI60" i="14"/>
  <c r="BI64" i="14" s="1"/>
  <c r="BI14" i="14" s="1"/>
  <c r="BK54" i="14"/>
  <c r="BK53" i="14"/>
  <c r="BK52" i="14"/>
  <c r="BK51" i="14"/>
  <c r="BK46" i="14"/>
  <c r="BK45" i="14"/>
  <c r="BK42" i="14"/>
  <c r="BK41" i="14"/>
  <c r="BK40" i="14"/>
  <c r="BK39" i="14"/>
  <c r="BK38" i="14"/>
  <c r="BK37" i="14"/>
  <c r="BH36" i="14"/>
  <c r="BI36" i="14"/>
  <c r="BK34" i="14"/>
  <c r="BK33" i="14"/>
  <c r="BK32" i="14"/>
  <c r="BK31" i="14"/>
  <c r="BK30" i="14"/>
  <c r="BK29" i="14"/>
  <c r="BK28" i="14"/>
  <c r="BK27" i="14"/>
  <c r="BK26" i="14"/>
  <c r="BK25" i="14"/>
  <c r="BH24" i="14"/>
  <c r="BI24" i="14"/>
  <c r="BK22" i="14"/>
  <c r="BH21" i="14"/>
  <c r="BI21" i="14"/>
  <c r="BK8" i="14"/>
  <c r="BK7" i="14"/>
  <c r="BF95" i="14"/>
  <c r="BI71" i="14"/>
  <c r="BI50" i="14"/>
  <c r="BI58" i="14" s="1"/>
  <c r="BI13" i="14" s="1"/>
  <c r="BI44" i="14"/>
  <c r="BI9" i="14"/>
  <c r="BI91" i="14" s="1"/>
  <c r="BH9" i="14"/>
  <c r="BH91" i="14" s="1"/>
  <c r="BH44" i="14"/>
  <c r="BH50" i="14"/>
  <c r="BH58" i="14" s="1"/>
  <c r="BH13" i="14" s="1"/>
  <c r="BH71" i="14"/>
  <c r="AV95" i="14"/>
  <c r="AY80" i="14"/>
  <c r="AZ80" i="14"/>
  <c r="AY9" i="14"/>
  <c r="AY91" i="14" s="1"/>
  <c r="AY21" i="14"/>
  <c r="AY25" i="14"/>
  <c r="AY24" i="14" s="1"/>
  <c r="AY36" i="14"/>
  <c r="AY44" i="14"/>
  <c r="AY50" i="14"/>
  <c r="AY58" i="14" s="1"/>
  <c r="AY13" i="14" s="1"/>
  <c r="AY60" i="14"/>
  <c r="AY66" i="14"/>
  <c r="AY71" i="14"/>
  <c r="AY73" i="14"/>
  <c r="AY75" i="14"/>
  <c r="AZ9" i="14"/>
  <c r="AZ22" i="14"/>
  <c r="AZ21" i="14" s="1"/>
  <c r="AZ25" i="14"/>
  <c r="AZ36" i="14"/>
  <c r="AZ44" i="14"/>
  <c r="AZ50" i="14"/>
  <c r="AZ58" i="14" s="1"/>
  <c r="AZ13" i="14" s="1"/>
  <c r="AZ60" i="14"/>
  <c r="AZ64" i="14" s="1"/>
  <c r="AZ14" i="14" s="1"/>
  <c r="AZ66" i="14"/>
  <c r="AZ71" i="14"/>
  <c r="AZ73" i="14"/>
  <c r="AZ75" i="14"/>
  <c r="AT9" i="14"/>
  <c r="AT91" i="14" s="1"/>
  <c r="AT21" i="14"/>
  <c r="AT24" i="14"/>
  <c r="AT36" i="14"/>
  <c r="AT44" i="14"/>
  <c r="AT50" i="14"/>
  <c r="AT58" i="14" s="1"/>
  <c r="AT13" i="14" s="1"/>
  <c r="AT60" i="14"/>
  <c r="AT66" i="14"/>
  <c r="AT71" i="14"/>
  <c r="AT73" i="14"/>
  <c r="AU73" i="14"/>
  <c r="AT75" i="14"/>
  <c r="AT80" i="14"/>
  <c r="AU8" i="14"/>
  <c r="AU9" i="14" s="1"/>
  <c r="AU91" i="14" s="1"/>
  <c r="AU21" i="14"/>
  <c r="AU25" i="14"/>
  <c r="AU24" i="14" s="1"/>
  <c r="AU36" i="14"/>
  <c r="AU44" i="14"/>
  <c r="AU50" i="14"/>
  <c r="AU58" i="14" s="1"/>
  <c r="AU13" i="14" s="1"/>
  <c r="AU60" i="14"/>
  <c r="AU64" i="14" s="1"/>
  <c r="AU14" i="14" s="1"/>
  <c r="AU66" i="14"/>
  <c r="AU71" i="14"/>
  <c r="AU75" i="14"/>
  <c r="AU80" i="14"/>
  <c r="BA95" i="14"/>
  <c r="AP95" i="14"/>
  <c r="AQ95" i="14" s="1"/>
  <c r="AK95" i="14"/>
  <c r="X95" i="14"/>
  <c r="H95" i="14"/>
  <c r="G95" i="14"/>
  <c r="AE94" i="14"/>
  <c r="X94" i="14"/>
  <c r="BB9" i="14"/>
  <c r="BB91" i="14" s="1"/>
  <c r="BB21" i="14"/>
  <c r="BB24" i="14"/>
  <c r="BB38" i="14"/>
  <c r="BB44" i="14"/>
  <c r="BB50" i="14"/>
  <c r="BB58" i="14" s="1"/>
  <c r="BB13" i="14" s="1"/>
  <c r="BB60" i="14"/>
  <c r="BB66" i="14"/>
  <c r="BB71" i="14"/>
  <c r="BB73" i="14"/>
  <c r="BB75" i="14"/>
  <c r="BB80" i="14"/>
  <c r="BC80" i="14"/>
  <c r="BD80" i="14"/>
  <c r="Z21" i="14"/>
  <c r="Z24" i="14"/>
  <c r="Z36" i="14"/>
  <c r="Z44" i="14"/>
  <c r="Z50" i="14"/>
  <c r="Z58" i="14" s="1"/>
  <c r="Z13" i="14" s="1"/>
  <c r="Z60" i="14"/>
  <c r="Z64" i="14" s="1"/>
  <c r="Z14" i="14" s="1"/>
  <c r="Z66" i="14"/>
  <c r="Z73" i="14"/>
  <c r="Z80" i="14"/>
  <c r="AA21" i="14"/>
  <c r="AA24" i="14"/>
  <c r="AA36" i="14"/>
  <c r="AA44" i="14"/>
  <c r="AA50" i="14"/>
  <c r="AA58" i="14" s="1"/>
  <c r="AA13" i="14" s="1"/>
  <c r="AA60" i="14"/>
  <c r="AA64" i="14" s="1"/>
  <c r="AA14" i="14" s="1"/>
  <c r="AA66" i="14"/>
  <c r="AA73" i="14"/>
  <c r="AA80" i="14"/>
  <c r="AB21" i="14"/>
  <c r="AB24" i="14"/>
  <c r="AB36" i="14"/>
  <c r="AB44" i="14"/>
  <c r="AB50" i="14"/>
  <c r="AB58" i="14" s="1"/>
  <c r="AB13" i="14" s="1"/>
  <c r="AB60" i="14"/>
  <c r="AB64" i="14" s="1"/>
  <c r="AB14" i="14" s="1"/>
  <c r="AB66" i="14"/>
  <c r="AB73" i="14"/>
  <c r="AB80" i="14"/>
  <c r="AC21" i="14"/>
  <c r="AC24" i="14"/>
  <c r="AC36" i="14"/>
  <c r="AC44" i="14"/>
  <c r="AC50" i="14"/>
  <c r="AC58" i="14" s="1"/>
  <c r="AC13" i="14" s="1"/>
  <c r="AC60" i="14"/>
  <c r="AC64" i="14" s="1"/>
  <c r="AC14" i="14" s="1"/>
  <c r="AC66" i="14"/>
  <c r="AC73" i="14"/>
  <c r="AC80" i="14"/>
  <c r="BC9" i="14"/>
  <c r="BC91" i="14" s="1"/>
  <c r="BC21" i="14"/>
  <c r="BC24" i="14"/>
  <c r="BC36" i="14"/>
  <c r="BC44" i="14"/>
  <c r="BC50" i="14"/>
  <c r="BC58" i="14" s="1"/>
  <c r="BC13" i="14" s="1"/>
  <c r="BC60" i="14"/>
  <c r="BC64" i="14" s="1"/>
  <c r="BC14" i="14" s="1"/>
  <c r="BC66" i="14"/>
  <c r="BC71" i="14"/>
  <c r="BC73" i="14"/>
  <c r="BC75" i="14"/>
  <c r="BD9" i="14"/>
  <c r="BD91" i="14" s="1"/>
  <c r="BD21" i="14"/>
  <c r="BD24" i="14"/>
  <c r="BD36" i="14"/>
  <c r="BD44" i="14"/>
  <c r="BD50" i="14"/>
  <c r="BD58" i="14" s="1"/>
  <c r="BD13" i="14" s="1"/>
  <c r="BD60" i="14"/>
  <c r="BD64" i="14" s="1"/>
  <c r="BD66" i="14"/>
  <c r="BD71" i="14"/>
  <c r="BD73" i="14"/>
  <c r="BD75" i="14"/>
  <c r="AM9" i="14"/>
  <c r="AM91" i="14" s="1"/>
  <c r="AM21" i="14"/>
  <c r="AM24" i="14"/>
  <c r="AM36" i="14"/>
  <c r="AM44" i="14"/>
  <c r="AM55" i="14"/>
  <c r="AM50" i="14" s="1"/>
  <c r="AM60" i="14"/>
  <c r="AM66" i="14"/>
  <c r="AM71" i="14"/>
  <c r="AM73" i="14"/>
  <c r="AM75" i="14"/>
  <c r="AM80" i="14"/>
  <c r="AN9" i="14"/>
  <c r="AN91" i="14" s="1"/>
  <c r="AN21" i="14"/>
  <c r="AN24" i="14"/>
  <c r="AN36" i="14"/>
  <c r="AN44" i="14"/>
  <c r="AN50" i="14"/>
  <c r="AN58" i="14" s="1"/>
  <c r="AN13" i="14" s="1"/>
  <c r="AN60" i="14"/>
  <c r="AN64" i="14" s="1"/>
  <c r="AN14" i="14" s="1"/>
  <c r="AN66" i="14"/>
  <c r="AN71" i="14"/>
  <c r="AN73" i="14"/>
  <c r="AN75" i="14"/>
  <c r="AN80" i="14"/>
  <c r="AO9" i="14"/>
  <c r="AO91" i="14" s="1"/>
  <c r="AO22" i="14"/>
  <c r="AO21" i="14" s="1"/>
  <c r="AO24" i="14"/>
  <c r="AO36" i="14"/>
  <c r="AO44" i="14"/>
  <c r="AO50" i="14"/>
  <c r="AO58" i="14" s="1"/>
  <c r="AO13" i="14" s="1"/>
  <c r="AO60" i="14"/>
  <c r="AO64" i="14" s="1"/>
  <c r="AO14" i="14" s="1"/>
  <c r="AO66" i="14"/>
  <c r="AO71" i="14"/>
  <c r="AO73" i="14"/>
  <c r="AO75" i="14"/>
  <c r="AO80" i="14"/>
  <c r="AP9" i="14"/>
  <c r="AP91" i="14" s="1"/>
  <c r="AP21" i="14"/>
  <c r="AP24" i="14"/>
  <c r="AP36" i="14"/>
  <c r="AP45" i="14"/>
  <c r="AP44" i="14" s="1"/>
  <c r="AP55" i="14"/>
  <c r="AP50" i="14" s="1"/>
  <c r="AP58" i="14" s="1"/>
  <c r="AP13" i="14" s="1"/>
  <c r="AP60" i="14"/>
  <c r="AP64" i="14" s="1"/>
  <c r="AP14" i="14" s="1"/>
  <c r="AP66" i="14"/>
  <c r="AQ66" i="14" s="1"/>
  <c r="AP71" i="14"/>
  <c r="AP73" i="14"/>
  <c r="AP75" i="14"/>
  <c r="AP80" i="14"/>
  <c r="AL60" i="14"/>
  <c r="AL89" i="14" s="1"/>
  <c r="AL93" i="14" s="1"/>
  <c r="AG9" i="14"/>
  <c r="AG91" i="14" s="1"/>
  <c r="AG21" i="14"/>
  <c r="AG24" i="14"/>
  <c r="AG36" i="14"/>
  <c r="AG44" i="14"/>
  <c r="AG50" i="14"/>
  <c r="AG58" i="14" s="1"/>
  <c r="AG13" i="14" s="1"/>
  <c r="AG60" i="14"/>
  <c r="AG64" i="14" s="1"/>
  <c r="AG14" i="14" s="1"/>
  <c r="AG66" i="14"/>
  <c r="AG71" i="14"/>
  <c r="AG73" i="14"/>
  <c r="AG75" i="14"/>
  <c r="AG80" i="14"/>
  <c r="AH9" i="14"/>
  <c r="AH91" i="14" s="1"/>
  <c r="AH21" i="14"/>
  <c r="AH24" i="14"/>
  <c r="AH36" i="14"/>
  <c r="AH44" i="14"/>
  <c r="AH50" i="14"/>
  <c r="AH58" i="14" s="1"/>
  <c r="AH13" i="14" s="1"/>
  <c r="AH60" i="14"/>
  <c r="AH64" i="14" s="1"/>
  <c r="AH14" i="14" s="1"/>
  <c r="AH66" i="14"/>
  <c r="AH71" i="14"/>
  <c r="AH73" i="14"/>
  <c r="AH75" i="14"/>
  <c r="AH80" i="14"/>
  <c r="AI9" i="14"/>
  <c r="AI21" i="14"/>
  <c r="AI24" i="14"/>
  <c r="AI36" i="14"/>
  <c r="AI44" i="14"/>
  <c r="AI50" i="14"/>
  <c r="AI58" i="14" s="1"/>
  <c r="AI13" i="14" s="1"/>
  <c r="AI60" i="14"/>
  <c r="AI64" i="14" s="1"/>
  <c r="AI14" i="14" s="1"/>
  <c r="AI66" i="14"/>
  <c r="AI71" i="14"/>
  <c r="AI75" i="14"/>
  <c r="AI80" i="14"/>
  <c r="AJ9" i="14"/>
  <c r="AJ91" i="14" s="1"/>
  <c r="AJ21" i="14"/>
  <c r="AJ27" i="14"/>
  <c r="AJ36" i="14"/>
  <c r="AJ44" i="14"/>
  <c r="AJ50" i="14"/>
  <c r="AJ58" i="14" s="1"/>
  <c r="AJ13" i="14" s="1"/>
  <c r="AJ60" i="14"/>
  <c r="AJ64" i="14" s="1"/>
  <c r="AJ14" i="14" s="1"/>
  <c r="AJ66" i="14"/>
  <c r="AJ71" i="14"/>
  <c r="AJ75" i="14"/>
  <c r="AJ80" i="14"/>
  <c r="AC9" i="14"/>
  <c r="AC91" i="14" s="1"/>
  <c r="AB9" i="14"/>
  <c r="AB91" i="14" s="1"/>
  <c r="AA9" i="14"/>
  <c r="AA91" i="14" s="1"/>
  <c r="Z9" i="14"/>
  <c r="Z91" i="14" s="1"/>
  <c r="X7" i="14"/>
  <c r="X8" i="14"/>
  <c r="S21" i="14"/>
  <c r="S24" i="14"/>
  <c r="S36" i="14"/>
  <c r="S44" i="14"/>
  <c r="S50" i="14"/>
  <c r="S58" i="14" s="1"/>
  <c r="S60" i="14"/>
  <c r="S64" i="14" s="1"/>
  <c r="S14" i="14" s="1"/>
  <c r="S66" i="14"/>
  <c r="S71" i="14"/>
  <c r="S73" i="14"/>
  <c r="S75" i="14"/>
  <c r="S80" i="14"/>
  <c r="T21" i="14"/>
  <c r="T24" i="14"/>
  <c r="T36" i="14"/>
  <c r="T44" i="14"/>
  <c r="T50" i="14"/>
  <c r="T60" i="14"/>
  <c r="T64" i="14" s="1"/>
  <c r="T14" i="14" s="1"/>
  <c r="T66" i="14"/>
  <c r="T71" i="14"/>
  <c r="T73" i="14"/>
  <c r="T75" i="14"/>
  <c r="T80" i="14"/>
  <c r="U21" i="14"/>
  <c r="U24" i="14"/>
  <c r="U36" i="14"/>
  <c r="U44" i="14"/>
  <c r="U50" i="14"/>
  <c r="U58" i="14" s="1"/>
  <c r="U13" i="14" s="1"/>
  <c r="U60" i="14"/>
  <c r="U64" i="14" s="1"/>
  <c r="U14" i="14" s="1"/>
  <c r="U66" i="14"/>
  <c r="U71" i="14"/>
  <c r="U73" i="14"/>
  <c r="U75" i="14"/>
  <c r="U80" i="14"/>
  <c r="U9" i="14"/>
  <c r="U91" i="14" s="1"/>
  <c r="V21" i="14"/>
  <c r="V24" i="14"/>
  <c r="V36" i="14"/>
  <c r="V44" i="14"/>
  <c r="V50" i="14"/>
  <c r="V58" i="14" s="1"/>
  <c r="V13" i="14" s="1"/>
  <c r="V60" i="14"/>
  <c r="V64" i="14" s="1"/>
  <c r="V66" i="14"/>
  <c r="V71" i="14"/>
  <c r="V73" i="14"/>
  <c r="V75" i="14"/>
  <c r="V80" i="14"/>
  <c r="V9" i="14"/>
  <c r="V91" i="14" s="1"/>
  <c r="T9" i="14"/>
  <c r="T91" i="14" s="1"/>
  <c r="S9" i="14"/>
  <c r="S91" i="14" s="1"/>
  <c r="R24" i="14"/>
  <c r="R36" i="14"/>
  <c r="R44" i="14"/>
  <c r="R50" i="14"/>
  <c r="R58" i="14" s="1"/>
  <c r="R13" i="14" s="1"/>
  <c r="R60" i="14"/>
  <c r="R64" i="14" s="1"/>
  <c r="R14" i="14" s="1"/>
  <c r="R66" i="14"/>
  <c r="R70" i="14"/>
  <c r="Q24" i="14"/>
  <c r="Q36" i="14"/>
  <c r="Q44" i="14"/>
  <c r="Q50" i="14"/>
  <c r="Q58" i="14" s="1"/>
  <c r="Q13" i="14" s="1"/>
  <c r="Q60" i="14"/>
  <c r="Q64" i="14" s="1"/>
  <c r="Q14" i="14" s="1"/>
  <c r="Q66" i="14"/>
  <c r="Q70" i="14"/>
  <c r="P24" i="14"/>
  <c r="P36" i="14"/>
  <c r="P44" i="14"/>
  <c r="P50" i="14"/>
  <c r="P58" i="14" s="1"/>
  <c r="P13" i="14" s="1"/>
  <c r="P60" i="14"/>
  <c r="P64" i="14" s="1"/>
  <c r="P14" i="14" s="1"/>
  <c r="P66" i="14"/>
  <c r="P75" i="14"/>
  <c r="P70" i="14" s="1"/>
  <c r="O24" i="14"/>
  <c r="O36" i="14"/>
  <c r="O44" i="14"/>
  <c r="O50" i="14"/>
  <c r="O58" i="14" s="1"/>
  <c r="O13" i="14" s="1"/>
  <c r="O66" i="14"/>
  <c r="O75" i="14"/>
  <c r="O70" i="14" s="1"/>
  <c r="F9" i="14"/>
  <c r="F91" i="14" s="1"/>
  <c r="F24" i="14"/>
  <c r="F36" i="14"/>
  <c r="F44" i="14"/>
  <c r="F50" i="14"/>
  <c r="F58" i="14" s="1"/>
  <c r="F60" i="14"/>
  <c r="F64" i="14" s="1"/>
  <c r="F75" i="14"/>
  <c r="F70" i="14" s="1"/>
  <c r="F84" i="14" s="1"/>
  <c r="AE92" i="14"/>
  <c r="X92" i="14"/>
  <c r="M9" i="14"/>
  <c r="M91" i="14" s="1"/>
  <c r="L9" i="14"/>
  <c r="L91" i="14" s="1"/>
  <c r="K9" i="14"/>
  <c r="K91" i="14" s="1"/>
  <c r="J9" i="14"/>
  <c r="H91" i="14"/>
  <c r="AE90" i="14"/>
  <c r="X90" i="14"/>
  <c r="M24" i="14"/>
  <c r="M36" i="14"/>
  <c r="M44" i="14"/>
  <c r="M50" i="14"/>
  <c r="M58" i="14" s="1"/>
  <c r="M13" i="14" s="1"/>
  <c r="M70" i="14"/>
  <c r="M84" i="14" s="1"/>
  <c r="M15" i="14" s="1"/>
  <c r="L24" i="14"/>
  <c r="L36" i="14"/>
  <c r="L44" i="14"/>
  <c r="L50" i="14"/>
  <c r="L58" i="14" s="1"/>
  <c r="L13" i="14" s="1"/>
  <c r="L70" i="14"/>
  <c r="L84" i="14" s="1"/>
  <c r="L15" i="14" s="1"/>
  <c r="K24" i="14"/>
  <c r="K36" i="14"/>
  <c r="K44" i="14"/>
  <c r="K50" i="14"/>
  <c r="K58" i="14" s="1"/>
  <c r="K13" i="14" s="1"/>
  <c r="K70" i="14"/>
  <c r="K84" i="14" s="1"/>
  <c r="K15" i="14" s="1"/>
  <c r="J24" i="14"/>
  <c r="J36" i="14"/>
  <c r="J44" i="14"/>
  <c r="J50" i="14"/>
  <c r="J58" i="14" s="1"/>
  <c r="J13" i="14" s="1"/>
  <c r="J70" i="14"/>
  <c r="J84" i="14" s="1"/>
  <c r="J15" i="14" s="1"/>
  <c r="AE86" i="14"/>
  <c r="X86" i="14"/>
  <c r="X72" i="14"/>
  <c r="X71" i="14" s="1"/>
  <c r="X74" i="14"/>
  <c r="X73" i="14" s="1"/>
  <c r="X78" i="14"/>
  <c r="X81" i="14"/>
  <c r="X80" i="14" s="1"/>
  <c r="G66" i="14"/>
  <c r="BF81" i="14"/>
  <c r="BA81" i="14"/>
  <c r="AV81" i="14"/>
  <c r="AQ81" i="14"/>
  <c r="AK81" i="14"/>
  <c r="AE79" i="14"/>
  <c r="X79" i="14"/>
  <c r="BF78" i="14"/>
  <c r="BA78" i="14"/>
  <c r="AV78" i="14"/>
  <c r="AQ78" i="14"/>
  <c r="AK78" i="14"/>
  <c r="H78" i="14"/>
  <c r="G78" i="14"/>
  <c r="BF77" i="14"/>
  <c r="BA77" i="14"/>
  <c r="AV77" i="14"/>
  <c r="AQ77" i="14"/>
  <c r="AK77" i="14"/>
  <c r="X77" i="14"/>
  <c r="H77" i="14"/>
  <c r="G77" i="14"/>
  <c r="G75" i="14"/>
  <c r="BF74" i="14"/>
  <c r="BA74" i="14"/>
  <c r="AV74" i="14"/>
  <c r="AQ74" i="14"/>
  <c r="AK74" i="14"/>
  <c r="BF72" i="14"/>
  <c r="BA72" i="14"/>
  <c r="AV72" i="14"/>
  <c r="AQ72" i="14"/>
  <c r="AK72" i="14"/>
  <c r="AE69" i="14"/>
  <c r="X69" i="14"/>
  <c r="BF68" i="14"/>
  <c r="BA68" i="14"/>
  <c r="AV68" i="14"/>
  <c r="AQ68" i="14"/>
  <c r="AK68" i="14"/>
  <c r="X68" i="14"/>
  <c r="H68" i="14"/>
  <c r="G68" i="14"/>
  <c r="AE65" i="14"/>
  <c r="X65" i="14"/>
  <c r="AL64" i="14"/>
  <c r="O64" i="14"/>
  <c r="O14" i="14" s="1"/>
  <c r="M64" i="14"/>
  <c r="M14" i="14" s="1"/>
  <c r="L64" i="14"/>
  <c r="L14" i="14" s="1"/>
  <c r="K64" i="14"/>
  <c r="K14" i="14" s="1"/>
  <c r="J64" i="14"/>
  <c r="J14" i="14" s="1"/>
  <c r="G60" i="14"/>
  <c r="G64" i="14" s="1"/>
  <c r="G14" i="14" s="1"/>
  <c r="AE63" i="14"/>
  <c r="X63" i="14"/>
  <c r="BF62" i="14"/>
  <c r="BA62" i="14"/>
  <c r="AV62" i="14"/>
  <c r="AQ62" i="14"/>
  <c r="AK62" i="14"/>
  <c r="BF61" i="14"/>
  <c r="BA61" i="14"/>
  <c r="AV61" i="14"/>
  <c r="AQ61" i="14"/>
  <c r="AK61" i="14"/>
  <c r="X61" i="14"/>
  <c r="H61" i="14"/>
  <c r="G61" i="14"/>
  <c r="AE59" i="14"/>
  <c r="X59" i="14"/>
  <c r="T58" i="14"/>
  <c r="T13" i="14" s="1"/>
  <c r="AE57" i="14"/>
  <c r="X57" i="14"/>
  <c r="BF55" i="14"/>
  <c r="BA55" i="14"/>
  <c r="AV55" i="14"/>
  <c r="AK55" i="14"/>
  <c r="X55" i="14"/>
  <c r="H55" i="14"/>
  <c r="G55" i="14"/>
  <c r="BF54" i="14"/>
  <c r="BA54" i="14"/>
  <c r="AV54" i="14"/>
  <c r="AQ54" i="14"/>
  <c r="AK54" i="14"/>
  <c r="X54" i="14"/>
  <c r="H54" i="14"/>
  <c r="G54" i="14"/>
  <c r="BF53" i="14"/>
  <c r="BA53" i="14"/>
  <c r="AV53" i="14"/>
  <c r="AQ53" i="14"/>
  <c r="AK53" i="14"/>
  <c r="X53" i="14"/>
  <c r="H53" i="14"/>
  <c r="G53" i="14"/>
  <c r="BF52" i="14"/>
  <c r="BA52" i="14"/>
  <c r="AV52" i="14"/>
  <c r="AQ52" i="14"/>
  <c r="AK52" i="14"/>
  <c r="X52" i="14"/>
  <c r="H52" i="14"/>
  <c r="G52" i="14"/>
  <c r="BF51" i="14"/>
  <c r="BA51" i="14"/>
  <c r="AV51" i="14"/>
  <c r="AQ51" i="14"/>
  <c r="AK51" i="14"/>
  <c r="X51" i="14"/>
  <c r="G51" i="14"/>
  <c r="AE49" i="14"/>
  <c r="X49" i="14"/>
  <c r="H21" i="14"/>
  <c r="AE47" i="14"/>
  <c r="X47" i="14"/>
  <c r="BF46" i="14"/>
  <c r="BA46" i="14"/>
  <c r="AV46" i="14"/>
  <c r="AQ46" i="14"/>
  <c r="AK46" i="14"/>
  <c r="X46" i="14"/>
  <c r="G46" i="14"/>
  <c r="BF45" i="14"/>
  <c r="AV45" i="14"/>
  <c r="AK45" i="14"/>
  <c r="X45" i="14"/>
  <c r="G45" i="14"/>
  <c r="AK43" i="14"/>
  <c r="X43" i="14"/>
  <c r="BF42" i="14"/>
  <c r="BA42" i="14"/>
  <c r="AV42" i="14"/>
  <c r="AQ42" i="14"/>
  <c r="AK42" i="14"/>
  <c r="X42" i="14"/>
  <c r="BF41" i="14"/>
  <c r="BA41" i="14"/>
  <c r="AV41" i="14"/>
  <c r="AQ41" i="14"/>
  <c r="AK41" i="14"/>
  <c r="X41" i="14"/>
  <c r="BF40" i="14"/>
  <c r="BA40" i="14"/>
  <c r="AV40" i="14"/>
  <c r="AQ40" i="14"/>
  <c r="AK40" i="14"/>
  <c r="X40" i="14"/>
  <c r="H40" i="14"/>
  <c r="G40" i="14"/>
  <c r="BF39" i="14"/>
  <c r="BA39" i="14"/>
  <c r="AV39" i="14"/>
  <c r="AQ39" i="14"/>
  <c r="AK39" i="14"/>
  <c r="X39" i="14"/>
  <c r="G39" i="14"/>
  <c r="BA38" i="14"/>
  <c r="AV38" i="14"/>
  <c r="AQ38" i="14"/>
  <c r="AK38" i="14"/>
  <c r="X38" i="14"/>
  <c r="G38" i="14"/>
  <c r="BF37" i="14"/>
  <c r="BA37" i="14"/>
  <c r="AV37" i="14"/>
  <c r="AQ37" i="14"/>
  <c r="AK37" i="14"/>
  <c r="X37" i="14"/>
  <c r="G37" i="14"/>
  <c r="X35" i="14"/>
  <c r="BF34" i="14"/>
  <c r="BA34" i="14"/>
  <c r="AV34" i="14"/>
  <c r="AQ34" i="14"/>
  <c r="AK34" i="14"/>
  <c r="X34" i="14"/>
  <c r="BF33" i="14"/>
  <c r="BA33" i="14"/>
  <c r="AV33" i="14"/>
  <c r="AQ33" i="14"/>
  <c r="AK33" i="14"/>
  <c r="X33" i="14"/>
  <c r="BF32" i="14"/>
  <c r="BA32" i="14"/>
  <c r="AV32" i="14"/>
  <c r="AQ32" i="14"/>
  <c r="AK32" i="14"/>
  <c r="X32" i="14"/>
  <c r="BF31" i="14"/>
  <c r="BA31" i="14"/>
  <c r="AV31" i="14"/>
  <c r="AQ31" i="14"/>
  <c r="AK31" i="14"/>
  <c r="X31" i="14"/>
  <c r="H31" i="14"/>
  <c r="G31" i="14"/>
  <c r="BF30" i="14"/>
  <c r="BA30" i="14"/>
  <c r="AV30" i="14"/>
  <c r="AQ30" i="14"/>
  <c r="AK30" i="14"/>
  <c r="BF29" i="14"/>
  <c r="BA29" i="14"/>
  <c r="AV29" i="14"/>
  <c r="AQ29" i="14"/>
  <c r="AK29" i="14"/>
  <c r="X29" i="14"/>
  <c r="BF28" i="14"/>
  <c r="BA28" i="14"/>
  <c r="AV28" i="14"/>
  <c r="AQ28" i="14"/>
  <c r="AK28" i="14"/>
  <c r="X28" i="14"/>
  <c r="H28" i="14"/>
  <c r="G28" i="14"/>
  <c r="BF27" i="14"/>
  <c r="BA27" i="14"/>
  <c r="AV27" i="14"/>
  <c r="AQ27" i="14"/>
  <c r="X27" i="14"/>
  <c r="G27" i="14"/>
  <c r="BF26" i="14"/>
  <c r="BA26" i="14"/>
  <c r="AV26" i="14"/>
  <c r="AQ26" i="14"/>
  <c r="AK26" i="14"/>
  <c r="X26" i="14"/>
  <c r="H26" i="14"/>
  <c r="G26" i="14"/>
  <c r="BF25" i="14"/>
  <c r="AQ25" i="14"/>
  <c r="AK25" i="14"/>
  <c r="X25" i="14"/>
  <c r="H25" i="14"/>
  <c r="G25" i="14"/>
  <c r="AE23" i="14"/>
  <c r="X23" i="14"/>
  <c r="BF22" i="14"/>
  <c r="AV22" i="14"/>
  <c r="AK22" i="14"/>
  <c r="X22" i="14"/>
  <c r="X21" i="14" s="1"/>
  <c r="H22" i="14"/>
  <c r="AE20" i="14"/>
  <c r="X20" i="14"/>
  <c r="AE19" i="14"/>
  <c r="X19" i="14"/>
  <c r="AE18" i="14"/>
  <c r="X18" i="14"/>
  <c r="H17" i="14"/>
  <c r="F17" i="14"/>
  <c r="AE11" i="14"/>
  <c r="X11" i="14"/>
  <c r="AE10" i="14"/>
  <c r="X10" i="14"/>
  <c r="H9" i="14"/>
  <c r="BF8" i="14"/>
  <c r="BA8" i="14"/>
  <c r="AQ8" i="14"/>
  <c r="AK8" i="14"/>
  <c r="G8" i="14"/>
  <c r="BF7" i="14"/>
  <c r="BA7" i="14"/>
  <c r="AV7" i="14"/>
  <c r="AQ7" i="14"/>
  <c r="AK7" i="14"/>
  <c r="H7" i="14"/>
  <c r="G7" i="14"/>
  <c r="BV46" i="14" l="1"/>
  <c r="BE70" i="14"/>
  <c r="BE84" i="14" s="1"/>
  <c r="BE15" i="14" s="1"/>
  <c r="BV86" i="14"/>
  <c r="BW50" i="14"/>
  <c r="BW71" i="14"/>
  <c r="BX61" i="14"/>
  <c r="BZ61" i="14" s="1"/>
  <c r="BP61" i="14"/>
  <c r="BT70" i="14"/>
  <c r="BT84" i="14" s="1"/>
  <c r="BT15" i="14" s="1"/>
  <c r="AA70" i="14"/>
  <c r="AA84" i="14" s="1"/>
  <c r="AA15" i="14" s="1"/>
  <c r="AE24" i="14"/>
  <c r="BG48" i="14"/>
  <c r="BG12" i="14" s="1"/>
  <c r="AQ50" i="14"/>
  <c r="H75" i="14"/>
  <c r="K89" i="14"/>
  <c r="AV91" i="14"/>
  <c r="BA45" i="14"/>
  <c r="BP68" i="14"/>
  <c r="AS70" i="14"/>
  <c r="AS89" i="14" s="1"/>
  <c r="AS93" i="14" s="1"/>
  <c r="AV71" i="14"/>
  <c r="AV44" i="14"/>
  <c r="BX24" i="14"/>
  <c r="BZ24" i="14" s="1"/>
  <c r="BV8" i="14"/>
  <c r="AQ45" i="14"/>
  <c r="AB70" i="14"/>
  <c r="AB89" i="14" s="1"/>
  <c r="AB93" i="14" s="1"/>
  <c r="Z70" i="14"/>
  <c r="Z89" i="14" s="1"/>
  <c r="Z93" i="14" s="1"/>
  <c r="BP73" i="14"/>
  <c r="BX73" i="14"/>
  <c r="BW21" i="14"/>
  <c r="BF91" i="14"/>
  <c r="AK66" i="14"/>
  <c r="AU48" i="14"/>
  <c r="AU12" i="14" s="1"/>
  <c r="AQ73" i="14"/>
  <c r="BJ48" i="14"/>
  <c r="BJ12" i="14" s="1"/>
  <c r="BJ70" i="14"/>
  <c r="BJ89" i="14" s="1"/>
  <c r="BJ93" i="14" s="1"/>
  <c r="BW36" i="14"/>
  <c r="BS48" i="14"/>
  <c r="BS12" i="14" s="1"/>
  <c r="BW60" i="14"/>
  <c r="G70" i="14"/>
  <c r="G84" i="14" s="1"/>
  <c r="G15" i="14" s="1"/>
  <c r="AK60" i="14"/>
  <c r="BM60" i="14"/>
  <c r="BM64" i="14" s="1"/>
  <c r="BX64" i="14" s="1"/>
  <c r="BZ64" i="14" s="1"/>
  <c r="BO48" i="14"/>
  <c r="BO12" i="14" s="1"/>
  <c r="BA71" i="14"/>
  <c r="BE48" i="14"/>
  <c r="BE12" i="14" s="1"/>
  <c r="M89" i="14"/>
  <c r="U70" i="14"/>
  <c r="U84" i="14" s="1"/>
  <c r="U15" i="14" s="1"/>
  <c r="AK73" i="14"/>
  <c r="AQ71" i="14"/>
  <c r="AE58" i="14"/>
  <c r="AE13" i="14" s="1"/>
  <c r="AQ9" i="14"/>
  <c r="BD48" i="14"/>
  <c r="BD12" i="14" s="1"/>
  <c r="BF21" i="14"/>
  <c r="AC70" i="14"/>
  <c r="AC89" i="14" s="1"/>
  <c r="AC93" i="14" s="1"/>
  <c r="BF80" i="14"/>
  <c r="AU70" i="14"/>
  <c r="AU84" i="14" s="1"/>
  <c r="AU15" i="14" s="1"/>
  <c r="BK44" i="14"/>
  <c r="BK66" i="14"/>
  <c r="AE36" i="14"/>
  <c r="BP75" i="14"/>
  <c r="BP24" i="14"/>
  <c r="BP21" i="14"/>
  <c r="BM70" i="14"/>
  <c r="BM84" i="14" s="1"/>
  <c r="BM15" i="14" s="1"/>
  <c r="BX75" i="14"/>
  <c r="BZ75" i="14" s="1"/>
  <c r="BP66" i="14"/>
  <c r="BN48" i="14"/>
  <c r="BN12" i="14" s="1"/>
  <c r="BN70" i="14"/>
  <c r="BN84" i="14" s="1"/>
  <c r="BN15" i="14" s="1"/>
  <c r="BO70" i="14"/>
  <c r="BO84" i="14" s="1"/>
  <c r="BO15" i="14" s="1"/>
  <c r="BW80" i="14"/>
  <c r="AV60" i="14"/>
  <c r="BC70" i="14"/>
  <c r="BC89" i="14" s="1"/>
  <c r="BC93" i="14" s="1"/>
  <c r="BG70" i="14"/>
  <c r="BG84" i="14" s="1"/>
  <c r="BG15" i="14" s="1"/>
  <c r="BU36" i="14"/>
  <c r="BY36" i="14" s="1"/>
  <c r="BX66" i="14"/>
  <c r="BZ66" i="14" s="1"/>
  <c r="BT48" i="14"/>
  <c r="BT12" i="14" s="1"/>
  <c r="AI70" i="14"/>
  <c r="AX48" i="14"/>
  <c r="AX12" i="14" s="1"/>
  <c r="BF73" i="14"/>
  <c r="BD70" i="14"/>
  <c r="BD89" i="14" s="1"/>
  <c r="BD93" i="14" s="1"/>
  <c r="AB48" i="14"/>
  <c r="AB12" i="14" s="1"/>
  <c r="AE73" i="14"/>
  <c r="Z48" i="14"/>
  <c r="Z12" i="14" s="1"/>
  <c r="BF75" i="14"/>
  <c r="BF71" i="14"/>
  <c r="BB64" i="14"/>
  <c r="BB14" i="14" s="1"/>
  <c r="BF60" i="14"/>
  <c r="AY70" i="14"/>
  <c r="AY84" i="14" s="1"/>
  <c r="AY15" i="14" s="1"/>
  <c r="BI48" i="14"/>
  <c r="BI12" i="14" s="1"/>
  <c r="BK14" i="14"/>
  <c r="AE50" i="14"/>
  <c r="BL70" i="14"/>
  <c r="BL84" i="14" s="1"/>
  <c r="BP44" i="14"/>
  <c r="BL48" i="14"/>
  <c r="BU44" i="14"/>
  <c r="BY44" i="14" s="1"/>
  <c r="BP91" i="14"/>
  <c r="BM48" i="14"/>
  <c r="BM12" i="14" s="1"/>
  <c r="BO64" i="14"/>
  <c r="BO14" i="14" s="1"/>
  <c r="BU73" i="14"/>
  <c r="BY73" i="14" s="1"/>
  <c r="BQ70" i="14"/>
  <c r="BQ84" i="14" s="1"/>
  <c r="BX50" i="14"/>
  <c r="BZ50" i="14" s="1"/>
  <c r="BV80" i="14"/>
  <c r="BU68" i="14"/>
  <c r="BY68" i="14" s="1"/>
  <c r="BV73" i="14"/>
  <c r="BA22" i="14"/>
  <c r="BX36" i="14"/>
  <c r="BZ36" i="14" s="1"/>
  <c r="BX9" i="14"/>
  <c r="BZ9" i="14" s="1"/>
  <c r="BU75" i="14"/>
  <c r="BY75" i="14" s="1"/>
  <c r="BP36" i="14"/>
  <c r="AT64" i="14"/>
  <c r="AT14" i="14" s="1"/>
  <c r="AN70" i="14"/>
  <c r="AN89" i="14" s="1"/>
  <c r="AN93" i="14" s="1"/>
  <c r="AM64" i="14"/>
  <c r="AQ60" i="14"/>
  <c r="AQ91" i="14"/>
  <c r="BE64" i="14"/>
  <c r="BE14" i="14" s="1"/>
  <c r="AE71" i="14"/>
  <c r="BA80" i="14"/>
  <c r="BA21" i="14"/>
  <c r="J48" i="14"/>
  <c r="J12" i="14" s="1"/>
  <c r="L48" i="14"/>
  <c r="L12" i="14" s="1"/>
  <c r="F48" i="14"/>
  <c r="X36" i="14"/>
  <c r="V70" i="14"/>
  <c r="V89" i="14" s="1"/>
  <c r="V93" i="14" s="1"/>
  <c r="V48" i="14"/>
  <c r="V12" i="14" s="1"/>
  <c r="T70" i="14"/>
  <c r="T89" i="14" s="1"/>
  <c r="X24" i="14"/>
  <c r="AI48" i="14"/>
  <c r="AI12" i="14" s="1"/>
  <c r="AO70" i="14"/>
  <c r="AO84" i="14" s="1"/>
  <c r="AO15" i="14" s="1"/>
  <c r="AQ80" i="14"/>
  <c r="AM70" i="14"/>
  <c r="AM84" i="14" s="1"/>
  <c r="AM15" i="14" s="1"/>
  <c r="AV80" i="14"/>
  <c r="AV36" i="14"/>
  <c r="BA25" i="14"/>
  <c r="BA73" i="14"/>
  <c r="BA66" i="14"/>
  <c r="BK24" i="14"/>
  <c r="AE75" i="14"/>
  <c r="AX70" i="14"/>
  <c r="AX89" i="14" s="1"/>
  <c r="AX93" i="14" s="1"/>
  <c r="AX99" i="14" s="1"/>
  <c r="AW70" i="14"/>
  <c r="AW84" i="14" s="1"/>
  <c r="AW15" i="14" s="1"/>
  <c r="AR70" i="14"/>
  <c r="AR84" i="14" s="1"/>
  <c r="AR15" i="14" s="1"/>
  <c r="AV9" i="14"/>
  <c r="AE9" i="14"/>
  <c r="AE91" i="14" s="1"/>
  <c r="BK73" i="14"/>
  <c r="BK21" i="14"/>
  <c r="BP80" i="14"/>
  <c r="BU21" i="14"/>
  <c r="BY21" i="14" s="1"/>
  <c r="BQ48" i="14"/>
  <c r="BQ12" i="14" s="1"/>
  <c r="BU71" i="14"/>
  <c r="BY71" i="14" s="1"/>
  <c r="BW75" i="14"/>
  <c r="BW86" i="14"/>
  <c r="BX21" i="14"/>
  <c r="BZ21" i="14" s="1"/>
  <c r="BV36" i="14"/>
  <c r="BW16" i="14"/>
  <c r="BS70" i="14"/>
  <c r="BS84" i="14" s="1"/>
  <c r="BS15" i="14" s="1"/>
  <c r="BU66" i="14"/>
  <c r="BY66" i="14" s="1"/>
  <c r="BK64" i="14"/>
  <c r="AY48" i="14"/>
  <c r="AY12" i="14" s="1"/>
  <c r="AR14" i="14"/>
  <c r="BV16" i="14"/>
  <c r="BV71" i="14"/>
  <c r="BV60" i="14"/>
  <c r="BW66" i="14"/>
  <c r="BV21" i="14"/>
  <c r="AK13" i="14"/>
  <c r="F89" i="14"/>
  <c r="F93" i="14" s="1"/>
  <c r="BK9" i="14"/>
  <c r="BF50" i="14"/>
  <c r="BF9" i="14"/>
  <c r="AV58" i="14"/>
  <c r="AV24" i="14"/>
  <c r="BX71" i="14"/>
  <c r="BZ71" i="14" s="1"/>
  <c r="BU60" i="14"/>
  <c r="BY60" i="14" s="1"/>
  <c r="BU80" i="14"/>
  <c r="BY80" i="14" s="1"/>
  <c r="BU24" i="14"/>
  <c r="BY24" i="14" s="1"/>
  <c r="BP9" i="14"/>
  <c r="BF58" i="14"/>
  <c r="BG50" i="14"/>
  <c r="BP71" i="14"/>
  <c r="BB70" i="14"/>
  <c r="BB84" i="14" s="1"/>
  <c r="AQ22" i="14"/>
  <c r="AV25" i="14"/>
  <c r="BA50" i="14"/>
  <c r="H24" i="14"/>
  <c r="Q84" i="14"/>
  <c r="Q15" i="14" s="1"/>
  <c r="Q48" i="14"/>
  <c r="Q12" i="14" s="1"/>
  <c r="AM48" i="14"/>
  <c r="AM12" i="14" s="1"/>
  <c r="BF44" i="14"/>
  <c r="BF24" i="14"/>
  <c r="BA36" i="14"/>
  <c r="BK55" i="14"/>
  <c r="BL50" i="14"/>
  <c r="BX80" i="14"/>
  <c r="BZ80" i="14" s="1"/>
  <c r="BP55" i="14"/>
  <c r="CA50" i="14"/>
  <c r="BW73" i="14"/>
  <c r="BR44" i="14"/>
  <c r="BR70" i="14"/>
  <c r="CC15" i="14"/>
  <c r="CC17" i="14" s="1"/>
  <c r="H70" i="14"/>
  <c r="O84" i="14"/>
  <c r="O15" i="14" s="1"/>
  <c r="O48" i="14"/>
  <c r="O12" i="14" s="1"/>
  <c r="H36" i="14"/>
  <c r="R48" i="14"/>
  <c r="R12" i="14" s="1"/>
  <c r="AJ70" i="14"/>
  <c r="AJ84" i="14" s="1"/>
  <c r="AJ15" i="14" s="1"/>
  <c r="CB91" i="14"/>
  <c r="CF9" i="14"/>
  <c r="CF44" i="14"/>
  <c r="CB64" i="14"/>
  <c r="CF60" i="14"/>
  <c r="CF71" i="14"/>
  <c r="CF86" i="14"/>
  <c r="BK36" i="14"/>
  <c r="BK75" i="14"/>
  <c r="BK80" i="14"/>
  <c r="AE60" i="14"/>
  <c r="AE64" i="14" s="1"/>
  <c r="AE14" i="14" s="1"/>
  <c r="CF16" i="14"/>
  <c r="CF36" i="14"/>
  <c r="CF66" i="14"/>
  <c r="CF73" i="14"/>
  <c r="CF80" i="14"/>
  <c r="CF25" i="14"/>
  <c r="CF21" i="14"/>
  <c r="CC93" i="14"/>
  <c r="CB13" i="14"/>
  <c r="CF58" i="14"/>
  <c r="H44" i="14"/>
  <c r="BH70" i="14"/>
  <c r="BH84" i="14" s="1"/>
  <c r="BH15" i="14" s="1"/>
  <c r="BI70" i="14"/>
  <c r="AW13" i="14"/>
  <c r="BA13" i="14" s="1"/>
  <c r="BA58" i="14"/>
  <c r="AW48" i="14"/>
  <c r="AW12" i="14" s="1"/>
  <c r="BA44" i="14"/>
  <c r="BL14" i="14"/>
  <c r="BV64" i="14"/>
  <c r="BW64" i="14"/>
  <c r="BU64" i="14"/>
  <c r="BY64" i="14" s="1"/>
  <c r="BQ14" i="14"/>
  <c r="BC48" i="14"/>
  <c r="BC12" i="14" s="1"/>
  <c r="AV13" i="14"/>
  <c r="BF13" i="14"/>
  <c r="L89" i="14"/>
  <c r="M48" i="14"/>
  <c r="M12" i="14" s="1"/>
  <c r="S70" i="14"/>
  <c r="S89" i="14" s="1"/>
  <c r="S93" i="14" s="1"/>
  <c r="X9" i="14"/>
  <c r="X91" i="14" s="1"/>
  <c r="AK14" i="14"/>
  <c r="AK75" i="14"/>
  <c r="AH70" i="14"/>
  <c r="AH89" i="14" s="1"/>
  <c r="AH93" i="14" s="1"/>
  <c r="AH48" i="14"/>
  <c r="AH12" i="14" s="1"/>
  <c r="AG70" i="14"/>
  <c r="AG84" i="14" s="1"/>
  <c r="AG15" i="14" s="1"/>
  <c r="AK36" i="14"/>
  <c r="AP70" i="14"/>
  <c r="AP84" i="14" s="1"/>
  <c r="AQ36" i="14"/>
  <c r="AV75" i="14"/>
  <c r="AT70" i="14"/>
  <c r="AT84" i="14" s="1"/>
  <c r="AT15" i="14" s="1"/>
  <c r="AV66" i="14"/>
  <c r="AV50" i="14"/>
  <c r="AV21" i="14"/>
  <c r="AZ70" i="14"/>
  <c r="AZ84" i="14" s="1"/>
  <c r="BH48" i="14"/>
  <c r="BH12" i="14" s="1"/>
  <c r="BK60" i="14"/>
  <c r="BK91" i="14"/>
  <c r="BX91" i="14"/>
  <c r="BZ91" i="14" s="1"/>
  <c r="BU55" i="14"/>
  <c r="BY55" i="14" s="1"/>
  <c r="BW46" i="14"/>
  <c r="G36" i="14"/>
  <c r="J89" i="14"/>
  <c r="G89" i="14" s="1"/>
  <c r="K48" i="14"/>
  <c r="K12" i="14" s="1"/>
  <c r="G24" i="14"/>
  <c r="U48" i="14"/>
  <c r="U12" i="14" s="1"/>
  <c r="X75" i="14"/>
  <c r="X70" i="14" s="1"/>
  <c r="AJ24" i="14"/>
  <c r="AK24" i="14" s="1"/>
  <c r="AK27" i="14"/>
  <c r="AK71" i="14"/>
  <c r="AK44" i="14"/>
  <c r="AI91" i="14"/>
  <c r="AK91" i="14" s="1"/>
  <c r="AK9" i="14"/>
  <c r="AK80" i="14"/>
  <c r="AK21" i="14"/>
  <c r="AQ21" i="14"/>
  <c r="AC48" i="14"/>
  <c r="AC12" i="14" s="1"/>
  <c r="AZ91" i="14"/>
  <c r="BA9" i="14"/>
  <c r="AO48" i="14"/>
  <c r="AO12" i="14" s="1"/>
  <c r="AG48" i="14"/>
  <c r="AG12" i="14" s="1"/>
  <c r="AQ55" i="14"/>
  <c r="AV73" i="14"/>
  <c r="AK64" i="14"/>
  <c r="BK71" i="14"/>
  <c r="AZ24" i="14"/>
  <c r="AV8" i="14"/>
  <c r="AK50" i="14"/>
  <c r="G50" i="14"/>
  <c r="G58" i="14" s="1"/>
  <c r="G13" i="14" s="1"/>
  <c r="J91" i="14"/>
  <c r="G91" i="14" s="1"/>
  <c r="G9" i="14"/>
  <c r="X66" i="14"/>
  <c r="AQ75" i="14"/>
  <c r="AQ24" i="14"/>
  <c r="AA48" i="14"/>
  <c r="AA12" i="14" s="1"/>
  <c r="BF66" i="14"/>
  <c r="BB36" i="14"/>
  <c r="BF38" i="14"/>
  <c r="BA75" i="14"/>
  <c r="AY64" i="14"/>
  <c r="BA60" i="14"/>
  <c r="AE44" i="14"/>
  <c r="AS48" i="14"/>
  <c r="AS12" i="14" s="1"/>
  <c r="AR48" i="14"/>
  <c r="G44" i="14"/>
  <c r="X50" i="14"/>
  <c r="T48" i="14"/>
  <c r="T12" i="14" s="1"/>
  <c r="AN48" i="14"/>
  <c r="AN12" i="14" s="1"/>
  <c r="AT48" i="14"/>
  <c r="AT12" i="14" s="1"/>
  <c r="CA66" i="14"/>
  <c r="CA75" i="14"/>
  <c r="CA24" i="14"/>
  <c r="CA60" i="14"/>
  <c r="CA73" i="14"/>
  <c r="CA80" i="14"/>
  <c r="BT64" i="14"/>
  <c r="CA64" i="14" s="1"/>
  <c r="CA16" i="14"/>
  <c r="BQ58" i="14"/>
  <c r="BQ13" i="14" s="1"/>
  <c r="CA36" i="14"/>
  <c r="AK58" i="14"/>
  <c r="AP48" i="14"/>
  <c r="AQ44" i="14"/>
  <c r="AM58" i="14"/>
  <c r="BD14" i="14"/>
  <c r="BK95" i="14"/>
  <c r="L17" i="14"/>
  <c r="P48" i="14"/>
  <c r="P12" i="14" s="1"/>
  <c r="R84" i="14"/>
  <c r="R15" i="14" s="1"/>
  <c r="S48" i="14"/>
  <c r="S12" i="14" s="1"/>
  <c r="BS14" i="14"/>
  <c r="P84" i="14"/>
  <c r="P15" i="14" s="1"/>
  <c r="CA8" i="14"/>
  <c r="BQ9" i="14"/>
  <c r="BW24" i="14"/>
  <c r="CA71" i="14"/>
  <c r="BU8" i="14"/>
  <c r="BY8" i="14" s="1"/>
  <c r="CA86" i="14"/>
  <c r="CA46" i="14"/>
  <c r="BT58" i="14"/>
  <c r="BT91" i="14"/>
  <c r="CB24" i="14"/>
  <c r="BV50" i="14"/>
  <c r="BR58" i="14"/>
  <c r="CB70" i="14"/>
  <c r="H50" i="14"/>
  <c r="H58" i="14" s="1"/>
  <c r="H13" i="14" s="1"/>
  <c r="Q89" i="14"/>
  <c r="Q93" i="14" s="1"/>
  <c r="P89" i="14"/>
  <c r="P93" i="14" s="1"/>
  <c r="O89" i="14"/>
  <c r="H89" i="14" s="1"/>
  <c r="J17" i="14"/>
  <c r="G17" i="14" s="1"/>
  <c r="H60" i="14"/>
  <c r="H64" i="14" s="1"/>
  <c r="H14" i="14" s="1"/>
  <c r="R89" i="14"/>
  <c r="R93" i="14" s="1"/>
  <c r="X60" i="14"/>
  <c r="H66" i="14"/>
  <c r="X44" i="14"/>
  <c r="K17" i="14"/>
  <c r="M17" i="14"/>
  <c r="V14" i="14"/>
  <c r="X64" i="14"/>
  <c r="X14" i="14" s="1"/>
  <c r="X58" i="14"/>
  <c r="X13" i="14" s="1"/>
  <c r="S13" i="14"/>
  <c r="BE89" i="14" l="1"/>
  <c r="BE93" i="14" s="1"/>
  <c r="BN89" i="14"/>
  <c r="BN93" i="14" s="1"/>
  <c r="AE70" i="14"/>
  <c r="AE84" i="14" s="1"/>
  <c r="AE15" i="14" s="1"/>
  <c r="AR89" i="14"/>
  <c r="AR93" i="14" s="1"/>
  <c r="AR99" i="14" s="1"/>
  <c r="Z84" i="14"/>
  <c r="Z15" i="14" s="1"/>
  <c r="Z17" i="14" s="1"/>
  <c r="AV64" i="14"/>
  <c r="AB84" i="14"/>
  <c r="AB15" i="14" s="1"/>
  <c r="AB17" i="14" s="1"/>
  <c r="AS84" i="14"/>
  <c r="AS15" i="14" s="1"/>
  <c r="AS17" i="14" s="1"/>
  <c r="BP70" i="14"/>
  <c r="BL89" i="14"/>
  <c r="BL93" i="14" s="1"/>
  <c r="BP60" i="14"/>
  <c r="BT89" i="14"/>
  <c r="BT93" i="14" s="1"/>
  <c r="U17" i="14"/>
  <c r="AA89" i="14"/>
  <c r="AA93" i="14" s="1"/>
  <c r="AU89" i="14"/>
  <c r="AU93" i="14" s="1"/>
  <c r="AU99" i="14" s="1"/>
  <c r="U89" i="14"/>
  <c r="U93" i="14" s="1"/>
  <c r="BW44" i="14"/>
  <c r="CB48" i="14"/>
  <c r="V84" i="14"/>
  <c r="V15" i="14" s="1"/>
  <c r="V17" i="14" s="1"/>
  <c r="BD84" i="14"/>
  <c r="BD15" i="14" s="1"/>
  <c r="BD17" i="14" s="1"/>
  <c r="BO89" i="14"/>
  <c r="BO93" i="14" s="1"/>
  <c r="AE48" i="14"/>
  <c r="AE12" i="14" s="1"/>
  <c r="AY89" i="14"/>
  <c r="AY93" i="14" s="1"/>
  <c r="AY99" i="14" s="1"/>
  <c r="BM14" i="14"/>
  <c r="BP14" i="14" s="1"/>
  <c r="AU17" i="14"/>
  <c r="BK12" i="14"/>
  <c r="BF70" i="14"/>
  <c r="AW17" i="14"/>
  <c r="BJ84" i="14"/>
  <c r="BJ15" i="14" s="1"/>
  <c r="BJ17" i="14" s="1"/>
  <c r="BM89" i="14"/>
  <c r="BM93" i="14" s="1"/>
  <c r="BE17" i="14"/>
  <c r="S84" i="14"/>
  <c r="S15" i="14" s="1"/>
  <c r="S17" i="14" s="1"/>
  <c r="BN17" i="14"/>
  <c r="BX60" i="14"/>
  <c r="BZ60" i="14" s="1"/>
  <c r="AC84" i="14"/>
  <c r="AC15" i="14" s="1"/>
  <c r="AC17" i="14" s="1"/>
  <c r="AO17" i="14"/>
  <c r="AO89" i="14"/>
  <c r="AO93" i="14" s="1"/>
  <c r="BQ89" i="14"/>
  <c r="BC84" i="14"/>
  <c r="BC15" i="14" s="1"/>
  <c r="BC17" i="14" s="1"/>
  <c r="BS89" i="14"/>
  <c r="BP64" i="14"/>
  <c r="T84" i="14"/>
  <c r="T15" i="14" s="1"/>
  <c r="T17" i="14" s="1"/>
  <c r="AV14" i="14"/>
  <c r="AH84" i="14"/>
  <c r="AH15" i="14" s="1"/>
  <c r="AH17" i="14" s="1"/>
  <c r="AT17" i="14"/>
  <c r="AA17" i="14"/>
  <c r="AT89" i="14"/>
  <c r="AT93" i="14" s="1"/>
  <c r="AT99" i="14" s="1"/>
  <c r="AV70" i="14"/>
  <c r="AJ89" i="14"/>
  <c r="AJ93" i="14" s="1"/>
  <c r="AQ70" i="14"/>
  <c r="AW89" i="14"/>
  <c r="AW93" i="14" s="1"/>
  <c r="AW99" i="14" s="1"/>
  <c r="BV70" i="14"/>
  <c r="AN84" i="14"/>
  <c r="AN15" i="14" s="1"/>
  <c r="AN17" i="14" s="1"/>
  <c r="AI84" i="14"/>
  <c r="AI15" i="14" s="1"/>
  <c r="AI17" i="14" s="1"/>
  <c r="AI89" i="14"/>
  <c r="AI93" i="14" s="1"/>
  <c r="AX84" i="14"/>
  <c r="AX15" i="14" s="1"/>
  <c r="AX17" i="14" s="1"/>
  <c r="AM14" i="14"/>
  <c r="AQ14" i="14" s="1"/>
  <c r="AQ64" i="14"/>
  <c r="H84" i="14"/>
  <c r="H15" i="14" s="1"/>
  <c r="BF64" i="14"/>
  <c r="AM89" i="14"/>
  <c r="AM93" i="14" s="1"/>
  <c r="BU70" i="14"/>
  <c r="BY70" i="14" s="1"/>
  <c r="BU48" i="14"/>
  <c r="BY48" i="14" s="1"/>
  <c r="AK70" i="14"/>
  <c r="BO17" i="14"/>
  <c r="BL12" i="14"/>
  <c r="BP48" i="14"/>
  <c r="AP15" i="14"/>
  <c r="AG17" i="14"/>
  <c r="BR48" i="14"/>
  <c r="BX44" i="14"/>
  <c r="BZ44" i="14" s="1"/>
  <c r="BR89" i="14"/>
  <c r="BV44" i="14"/>
  <c r="BK50" i="14"/>
  <c r="BG58" i="14"/>
  <c r="BG89" i="14"/>
  <c r="BG93" i="14" s="1"/>
  <c r="AP89" i="14"/>
  <c r="AP93" i="14" s="1"/>
  <c r="CA44" i="14"/>
  <c r="AG89" i="14"/>
  <c r="AG93" i="14" s="1"/>
  <c r="H48" i="14"/>
  <c r="H12" i="14" s="1"/>
  <c r="BX70" i="14"/>
  <c r="BZ70" i="14" s="1"/>
  <c r="BW70" i="14"/>
  <c r="CA70" i="14"/>
  <c r="BP50" i="14"/>
  <c r="BL58" i="14"/>
  <c r="BU58" i="14" s="1"/>
  <c r="BY58" i="14" s="1"/>
  <c r="BU50" i="14"/>
  <c r="BY50" i="14" s="1"/>
  <c r="BR84" i="14"/>
  <c r="CF24" i="14"/>
  <c r="BA70" i="14"/>
  <c r="CF91" i="14"/>
  <c r="CB84" i="14"/>
  <c r="CF70" i="14"/>
  <c r="CA58" i="14"/>
  <c r="CB14" i="14"/>
  <c r="CF64" i="14"/>
  <c r="CF13" i="14"/>
  <c r="BH89" i="14"/>
  <c r="BK70" i="14"/>
  <c r="BI89" i="14"/>
  <c r="BI93" i="14" s="1"/>
  <c r="BI84" i="14"/>
  <c r="BQ15" i="14"/>
  <c r="BQ17" i="14" s="1"/>
  <c r="AZ15" i="14"/>
  <c r="BK48" i="14"/>
  <c r="O93" i="14"/>
  <c r="H93" i="14" s="1"/>
  <c r="BT13" i="14"/>
  <c r="X84" i="14"/>
  <c r="X15" i="14" s="1"/>
  <c r="BV14" i="14"/>
  <c r="BU14" i="14"/>
  <c r="BY14" i="14" s="1"/>
  <c r="BT14" i="14"/>
  <c r="CA14" i="14" s="1"/>
  <c r="AY14" i="14"/>
  <c r="BA64" i="14"/>
  <c r="BP84" i="14"/>
  <c r="BL15" i="14"/>
  <c r="BU84" i="14"/>
  <c r="BY84" i="14" s="1"/>
  <c r="BA91" i="14"/>
  <c r="X48" i="14"/>
  <c r="X12" i="14" s="1"/>
  <c r="AJ48" i="14"/>
  <c r="AK48" i="14" s="1"/>
  <c r="AR12" i="14"/>
  <c r="AV48" i="14"/>
  <c r="BF36" i="14"/>
  <c r="BB89" i="14"/>
  <c r="BB48" i="14"/>
  <c r="BA24" i="14"/>
  <c r="AZ48" i="14"/>
  <c r="AZ89" i="14"/>
  <c r="AZ93" i="14" s="1"/>
  <c r="G48" i="14"/>
  <c r="G12" i="14" s="1"/>
  <c r="BH17" i="14"/>
  <c r="CA9" i="14"/>
  <c r="BQ91" i="14"/>
  <c r="BU9" i="14"/>
  <c r="BY9" i="14" s="1"/>
  <c r="BV9" i="14"/>
  <c r="BW9" i="14"/>
  <c r="BW14" i="14"/>
  <c r="BS17" i="14"/>
  <c r="BB15" i="14"/>
  <c r="AM13" i="14"/>
  <c r="AQ58" i="14"/>
  <c r="AS99" i="14"/>
  <c r="BF14" i="14"/>
  <c r="AP12" i="14"/>
  <c r="AQ48" i="14"/>
  <c r="BR13" i="14"/>
  <c r="BX58" i="14"/>
  <c r="BZ58" i="14" s="1"/>
  <c r="BV58" i="14"/>
  <c r="BW58" i="14"/>
  <c r="CB89" i="14"/>
  <c r="T93" i="14"/>
  <c r="BA84" i="14" l="1"/>
  <c r="AE17" i="14"/>
  <c r="BU89" i="14"/>
  <c r="BY89" i="14" s="1"/>
  <c r="AV84" i="14"/>
  <c r="AV15" i="14"/>
  <c r="X89" i="14"/>
  <c r="X93" i="14" s="1"/>
  <c r="AE89" i="14"/>
  <c r="AE93" i="14" s="1"/>
  <c r="BV84" i="14"/>
  <c r="CB12" i="14"/>
  <c r="CA13" i="14"/>
  <c r="CF48" i="14"/>
  <c r="AV99" i="14"/>
  <c r="CB15" i="14"/>
  <c r="AQ89" i="14"/>
  <c r="BF84" i="14"/>
  <c r="BM17" i="14"/>
  <c r="AK15" i="14"/>
  <c r="BA15" i="14"/>
  <c r="BX14" i="14"/>
  <c r="BZ14" i="14" s="1"/>
  <c r="BP89" i="14"/>
  <c r="AV93" i="14"/>
  <c r="BK84" i="14"/>
  <c r="BX89" i="14"/>
  <c r="BZ89" i="14" s="1"/>
  <c r="AQ84" i="14"/>
  <c r="AQ15" i="14"/>
  <c r="AK84" i="14"/>
  <c r="BS93" i="14"/>
  <c r="AV89" i="14"/>
  <c r="AK93" i="14"/>
  <c r="X17" i="14"/>
  <c r="AK89" i="14"/>
  <c r="BT17" i="14"/>
  <c r="BU12" i="14"/>
  <c r="BY12" i="14" s="1"/>
  <c r="BP12" i="14"/>
  <c r="BG13" i="14"/>
  <c r="BK58" i="14"/>
  <c r="BW89" i="14"/>
  <c r="CA89" i="14"/>
  <c r="BR93" i="14"/>
  <c r="BX93" i="14" s="1"/>
  <c r="BZ93" i="14" s="1"/>
  <c r="BV89" i="14"/>
  <c r="BR12" i="14"/>
  <c r="BX48" i="14"/>
  <c r="BZ48" i="14" s="1"/>
  <c r="CA48" i="14"/>
  <c r="BW48" i="14"/>
  <c r="BV48" i="14"/>
  <c r="AQ93" i="14"/>
  <c r="AJ12" i="14"/>
  <c r="AJ17" i="14" s="1"/>
  <c r="AK17" i="14" s="1"/>
  <c r="BR15" i="14"/>
  <c r="BX15" i="14" s="1"/>
  <c r="BZ15" i="14" s="1"/>
  <c r="BX84" i="14"/>
  <c r="BZ84" i="14" s="1"/>
  <c r="BP58" i="14"/>
  <c r="BL13" i="14"/>
  <c r="BL17" i="14" s="1"/>
  <c r="BW84" i="14"/>
  <c r="CA84" i="14"/>
  <c r="CF84" i="14"/>
  <c r="CF14" i="14"/>
  <c r="CF89" i="14"/>
  <c r="BI15" i="14"/>
  <c r="BH93" i="14"/>
  <c r="BK93" i="14" s="1"/>
  <c r="BK89" i="14"/>
  <c r="AZ99" i="14"/>
  <c r="BA99" i="14" s="1"/>
  <c r="BA93" i="14"/>
  <c r="BA89" i="14"/>
  <c r="AZ12" i="14"/>
  <c r="BA48" i="14"/>
  <c r="BF48" i="14"/>
  <c r="BB12" i="14"/>
  <c r="BF12" i="14" s="1"/>
  <c r="AR17" i="14"/>
  <c r="AV17" i="14" s="1"/>
  <c r="AV12" i="14"/>
  <c r="BB93" i="14"/>
  <c r="BF93" i="14" s="1"/>
  <c r="BF89" i="14"/>
  <c r="BP15" i="14"/>
  <c r="BU15" i="14"/>
  <c r="BY15" i="14" s="1"/>
  <c r="BA14" i="14"/>
  <c r="AY17" i="14"/>
  <c r="CB93" i="14"/>
  <c r="AQ12" i="14"/>
  <c r="AP17" i="14"/>
  <c r="BF15" i="14"/>
  <c r="BP93" i="14"/>
  <c r="AM17" i="14"/>
  <c r="AQ13" i="14"/>
  <c r="CA91" i="14"/>
  <c r="BU91" i="14"/>
  <c r="BY91" i="14" s="1"/>
  <c r="BV91" i="14"/>
  <c r="BW91" i="14"/>
  <c r="BQ93" i="14"/>
  <c r="BX13" i="14"/>
  <c r="BW13" i="14"/>
  <c r="BV13" i="14"/>
  <c r="CB17" i="14" l="1"/>
  <c r="CF12" i="14"/>
  <c r="CF15" i="14"/>
  <c r="CA15" i="14"/>
  <c r="AK12" i="14"/>
  <c r="AQ17" i="14"/>
  <c r="BR17" i="14"/>
  <c r="CA17" i="14" s="1"/>
  <c r="BW15" i="14"/>
  <c r="BV15" i="14"/>
  <c r="BB17" i="14"/>
  <c r="BF17" i="14" s="1"/>
  <c r="BP13" i="14"/>
  <c r="BU13" i="14"/>
  <c r="BX12" i="14"/>
  <c r="BZ12" i="14" s="1"/>
  <c r="BV12" i="14"/>
  <c r="BW12" i="14"/>
  <c r="CA12" i="14"/>
  <c r="BG17" i="14"/>
  <c r="BK13" i="14"/>
  <c r="CF93" i="14"/>
  <c r="BI17" i="14"/>
  <c r="BK15" i="14"/>
  <c r="AZ17" i="14"/>
  <c r="BA17" i="14" s="1"/>
  <c r="BA12" i="14"/>
  <c r="BP17" i="14"/>
  <c r="BU93" i="14"/>
  <c r="BY93" i="14" s="1"/>
  <c r="CA93" i="14"/>
  <c r="BV93" i="14"/>
  <c r="BW93" i="14"/>
  <c r="BZ13" i="14"/>
  <c r="BV17" i="14" l="1"/>
  <c r="CF17" i="14"/>
  <c r="BX17" i="14"/>
  <c r="BZ17" i="14" s="1"/>
  <c r="BW17" i="14"/>
  <c r="BK17" i="14"/>
  <c r="BY13" i="14"/>
  <c r="BU17" i="14"/>
  <c r="BY17" i="14" s="1"/>
</calcChain>
</file>

<file path=xl/sharedStrings.xml><?xml version="1.0" encoding="utf-8"?>
<sst xmlns="http://schemas.openxmlformats.org/spreadsheetml/2006/main" count="352" uniqueCount="133">
  <si>
    <t>Summa utgifter</t>
  </si>
  <si>
    <t>Summa inkomster</t>
  </si>
  <si>
    <t>Saldo</t>
  </si>
  <si>
    <t>Helår</t>
  </si>
  <si>
    <t>Bidragsinkomster</t>
  </si>
  <si>
    <t xml:space="preserve">Ränteintäkter </t>
  </si>
  <si>
    <t>Inkomster</t>
  </si>
  <si>
    <t>Utgifter</t>
  </si>
  <si>
    <t>1)</t>
  </si>
  <si>
    <t>2)</t>
  </si>
  <si>
    <t xml:space="preserve"> </t>
  </si>
  <si>
    <t xml:space="preserve">Omkostnader för konsumtion </t>
  </si>
  <si>
    <t xml:space="preserve">2.1  </t>
  </si>
  <si>
    <t xml:space="preserve">2.2   </t>
  </si>
  <si>
    <t>Personalomkostnader</t>
  </si>
  <si>
    <t xml:space="preserve">2.3   </t>
  </si>
  <si>
    <t xml:space="preserve">Hyror </t>
  </si>
  <si>
    <t xml:space="preserve">2.4   </t>
  </si>
  <si>
    <t xml:space="preserve">Reparationer av lokaler </t>
  </si>
  <si>
    <t xml:space="preserve">2.7   </t>
  </si>
  <si>
    <t>Offentligrättsliga avgifter</t>
  </si>
  <si>
    <t xml:space="preserve">Löner och sociala avgifter </t>
  </si>
  <si>
    <t xml:space="preserve">3.1   </t>
  </si>
  <si>
    <t xml:space="preserve">Löner </t>
  </si>
  <si>
    <t xml:space="preserve">3.2   </t>
  </si>
  <si>
    <t xml:space="preserve">Socialavgifter </t>
  </si>
  <si>
    <t xml:space="preserve">3.4   </t>
  </si>
  <si>
    <t>Försäljning</t>
  </si>
  <si>
    <t xml:space="preserve">4.1   </t>
  </si>
  <si>
    <t xml:space="preserve">Extern försäljning  </t>
  </si>
  <si>
    <t xml:space="preserve">4.2   </t>
  </si>
  <si>
    <t xml:space="preserve">Intern försäljning </t>
  </si>
  <si>
    <t>Investeringsverksamhet</t>
  </si>
  <si>
    <t xml:space="preserve">5.1   </t>
  </si>
  <si>
    <t xml:space="preserve">Maskiner, transportmedel och inventarier </t>
  </si>
  <si>
    <t xml:space="preserve">5.4   </t>
  </si>
  <si>
    <t xml:space="preserve">Räntekostnader </t>
  </si>
  <si>
    <t xml:space="preserve">6.2   </t>
  </si>
  <si>
    <t xml:space="preserve">Övriga räntekostnader </t>
  </si>
  <si>
    <t xml:space="preserve">Löpande transfereringar till utlandet </t>
  </si>
  <si>
    <t xml:space="preserve">Löpande transfereringar inom Sverige </t>
  </si>
  <si>
    <t>Företagssektorn</t>
  </si>
  <si>
    <t xml:space="preserve">8.4   </t>
  </si>
  <si>
    <t xml:space="preserve">Hushållssektorn </t>
  </si>
  <si>
    <t xml:space="preserve">8.4.2   </t>
  </si>
  <si>
    <t xml:space="preserve">Egentliga hushåll </t>
  </si>
  <si>
    <t xml:space="preserve">5.5   </t>
  </si>
  <si>
    <t>Försäljning av materiella tillgångar</t>
  </si>
  <si>
    <t xml:space="preserve">3.3   </t>
  </si>
  <si>
    <t xml:space="preserve">Löner, egenutvecklade investeringar </t>
  </si>
  <si>
    <t xml:space="preserve">Inköp av varor och tjänster </t>
  </si>
  <si>
    <t>Hyror, egenutvecklade investeringar</t>
  </si>
  <si>
    <t>Material, egenutvecklade investeringar</t>
  </si>
  <si>
    <t xml:space="preserve">Byggnader och anläggningar </t>
  </si>
  <si>
    <t xml:space="preserve">5.2   </t>
  </si>
  <si>
    <t>Om- och tillbygnad av befintliga byggnader och anläggningar, mark</t>
  </si>
  <si>
    <t xml:space="preserve">5.3   </t>
  </si>
  <si>
    <t xml:space="preserve">7.2.2   </t>
  </si>
  <si>
    <t xml:space="preserve">Övriga länder </t>
  </si>
  <si>
    <t xml:space="preserve">8.5   </t>
  </si>
  <si>
    <t xml:space="preserve">Ålderspensionssystemet </t>
  </si>
  <si>
    <t>Total Konsumtion</t>
  </si>
  <si>
    <t>Totala Räntekostnader</t>
  </si>
  <si>
    <t>Totala Transfereringar</t>
  </si>
  <si>
    <t>Totala Investeringar</t>
  </si>
  <si>
    <t>kv 1</t>
  </si>
  <si>
    <t>kv 2</t>
  </si>
  <si>
    <t>kv 3</t>
  </si>
  <si>
    <t>kv 4</t>
  </si>
  <si>
    <t>helår</t>
  </si>
  <si>
    <t>8.3</t>
  </si>
  <si>
    <t>8.3.1</t>
  </si>
  <si>
    <t>Kommunala sektorn</t>
  </si>
  <si>
    <t>Primärkommuner</t>
  </si>
  <si>
    <t>2.5</t>
  </si>
  <si>
    <t>2.8</t>
  </si>
  <si>
    <t>Övriga omkostnader</t>
  </si>
  <si>
    <t>3.5</t>
  </si>
  <si>
    <t>Övriga löner</t>
  </si>
  <si>
    <t>10.2</t>
  </si>
  <si>
    <t>2.9</t>
  </si>
  <si>
    <t>Fordonsskatter</t>
  </si>
  <si>
    <t>Övriga produktionsskatter</t>
  </si>
  <si>
    <t>3.6</t>
  </si>
  <si>
    <t>Övriga sociala avgifter</t>
  </si>
  <si>
    <t>2.10</t>
  </si>
  <si>
    <t>8.1</t>
  </si>
  <si>
    <t>8.1.3</t>
  </si>
  <si>
    <t>Privata företag m.fl.</t>
  </si>
  <si>
    <t>Kapitaltransfereringar inom Sverige</t>
  </si>
  <si>
    <t xml:space="preserve">Skillnaden mellan utgifterna i UFS och anslagsutfallet förklaras bl.a. av olika hantering av finansiella poster, periodiseringar och </t>
  </si>
  <si>
    <t xml:space="preserve">kv 1-4 2003 </t>
  </si>
  <si>
    <t>2.6</t>
  </si>
  <si>
    <t>6.3</t>
  </si>
  <si>
    <t>Räntor, egenutvecklade investeringar</t>
  </si>
  <si>
    <t>3)</t>
  </si>
  <si>
    <t>avgiftsfinansierad verksamhet samt att anslagsutfallen redovisas netto medan uppgifterna i UFS i de flesta fall redovisas brutto.</t>
  </si>
  <si>
    <t xml:space="preserve">Prognosen för 2004 var ca 42 200 mkr enligt ESV:s Bp 3. Utfallet för de första tre kvartalen utgjorde drygt 60 procent av det </t>
  </si>
  <si>
    <t>prognostiserade beloppet. Motsvarande andel av utfallet för föregående år var ca 65 procent. I Bp 4 kommer prognosen att</t>
  </si>
  <si>
    <t>revideras ner men det är för tillfället oklart med hur mycket.</t>
  </si>
  <si>
    <t>Anslagsutfall (netto) 2) 3)</t>
  </si>
  <si>
    <t>Utfallet på Cofog 0941 i pivottabellen utgörs av Försvarshögskolan.</t>
  </si>
  <si>
    <t>Statliga ideella organisationer</t>
  </si>
  <si>
    <t>Forskning och utveckl., immater. investeringar</t>
  </si>
  <si>
    <t>Endast en liten del av verksamheten hos Försvarets materielverk och Fortifikationsverket redovisas under anslag.</t>
  </si>
  <si>
    <t>kv 1-4</t>
  </si>
  <si>
    <t>I gruppen ingår myndigheterna Försvarsmakten, FMV, FortV, FRA, FOI, Totalförsvarets rekryteringsmyndighet och Försvarshögskolan.</t>
  </si>
  <si>
    <t>belopp kv 1</t>
  </si>
  <si>
    <t>procent kv 1</t>
  </si>
  <si>
    <t>11.1</t>
  </si>
  <si>
    <t>Beredskapslagring</t>
  </si>
  <si>
    <t xml:space="preserve">Utbildningslöner / Värnpliktslöner </t>
  </si>
  <si>
    <t>belopp kv 2</t>
  </si>
  <si>
    <t>procent kv 2</t>
  </si>
  <si>
    <t xml:space="preserve"> - </t>
  </si>
  <si>
    <t>kv 1-2</t>
  </si>
  <si>
    <t>Total Beredskapslagring</t>
  </si>
  <si>
    <t>kv 1-3</t>
  </si>
  <si>
    <t>5.6</t>
  </si>
  <si>
    <t>Militära investeringar</t>
  </si>
  <si>
    <t xml:space="preserve">Direktkonsumtion </t>
  </si>
  <si>
    <t>Miljoner kronor</t>
  </si>
  <si>
    <t>8.4.1</t>
  </si>
  <si>
    <t>Hushållens ideella organisationer</t>
  </si>
  <si>
    <t>7.2.1</t>
  </si>
  <si>
    <t>EU-länder</t>
  </si>
  <si>
    <t>belopp kv 1-4</t>
  </si>
  <si>
    <t>procent kv 1-4</t>
  </si>
  <si>
    <r>
      <t xml:space="preserve">Bilaga: Försvaret (grupp av myndigheter i UFS) </t>
    </r>
    <r>
      <rPr>
        <b/>
        <sz val="9"/>
        <rFont val="Times New Roman"/>
        <family val="1"/>
      </rPr>
      <t>1)</t>
    </r>
  </si>
  <si>
    <t>Diff bel</t>
  </si>
  <si>
    <t>Diff %</t>
  </si>
  <si>
    <t>Prognosen för 2016 var ca 44,2 mdkr enligt ESV:s Bp 2016:4. Utfallet under det sista kvartalet uppgick till 44,0 procent av årstotalen. År 2015 uppgick andelen till 43,3 procent.</t>
  </si>
  <si>
    <t>Underlag till Statens finansiella sparande UFS kv 4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</si>
</sst>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_-* #,##0.00\ [$€-1]_-;\-* #,##0.00\ [$€-1]_-;_-* &quot;-&quot;??\ [$€-1]_-"/>
  </numFmts>
  <fonts count="11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color indexed="10"/>
      <name val="Times New Roman"/>
      <family val="1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31">
    <xf numFmtId="0" fontId="0" fillId="0" borderId="0" xfId="0"/>
    <xf numFmtId="0" fontId="3" fillId="0" borderId="0" xfId="0" applyFont="1" applyFill="1" applyBorder="1"/>
    <xf numFmtId="0" fontId="3" fillId="0" borderId="0" xfId="0" applyFont="1" applyBorder="1" applyAlignment="1">
      <alignment horizontal="right"/>
    </xf>
    <xf numFmtId="0" fontId="3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right"/>
    </xf>
    <xf numFmtId="46" fontId="4" fillId="0" borderId="0" xfId="0" applyNumberFormat="1" applyFont="1" applyBorder="1" applyAlignment="1">
      <alignment horizontal="right"/>
    </xf>
    <xf numFmtId="0" fontId="4" fillId="0" borderId="0" xfId="0" applyFont="1" applyBorder="1"/>
    <xf numFmtId="3" fontId="4" fillId="0" borderId="0" xfId="0" applyNumberFormat="1" applyFont="1" applyBorder="1" applyAlignment="1">
      <alignment horizontal="right"/>
    </xf>
    <xf numFmtId="0" fontId="4" fillId="0" borderId="0" xfId="0" applyFo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/>
    <xf numFmtId="3" fontId="4" fillId="0" borderId="0" xfId="0" applyNumberFormat="1" applyFont="1"/>
    <xf numFmtId="0" fontId="4" fillId="0" borderId="0" xfId="0" applyFont="1" applyFill="1" applyBorder="1"/>
    <xf numFmtId="3" fontId="3" fillId="0" borderId="0" xfId="0" applyNumberFormat="1" applyFont="1" applyBorder="1"/>
    <xf numFmtId="0" fontId="2" fillId="0" borderId="0" xfId="0" applyFont="1" applyBorder="1"/>
    <xf numFmtId="0" fontId="3" fillId="0" borderId="0" xfId="0" applyFont="1" applyBorder="1" applyAlignment="1">
      <alignment horizontal="left"/>
    </xf>
    <xf numFmtId="3" fontId="4" fillId="0" borderId="0" xfId="0" applyNumberFormat="1" applyFont="1" applyFill="1" applyBorder="1" applyAlignment="1">
      <alignment horizontal="right"/>
    </xf>
    <xf numFmtId="3" fontId="4" fillId="2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/>
    <xf numFmtId="3" fontId="4" fillId="0" borderId="0" xfId="0" applyNumberFormat="1" applyFont="1" applyFill="1"/>
    <xf numFmtId="3" fontId="3" fillId="0" borderId="0" xfId="0" applyNumberFormat="1" applyFont="1" applyFill="1"/>
    <xf numFmtId="3" fontId="3" fillId="0" borderId="0" xfId="0" applyNumberFormat="1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Fill="1" applyBorder="1"/>
    <xf numFmtId="3" fontId="4" fillId="0" borderId="1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3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3" fontId="4" fillId="0" borderId="0" xfId="0" applyNumberFormat="1" applyFont="1" applyBorder="1"/>
    <xf numFmtId="3" fontId="4" fillId="0" borderId="3" xfId="0" applyNumberFormat="1" applyFont="1" applyFill="1" applyBorder="1" applyAlignment="1">
      <alignment horizontal="right"/>
    </xf>
    <xf numFmtId="0" fontId="3" fillId="0" borderId="3" xfId="0" applyFont="1" applyBorder="1"/>
    <xf numFmtId="3" fontId="4" fillId="0" borderId="3" xfId="0" applyNumberFormat="1" applyFont="1" applyBorder="1" applyAlignment="1">
      <alignment horizontal="right"/>
    </xf>
    <xf numFmtId="0" fontId="4" fillId="0" borderId="3" xfId="0" applyFont="1" applyBorder="1"/>
    <xf numFmtId="3" fontId="4" fillId="0" borderId="3" xfId="0" applyNumberFormat="1" applyFont="1" applyBorder="1"/>
    <xf numFmtId="0" fontId="4" fillId="0" borderId="0" xfId="0" applyFont="1" applyBorder="1" applyAlignment="1"/>
    <xf numFmtId="0" fontId="5" fillId="0" borderId="0" xfId="0" applyFont="1" applyBorder="1"/>
    <xf numFmtId="0" fontId="4" fillId="0" borderId="2" xfId="0" applyFont="1" applyFill="1" applyBorder="1" applyAlignment="1">
      <alignment horizontal="right" wrapText="1"/>
    </xf>
    <xf numFmtId="3" fontId="3" fillId="0" borderId="3" xfId="0" applyNumberFormat="1" applyFont="1" applyBorder="1"/>
    <xf numFmtId="0" fontId="4" fillId="0" borderId="0" xfId="0" applyFont="1" applyFill="1" applyBorder="1" applyAlignment="1"/>
    <xf numFmtId="3" fontId="4" fillId="0" borderId="3" xfId="0" applyNumberFormat="1" applyFont="1" applyFill="1" applyBorder="1"/>
    <xf numFmtId="0" fontId="4" fillId="0" borderId="0" xfId="0" applyFont="1" applyFill="1" applyBorder="1" applyAlignment="1">
      <alignment vertical="top" wrapText="1"/>
    </xf>
    <xf numFmtId="0" fontId="4" fillId="0" borderId="2" xfId="0" applyFont="1" applyBorder="1" applyAlignment="1">
      <alignment horizontal="right" vertical="top" wrapText="1"/>
    </xf>
    <xf numFmtId="3" fontId="3" fillId="0" borderId="3" xfId="0" applyNumberFormat="1" applyFont="1" applyFill="1" applyBorder="1"/>
    <xf numFmtId="3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Fill="1" applyBorder="1" applyAlignment="1">
      <alignment horizontal="right"/>
    </xf>
    <xf numFmtId="164" fontId="4" fillId="0" borderId="3" xfId="0" applyNumberFormat="1" applyFont="1" applyFill="1" applyBorder="1" applyAlignment="1">
      <alignment horizontal="right"/>
    </xf>
    <xf numFmtId="164" fontId="4" fillId="0" borderId="0" xfId="0" applyNumberFormat="1" applyFont="1"/>
    <xf numFmtId="164" fontId="3" fillId="0" borderId="0" xfId="0" applyNumberFormat="1" applyFont="1"/>
    <xf numFmtId="164" fontId="4" fillId="0" borderId="3" xfId="0" applyNumberFormat="1" applyFont="1" applyBorder="1"/>
    <xf numFmtId="164" fontId="3" fillId="0" borderId="0" xfId="0" applyNumberFormat="1" applyFont="1" applyBorder="1"/>
    <xf numFmtId="0" fontId="3" fillId="0" borderId="0" xfId="0" applyFont="1" applyBorder="1" applyAlignment="1">
      <alignment horizontal="left" vertical="top"/>
    </xf>
    <xf numFmtId="0" fontId="4" fillId="0" borderId="2" xfId="0" applyFont="1" applyFill="1" applyBorder="1" applyAlignment="1">
      <alignment horizontal="right" vertical="top" wrapText="1"/>
    </xf>
    <xf numFmtId="16" fontId="4" fillId="0" borderId="0" xfId="0" applyNumberFormat="1" applyFont="1" applyBorder="1"/>
    <xf numFmtId="9" fontId="4" fillId="0" borderId="0" xfId="2" applyFont="1" applyFill="1" applyBorder="1"/>
    <xf numFmtId="3" fontId="4" fillId="0" borderId="0" xfId="0" applyNumberFormat="1" applyFont="1" applyFill="1" applyBorder="1" applyAlignment="1">
      <alignment vertical="top" wrapText="1"/>
    </xf>
    <xf numFmtId="164" fontId="4" fillId="0" borderId="0" xfId="0" applyNumberFormat="1" applyFont="1" applyBorder="1"/>
    <xf numFmtId="165" fontId="4" fillId="0" borderId="0" xfId="2" applyNumberFormat="1" applyFont="1" applyFill="1" applyBorder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65" fontId="3" fillId="0" borderId="0" xfId="2" applyNumberFormat="1" applyFont="1"/>
    <xf numFmtId="9" fontId="3" fillId="0" borderId="0" xfId="2" applyFont="1"/>
    <xf numFmtId="165" fontId="4" fillId="0" borderId="0" xfId="0" applyNumberFormat="1" applyFont="1" applyFill="1" applyBorder="1"/>
    <xf numFmtId="164" fontId="4" fillId="0" borderId="0" xfId="0" applyNumberFormat="1" applyFont="1" applyFill="1" applyBorder="1"/>
    <xf numFmtId="0" fontId="0" fillId="0" borderId="0" xfId="0"/>
    <xf numFmtId="0" fontId="7" fillId="0" borderId="0" xfId="0" applyFont="1" applyBorder="1"/>
    <xf numFmtId="0" fontId="8" fillId="0" borderId="0" xfId="0" applyFont="1" applyBorder="1"/>
    <xf numFmtId="0" fontId="9" fillId="0" borderId="0" xfId="0" applyFont="1" applyBorder="1"/>
    <xf numFmtId="3" fontId="8" fillId="0" borderId="0" xfId="0" applyNumberFormat="1" applyFont="1" applyFill="1" applyBorder="1" applyAlignment="1">
      <alignment horizontal="right"/>
    </xf>
    <xf numFmtId="3" fontId="8" fillId="0" borderId="3" xfId="0" applyNumberFormat="1" applyFont="1" applyFill="1" applyBorder="1"/>
    <xf numFmtId="0" fontId="6" fillId="0" borderId="0" xfId="3" applyNumberFormat="1" applyFont="1" applyFill="1" applyBorder="1"/>
    <xf numFmtId="0" fontId="8" fillId="0" borderId="3" xfId="0" applyFont="1" applyBorder="1"/>
    <xf numFmtId="3" fontId="4" fillId="2" borderId="3" xfId="0" applyNumberFormat="1" applyFont="1" applyFill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0" xfId="0" applyFont="1" applyBorder="1" applyAlignment="1">
      <alignment horizontal="right"/>
    </xf>
    <xf numFmtId="3" fontId="9" fillId="0" borderId="0" xfId="0" applyNumberFormat="1" applyFont="1"/>
    <xf numFmtId="3" fontId="8" fillId="0" borderId="0" xfId="0" applyNumberFormat="1" applyFont="1"/>
    <xf numFmtId="3" fontId="1" fillId="0" borderId="0" xfId="0" applyNumberFormat="1" applyFont="1"/>
    <xf numFmtId="3" fontId="9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/>
    <xf numFmtId="3" fontId="9" fillId="0" borderId="3" xfId="0" applyNumberFormat="1" applyFont="1" applyFill="1" applyBorder="1" applyAlignment="1">
      <alignment horizontal="right"/>
    </xf>
    <xf numFmtId="3" fontId="9" fillId="0" borderId="3" xfId="0" applyNumberFormat="1" applyFont="1" applyFill="1" applyBorder="1"/>
    <xf numFmtId="0" fontId="3" fillId="0" borderId="3" xfId="0" applyFont="1" applyFill="1" applyBorder="1"/>
    <xf numFmtId="3" fontId="8" fillId="0" borderId="3" xfId="0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9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9" fillId="0" borderId="0" xfId="0" applyFont="1"/>
    <xf numFmtId="164" fontId="9" fillId="0" borderId="0" xfId="0" applyNumberFormat="1" applyFont="1" applyBorder="1"/>
    <xf numFmtId="0" fontId="9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/>
    <xf numFmtId="0" fontId="8" fillId="0" borderId="0" xfId="0" applyFont="1"/>
    <xf numFmtId="0" fontId="8" fillId="0" borderId="0" xfId="0" applyFont="1" applyFill="1"/>
    <xf numFmtId="0" fontId="9" fillId="0" borderId="0" xfId="0" applyFont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0" fillId="0" borderId="2" xfId="0" applyBorder="1"/>
    <xf numFmtId="0" fontId="9" fillId="0" borderId="0" xfId="0" applyFont="1" applyBorder="1" applyAlignment="1">
      <alignment wrapText="1"/>
    </xf>
    <xf numFmtId="0" fontId="9" fillId="0" borderId="0" xfId="0" applyFont="1" applyAlignment="1">
      <alignment wrapText="1"/>
    </xf>
    <xf numFmtId="3" fontId="9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4">
    <cellStyle name="Euro" xfId="1"/>
    <cellStyle name="Normal" xfId="0" builtinId="0"/>
    <cellStyle name="Normal 2" xfId="3"/>
    <cellStyle name="Pro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>
    <pageSetUpPr fitToPage="1"/>
  </sheetPr>
  <dimension ref="A1:GF460"/>
  <sheetViews>
    <sheetView tabSelected="1" zoomScaleNormal="100" workbookViewId="0">
      <pane xSplit="88" ySplit="5" topLeftCell="CK6" activePane="bottomRight" state="frozen"/>
      <selection pane="topRight" activeCell="CK1" sqref="CK1"/>
      <selection pane="bottomLeft" activeCell="A6" sqref="A6"/>
      <selection pane="bottomRight" activeCell="A37" sqref="A37"/>
    </sheetView>
  </sheetViews>
  <sheetFormatPr defaultRowHeight="12.75" x14ac:dyDescent="0.2"/>
  <cols>
    <col min="1" max="1" width="2.7109375" style="16" customWidth="1"/>
    <col min="2" max="2" width="3.7109375" style="4" customWidth="1"/>
    <col min="3" max="3" width="6.5703125" style="4" customWidth="1"/>
    <col min="4" max="4" width="28.42578125" style="4" customWidth="1"/>
    <col min="5" max="5" width="0.140625" style="4" customWidth="1"/>
    <col min="6" max="6" width="9.7109375" style="2" hidden="1" customWidth="1"/>
    <col min="7" max="8" width="9.7109375" style="21" hidden="1" customWidth="1"/>
    <col min="9" max="9" width="3.42578125" style="21" hidden="1" customWidth="1"/>
    <col min="10" max="11" width="9.7109375" style="2" hidden="1" customWidth="1"/>
    <col min="12" max="12" width="9.7109375" style="3" hidden="1" customWidth="1"/>
    <col min="13" max="13" width="9.7109375" style="1" hidden="1" customWidth="1"/>
    <col min="14" max="14" width="2" style="4" hidden="1" customWidth="1"/>
    <col min="15" max="15" width="0.140625" style="4" hidden="1" customWidth="1"/>
    <col min="16" max="16" width="9.7109375" style="4" hidden="1" customWidth="1"/>
    <col min="17" max="17" width="9.7109375" style="3" hidden="1" customWidth="1"/>
    <col min="18" max="18" width="9.7109375" style="1" hidden="1" customWidth="1"/>
    <col min="19" max="19" width="6" style="7" hidden="1" customWidth="1"/>
    <col min="20" max="22" width="6.7109375" style="7" hidden="1" customWidth="1"/>
    <col min="23" max="23" width="0.85546875" style="4" hidden="1" customWidth="1"/>
    <col min="24" max="24" width="7" style="7" hidden="1" customWidth="1"/>
    <col min="25" max="25" width="1.5703125" style="4" customWidth="1"/>
    <col min="26" max="26" width="6" style="13" hidden="1" customWidth="1"/>
    <col min="27" max="27" width="7" style="7" hidden="1" customWidth="1"/>
    <col min="28" max="28" width="6" hidden="1" customWidth="1"/>
    <col min="29" max="29" width="7" style="7" hidden="1" customWidth="1"/>
    <col min="30" max="30" width="0.85546875" style="4" hidden="1" customWidth="1"/>
    <col min="31" max="31" width="7" style="7" hidden="1" customWidth="1"/>
    <col min="32" max="32" width="1.7109375" style="4" hidden="1" customWidth="1"/>
    <col min="33" max="33" width="6.42578125" style="7" hidden="1" customWidth="1"/>
    <col min="34" max="35" width="7" style="7" hidden="1" customWidth="1"/>
    <col min="36" max="36" width="7.7109375" style="7" hidden="1" customWidth="1"/>
    <col min="37" max="37" width="8.85546875" style="4" hidden="1" customWidth="1"/>
    <col min="38" max="38" width="8" style="1" hidden="1" customWidth="1"/>
    <col min="39" max="39" width="10.5703125" style="4" hidden="1" customWidth="1"/>
    <col min="40" max="40" width="7" style="7" hidden="1" customWidth="1"/>
    <col min="41" max="41" width="6.85546875" style="4" hidden="1" customWidth="1"/>
    <col min="42" max="42" width="8" hidden="1" customWidth="1"/>
    <col min="43" max="47" width="6.42578125" style="7" hidden="1" customWidth="1"/>
    <col min="48" max="48" width="7.42578125" style="7" hidden="1" customWidth="1"/>
    <col min="49" max="49" width="6.42578125" style="7" hidden="1" customWidth="1"/>
    <col min="50" max="51" width="6.42578125" style="13" hidden="1" customWidth="1"/>
    <col min="52" max="53" width="7.28515625" style="13" hidden="1" customWidth="1"/>
    <col min="54" max="54" width="6.42578125" style="13" hidden="1" customWidth="1"/>
    <col min="55" max="57" width="7.85546875" style="13" hidden="1" customWidth="1"/>
    <col min="58" max="58" width="7.42578125" style="13" hidden="1" customWidth="1"/>
    <col min="59" max="72" width="8.85546875" style="13" hidden="1" customWidth="1"/>
    <col min="73" max="76" width="7.28515625" style="13" hidden="1" customWidth="1"/>
    <col min="77" max="77" width="7.140625" style="13" hidden="1" customWidth="1"/>
    <col min="78" max="79" width="7" style="13" hidden="1" customWidth="1"/>
    <col min="80" max="82" width="9.140625" style="13" hidden="1" customWidth="1"/>
    <col min="83" max="88" width="8.5703125" style="13" hidden="1" customWidth="1"/>
    <col min="89" max="91" width="8.5703125" style="13" customWidth="1"/>
    <col min="92" max="93" width="8.5703125" style="13" hidden="1" customWidth="1"/>
    <col min="94" max="101" width="8.5703125" style="13" customWidth="1"/>
    <col min="102" max="102" width="7.140625" style="13" customWidth="1"/>
    <col min="103" max="103" width="6.7109375" style="13" customWidth="1"/>
    <col min="104" max="105" width="6.7109375" style="13" hidden="1" customWidth="1"/>
    <col min="106" max="107" width="9.140625" style="4"/>
    <col min="108" max="108" width="12.7109375" style="4" customWidth="1"/>
    <col min="109" max="16384" width="9.140625" style="4"/>
  </cols>
  <sheetData>
    <row r="1" spans="1:118" x14ac:dyDescent="0.2">
      <c r="A1" s="80" t="s">
        <v>132</v>
      </c>
      <c r="AB1" s="74"/>
      <c r="AP1" s="74"/>
    </row>
    <row r="2" spans="1:118" ht="17.25" customHeight="1" x14ac:dyDescent="0.2">
      <c r="A2" s="75" t="s">
        <v>128</v>
      </c>
      <c r="B2" s="1"/>
      <c r="C2" s="1"/>
      <c r="D2" s="1"/>
      <c r="O2" s="3"/>
      <c r="P2" s="3"/>
      <c r="R2" s="22"/>
      <c r="S2" s="9"/>
      <c r="T2" s="9"/>
      <c r="U2" s="9"/>
      <c r="V2" s="9"/>
      <c r="X2" s="9"/>
      <c r="Z2" s="26"/>
      <c r="AC2" s="9"/>
      <c r="AE2" s="9"/>
      <c r="AG2" s="9"/>
      <c r="AN2" s="9"/>
      <c r="AP2" s="4"/>
      <c r="DB2" s="3"/>
      <c r="DC2" s="3"/>
      <c r="DD2" s="3"/>
      <c r="DE2" s="3"/>
      <c r="DF2" s="3"/>
      <c r="DG2" s="3"/>
    </row>
    <row r="3" spans="1:118" ht="15" customHeight="1" x14ac:dyDescent="0.3">
      <c r="A3" s="75" t="s">
        <v>121</v>
      </c>
      <c r="C3" s="46"/>
      <c r="D3" s="15"/>
      <c r="E3" s="45"/>
      <c r="G3" s="116" t="s">
        <v>3</v>
      </c>
      <c r="H3" s="116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X3" s="3"/>
      <c r="Z3" s="49"/>
      <c r="AA3" s="4"/>
      <c r="AC3" s="45"/>
      <c r="AE3" s="3"/>
      <c r="AG3" s="45"/>
      <c r="AH3" s="4"/>
      <c r="AI3" s="4"/>
      <c r="AJ3" s="4"/>
      <c r="AN3" s="3"/>
      <c r="AP3" s="4"/>
      <c r="AQ3" s="4"/>
      <c r="AR3" s="4"/>
      <c r="AS3" s="4"/>
      <c r="AT3" s="4"/>
      <c r="AU3" s="4"/>
      <c r="AV3" s="4"/>
      <c r="AW3" s="4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26"/>
      <c r="BV3" s="126"/>
      <c r="BW3" s="126"/>
      <c r="BX3" s="126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3"/>
      <c r="DC3" s="3"/>
      <c r="DD3" s="3"/>
      <c r="DE3" s="3"/>
      <c r="DF3" s="3"/>
      <c r="DG3" s="3"/>
    </row>
    <row r="4" spans="1:118" s="2" customFormat="1" ht="13.5" customHeight="1" x14ac:dyDescent="0.2">
      <c r="F4" s="31">
        <v>1999</v>
      </c>
      <c r="G4" s="31">
        <v>2000</v>
      </c>
      <c r="H4" s="31">
        <v>2001</v>
      </c>
      <c r="I4" s="31"/>
      <c r="J4" s="31">
        <v>2000</v>
      </c>
      <c r="K4" s="31">
        <v>2000</v>
      </c>
      <c r="L4" s="31">
        <v>2000</v>
      </c>
      <c r="M4" s="31">
        <v>2000</v>
      </c>
      <c r="N4" s="32"/>
      <c r="O4" s="31">
        <v>2001</v>
      </c>
      <c r="P4" s="31">
        <v>2001</v>
      </c>
      <c r="Q4" s="31">
        <v>2001</v>
      </c>
      <c r="R4" s="31">
        <v>2001</v>
      </c>
      <c r="S4" s="117">
        <v>2003</v>
      </c>
      <c r="T4" s="117"/>
      <c r="U4" s="117"/>
      <c r="V4" s="117"/>
      <c r="W4" s="86"/>
      <c r="X4" s="31"/>
      <c r="Z4" s="117">
        <v>2004</v>
      </c>
      <c r="AA4" s="118"/>
      <c r="AB4" s="118"/>
      <c r="AC4" s="118"/>
      <c r="AD4" s="87"/>
      <c r="AE4" s="88"/>
      <c r="AF4" s="86"/>
      <c r="AG4" s="117">
        <v>2005</v>
      </c>
      <c r="AH4" s="117"/>
      <c r="AI4" s="117"/>
      <c r="AJ4" s="125"/>
      <c r="AK4" s="125"/>
      <c r="AL4" s="89"/>
      <c r="AM4" s="117">
        <v>2006</v>
      </c>
      <c r="AN4" s="117"/>
      <c r="AO4" s="117"/>
      <c r="AP4" s="125"/>
      <c r="AQ4" s="125"/>
      <c r="AR4" s="86"/>
      <c r="AS4" s="88"/>
      <c r="AT4" s="88"/>
      <c r="AU4" s="86"/>
      <c r="AV4" s="88">
        <v>2007</v>
      </c>
      <c r="AW4" s="117">
        <v>2008</v>
      </c>
      <c r="AX4" s="117"/>
      <c r="AY4" s="125"/>
      <c r="AZ4" s="125"/>
      <c r="BA4" s="88">
        <v>2008</v>
      </c>
      <c r="BB4" s="117">
        <v>2009</v>
      </c>
      <c r="BC4" s="117"/>
      <c r="BD4" s="117"/>
      <c r="BE4" s="117"/>
      <c r="BF4" s="117"/>
      <c r="BG4" s="88">
        <v>2010</v>
      </c>
      <c r="BH4" s="88"/>
      <c r="BI4" s="88"/>
      <c r="BJ4" s="88"/>
      <c r="BK4" s="88">
        <v>2010</v>
      </c>
      <c r="BL4" s="123">
        <v>2011</v>
      </c>
      <c r="BM4" s="124"/>
      <c r="BN4" s="124"/>
      <c r="BO4" s="124"/>
      <c r="BP4" s="124"/>
      <c r="BQ4" s="123">
        <v>2012</v>
      </c>
      <c r="BR4" s="124"/>
      <c r="BS4" s="124"/>
      <c r="BT4" s="124"/>
      <c r="BU4" s="128"/>
      <c r="BV4" s="128"/>
      <c r="BW4" s="128"/>
      <c r="BX4" s="128"/>
      <c r="BY4" s="128"/>
      <c r="BZ4" s="128"/>
      <c r="CA4" s="128"/>
      <c r="CB4" s="130">
        <v>2013</v>
      </c>
      <c r="CC4" s="125"/>
      <c r="CD4" s="125"/>
      <c r="CE4" s="125"/>
      <c r="CF4" s="125"/>
      <c r="CG4" s="76">
        <v>2014</v>
      </c>
      <c r="CH4" s="76"/>
      <c r="CI4" s="76"/>
      <c r="CJ4" s="76"/>
      <c r="CK4" s="76">
        <v>2014</v>
      </c>
      <c r="CL4" s="76">
        <v>2015</v>
      </c>
      <c r="CM4" s="76"/>
      <c r="CN4" s="76"/>
      <c r="CO4" s="76"/>
      <c r="CP4" s="76"/>
      <c r="CQ4" s="76"/>
      <c r="CR4" s="76"/>
      <c r="CS4" s="76">
        <v>2016</v>
      </c>
      <c r="CT4" s="76"/>
      <c r="CU4" s="76"/>
      <c r="CV4" s="76"/>
      <c r="CW4" s="76"/>
      <c r="CX4" s="76" t="s">
        <v>129</v>
      </c>
      <c r="CY4" s="76" t="s">
        <v>130</v>
      </c>
      <c r="CZ4" s="76"/>
      <c r="DA4" s="76"/>
      <c r="DB4" s="76"/>
      <c r="DC4" s="126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</row>
    <row r="5" spans="1:118" s="2" customFormat="1" ht="25.5" x14ac:dyDescent="0.2">
      <c r="A5" s="86"/>
      <c r="B5" s="86"/>
      <c r="C5" s="86"/>
      <c r="D5" s="86"/>
      <c r="E5" s="100"/>
      <c r="F5" s="100" t="s">
        <v>69</v>
      </c>
      <c r="G5" s="100" t="s">
        <v>69</v>
      </c>
      <c r="H5" s="100" t="s">
        <v>69</v>
      </c>
      <c r="I5" s="101"/>
      <c r="J5" s="100" t="s">
        <v>65</v>
      </c>
      <c r="K5" s="100" t="s">
        <v>66</v>
      </c>
      <c r="L5" s="100" t="s">
        <v>67</v>
      </c>
      <c r="M5" s="100" t="s">
        <v>68</v>
      </c>
      <c r="N5" s="100"/>
      <c r="O5" s="100" t="s">
        <v>65</v>
      </c>
      <c r="P5" s="100" t="s">
        <v>66</v>
      </c>
      <c r="Q5" s="100" t="s">
        <v>67</v>
      </c>
      <c r="R5" s="100" t="s">
        <v>68</v>
      </c>
      <c r="S5" s="100" t="s">
        <v>65</v>
      </c>
      <c r="T5" s="100" t="s">
        <v>66</v>
      </c>
      <c r="U5" s="100" t="s">
        <v>67</v>
      </c>
      <c r="V5" s="100" t="s">
        <v>68</v>
      </c>
      <c r="W5" s="100"/>
      <c r="X5" s="100" t="s">
        <v>91</v>
      </c>
      <c r="Y5" s="86"/>
      <c r="Z5" s="31" t="s">
        <v>65</v>
      </c>
      <c r="AA5" s="32" t="s">
        <v>66</v>
      </c>
      <c r="AB5" s="32" t="s">
        <v>67</v>
      </c>
      <c r="AC5" s="32" t="s">
        <v>68</v>
      </c>
      <c r="AD5" s="32"/>
      <c r="AE5" s="32" t="s">
        <v>3</v>
      </c>
      <c r="AG5" s="32" t="s">
        <v>65</v>
      </c>
      <c r="AH5" s="32" t="s">
        <v>66</v>
      </c>
      <c r="AI5" s="32" t="s">
        <v>67</v>
      </c>
      <c r="AJ5" s="31" t="s">
        <v>68</v>
      </c>
      <c r="AK5" s="32" t="s">
        <v>3</v>
      </c>
      <c r="AL5" s="32" t="s">
        <v>3</v>
      </c>
      <c r="AM5" s="32" t="s">
        <v>65</v>
      </c>
      <c r="AN5" s="32" t="s">
        <v>66</v>
      </c>
      <c r="AO5" s="32" t="s">
        <v>67</v>
      </c>
      <c r="AP5" s="32" t="s">
        <v>68</v>
      </c>
      <c r="AQ5" s="32" t="s">
        <v>3</v>
      </c>
      <c r="AR5" s="32" t="s">
        <v>65</v>
      </c>
      <c r="AS5" s="32" t="s">
        <v>66</v>
      </c>
      <c r="AT5" s="32" t="s">
        <v>67</v>
      </c>
      <c r="AU5" s="32" t="s">
        <v>68</v>
      </c>
      <c r="AV5" s="32" t="s">
        <v>3</v>
      </c>
      <c r="AW5" s="32" t="s">
        <v>65</v>
      </c>
      <c r="AX5" s="31" t="s">
        <v>66</v>
      </c>
      <c r="AY5" s="31" t="s">
        <v>67</v>
      </c>
      <c r="AZ5" s="31" t="s">
        <v>68</v>
      </c>
      <c r="BA5" s="31" t="s">
        <v>3</v>
      </c>
      <c r="BB5" s="32" t="s">
        <v>65</v>
      </c>
      <c r="BC5" s="32" t="s">
        <v>66</v>
      </c>
      <c r="BD5" s="32" t="s">
        <v>67</v>
      </c>
      <c r="BE5" s="32" t="s">
        <v>68</v>
      </c>
      <c r="BF5" s="32" t="s">
        <v>105</v>
      </c>
      <c r="BG5" s="32" t="s">
        <v>65</v>
      </c>
      <c r="BH5" s="32" t="s">
        <v>66</v>
      </c>
      <c r="BI5" s="32" t="s">
        <v>67</v>
      </c>
      <c r="BJ5" s="32" t="s">
        <v>68</v>
      </c>
      <c r="BK5" s="32" t="s">
        <v>105</v>
      </c>
      <c r="BL5" s="32" t="s">
        <v>65</v>
      </c>
      <c r="BM5" s="32" t="s">
        <v>66</v>
      </c>
      <c r="BN5" s="32" t="s">
        <v>67</v>
      </c>
      <c r="BO5" s="32" t="s">
        <v>68</v>
      </c>
      <c r="BP5" s="84" t="s">
        <v>105</v>
      </c>
      <c r="BQ5" s="32" t="s">
        <v>65</v>
      </c>
      <c r="BR5" s="32" t="s">
        <v>66</v>
      </c>
      <c r="BS5" s="32" t="s">
        <v>67</v>
      </c>
      <c r="BT5" s="32" t="s">
        <v>68</v>
      </c>
      <c r="BU5" s="62" t="s">
        <v>107</v>
      </c>
      <c r="BV5" s="47" t="s">
        <v>115</v>
      </c>
      <c r="BW5" s="47" t="s">
        <v>117</v>
      </c>
      <c r="BX5" s="62" t="s">
        <v>112</v>
      </c>
      <c r="BY5" s="52" t="s">
        <v>108</v>
      </c>
      <c r="BZ5" s="52" t="s">
        <v>113</v>
      </c>
      <c r="CA5" s="47" t="s">
        <v>105</v>
      </c>
      <c r="CB5" s="85" t="s">
        <v>65</v>
      </c>
      <c r="CC5" s="32" t="s">
        <v>66</v>
      </c>
      <c r="CD5" s="32" t="s">
        <v>67</v>
      </c>
      <c r="CE5" s="32" t="s">
        <v>68</v>
      </c>
      <c r="CF5" s="47" t="s">
        <v>105</v>
      </c>
      <c r="CG5" s="76" t="s">
        <v>65</v>
      </c>
      <c r="CH5" s="76" t="s">
        <v>66</v>
      </c>
      <c r="CI5" s="76" t="s">
        <v>67</v>
      </c>
      <c r="CJ5" s="76" t="s">
        <v>68</v>
      </c>
      <c r="CK5" s="90" t="s">
        <v>3</v>
      </c>
      <c r="CL5" s="90" t="s">
        <v>65</v>
      </c>
      <c r="CM5" s="90" t="s">
        <v>66</v>
      </c>
      <c r="CN5" s="90" t="s">
        <v>67</v>
      </c>
      <c r="CO5" s="90" t="s">
        <v>68</v>
      </c>
      <c r="CP5" s="90" t="s">
        <v>67</v>
      </c>
      <c r="CQ5" s="90" t="s">
        <v>68</v>
      </c>
      <c r="CR5" s="90" t="s">
        <v>3</v>
      </c>
      <c r="CS5" s="90" t="s">
        <v>65</v>
      </c>
      <c r="CT5" s="90" t="s">
        <v>66</v>
      </c>
      <c r="CU5" s="90" t="s">
        <v>67</v>
      </c>
      <c r="CV5" s="90" t="s">
        <v>68</v>
      </c>
      <c r="CW5" s="90" t="s">
        <v>105</v>
      </c>
      <c r="CX5" s="90" t="s">
        <v>68</v>
      </c>
      <c r="CY5" s="90" t="s">
        <v>68</v>
      </c>
      <c r="CZ5" s="76" t="s">
        <v>126</v>
      </c>
      <c r="DA5" s="76" t="s">
        <v>127</v>
      </c>
      <c r="DB5" s="76"/>
    </row>
    <row r="6" spans="1:118" x14ac:dyDescent="0.2">
      <c r="A6" s="76" t="s">
        <v>6</v>
      </c>
      <c r="E6" s="5"/>
      <c r="F6" s="6"/>
      <c r="G6" s="19"/>
      <c r="H6" s="19"/>
      <c r="I6" s="19"/>
      <c r="J6" s="5"/>
      <c r="K6" s="27"/>
      <c r="L6" s="27"/>
      <c r="M6" s="19"/>
      <c r="N6" s="5"/>
      <c r="O6" s="19"/>
      <c r="P6" s="19"/>
      <c r="Q6" s="27"/>
      <c r="R6" s="27"/>
      <c r="S6" s="12"/>
      <c r="T6" s="12"/>
      <c r="U6" s="12"/>
      <c r="V6" s="12"/>
      <c r="X6" s="12"/>
      <c r="Y6" s="12"/>
      <c r="Z6" s="23"/>
      <c r="AA6" s="39"/>
      <c r="AB6" s="39"/>
      <c r="AC6" s="12"/>
      <c r="AE6" s="12"/>
      <c r="AF6" s="12"/>
      <c r="AG6" s="12"/>
      <c r="AH6" s="39"/>
      <c r="AI6" s="39"/>
      <c r="AJ6" s="29"/>
      <c r="AK6" s="12"/>
      <c r="AL6" s="12"/>
      <c r="AM6" s="12"/>
      <c r="AN6" s="39"/>
      <c r="AO6" s="39"/>
      <c r="AP6" s="39"/>
      <c r="AQ6" s="12"/>
      <c r="AR6" s="12"/>
      <c r="AS6" s="12"/>
      <c r="AT6" s="12"/>
      <c r="AU6" s="12"/>
      <c r="AV6" s="12"/>
      <c r="AW6" s="12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</row>
    <row r="7" spans="1:118" x14ac:dyDescent="0.2">
      <c r="C7" s="77" t="s">
        <v>5</v>
      </c>
      <c r="E7" s="8"/>
      <c r="F7" s="8">
        <v>18</v>
      </c>
      <c r="G7" s="17">
        <f>SUM(J7:M7)</f>
        <v>24</v>
      </c>
      <c r="H7" s="17">
        <f>SUM(O7:R7)</f>
        <v>23</v>
      </c>
      <c r="I7" s="17"/>
      <c r="J7" s="8">
        <v>4</v>
      </c>
      <c r="K7" s="28">
        <v>7</v>
      </c>
      <c r="L7" s="28">
        <v>6</v>
      </c>
      <c r="M7" s="17">
        <v>7</v>
      </c>
      <c r="N7" s="8"/>
      <c r="O7" s="17">
        <v>7</v>
      </c>
      <c r="P7" s="17">
        <v>8</v>
      </c>
      <c r="Q7" s="28">
        <v>5</v>
      </c>
      <c r="R7" s="28">
        <v>3</v>
      </c>
      <c r="S7" s="12">
        <v>1.3680349999999999</v>
      </c>
      <c r="T7" s="39">
        <v>2.5105339999999998</v>
      </c>
      <c r="U7" s="39">
        <v>0.90588800000000003</v>
      </c>
      <c r="V7" s="12">
        <v>4.7217370000000001</v>
      </c>
      <c r="W7" s="12"/>
      <c r="X7" s="12">
        <f>SUM(S7:V7)</f>
        <v>9.5061940000000007</v>
      </c>
      <c r="Z7" s="23">
        <v>1.6836869999999999</v>
      </c>
      <c r="AA7" s="39">
        <v>2.2778209999999999</v>
      </c>
      <c r="AB7" s="39">
        <v>1.1000000000000001</v>
      </c>
      <c r="AC7" s="12">
        <v>2.8</v>
      </c>
      <c r="AD7" s="12"/>
      <c r="AE7" s="12">
        <f>SUM(Z7:AC7)</f>
        <v>7.8615079999999997</v>
      </c>
      <c r="AG7" s="12">
        <v>1.3</v>
      </c>
      <c r="AH7" s="39">
        <v>1.8</v>
      </c>
      <c r="AI7" s="39">
        <v>2.5</v>
      </c>
      <c r="AJ7" s="29">
        <v>5</v>
      </c>
      <c r="AK7" s="12">
        <f>+AG7+AH7+AI7+AJ7</f>
        <v>10.6</v>
      </c>
      <c r="AL7" s="12">
        <v>10.6</v>
      </c>
      <c r="AM7" s="29">
        <v>4.7</v>
      </c>
      <c r="AN7" s="39">
        <v>9.3000000000000007</v>
      </c>
      <c r="AO7" s="39">
        <v>5</v>
      </c>
      <c r="AP7" s="39">
        <v>10.199999999999999</v>
      </c>
      <c r="AQ7" s="12">
        <f>+AM7+AN7+AO7+AP7</f>
        <v>29.2</v>
      </c>
      <c r="AR7" s="12">
        <v>8</v>
      </c>
      <c r="AS7" s="12">
        <v>4.5999999999999996</v>
      </c>
      <c r="AT7" s="12">
        <v>3.7</v>
      </c>
      <c r="AU7" s="12">
        <v>11.986000000000001</v>
      </c>
      <c r="AV7" s="12">
        <f>+AR7+AS7+AT7+AU7</f>
        <v>28.286000000000001</v>
      </c>
      <c r="AW7" s="12">
        <v>10</v>
      </c>
      <c r="AX7" s="23">
        <v>3.5</v>
      </c>
      <c r="AY7" s="23">
        <v>12.1</v>
      </c>
      <c r="AZ7" s="23">
        <v>66.400000000000006</v>
      </c>
      <c r="BA7" s="12">
        <f>+AW7+AX7+AY7+AZ7</f>
        <v>92</v>
      </c>
      <c r="BB7" s="12">
        <v>9</v>
      </c>
      <c r="BC7" s="12">
        <v>5.0999999999999996</v>
      </c>
      <c r="BD7" s="12">
        <v>0.3</v>
      </c>
      <c r="BE7" s="12">
        <v>1.7</v>
      </c>
      <c r="BF7" s="12">
        <f>+BB7+BC7+BD7+BE7</f>
        <v>16.100000000000001</v>
      </c>
      <c r="BG7" s="12">
        <v>2</v>
      </c>
      <c r="BH7" s="12">
        <v>2.1</v>
      </c>
      <c r="BI7" s="12">
        <v>0.3</v>
      </c>
      <c r="BJ7" s="12">
        <v>0.3</v>
      </c>
      <c r="BK7" s="12">
        <f>+BG7+BH7+BI7+BJ7</f>
        <v>4.6999999999999993</v>
      </c>
      <c r="BL7" s="12">
        <v>0.7</v>
      </c>
      <c r="BM7" s="12">
        <v>0.28999999999999998</v>
      </c>
      <c r="BN7" s="12">
        <v>4.2</v>
      </c>
      <c r="BO7" s="12">
        <v>1.1000000000000001</v>
      </c>
      <c r="BP7" s="12">
        <f>+BL7+BM7+BN7+BO7</f>
        <v>6.2900000000000009</v>
      </c>
      <c r="BQ7" s="12">
        <v>1.6</v>
      </c>
      <c r="BR7" s="12">
        <v>0.2</v>
      </c>
      <c r="BS7" s="12">
        <v>0.4</v>
      </c>
      <c r="BT7" s="12">
        <v>0.5</v>
      </c>
      <c r="BU7" s="12">
        <f>+BQ7-BL7</f>
        <v>0.90000000000000013</v>
      </c>
      <c r="BV7" s="12">
        <f>+BQ7+BR7</f>
        <v>1.8</v>
      </c>
      <c r="BW7" s="12">
        <f>SUM(BQ7:BS7)</f>
        <v>2.2000000000000002</v>
      </c>
      <c r="BX7" s="12">
        <f>+BR7-BM7</f>
        <v>-8.9999999999999969E-2</v>
      </c>
      <c r="BY7" s="12">
        <f>+BU7/(BL7)*100</f>
        <v>128.57142857142861</v>
      </c>
      <c r="BZ7" s="12">
        <f>+BX7/(BM7)*100</f>
        <v>-31.03448275862068</v>
      </c>
      <c r="CA7" s="12">
        <f>SUM(BQ7:BT7)</f>
        <v>2.7</v>
      </c>
      <c r="CB7" s="12">
        <v>0.3</v>
      </c>
      <c r="CC7" s="12">
        <v>3</v>
      </c>
      <c r="CD7" s="12">
        <v>1.5</v>
      </c>
      <c r="CE7" s="12">
        <v>23.5</v>
      </c>
      <c r="CF7" s="12">
        <f>SUM(CB7:CE7)</f>
        <v>28.3</v>
      </c>
      <c r="CG7" s="12">
        <v>4</v>
      </c>
      <c r="CH7" s="12">
        <v>4.7</v>
      </c>
      <c r="CI7" s="12">
        <v>0.6</v>
      </c>
      <c r="CJ7" s="12">
        <v>5.4</v>
      </c>
      <c r="CK7" s="78">
        <f>+CG7+CH7+CI7+CJ7</f>
        <v>14.7</v>
      </c>
      <c r="CL7" s="78">
        <v>1.5</v>
      </c>
      <c r="CM7" s="78">
        <v>-8.8000000000000007</v>
      </c>
      <c r="CN7" s="78"/>
      <c r="CO7" s="78"/>
      <c r="CP7" s="78">
        <v>1.8</v>
      </c>
      <c r="CQ7" s="78">
        <v>1</v>
      </c>
      <c r="CR7" s="78">
        <f>+CL7+CM7+CP7+CQ7</f>
        <v>-4.5000000000000009</v>
      </c>
      <c r="CS7" s="78">
        <v>1.8</v>
      </c>
      <c r="CT7" s="78">
        <v>2</v>
      </c>
      <c r="CU7" s="78">
        <v>1.8</v>
      </c>
      <c r="CV7" s="78">
        <v>1.8</v>
      </c>
      <c r="CW7" s="78">
        <f>+CS7+CT7+CU7+CV7</f>
        <v>7.3999999999999995</v>
      </c>
      <c r="CX7" s="78">
        <f>+CV7-CQ7</f>
        <v>0.8</v>
      </c>
      <c r="CY7" s="78">
        <f>+CX7/CQ7*100</f>
        <v>80</v>
      </c>
      <c r="CZ7" s="78">
        <f>+CL7+CM7+CP7+CQ7-CG7-CH7-CI7-CJ7</f>
        <v>-19.2</v>
      </c>
      <c r="DA7" s="78">
        <f>+CZ7/(CG7+CH7+CI7+CJ7)*100</f>
        <v>-130.61224489795919</v>
      </c>
      <c r="DB7" s="78"/>
      <c r="DC7" s="11"/>
      <c r="DD7" s="71"/>
    </row>
    <row r="8" spans="1:118" x14ac:dyDescent="0.2">
      <c r="C8" s="77" t="s">
        <v>4</v>
      </c>
      <c r="E8" s="8"/>
      <c r="F8" s="8">
        <v>7</v>
      </c>
      <c r="G8" s="17">
        <f>SUM(J8:M8)</f>
        <v>6</v>
      </c>
      <c r="H8" s="17">
        <v>8</v>
      </c>
      <c r="I8" s="17"/>
      <c r="J8" s="8">
        <v>1</v>
      </c>
      <c r="K8" s="28">
        <v>2</v>
      </c>
      <c r="L8" s="28">
        <v>1</v>
      </c>
      <c r="M8" s="17">
        <v>2</v>
      </c>
      <c r="N8" s="8"/>
      <c r="O8" s="17">
        <v>3</v>
      </c>
      <c r="P8" s="17">
        <v>1</v>
      </c>
      <c r="Q8" s="28">
        <v>1</v>
      </c>
      <c r="R8" s="28">
        <v>2</v>
      </c>
      <c r="S8" s="12">
        <v>1.200426</v>
      </c>
      <c r="T8" s="39">
        <v>9.4071400000000001</v>
      </c>
      <c r="U8" s="39">
        <v>1.2123900000000001</v>
      </c>
      <c r="V8" s="39">
        <v>4.8</v>
      </c>
      <c r="W8" s="39"/>
      <c r="X8" s="12">
        <f>SUM(S8:V8)</f>
        <v>16.619956000000002</v>
      </c>
      <c r="Z8" s="23">
        <v>3.5</v>
      </c>
      <c r="AA8" s="39">
        <v>0.5</v>
      </c>
      <c r="AB8" s="39">
        <v>0.4</v>
      </c>
      <c r="AC8" s="39">
        <v>0.7</v>
      </c>
      <c r="AD8" s="39"/>
      <c r="AE8" s="12">
        <f>SUM(Z8:AC8)</f>
        <v>5.1000000000000005</v>
      </c>
      <c r="AG8" s="12">
        <v>1</v>
      </c>
      <c r="AH8" s="39">
        <v>4.7</v>
      </c>
      <c r="AI8" s="39">
        <v>8.8000000000000007</v>
      </c>
      <c r="AJ8" s="29">
        <v>0</v>
      </c>
      <c r="AK8" s="12">
        <f>+AG8+AH8+AI8+AJ8</f>
        <v>14.5</v>
      </c>
      <c r="AL8" s="12">
        <v>14.5</v>
      </c>
      <c r="AM8" s="29">
        <v>1.7</v>
      </c>
      <c r="AN8" s="39">
        <v>4.5</v>
      </c>
      <c r="AO8" s="39">
        <v>3.8</v>
      </c>
      <c r="AP8" s="39">
        <v>5.9</v>
      </c>
      <c r="AQ8" s="12">
        <f>+AM8+AN8+AO8+AP8</f>
        <v>15.9</v>
      </c>
      <c r="AR8" s="12">
        <f>3.3+1.7</f>
        <v>5</v>
      </c>
      <c r="AS8" s="12">
        <f>2.013+1.4</f>
        <v>3.4129999999999998</v>
      </c>
      <c r="AT8" s="12">
        <v>1.2</v>
      </c>
      <c r="AU8" s="12">
        <f>-1.791+0.221+0.294+0.41</f>
        <v>-0.86599999999999988</v>
      </c>
      <c r="AV8" s="12">
        <f>+AR8+AS8+AT8+AU8</f>
        <v>8.7469999999999999</v>
      </c>
      <c r="AW8" s="12">
        <v>2</v>
      </c>
      <c r="AX8" s="23">
        <v>-1.4</v>
      </c>
      <c r="AY8" s="23">
        <v>2.6</v>
      </c>
      <c r="AZ8" s="23">
        <v>0.5</v>
      </c>
      <c r="BA8" s="12">
        <f>+AW8+AX8+AY8+AZ8</f>
        <v>3.7</v>
      </c>
      <c r="BB8" s="12">
        <v>4</v>
      </c>
      <c r="BC8" s="12">
        <v>2.6</v>
      </c>
      <c r="BD8" s="12">
        <v>0.6</v>
      </c>
      <c r="BE8" s="12">
        <v>3.5</v>
      </c>
      <c r="BF8" s="12">
        <f>+BB8+BC8+BD8+BE8</f>
        <v>10.7</v>
      </c>
      <c r="BG8" s="12">
        <v>5</v>
      </c>
      <c r="BH8" s="12">
        <v>2.1</v>
      </c>
      <c r="BI8" s="12">
        <v>3.1</v>
      </c>
      <c r="BJ8" s="12">
        <v>4</v>
      </c>
      <c r="BK8" s="12">
        <f>+BG8+BH8+BI8+BJ8</f>
        <v>14.2</v>
      </c>
      <c r="BL8" s="12">
        <v>5.0999999999999996</v>
      </c>
      <c r="BM8" s="12">
        <v>1.54</v>
      </c>
      <c r="BN8" s="12">
        <v>0.8</v>
      </c>
      <c r="BO8" s="12">
        <v>9.6</v>
      </c>
      <c r="BP8" s="12">
        <f>+BL8+BM8+BN8+BO8</f>
        <v>17.04</v>
      </c>
      <c r="BQ8" s="12">
        <f>2.6+2.7</f>
        <v>5.3000000000000007</v>
      </c>
      <c r="BR8" s="12">
        <v>1.6</v>
      </c>
      <c r="BS8" s="12">
        <v>1.6</v>
      </c>
      <c r="BT8" s="12">
        <v>3.7</v>
      </c>
      <c r="BU8" s="12">
        <f>+BQ8-BL8</f>
        <v>0.20000000000000107</v>
      </c>
      <c r="BV8" s="12">
        <f t="shared" ref="BV8:BV74" si="0">+BQ8+BR8</f>
        <v>6.9</v>
      </c>
      <c r="BW8" s="12">
        <f>SUM(BQ8:BS8)</f>
        <v>8.5</v>
      </c>
      <c r="BX8" s="12">
        <f>+BR8-BM8</f>
        <v>6.0000000000000053E-2</v>
      </c>
      <c r="BY8" s="12">
        <f>+BU8/(BL8)*100</f>
        <v>3.921568627451002</v>
      </c>
      <c r="BZ8" s="12">
        <f>+BX8/(BM8)*100</f>
        <v>3.8961038961038996</v>
      </c>
      <c r="CA8" s="12">
        <f t="shared" ref="CA8:CA73" si="1">SUM(BQ8:BT8)</f>
        <v>12.2</v>
      </c>
      <c r="CB8" s="12">
        <v>15.7</v>
      </c>
      <c r="CC8" s="12">
        <v>2</v>
      </c>
      <c r="CD8" s="12">
        <v>3.3</v>
      </c>
      <c r="CE8" s="12">
        <v>2.7</v>
      </c>
      <c r="CF8" s="12">
        <f>SUM(CB8:CE8)</f>
        <v>23.7</v>
      </c>
      <c r="CG8" s="12">
        <v>1.8</v>
      </c>
      <c r="CH8" s="12">
        <v>1.1000000000000001</v>
      </c>
      <c r="CI8" s="12">
        <v>0.8</v>
      </c>
      <c r="CJ8" s="12">
        <v>2.9</v>
      </c>
      <c r="CK8" s="78">
        <f t="shared" ref="CK8:CK72" si="2">+CG8+CH8+CI8+CJ8</f>
        <v>6.6</v>
      </c>
      <c r="CL8" s="78">
        <v>2</v>
      </c>
      <c r="CM8" s="78">
        <v>16</v>
      </c>
      <c r="CN8" s="78"/>
      <c r="CO8" s="78"/>
      <c r="CP8" s="78">
        <v>2.1</v>
      </c>
      <c r="CQ8" s="78">
        <v>10.8</v>
      </c>
      <c r="CR8" s="78">
        <f>+CL8+CM8+CP8+CQ8</f>
        <v>30.900000000000002</v>
      </c>
      <c r="CS8" s="78">
        <v>2.6</v>
      </c>
      <c r="CT8" s="78">
        <v>17</v>
      </c>
      <c r="CU8" s="78">
        <v>1.5</v>
      </c>
      <c r="CV8" s="78">
        <v>21.2</v>
      </c>
      <c r="CW8" s="78">
        <f t="shared" ref="CW8:CW9" si="3">+CS8+CT8+CU8+CV8</f>
        <v>42.3</v>
      </c>
      <c r="CX8" s="78">
        <f t="shared" ref="CX8:CX9" si="4">+CV8-CQ8</f>
        <v>10.399999999999999</v>
      </c>
      <c r="CY8" s="78">
        <f t="shared" ref="CY8:CY9" si="5">+CX8/CQ8*100</f>
        <v>96.296296296296276</v>
      </c>
      <c r="CZ8" s="78">
        <f t="shared" ref="CZ8:CZ71" si="6">+CL8+CM8+CP8+CQ8-CG8-CH8-CI8-CJ8</f>
        <v>24.3</v>
      </c>
      <c r="DA8" s="78">
        <f t="shared" ref="DA8:DA71" si="7">+CZ8/(CG8+CH8+CI8+CJ8)*100</f>
        <v>368.18181818181819</v>
      </c>
      <c r="DB8" s="78"/>
      <c r="DC8" s="11"/>
      <c r="DD8" s="71"/>
    </row>
    <row r="9" spans="1:118" x14ac:dyDescent="0.2">
      <c r="A9" s="83"/>
      <c r="B9" s="41"/>
      <c r="C9" s="81" t="s">
        <v>1</v>
      </c>
      <c r="D9" s="41"/>
      <c r="E9" s="42"/>
      <c r="F9" s="82">
        <f>SUM(F7:F8)</f>
        <v>25</v>
      </c>
      <c r="G9" s="40">
        <f>SUM(J9:M9)</f>
        <v>30</v>
      </c>
      <c r="H9" s="40">
        <f>SUM(O9:R9)</f>
        <v>30</v>
      </c>
      <c r="I9" s="40"/>
      <c r="J9" s="42">
        <f>J7+J8</f>
        <v>5</v>
      </c>
      <c r="K9" s="42">
        <f>K7+K8</f>
        <v>9</v>
      </c>
      <c r="L9" s="42">
        <f>L7+L8</f>
        <v>7</v>
      </c>
      <c r="M9" s="42">
        <f>M7+M8</f>
        <v>9</v>
      </c>
      <c r="N9" s="42"/>
      <c r="O9" s="40">
        <v>10</v>
      </c>
      <c r="P9" s="40">
        <v>9</v>
      </c>
      <c r="Q9" s="40">
        <v>6</v>
      </c>
      <c r="R9" s="40">
        <v>5</v>
      </c>
      <c r="S9" s="44">
        <f>S7+S8</f>
        <v>2.5684610000000001</v>
      </c>
      <c r="T9" s="44">
        <f>T7+T8</f>
        <v>11.917674</v>
      </c>
      <c r="U9" s="44">
        <f>U7+U8</f>
        <v>2.1182780000000001</v>
      </c>
      <c r="V9" s="44">
        <f>V7+V8</f>
        <v>9.5217369999999999</v>
      </c>
      <c r="W9" s="44"/>
      <c r="X9" s="44">
        <f>X7+X8</f>
        <v>26.126150000000003</v>
      </c>
      <c r="Y9" s="44"/>
      <c r="Z9" s="50">
        <f>Z7+Z8</f>
        <v>5.1836869999999999</v>
      </c>
      <c r="AA9" s="44">
        <f>AA7+AA8</f>
        <v>2.7778209999999999</v>
      </c>
      <c r="AB9" s="44">
        <f>AB7+AB8</f>
        <v>1.5</v>
      </c>
      <c r="AC9" s="44">
        <f>AC7+AC8</f>
        <v>3.5</v>
      </c>
      <c r="AD9" s="44"/>
      <c r="AE9" s="44">
        <f>SUM(AE7:AE8)</f>
        <v>12.961508</v>
      </c>
      <c r="AF9" s="39"/>
      <c r="AG9" s="44">
        <f>AG7+AG8</f>
        <v>2.2999999999999998</v>
      </c>
      <c r="AH9" s="44">
        <f>AH7+AH8</f>
        <v>6.5</v>
      </c>
      <c r="AI9" s="44">
        <f>AI7+AI8</f>
        <v>11.3</v>
      </c>
      <c r="AJ9" s="50">
        <f>AJ7+AJ8</f>
        <v>5</v>
      </c>
      <c r="AK9" s="44">
        <f>+AG9+AH9+AI9+AJ9</f>
        <v>25.1</v>
      </c>
      <c r="AL9" s="44">
        <v>25.1</v>
      </c>
      <c r="AM9" s="50">
        <f>AM7+AM8</f>
        <v>6.4</v>
      </c>
      <c r="AN9" s="44">
        <f>AN7+AN8</f>
        <v>13.8</v>
      </c>
      <c r="AO9" s="44">
        <f>AO7+AO8</f>
        <v>8.8000000000000007</v>
      </c>
      <c r="AP9" s="44">
        <f>AP7+AP8</f>
        <v>16.100000000000001</v>
      </c>
      <c r="AQ9" s="44">
        <f>+AM9+AN9+AO9+AP9</f>
        <v>45.100000000000009</v>
      </c>
      <c r="AR9" s="44">
        <f>AR7+AR8</f>
        <v>13</v>
      </c>
      <c r="AS9" s="44">
        <f>AS7+AS8</f>
        <v>8.0129999999999999</v>
      </c>
      <c r="AT9" s="44">
        <f>AT7+AT8</f>
        <v>4.9000000000000004</v>
      </c>
      <c r="AU9" s="44">
        <f>AU7+AU8</f>
        <v>11.120000000000001</v>
      </c>
      <c r="AV9" s="44">
        <f>+AR9+AS9+AT9+AU9</f>
        <v>37.033000000000001</v>
      </c>
      <c r="AW9" s="44">
        <f>AW7+AW8</f>
        <v>12</v>
      </c>
      <c r="AX9" s="50">
        <f>AX7+AX8</f>
        <v>2.1</v>
      </c>
      <c r="AY9" s="50">
        <f>AY7+AY8</f>
        <v>14.7</v>
      </c>
      <c r="AZ9" s="50">
        <f>AZ7+AZ8</f>
        <v>66.900000000000006</v>
      </c>
      <c r="BA9" s="44">
        <f>+AW9+AX9+AY9+AZ9</f>
        <v>95.7</v>
      </c>
      <c r="BB9" s="50">
        <f>BB7+BB8</f>
        <v>13</v>
      </c>
      <c r="BC9" s="50">
        <f>BC7+BC8</f>
        <v>7.6999999999999993</v>
      </c>
      <c r="BD9" s="50">
        <f>BD7+BD8</f>
        <v>0.89999999999999991</v>
      </c>
      <c r="BE9" s="50">
        <f>BE7+BE8</f>
        <v>5.2</v>
      </c>
      <c r="BF9" s="50">
        <f>+BB9+BC9+BD9+BE9</f>
        <v>26.799999999999997</v>
      </c>
      <c r="BG9" s="50">
        <f>BG7+BG8</f>
        <v>7</v>
      </c>
      <c r="BH9" s="50">
        <f>BH7+BH8</f>
        <v>4.2</v>
      </c>
      <c r="BI9" s="50">
        <f>BI7+BI8</f>
        <v>3.4</v>
      </c>
      <c r="BJ9" s="50">
        <f>BJ7+BJ8</f>
        <v>4.3</v>
      </c>
      <c r="BK9" s="50">
        <f>+BG9+BH9+BI9+BJ9</f>
        <v>18.899999999999999</v>
      </c>
      <c r="BL9" s="50">
        <f>BL7+BL8</f>
        <v>5.8</v>
      </c>
      <c r="BM9" s="50">
        <f>BM7+BM8</f>
        <v>1.83</v>
      </c>
      <c r="BN9" s="50">
        <f>BN7+BN8</f>
        <v>5</v>
      </c>
      <c r="BO9" s="50">
        <f>BO7+BO8</f>
        <v>10.7</v>
      </c>
      <c r="BP9" s="50">
        <f>+BL9+BM9+BN9+BO9</f>
        <v>23.33</v>
      </c>
      <c r="BQ9" s="50">
        <f>BQ7+BQ8</f>
        <v>6.9</v>
      </c>
      <c r="BR9" s="50">
        <f>BR7+BR8</f>
        <v>1.8</v>
      </c>
      <c r="BS9" s="50">
        <f>BS7+BS8</f>
        <v>2</v>
      </c>
      <c r="BT9" s="50">
        <f>BT7+BT8</f>
        <v>4.2</v>
      </c>
      <c r="BU9" s="50">
        <f>+BQ9-BL9</f>
        <v>1.1000000000000005</v>
      </c>
      <c r="BV9" s="50">
        <f t="shared" si="0"/>
        <v>8.7000000000000011</v>
      </c>
      <c r="BW9" s="50">
        <f>SUM(BQ9:BS9)</f>
        <v>10.700000000000001</v>
      </c>
      <c r="BX9" s="50">
        <f>+BR9-BM9</f>
        <v>-3.0000000000000027E-2</v>
      </c>
      <c r="BY9" s="50">
        <f>+BU9/(BL9)*100</f>
        <v>18.96551724137932</v>
      </c>
      <c r="BZ9" s="50">
        <f>+BX9/(BM9)*100</f>
        <v>-1.6393442622950833</v>
      </c>
      <c r="CA9" s="50">
        <f t="shared" si="1"/>
        <v>14.900000000000002</v>
      </c>
      <c r="CB9" s="50">
        <f>CB7+CB8</f>
        <v>16</v>
      </c>
      <c r="CC9" s="50">
        <f>CC7+CC8</f>
        <v>5</v>
      </c>
      <c r="CD9" s="50">
        <f>CD7+CD8</f>
        <v>4.8</v>
      </c>
      <c r="CE9" s="50">
        <f>CE7+CE8</f>
        <v>26.2</v>
      </c>
      <c r="CF9" s="50">
        <f>SUM(CB9:CE9)</f>
        <v>52</v>
      </c>
      <c r="CG9" s="50">
        <f>CG7+CG8</f>
        <v>5.8</v>
      </c>
      <c r="CH9" s="50">
        <f>CH7+CH8</f>
        <v>5.8000000000000007</v>
      </c>
      <c r="CI9" s="50">
        <f>CI7+CI8</f>
        <v>1.4</v>
      </c>
      <c r="CJ9" s="50">
        <f>CJ7+CJ8</f>
        <v>8.3000000000000007</v>
      </c>
      <c r="CK9" s="79">
        <f t="shared" si="2"/>
        <v>21.300000000000004</v>
      </c>
      <c r="CL9" s="79">
        <f>CL7+CL8</f>
        <v>3.5</v>
      </c>
      <c r="CM9" s="79">
        <f>CM7+CM8</f>
        <v>7.1999999999999993</v>
      </c>
      <c r="CN9" s="79"/>
      <c r="CO9" s="79"/>
      <c r="CP9" s="79">
        <f>CP7+CP8</f>
        <v>3.9000000000000004</v>
      </c>
      <c r="CQ9" s="79">
        <f>CQ7+CQ8</f>
        <v>11.8</v>
      </c>
      <c r="CR9" s="79">
        <f>+CL9+CM9+CP9+CQ9</f>
        <v>26.4</v>
      </c>
      <c r="CS9" s="79">
        <f>CS7+CS8</f>
        <v>4.4000000000000004</v>
      </c>
      <c r="CT9" s="79">
        <f>CT7+CT8</f>
        <v>19</v>
      </c>
      <c r="CU9" s="79">
        <f>CU7+CU8</f>
        <v>3.3</v>
      </c>
      <c r="CV9" s="79">
        <f>CV7+CV8</f>
        <v>23</v>
      </c>
      <c r="CW9" s="79">
        <f t="shared" si="3"/>
        <v>49.7</v>
      </c>
      <c r="CX9" s="79">
        <f t="shared" si="4"/>
        <v>11.2</v>
      </c>
      <c r="CY9" s="79">
        <f t="shared" si="5"/>
        <v>94.915254237288124</v>
      </c>
      <c r="CZ9" s="79">
        <f t="shared" si="6"/>
        <v>5.0999999999999961</v>
      </c>
      <c r="DA9" s="79">
        <f t="shared" si="7"/>
        <v>23.943661971830963</v>
      </c>
      <c r="DB9" s="78"/>
      <c r="DC9" s="11"/>
      <c r="DD9" s="71"/>
    </row>
    <row r="10" spans="1:118" ht="10.5" customHeight="1" x14ac:dyDescent="0.2">
      <c r="B10" s="7"/>
      <c r="C10" s="7"/>
      <c r="E10" s="8"/>
      <c r="F10" s="18"/>
      <c r="G10" s="17"/>
      <c r="H10" s="17" t="s">
        <v>10</v>
      </c>
      <c r="I10" s="17"/>
      <c r="J10" s="8"/>
      <c r="K10" s="17"/>
      <c r="L10" s="17"/>
      <c r="M10" s="17"/>
      <c r="N10" s="8"/>
      <c r="O10" s="17"/>
      <c r="P10" s="17"/>
      <c r="Q10" s="17"/>
      <c r="R10" s="17"/>
      <c r="S10" s="12"/>
      <c r="T10" s="12"/>
      <c r="U10" s="12"/>
      <c r="V10" s="12"/>
      <c r="W10" s="39"/>
      <c r="X10" s="12" t="str">
        <f>IF(O10="","",(O10+P10+Q10+R10))</f>
        <v/>
      </c>
      <c r="Z10" s="23"/>
      <c r="AA10" s="39"/>
      <c r="AC10" s="12"/>
      <c r="AD10" s="39"/>
      <c r="AE10" s="12" t="str">
        <f>IF(Y10="","",(Y10+Z10+AA10+AB10))</f>
        <v/>
      </c>
      <c r="AG10" s="12"/>
      <c r="AH10" s="39"/>
      <c r="AI10" s="39"/>
      <c r="AJ10" s="29"/>
      <c r="AK10" s="12" t="s">
        <v>10</v>
      </c>
      <c r="AL10" s="12" t="s">
        <v>10</v>
      </c>
      <c r="AM10" s="29"/>
      <c r="AN10" s="39"/>
      <c r="AO10" s="39"/>
      <c r="AP10" s="39"/>
      <c r="AQ10" s="12" t="s">
        <v>10</v>
      </c>
      <c r="AR10" s="12"/>
      <c r="AS10" s="12"/>
      <c r="AT10" s="12"/>
      <c r="AU10" s="12"/>
      <c r="AV10" s="12" t="s">
        <v>10</v>
      </c>
      <c r="AW10" s="12"/>
      <c r="AX10" s="23"/>
      <c r="AY10" s="23"/>
      <c r="AZ10" s="23"/>
      <c r="BA10" s="12" t="s">
        <v>10</v>
      </c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78"/>
      <c r="DC10" s="11"/>
      <c r="DD10" s="71"/>
    </row>
    <row r="11" spans="1:118" ht="15.75" x14ac:dyDescent="0.25">
      <c r="A11" s="76" t="s">
        <v>7</v>
      </c>
      <c r="B11" s="35"/>
      <c r="C11" s="7"/>
      <c r="E11" s="8"/>
      <c r="F11" s="18"/>
      <c r="G11" s="17"/>
      <c r="H11" s="17"/>
      <c r="I11" s="17"/>
      <c r="J11" s="8"/>
      <c r="K11" s="17"/>
      <c r="L11" s="17"/>
      <c r="M11" s="17"/>
      <c r="N11" s="8"/>
      <c r="O11" s="17"/>
      <c r="P11" s="17"/>
      <c r="Q11" s="17"/>
      <c r="R11" s="17"/>
      <c r="S11" s="12"/>
      <c r="T11" s="12"/>
      <c r="U11" s="12"/>
      <c r="V11" s="12"/>
      <c r="W11" s="39"/>
      <c r="X11" s="12" t="str">
        <f>IF(O11="","",(O11+P11+Q11+R11))</f>
        <v/>
      </c>
      <c r="Z11" s="23"/>
      <c r="AA11" s="39"/>
      <c r="AC11" s="12"/>
      <c r="AD11" s="39"/>
      <c r="AE11" s="12" t="str">
        <f>IF(Y11="","",(Y11+Z11+AA11+AB11))</f>
        <v/>
      </c>
      <c r="AG11" s="12"/>
      <c r="AH11" s="39"/>
      <c r="AI11" s="39"/>
      <c r="AJ11" s="29"/>
      <c r="AK11" s="12" t="s">
        <v>10</v>
      </c>
      <c r="AL11" s="12" t="s">
        <v>10</v>
      </c>
      <c r="AM11" s="29"/>
      <c r="AN11" s="39"/>
      <c r="AO11" s="39"/>
      <c r="AP11" s="39"/>
      <c r="AQ11" s="12" t="s">
        <v>10</v>
      </c>
      <c r="AR11" s="12"/>
      <c r="AS11" s="12"/>
      <c r="AT11" s="12"/>
      <c r="AU11" s="12"/>
      <c r="AV11" s="12" t="s">
        <v>10</v>
      </c>
      <c r="AW11" s="12"/>
      <c r="AX11" s="23"/>
      <c r="AY11" s="23"/>
      <c r="AZ11" s="23"/>
      <c r="BA11" s="12" t="s">
        <v>10</v>
      </c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C11" s="11"/>
      <c r="DD11" s="71"/>
    </row>
    <row r="12" spans="1:118" x14ac:dyDescent="0.2">
      <c r="B12" s="7"/>
      <c r="C12" s="77" t="s">
        <v>61</v>
      </c>
      <c r="D12" s="77"/>
      <c r="E12" s="17"/>
      <c r="F12" s="18"/>
      <c r="G12" s="17">
        <f>G48</f>
        <v>39449.342000000004</v>
      </c>
      <c r="H12" s="17">
        <f>H48</f>
        <v>37715</v>
      </c>
      <c r="I12" s="17"/>
      <c r="J12" s="17">
        <f t="shared" ref="J12:T12" si="8">J48</f>
        <v>7679</v>
      </c>
      <c r="K12" s="17">
        <f t="shared" si="8"/>
        <v>10737.791999999999</v>
      </c>
      <c r="L12" s="17">
        <f t="shared" si="8"/>
        <v>8828.0329999999994</v>
      </c>
      <c r="M12" s="17">
        <f t="shared" si="8"/>
        <v>12204.517</v>
      </c>
      <c r="N12" s="17"/>
      <c r="O12" s="17">
        <f t="shared" si="8"/>
        <v>7084</v>
      </c>
      <c r="P12" s="17">
        <f t="shared" si="8"/>
        <v>10187</v>
      </c>
      <c r="Q12" s="17">
        <f t="shared" si="8"/>
        <v>9159</v>
      </c>
      <c r="R12" s="17">
        <f t="shared" si="8"/>
        <v>11285</v>
      </c>
      <c r="S12" s="17">
        <f t="shared" si="8"/>
        <v>7937.2226590000018</v>
      </c>
      <c r="T12" s="17">
        <f t="shared" si="8"/>
        <v>9961.0460000000021</v>
      </c>
      <c r="U12" s="17">
        <f>U48</f>
        <v>7724.3</v>
      </c>
      <c r="V12" s="17">
        <f>V48</f>
        <v>11775.88</v>
      </c>
      <c r="W12" s="39"/>
      <c r="X12" s="17">
        <f>X48</f>
        <v>37398.448659000001</v>
      </c>
      <c r="Y12" s="17"/>
      <c r="Z12" s="17">
        <f>Z48</f>
        <v>7946.9658889999992</v>
      </c>
      <c r="AA12" s="17">
        <f>AA48</f>
        <v>9531.9785830000001</v>
      </c>
      <c r="AB12" s="17">
        <f>AB48</f>
        <v>7791</v>
      </c>
      <c r="AC12" s="17">
        <f>AC48</f>
        <v>11260.3</v>
      </c>
      <c r="AD12" s="39"/>
      <c r="AE12" s="17">
        <f>+AE48</f>
        <v>36531.165782999997</v>
      </c>
      <c r="AF12" s="17"/>
      <c r="AG12" s="17">
        <f>AG48</f>
        <v>8364.3900000000012</v>
      </c>
      <c r="AH12" s="17">
        <f>AH48</f>
        <v>9694.48</v>
      </c>
      <c r="AI12" s="17">
        <f>AI48</f>
        <v>6720.83</v>
      </c>
      <c r="AJ12" s="17">
        <f>AJ48</f>
        <v>10053.209999999999</v>
      </c>
      <c r="AK12" s="12">
        <f>+AG12+AH12+AI12+AJ12</f>
        <v>34832.910000000003</v>
      </c>
      <c r="AL12" s="12">
        <v>34834.199999999997</v>
      </c>
      <c r="AM12" s="17">
        <f>AM48</f>
        <v>7021.2847949999996</v>
      </c>
      <c r="AN12" s="17">
        <f>AN48</f>
        <v>12201.147002</v>
      </c>
      <c r="AO12" s="17">
        <f>AO48</f>
        <v>6398</v>
      </c>
      <c r="AP12" s="17">
        <f>AP48</f>
        <v>9759.4</v>
      </c>
      <c r="AQ12" s="12">
        <f>+AM12+AN12+AO12+AP12</f>
        <v>35379.831796999999</v>
      </c>
      <c r="AR12" s="17">
        <f>AR48</f>
        <v>7008.5</v>
      </c>
      <c r="AS12" s="17">
        <f>AS48</f>
        <v>9618.8119999999999</v>
      </c>
      <c r="AT12" s="17">
        <f>AT48</f>
        <v>6637.6440000000002</v>
      </c>
      <c r="AU12" s="17">
        <f>AU48</f>
        <v>10845.599999999999</v>
      </c>
      <c r="AV12" s="12">
        <f>+AR12+AS12+AT12+AU12</f>
        <v>34110.555999999997</v>
      </c>
      <c r="AW12" s="17">
        <f>AW48</f>
        <v>7342.7</v>
      </c>
      <c r="AX12" s="17">
        <f>AX48</f>
        <v>7669.9000000000005</v>
      </c>
      <c r="AY12" s="17">
        <f>AY48</f>
        <v>6291.2</v>
      </c>
      <c r="AZ12" s="17">
        <f>AZ48</f>
        <v>9726.5800000000017</v>
      </c>
      <c r="BA12" s="12">
        <f>+AW12+AX12+AY12+AZ12</f>
        <v>31030.38</v>
      </c>
      <c r="BB12" s="17">
        <f>BB48</f>
        <v>6716.2</v>
      </c>
      <c r="BC12" s="17">
        <f>BC48</f>
        <v>8477.7000000000007</v>
      </c>
      <c r="BD12" s="17">
        <f>BD48</f>
        <v>6246.0999999999995</v>
      </c>
      <c r="BE12" s="17">
        <f>BE48</f>
        <v>10401.100000000002</v>
      </c>
      <c r="BF12" s="17">
        <f>+BB12+BC12+BD12+BE12</f>
        <v>31841.100000000002</v>
      </c>
      <c r="BG12" s="17">
        <f>BG48</f>
        <v>7025.3000000000011</v>
      </c>
      <c r="BH12" s="17">
        <f>BH48</f>
        <v>10641.877</v>
      </c>
      <c r="BI12" s="17">
        <f>BI48</f>
        <v>7053.8</v>
      </c>
      <c r="BJ12" s="17">
        <f>BJ48</f>
        <v>11954.900000000001</v>
      </c>
      <c r="BK12" s="17">
        <f>+BG12+BH12+BI12+BJ12</f>
        <v>36675.877000000008</v>
      </c>
      <c r="BL12" s="17">
        <f>BL48</f>
        <v>8439.1999999999989</v>
      </c>
      <c r="BM12" s="17">
        <f>BM48</f>
        <v>11077.420000000002</v>
      </c>
      <c r="BN12" s="17">
        <f>BN48</f>
        <v>7663.2999999999993</v>
      </c>
      <c r="BO12" s="17">
        <f>BO48</f>
        <v>11815</v>
      </c>
      <c r="BP12" s="17">
        <f>+BL12+BM12+BN12+BO12</f>
        <v>38994.92</v>
      </c>
      <c r="BQ12" s="17">
        <f>BQ48</f>
        <v>8481.9</v>
      </c>
      <c r="BR12" s="17">
        <f>BR48</f>
        <v>10194.5</v>
      </c>
      <c r="BS12" s="17">
        <f>BS48</f>
        <v>8035</v>
      </c>
      <c r="BT12" s="17">
        <f>BT48</f>
        <v>10968.199999999999</v>
      </c>
      <c r="BU12" s="17">
        <f>+BQ12-BL12</f>
        <v>42.700000000000728</v>
      </c>
      <c r="BV12" s="17">
        <f t="shared" si="0"/>
        <v>18676.400000000001</v>
      </c>
      <c r="BW12" s="17">
        <f t="shared" ref="BW12:BW17" si="9">SUM(BQ12:BS12)</f>
        <v>26711.4</v>
      </c>
      <c r="BX12" s="17">
        <f>+BR12-BM12</f>
        <v>-882.92000000000189</v>
      </c>
      <c r="BY12" s="17">
        <f>+BU12/(BL12)*100</f>
        <v>0.50597213005972996</v>
      </c>
      <c r="BZ12" s="17">
        <f>+BX12/(BM12)*100</f>
        <v>-7.970447992402578</v>
      </c>
      <c r="CA12" s="17">
        <f t="shared" si="1"/>
        <v>37679.599999999999</v>
      </c>
      <c r="CB12" s="17">
        <f>CB48</f>
        <v>7101.5000000000009</v>
      </c>
      <c r="CC12" s="17">
        <f>CC48</f>
        <v>8168</v>
      </c>
      <c r="CD12" s="17">
        <f>CD48</f>
        <v>6572.5</v>
      </c>
      <c r="CE12" s="17">
        <f>CE48</f>
        <v>8833.5999999999985</v>
      </c>
      <c r="CF12" s="17">
        <f t="shared" ref="CF12:CF17" si="10">SUM(CB12:CE12)</f>
        <v>30675.599999999999</v>
      </c>
      <c r="CG12" s="17">
        <f>CG48</f>
        <v>6984.0999999999995</v>
      </c>
      <c r="CH12" s="17">
        <f>CH48</f>
        <v>8343.5999999999985</v>
      </c>
      <c r="CI12" s="17">
        <f>CI48</f>
        <v>6559.2999999999993</v>
      </c>
      <c r="CJ12" s="17">
        <f>CJ48</f>
        <v>9708.9</v>
      </c>
      <c r="CK12" s="78">
        <f t="shared" si="2"/>
        <v>31595.899999999994</v>
      </c>
      <c r="CL12" s="78">
        <f>CL48</f>
        <v>7918.0999999999985</v>
      </c>
      <c r="CM12" s="78">
        <f>CM48</f>
        <v>7696.8099999999995</v>
      </c>
      <c r="CN12" s="78"/>
      <c r="CO12" s="78"/>
      <c r="CP12" s="78">
        <f>CP48</f>
        <v>7911.9599999999991</v>
      </c>
      <c r="CQ12" s="78">
        <f>CQ48</f>
        <v>9973.6999999999989</v>
      </c>
      <c r="CR12" s="78">
        <f>+CL12+CM12+CP12+CQ12</f>
        <v>33500.569999999992</v>
      </c>
      <c r="CS12" s="78">
        <f>CS48</f>
        <v>8094.7</v>
      </c>
      <c r="CT12" s="78">
        <f>CT48</f>
        <v>8548.7000000000007</v>
      </c>
      <c r="CU12" s="78">
        <f>CU48</f>
        <v>7124.4999999999982</v>
      </c>
      <c r="CV12" s="78">
        <f>CV48</f>
        <v>9965.2000000000007</v>
      </c>
      <c r="CW12" s="78">
        <f t="shared" ref="CW12:CW17" si="11">+CS12+CT12+CU12+CV12</f>
        <v>33733.100000000006</v>
      </c>
      <c r="CX12" s="78">
        <f t="shared" ref="CX12:CX17" si="12">+CV12-CQ12</f>
        <v>-8.499999999998181</v>
      </c>
      <c r="CY12" s="78">
        <f t="shared" ref="CY12:CY17" si="13">+CX12/CQ12*100</f>
        <v>-8.522413948683219E-2</v>
      </c>
      <c r="CZ12" s="17">
        <f t="shared" si="6"/>
        <v>1904.6699999999964</v>
      </c>
      <c r="DA12" s="17">
        <f t="shared" si="7"/>
        <v>6.0282188511800481</v>
      </c>
      <c r="DC12" s="11"/>
      <c r="DD12" s="71"/>
    </row>
    <row r="13" spans="1:118" x14ac:dyDescent="0.2">
      <c r="B13" s="7"/>
      <c r="C13" s="77" t="s">
        <v>64</v>
      </c>
      <c r="D13" s="77"/>
      <c r="E13" s="17"/>
      <c r="F13" s="18"/>
      <c r="G13" s="17">
        <f>G58</f>
        <v>1814</v>
      </c>
      <c r="H13" s="17">
        <f>H58</f>
        <v>1233.2860000000001</v>
      </c>
      <c r="I13" s="17"/>
      <c r="J13" s="17">
        <f t="shared" ref="J13:S13" si="14">J58</f>
        <v>252</v>
      </c>
      <c r="K13" s="17">
        <f t="shared" si="14"/>
        <v>79</v>
      </c>
      <c r="L13" s="17">
        <f t="shared" si="14"/>
        <v>204</v>
      </c>
      <c r="M13" s="17">
        <f t="shared" si="14"/>
        <v>1279</v>
      </c>
      <c r="N13" s="17"/>
      <c r="O13" s="17">
        <f t="shared" si="14"/>
        <v>203.286</v>
      </c>
      <c r="P13" s="17">
        <f t="shared" si="14"/>
        <v>10</v>
      </c>
      <c r="Q13" s="17">
        <f t="shared" si="14"/>
        <v>221</v>
      </c>
      <c r="R13" s="17">
        <f t="shared" si="14"/>
        <v>799</v>
      </c>
      <c r="S13" s="17">
        <f t="shared" si="14"/>
        <v>266.96434199999999</v>
      </c>
      <c r="T13" s="17">
        <f>T58</f>
        <v>353.40000000000003</v>
      </c>
      <c r="U13" s="17">
        <f>U58</f>
        <v>152</v>
      </c>
      <c r="V13" s="17">
        <f>V58</f>
        <v>805.1</v>
      </c>
      <c r="W13" s="39"/>
      <c r="X13" s="17">
        <f>X58</f>
        <v>1577.4643420000002</v>
      </c>
      <c r="Y13" s="17"/>
      <c r="Z13" s="17">
        <f>Z58</f>
        <v>225.50000000000003</v>
      </c>
      <c r="AA13" s="17">
        <f>AA58</f>
        <v>385.50977800000004</v>
      </c>
      <c r="AB13" s="17">
        <f>AB58</f>
        <v>229</v>
      </c>
      <c r="AC13" s="17">
        <f>AC58</f>
        <v>687.30000000000007</v>
      </c>
      <c r="AD13" s="39"/>
      <c r="AE13" s="17">
        <f>AE58</f>
        <v>1527.3097780000003</v>
      </c>
      <c r="AF13" s="17"/>
      <c r="AG13" s="17">
        <f>AG58</f>
        <v>135.71</v>
      </c>
      <c r="AH13" s="17">
        <f>AH58</f>
        <v>407.67</v>
      </c>
      <c r="AI13" s="17">
        <f>AI58</f>
        <v>160.55000000000001</v>
      </c>
      <c r="AJ13" s="17">
        <f>AJ58</f>
        <v>662.41000000000008</v>
      </c>
      <c r="AK13" s="12">
        <f>+AG13+AH13+AI13+AJ13</f>
        <v>1366.3400000000001</v>
      </c>
      <c r="AL13" s="12">
        <v>1366.4</v>
      </c>
      <c r="AM13" s="17">
        <f>AM58</f>
        <v>275.39999999999998</v>
      </c>
      <c r="AN13" s="17">
        <f>AN58</f>
        <v>567.10000000000014</v>
      </c>
      <c r="AO13" s="17">
        <f>AO58</f>
        <v>268.99999999999994</v>
      </c>
      <c r="AP13" s="17">
        <f>AP58</f>
        <v>1370.0000000000002</v>
      </c>
      <c r="AQ13" s="12">
        <f>+AM13+AN13+AO13+AP13</f>
        <v>2481.5</v>
      </c>
      <c r="AR13" s="17">
        <f>AR58</f>
        <v>309.09999999999997</v>
      </c>
      <c r="AS13" s="17">
        <f>AS58</f>
        <v>482.85200000000003</v>
      </c>
      <c r="AT13" s="17">
        <f>AT58</f>
        <v>228.76</v>
      </c>
      <c r="AU13" s="17">
        <f>AU58</f>
        <v>869.7</v>
      </c>
      <c r="AV13" s="12">
        <f>+AR13+AS13+AT13+AU13</f>
        <v>1890.412</v>
      </c>
      <c r="AW13" s="17">
        <f>AW58</f>
        <v>319.7</v>
      </c>
      <c r="AX13" s="17">
        <f>AX58</f>
        <v>674.59999999999991</v>
      </c>
      <c r="AY13" s="17">
        <f>AY58</f>
        <v>253.79999999999998</v>
      </c>
      <c r="AZ13" s="17">
        <f>AZ58</f>
        <v>702.90000000000009</v>
      </c>
      <c r="BA13" s="12">
        <f>+AW13+AX13+AY13+AZ13</f>
        <v>1951</v>
      </c>
      <c r="BB13" s="17">
        <f>BB58</f>
        <v>189.29999999999998</v>
      </c>
      <c r="BC13" s="17">
        <f>BC58</f>
        <v>600.30300000000011</v>
      </c>
      <c r="BD13" s="17">
        <f>BD58</f>
        <v>234.4</v>
      </c>
      <c r="BE13" s="17">
        <f>BE58</f>
        <v>556</v>
      </c>
      <c r="BF13" s="17">
        <f>+BB13+BC13+BD13+BE13</f>
        <v>1580.0030000000002</v>
      </c>
      <c r="BG13" s="17">
        <f>BG58</f>
        <v>191.5</v>
      </c>
      <c r="BH13" s="17">
        <f>BH58</f>
        <v>537</v>
      </c>
      <c r="BI13" s="17">
        <f>BI58</f>
        <v>398.59999999999997</v>
      </c>
      <c r="BJ13" s="17">
        <f>BJ58</f>
        <v>750.3</v>
      </c>
      <c r="BK13" s="17">
        <f>+BG13+BH13+BI13+BJ13</f>
        <v>1877.3999999999999</v>
      </c>
      <c r="BL13" s="17">
        <f>BL58</f>
        <v>271.60000000000002</v>
      </c>
      <c r="BM13" s="17">
        <f>BM58</f>
        <v>882.29999999999984</v>
      </c>
      <c r="BN13" s="17">
        <f>BN58</f>
        <v>397.79999999999995</v>
      </c>
      <c r="BO13" s="17">
        <f>BO58</f>
        <v>819.59999999999991</v>
      </c>
      <c r="BP13" s="17">
        <f>+BL13+BM13+BN13+BO13</f>
        <v>2371.2999999999997</v>
      </c>
      <c r="BQ13" s="17">
        <f>BQ58</f>
        <v>238.10000000000002</v>
      </c>
      <c r="BR13" s="17">
        <f>BR58</f>
        <v>515.5</v>
      </c>
      <c r="BS13" s="17">
        <f>BS58</f>
        <v>417.3</v>
      </c>
      <c r="BT13" s="17">
        <f>BT58</f>
        <v>701.7</v>
      </c>
      <c r="BU13" s="17">
        <f>+BQ13-BL13</f>
        <v>-33.5</v>
      </c>
      <c r="BV13" s="17">
        <f t="shared" si="0"/>
        <v>753.6</v>
      </c>
      <c r="BW13" s="17">
        <f t="shared" si="9"/>
        <v>1170.9000000000001</v>
      </c>
      <c r="BX13" s="17">
        <f>+BR13-BM13</f>
        <v>-366.79999999999984</v>
      </c>
      <c r="BY13" s="17">
        <f>+BU13/(BL13)*100</f>
        <v>-12.334315169366715</v>
      </c>
      <c r="BZ13" s="17">
        <f>+BX13/(BM13)*100</f>
        <v>-41.573161056330036</v>
      </c>
      <c r="CA13" s="17">
        <f t="shared" si="1"/>
        <v>1872.6000000000001</v>
      </c>
      <c r="CB13" s="17">
        <f>CB58</f>
        <v>1644.1000000000001</v>
      </c>
      <c r="CC13" s="17">
        <f>CC58</f>
        <v>3153.2</v>
      </c>
      <c r="CD13" s="17">
        <f>CD58</f>
        <v>1824.1</v>
      </c>
      <c r="CE13" s="17">
        <f>CE58</f>
        <v>5506.6</v>
      </c>
      <c r="CF13" s="17">
        <f t="shared" si="10"/>
        <v>12128</v>
      </c>
      <c r="CG13" s="17">
        <f>CG58</f>
        <v>1963.6</v>
      </c>
      <c r="CH13" s="17">
        <f>CH58</f>
        <v>3635.7999999999997</v>
      </c>
      <c r="CI13" s="17">
        <f>CI58</f>
        <v>1321.7</v>
      </c>
      <c r="CJ13" s="17">
        <f>CJ58</f>
        <v>2043.2999999999997</v>
      </c>
      <c r="CK13" s="78">
        <f>+CG13+CH13+CI13+CJ13-696</f>
        <v>8268.4</v>
      </c>
      <c r="CL13" s="78">
        <f>CL58</f>
        <v>703.7</v>
      </c>
      <c r="CM13" s="78">
        <f>CM58</f>
        <v>2811.5</v>
      </c>
      <c r="CN13" s="78"/>
      <c r="CO13" s="78"/>
      <c r="CP13" s="78">
        <f>CP58</f>
        <v>362</v>
      </c>
      <c r="CQ13" s="78">
        <f>CQ58</f>
        <v>646</v>
      </c>
      <c r="CR13" s="78">
        <f t="shared" ref="CR13:CR17" si="15">+CL13+CM13+CP13+CQ13</f>
        <v>4523.2</v>
      </c>
      <c r="CS13" s="78">
        <f>CS58</f>
        <v>1456.4</v>
      </c>
      <c r="CT13" s="78">
        <f>CT58</f>
        <v>2499.1000000000004</v>
      </c>
      <c r="CU13" s="78">
        <f>CU58</f>
        <v>341.7</v>
      </c>
      <c r="CV13" s="78">
        <f>CV58</f>
        <v>3895.4</v>
      </c>
      <c r="CW13" s="78">
        <f t="shared" si="11"/>
        <v>8192.6</v>
      </c>
      <c r="CX13" s="78">
        <f t="shared" si="12"/>
        <v>3249.4</v>
      </c>
      <c r="CY13" s="78">
        <f t="shared" si="13"/>
        <v>503.00309597523221</v>
      </c>
      <c r="CZ13" s="17">
        <f t="shared" si="6"/>
        <v>-4441.1999999999989</v>
      </c>
      <c r="DA13" s="17">
        <f t="shared" si="7"/>
        <v>-49.542635313015921</v>
      </c>
      <c r="DC13" s="11"/>
      <c r="DD13" s="71"/>
    </row>
    <row r="14" spans="1:118" x14ac:dyDescent="0.2">
      <c r="B14" s="7"/>
      <c r="C14" s="77" t="s">
        <v>62</v>
      </c>
      <c r="D14" s="77"/>
      <c r="E14" s="17"/>
      <c r="F14" s="18"/>
      <c r="G14" s="17">
        <f>G64</f>
        <v>664</v>
      </c>
      <c r="H14" s="17">
        <f>H64</f>
        <v>752</v>
      </c>
      <c r="I14" s="17"/>
      <c r="J14" s="17">
        <f t="shared" ref="J14:S14" si="16">J64</f>
        <v>169</v>
      </c>
      <c r="K14" s="17">
        <f t="shared" si="16"/>
        <v>179</v>
      </c>
      <c r="L14" s="17">
        <f t="shared" si="16"/>
        <v>232</v>
      </c>
      <c r="M14" s="17">
        <f t="shared" si="16"/>
        <v>84</v>
      </c>
      <c r="N14" s="17"/>
      <c r="O14" s="17">
        <f t="shared" si="16"/>
        <v>165</v>
      </c>
      <c r="P14" s="17">
        <f t="shared" si="16"/>
        <v>196</v>
      </c>
      <c r="Q14" s="17">
        <f t="shared" si="16"/>
        <v>202</v>
      </c>
      <c r="R14" s="17">
        <f t="shared" si="16"/>
        <v>189</v>
      </c>
      <c r="S14" s="17">
        <f t="shared" si="16"/>
        <v>176.5</v>
      </c>
      <c r="T14" s="17">
        <f>T64</f>
        <v>162.5</v>
      </c>
      <c r="U14" s="17">
        <f>U64</f>
        <v>138.69999999999999</v>
      </c>
      <c r="V14" s="17">
        <f>V64</f>
        <v>184.03671399999999</v>
      </c>
      <c r="W14" s="39"/>
      <c r="X14" s="17">
        <f>X64</f>
        <v>661.73671400000001</v>
      </c>
      <c r="Y14" s="17"/>
      <c r="Z14" s="17">
        <f>Z64</f>
        <v>174.9</v>
      </c>
      <c r="AA14" s="17">
        <f>AA64</f>
        <v>154.6</v>
      </c>
      <c r="AB14" s="17">
        <f>AB64</f>
        <v>121.3</v>
      </c>
      <c r="AC14" s="17">
        <f>AC64</f>
        <v>128.1</v>
      </c>
      <c r="AD14" s="39"/>
      <c r="AE14" s="17">
        <f>AE64</f>
        <v>578.29999999999995</v>
      </c>
      <c r="AF14" s="17"/>
      <c r="AG14" s="17">
        <f>AG64</f>
        <v>102.8</v>
      </c>
      <c r="AH14" s="17">
        <f>AH64</f>
        <v>57.515700000000002</v>
      </c>
      <c r="AI14" s="17">
        <f>AI64</f>
        <v>92.111729999999994</v>
      </c>
      <c r="AJ14" s="17">
        <f>AJ64</f>
        <v>47.930799999999998</v>
      </c>
      <c r="AK14" s="12">
        <f>+AG14+AH14+AI14+AJ14</f>
        <v>300.35822999999999</v>
      </c>
      <c r="AL14" s="12">
        <v>300.3</v>
      </c>
      <c r="AM14" s="17">
        <f>AM64</f>
        <v>90.4</v>
      </c>
      <c r="AN14" s="17">
        <f>AN64</f>
        <v>46.7</v>
      </c>
      <c r="AO14" s="17">
        <f>AO64</f>
        <v>88.600000000000009</v>
      </c>
      <c r="AP14" s="17">
        <f>AP64</f>
        <v>68.7</v>
      </c>
      <c r="AQ14" s="12">
        <f>+AM14+AN14+AO14+AP14</f>
        <v>294.40000000000003</v>
      </c>
      <c r="AR14" s="17">
        <f>AR64</f>
        <v>105.2</v>
      </c>
      <c r="AS14" s="17">
        <f>AS64</f>
        <v>141.11900000000003</v>
      </c>
      <c r="AT14" s="17">
        <f>AT64</f>
        <v>113.914</v>
      </c>
      <c r="AU14" s="17">
        <f>AU64</f>
        <v>157.4</v>
      </c>
      <c r="AV14" s="12">
        <f>+AR14+AS14+AT14+AU14</f>
        <v>517.63300000000004</v>
      </c>
      <c r="AW14" s="17">
        <f>AW64</f>
        <v>122</v>
      </c>
      <c r="AX14" s="17">
        <f>AX64</f>
        <v>113</v>
      </c>
      <c r="AY14" s="17">
        <f>AY64</f>
        <v>111.9</v>
      </c>
      <c r="AZ14" s="17">
        <f>AZ64</f>
        <v>78.100000000000009</v>
      </c>
      <c r="BA14" s="12">
        <f>+AW14+AX14+AY14+AZ14</f>
        <v>425</v>
      </c>
      <c r="BB14" s="17">
        <f>BB64</f>
        <v>94</v>
      </c>
      <c r="BC14" s="17">
        <f>BC64</f>
        <v>93.9</v>
      </c>
      <c r="BD14" s="17">
        <f>BD64</f>
        <v>102.4</v>
      </c>
      <c r="BE14" s="17">
        <f>BE64</f>
        <v>104.3</v>
      </c>
      <c r="BF14" s="17">
        <f>+BB14+BC14+BD14+BE14</f>
        <v>394.6</v>
      </c>
      <c r="BG14" s="17">
        <f>BG64</f>
        <v>63.5</v>
      </c>
      <c r="BH14" s="17">
        <f>BH64</f>
        <v>66.7</v>
      </c>
      <c r="BI14" s="17">
        <f>BI64</f>
        <v>67</v>
      </c>
      <c r="BJ14" s="17">
        <f>BJ64</f>
        <v>37.799999999999997</v>
      </c>
      <c r="BK14" s="17">
        <f>+BG14+BH14+BI14+BJ14</f>
        <v>235</v>
      </c>
      <c r="BL14" s="17">
        <f>BL64</f>
        <v>54.4</v>
      </c>
      <c r="BM14" s="17">
        <f>BM64</f>
        <v>59.1</v>
      </c>
      <c r="BN14" s="17">
        <f>BN64</f>
        <v>57.500000000000007</v>
      </c>
      <c r="BO14" s="17">
        <f>BO64</f>
        <v>63.300000000000004</v>
      </c>
      <c r="BP14" s="17">
        <f>+BL14+BM14+BN14+BO14</f>
        <v>234.3</v>
      </c>
      <c r="BQ14" s="17">
        <f>BQ64</f>
        <v>36.599999999999994</v>
      </c>
      <c r="BR14" s="17">
        <f>BR64</f>
        <v>50.199999999999996</v>
      </c>
      <c r="BS14" s="17">
        <f>BS64</f>
        <v>51.7</v>
      </c>
      <c r="BT14" s="17">
        <f>BT64</f>
        <v>47.2</v>
      </c>
      <c r="BU14" s="17">
        <f>+BQ14-BL14</f>
        <v>-17.800000000000004</v>
      </c>
      <c r="BV14" s="17">
        <f t="shared" si="0"/>
        <v>86.799999999999983</v>
      </c>
      <c r="BW14" s="17">
        <f t="shared" si="9"/>
        <v>138.5</v>
      </c>
      <c r="BX14" s="17">
        <f>+BR14-BM14</f>
        <v>-8.9000000000000057</v>
      </c>
      <c r="BY14" s="17">
        <f>+BU14/(BL14)*100</f>
        <v>-32.72058823529413</v>
      </c>
      <c r="BZ14" s="17">
        <f>+BX14/(BM14)*100</f>
        <v>-15.05922165820644</v>
      </c>
      <c r="CA14" s="17">
        <f t="shared" si="1"/>
        <v>185.7</v>
      </c>
      <c r="CB14" s="17">
        <f>CB64</f>
        <v>43.199999999999996</v>
      </c>
      <c r="CC14" s="17">
        <f>CC64</f>
        <v>46.4</v>
      </c>
      <c r="CD14" s="17">
        <f>CD64</f>
        <v>47.6</v>
      </c>
      <c r="CE14" s="17">
        <f>CE64</f>
        <v>45.800000000000004</v>
      </c>
      <c r="CF14" s="17">
        <f t="shared" si="10"/>
        <v>183</v>
      </c>
      <c r="CG14" s="17">
        <f>CG64</f>
        <v>48.9</v>
      </c>
      <c r="CH14" s="17">
        <f>CH64</f>
        <v>51.9</v>
      </c>
      <c r="CI14" s="17">
        <f>CI64</f>
        <v>40.1</v>
      </c>
      <c r="CJ14" s="17">
        <f>CJ64</f>
        <v>37</v>
      </c>
      <c r="CK14" s="78">
        <f t="shared" si="2"/>
        <v>177.9</v>
      </c>
      <c r="CL14" s="78">
        <f>CL64</f>
        <v>34.800000000000004</v>
      </c>
      <c r="CM14" s="78">
        <f>CM64</f>
        <v>30.9</v>
      </c>
      <c r="CN14" s="78"/>
      <c r="CO14" s="78"/>
      <c r="CP14" s="78">
        <f>CP64</f>
        <v>20.7</v>
      </c>
      <c r="CQ14" s="78">
        <f>CQ64</f>
        <v>17.899999999999999</v>
      </c>
      <c r="CR14" s="78">
        <f t="shared" si="15"/>
        <v>104.30000000000001</v>
      </c>
      <c r="CS14" s="78">
        <f>CS64</f>
        <v>21.8</v>
      </c>
      <c r="CT14" s="78">
        <f>CT64</f>
        <v>17</v>
      </c>
      <c r="CU14" s="78">
        <f>CU64</f>
        <v>12.399999999999999</v>
      </c>
      <c r="CV14" s="78">
        <f>CV64</f>
        <v>8.4</v>
      </c>
      <c r="CW14" s="78">
        <f t="shared" si="11"/>
        <v>59.599999999999994</v>
      </c>
      <c r="CX14" s="78">
        <f t="shared" si="12"/>
        <v>-9.4999999999999982</v>
      </c>
      <c r="CY14" s="78">
        <f t="shared" si="13"/>
        <v>-53.072625698324018</v>
      </c>
      <c r="CZ14" s="17">
        <f t="shared" si="6"/>
        <v>-73.599999999999994</v>
      </c>
      <c r="DA14" s="17">
        <f t="shared" si="7"/>
        <v>-41.371557054525013</v>
      </c>
      <c r="DC14" s="11"/>
      <c r="DD14" s="71"/>
    </row>
    <row r="15" spans="1:118" x14ac:dyDescent="0.2">
      <c r="B15" s="7"/>
      <c r="C15" s="77" t="s">
        <v>63</v>
      </c>
      <c r="D15" s="77"/>
      <c r="E15" s="17"/>
      <c r="F15" s="18"/>
      <c r="G15" s="17" t="e">
        <f>G84</f>
        <v>#REF!</v>
      </c>
      <c r="H15" s="17" t="e">
        <f>H84</f>
        <v>#REF!</v>
      </c>
      <c r="I15" s="17"/>
      <c r="J15" s="17" t="e">
        <f t="shared" ref="J15:V15" si="17">J84</f>
        <v>#REF!</v>
      </c>
      <c r="K15" s="17" t="e">
        <f t="shared" si="17"/>
        <v>#REF!</v>
      </c>
      <c r="L15" s="17" t="e">
        <f t="shared" si="17"/>
        <v>#REF!</v>
      </c>
      <c r="M15" s="17" t="e">
        <f t="shared" si="17"/>
        <v>#REF!</v>
      </c>
      <c r="N15" s="17"/>
      <c r="O15" s="17" t="e">
        <f t="shared" si="17"/>
        <v>#REF!</v>
      </c>
      <c r="P15" s="17" t="e">
        <f t="shared" si="17"/>
        <v>#REF!</v>
      </c>
      <c r="Q15" s="17" t="e">
        <f t="shared" si="17"/>
        <v>#REF!</v>
      </c>
      <c r="R15" s="17" t="e">
        <f t="shared" si="17"/>
        <v>#REF!</v>
      </c>
      <c r="S15" s="17">
        <f t="shared" si="17"/>
        <v>407.04243000000002</v>
      </c>
      <c r="T15" s="17">
        <f t="shared" si="17"/>
        <v>635.9</v>
      </c>
      <c r="U15" s="17">
        <f t="shared" si="17"/>
        <v>385.00000000000006</v>
      </c>
      <c r="V15" s="17">
        <f t="shared" si="17"/>
        <v>647.6</v>
      </c>
      <c r="W15" s="39"/>
      <c r="X15" s="17">
        <f>X84</f>
        <v>2075.54243</v>
      </c>
      <c r="Y15" s="17"/>
      <c r="Z15" s="17">
        <f>Z84</f>
        <v>393.86570799999998</v>
      </c>
      <c r="AA15" s="17">
        <f>AA84</f>
        <v>550.45991700000002</v>
      </c>
      <c r="AB15" s="17">
        <f>AB84</f>
        <v>451.2</v>
      </c>
      <c r="AC15" s="17">
        <f>AC84</f>
        <v>547.6</v>
      </c>
      <c r="AD15" s="39"/>
      <c r="AE15" s="17">
        <f>AE84</f>
        <v>1943.1256250000001</v>
      </c>
      <c r="AF15" s="17"/>
      <c r="AG15" s="17">
        <f>AG84</f>
        <v>508.09375700000004</v>
      </c>
      <c r="AH15" s="17">
        <f>AH84</f>
        <v>730.80624299999999</v>
      </c>
      <c r="AI15" s="17">
        <f>AI84</f>
        <v>504.52</v>
      </c>
      <c r="AJ15" s="17">
        <f>AJ84</f>
        <v>818.73</v>
      </c>
      <c r="AK15" s="12">
        <f>+AG15+AH15+AI15+AJ15</f>
        <v>2562.15</v>
      </c>
      <c r="AL15" s="12">
        <v>2561.9</v>
      </c>
      <c r="AM15" s="17">
        <f>AM84</f>
        <v>690.49999999999989</v>
      </c>
      <c r="AN15" s="17">
        <f>AN84</f>
        <v>721</v>
      </c>
      <c r="AO15" s="17">
        <f>AO84</f>
        <v>652.19999999999993</v>
      </c>
      <c r="AP15" s="17">
        <f>AP84</f>
        <v>793.5</v>
      </c>
      <c r="AQ15" s="12">
        <f>+AM15+AN15+AO15+AP15</f>
        <v>2857.2</v>
      </c>
      <c r="AR15" s="17">
        <f>AR84</f>
        <v>820.8</v>
      </c>
      <c r="AS15" s="17">
        <f>AS84</f>
        <v>798.94899999999996</v>
      </c>
      <c r="AT15" s="17">
        <f>AT84</f>
        <v>747.5139999999999</v>
      </c>
      <c r="AU15" s="17">
        <f>AU84</f>
        <v>909.5</v>
      </c>
      <c r="AV15" s="12">
        <f>+AR15+AS15+AT15+AU15</f>
        <v>3276.7629999999999</v>
      </c>
      <c r="AW15" s="17">
        <f>AW84</f>
        <v>820.8</v>
      </c>
      <c r="AX15" s="17">
        <f>AX84</f>
        <v>918.1</v>
      </c>
      <c r="AY15" s="17">
        <f>AY84</f>
        <v>720.59999999999991</v>
      </c>
      <c r="AZ15" s="17">
        <f>AZ84</f>
        <v>1172.1000000000001</v>
      </c>
      <c r="BA15" s="12">
        <f>+AW15+AX15+AY15+AZ15</f>
        <v>3631.6000000000004</v>
      </c>
      <c r="BB15" s="17">
        <f>BB84</f>
        <v>577.89</v>
      </c>
      <c r="BC15" s="17">
        <f>BC84</f>
        <v>911.09999999999991</v>
      </c>
      <c r="BD15" s="17">
        <f>BD84</f>
        <v>721.39999999999986</v>
      </c>
      <c r="BE15" s="17">
        <f>BE84</f>
        <v>1173.5</v>
      </c>
      <c r="BF15" s="17">
        <f>+BB15+BC15+BD15+BE15</f>
        <v>3383.8899999999994</v>
      </c>
      <c r="BG15" s="17">
        <f>BG84</f>
        <v>642.09400000000005</v>
      </c>
      <c r="BH15" s="17">
        <f>BH84</f>
        <v>488.79899999999998</v>
      </c>
      <c r="BI15" s="17">
        <f>BI84</f>
        <v>516.4</v>
      </c>
      <c r="BJ15" s="17">
        <f>BJ84</f>
        <v>829.5</v>
      </c>
      <c r="BK15" s="17">
        <f>+BG15+BH15+BI15+BJ15</f>
        <v>2476.7930000000001</v>
      </c>
      <c r="BL15" s="17">
        <f>BL84</f>
        <v>381.99999999999994</v>
      </c>
      <c r="BM15" s="17">
        <f>BM84</f>
        <v>338.2</v>
      </c>
      <c r="BN15" s="17">
        <f>BN84</f>
        <v>230.3</v>
      </c>
      <c r="BO15" s="17">
        <f>BO84</f>
        <v>336.59999999999997</v>
      </c>
      <c r="BP15" s="17">
        <f>+BL15+BM15+BN15+BO15</f>
        <v>1287.0999999999999</v>
      </c>
      <c r="BQ15" s="17">
        <f>BQ84</f>
        <v>248.3</v>
      </c>
      <c r="BR15" s="17">
        <f>BR84</f>
        <v>306.40000000000003</v>
      </c>
      <c r="BS15" s="17">
        <f>BS84</f>
        <v>244.79999999999998</v>
      </c>
      <c r="BT15" s="17">
        <f>BT84</f>
        <v>388.99999999999994</v>
      </c>
      <c r="BU15" s="17">
        <f>+BQ15-BL15</f>
        <v>-133.69999999999993</v>
      </c>
      <c r="BV15" s="17">
        <f t="shared" si="0"/>
        <v>554.70000000000005</v>
      </c>
      <c r="BW15" s="17">
        <f t="shared" si="9"/>
        <v>799.5</v>
      </c>
      <c r="BX15" s="17">
        <f>+BR15-BM15</f>
        <v>-31.799999999999955</v>
      </c>
      <c r="BY15" s="17">
        <f>+BU15/(BL15)*100</f>
        <v>-34.999999999999986</v>
      </c>
      <c r="BZ15" s="17">
        <f>+BX15/(BM15)*100</f>
        <v>-9.4027202838556931</v>
      </c>
      <c r="CA15" s="17">
        <f t="shared" si="1"/>
        <v>1188.5</v>
      </c>
      <c r="CB15" s="17">
        <f>CB84</f>
        <v>200.7</v>
      </c>
      <c r="CC15" s="17">
        <f>CC84</f>
        <v>338.09999999999997</v>
      </c>
      <c r="CD15" s="17">
        <f>CD84</f>
        <v>321.5</v>
      </c>
      <c r="CE15" s="17">
        <f>CE84</f>
        <v>403.2</v>
      </c>
      <c r="CF15" s="17">
        <f t="shared" si="10"/>
        <v>1263.5</v>
      </c>
      <c r="CG15" s="17">
        <f>CG84</f>
        <v>198.4</v>
      </c>
      <c r="CH15" s="17">
        <f>CH84</f>
        <v>249.79999999999998</v>
      </c>
      <c r="CI15" s="17">
        <f>CI84</f>
        <v>180.2</v>
      </c>
      <c r="CJ15" s="17">
        <f>CJ84</f>
        <v>298.7</v>
      </c>
      <c r="CK15" s="78">
        <f t="shared" si="2"/>
        <v>927.09999999999991</v>
      </c>
      <c r="CL15" s="78">
        <f>CL84</f>
        <v>197.89999999999998</v>
      </c>
      <c r="CM15" s="78">
        <f>CM84</f>
        <v>154.49999999999997</v>
      </c>
      <c r="CN15" s="78"/>
      <c r="CO15" s="78"/>
      <c r="CP15" s="78">
        <f>CP84</f>
        <v>98.600000000000009</v>
      </c>
      <c r="CQ15" s="78">
        <f>CQ84</f>
        <v>197.39999999999998</v>
      </c>
      <c r="CR15" s="78">
        <f t="shared" si="15"/>
        <v>648.4</v>
      </c>
      <c r="CS15" s="78">
        <f>CS84</f>
        <v>192.8</v>
      </c>
      <c r="CT15" s="78">
        <f>CT84</f>
        <v>160.80000000000001</v>
      </c>
      <c r="CU15" s="78">
        <f>CU84</f>
        <v>135.49999999999997</v>
      </c>
      <c r="CV15" s="78">
        <f>CV84</f>
        <v>296.2</v>
      </c>
      <c r="CW15" s="78">
        <f t="shared" si="11"/>
        <v>785.3</v>
      </c>
      <c r="CX15" s="78">
        <f t="shared" si="12"/>
        <v>98.800000000000011</v>
      </c>
      <c r="CY15" s="78">
        <f t="shared" si="13"/>
        <v>50.050658561296871</v>
      </c>
      <c r="CZ15" s="17">
        <f t="shared" si="6"/>
        <v>-278.69999999999993</v>
      </c>
      <c r="DA15" s="17">
        <f t="shared" si="7"/>
        <v>-30.061482040772297</v>
      </c>
      <c r="DC15" s="11"/>
      <c r="DD15" s="71"/>
    </row>
    <row r="16" spans="1:118" x14ac:dyDescent="0.2">
      <c r="B16" s="7"/>
      <c r="C16" s="77" t="s">
        <v>116</v>
      </c>
      <c r="D16" s="77"/>
      <c r="E16" s="17"/>
      <c r="F16" s="18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39"/>
      <c r="X16" s="17"/>
      <c r="Y16" s="17"/>
      <c r="Z16" s="17"/>
      <c r="AA16" s="17"/>
      <c r="AB16" s="17"/>
      <c r="AC16" s="17"/>
      <c r="AD16" s="39"/>
      <c r="AE16" s="17"/>
      <c r="AF16" s="17"/>
      <c r="AG16" s="17"/>
      <c r="AH16" s="17"/>
      <c r="AI16" s="17"/>
      <c r="AJ16" s="17"/>
      <c r="AK16" s="12"/>
      <c r="AL16" s="12"/>
      <c r="AM16" s="17"/>
      <c r="AN16" s="17"/>
      <c r="AO16" s="17"/>
      <c r="AP16" s="17"/>
      <c r="AQ16" s="12"/>
      <c r="AR16" s="17"/>
      <c r="AS16" s="17"/>
      <c r="AT16" s="17"/>
      <c r="AU16" s="17"/>
      <c r="AV16" s="12"/>
      <c r="AW16" s="17"/>
      <c r="AX16" s="17"/>
      <c r="AY16" s="17"/>
      <c r="AZ16" s="17"/>
      <c r="BA16" s="12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>
        <f>+BQ87</f>
        <v>-15.7</v>
      </c>
      <c r="BR16" s="17">
        <f>+BR87</f>
        <v>-33</v>
      </c>
      <c r="BS16" s="17">
        <f>+BS87</f>
        <v>-54.7</v>
      </c>
      <c r="BT16" s="17">
        <f>+BT87</f>
        <v>560.1</v>
      </c>
      <c r="BU16" s="17"/>
      <c r="BV16" s="17">
        <f t="shared" si="0"/>
        <v>-48.7</v>
      </c>
      <c r="BW16" s="17">
        <f t="shared" si="9"/>
        <v>-103.4</v>
      </c>
      <c r="BX16" s="69" t="s">
        <v>114</v>
      </c>
      <c r="BY16" s="69" t="s">
        <v>114</v>
      </c>
      <c r="BZ16" s="69" t="s">
        <v>114</v>
      </c>
      <c r="CA16" s="17">
        <f t="shared" si="1"/>
        <v>456.70000000000005</v>
      </c>
      <c r="CB16" s="17">
        <f>+CB87</f>
        <v>-33.4</v>
      </c>
      <c r="CC16" s="17">
        <f>+CC87</f>
        <v>-142.19999999999999</v>
      </c>
      <c r="CD16" s="17">
        <f>+CD87</f>
        <v>1</v>
      </c>
      <c r="CE16" s="17">
        <f>+CE87</f>
        <v>354.1</v>
      </c>
      <c r="CF16" s="17">
        <f t="shared" si="10"/>
        <v>179.50000000000003</v>
      </c>
      <c r="CG16" s="17">
        <f>+CG87</f>
        <v>-110.4</v>
      </c>
      <c r="CH16" s="17">
        <f>+CH87</f>
        <v>337.2</v>
      </c>
      <c r="CI16" s="17">
        <f>+CI87</f>
        <v>-68.8</v>
      </c>
      <c r="CJ16" s="17">
        <f>+CJ87</f>
        <v>254.9</v>
      </c>
      <c r="CK16" s="78">
        <f>+CG16+CH16+CI16+CJ16+696</f>
        <v>1108.9000000000001</v>
      </c>
      <c r="CL16" s="78">
        <f>+CL87</f>
        <v>557.79999999999995</v>
      </c>
      <c r="CM16" s="78">
        <f>+CM87</f>
        <v>1197</v>
      </c>
      <c r="CN16" s="78"/>
      <c r="CO16" s="78"/>
      <c r="CP16" s="78">
        <f>+CP87</f>
        <v>637.29999999999995</v>
      </c>
      <c r="CQ16" s="78">
        <f>+CQ87</f>
        <v>968.7</v>
      </c>
      <c r="CR16" s="78">
        <f t="shared" si="15"/>
        <v>3360.8</v>
      </c>
      <c r="CS16" s="78">
        <f>+CS87</f>
        <v>-14.6</v>
      </c>
      <c r="CT16" s="78">
        <f>+CT87</f>
        <v>99.5</v>
      </c>
      <c r="CU16" s="78">
        <f>+CU87</f>
        <v>35</v>
      </c>
      <c r="CV16" s="78">
        <f>+CV87</f>
        <v>566.79999999999995</v>
      </c>
      <c r="CW16" s="78">
        <f t="shared" si="11"/>
        <v>686.69999999999993</v>
      </c>
      <c r="CX16" s="78">
        <f t="shared" si="12"/>
        <v>-401.90000000000009</v>
      </c>
      <c r="CY16" s="78">
        <f t="shared" si="13"/>
        <v>-41.488592959636634</v>
      </c>
      <c r="CZ16" s="17">
        <f t="shared" si="6"/>
        <v>2947.9000000000005</v>
      </c>
      <c r="DA16" s="17">
        <f t="shared" si="7"/>
        <v>713.95010898522662</v>
      </c>
      <c r="DC16" s="11"/>
      <c r="DD16" s="71"/>
    </row>
    <row r="17" spans="1:113" x14ac:dyDescent="0.2">
      <c r="A17" s="81"/>
      <c r="B17" s="81"/>
      <c r="C17" s="81" t="s">
        <v>0</v>
      </c>
      <c r="D17" s="81"/>
      <c r="E17" s="42"/>
      <c r="F17" s="82">
        <f>SUM(F14:F15)</f>
        <v>0</v>
      </c>
      <c r="G17" s="40" t="e">
        <f>SUM(J17:M17)</f>
        <v>#REF!</v>
      </c>
      <c r="H17" s="40">
        <f>SUM(O17:R17)</f>
        <v>30</v>
      </c>
      <c r="I17" s="40"/>
      <c r="J17" s="42" t="e">
        <f>J14+J15</f>
        <v>#REF!</v>
      </c>
      <c r="K17" s="42" t="e">
        <f>K14+K15</f>
        <v>#REF!</v>
      </c>
      <c r="L17" s="42" t="e">
        <f>L14+L15</f>
        <v>#REF!</v>
      </c>
      <c r="M17" s="42" t="e">
        <f>M14+M15</f>
        <v>#REF!</v>
      </c>
      <c r="N17" s="42"/>
      <c r="O17" s="40">
        <v>10</v>
      </c>
      <c r="P17" s="40">
        <v>9</v>
      </c>
      <c r="Q17" s="40">
        <v>6</v>
      </c>
      <c r="R17" s="40">
        <v>5</v>
      </c>
      <c r="S17" s="44">
        <f>SUM(S12:S15)</f>
        <v>8787.7294310000016</v>
      </c>
      <c r="T17" s="44">
        <f t="shared" ref="T17:AB17" si="18">SUM(T12:T15)</f>
        <v>11112.846000000001</v>
      </c>
      <c r="U17" s="44">
        <f t="shared" si="18"/>
        <v>8400</v>
      </c>
      <c r="V17" s="44">
        <f t="shared" si="18"/>
        <v>13412.616714</v>
      </c>
      <c r="W17" s="44"/>
      <c r="X17" s="44">
        <f t="shared" si="18"/>
        <v>41713.192145000001</v>
      </c>
      <c r="Y17" s="44"/>
      <c r="Z17" s="50">
        <f t="shared" si="18"/>
        <v>8741.2315969999981</v>
      </c>
      <c r="AA17" s="44">
        <f t="shared" si="18"/>
        <v>10622.548278</v>
      </c>
      <c r="AB17" s="44">
        <f t="shared" si="18"/>
        <v>8592.5</v>
      </c>
      <c r="AC17" s="44">
        <f>SUM(AC12:AC15)</f>
        <v>12623.3</v>
      </c>
      <c r="AD17" s="44"/>
      <c r="AE17" s="44">
        <f>SUM(AE12:AE15)</f>
        <v>40579.901186000003</v>
      </c>
      <c r="AF17" s="39"/>
      <c r="AG17" s="44">
        <f>SUM(AG12:AG15)</f>
        <v>9110.9937570000002</v>
      </c>
      <c r="AH17" s="44">
        <f>SUM(AH12:AH15)</f>
        <v>10890.471943</v>
      </c>
      <c r="AI17" s="44">
        <f>SUM(AI12:AI15)</f>
        <v>7478.0117300000002</v>
      </c>
      <c r="AJ17" s="50">
        <f>SUM(AJ12:AJ15)</f>
        <v>11582.280799999999</v>
      </c>
      <c r="AK17" s="44">
        <f>+AG17+AH17+AI17+AJ17</f>
        <v>39061.758229999999</v>
      </c>
      <c r="AL17" s="44">
        <v>39062.800000000003</v>
      </c>
      <c r="AM17" s="50">
        <f>SUM(AM12:AM15)</f>
        <v>8077.5847949999988</v>
      </c>
      <c r="AN17" s="44">
        <f>SUM(AN12:AN15)</f>
        <v>13535.947002000001</v>
      </c>
      <c r="AO17" s="44">
        <f>SUM(AO12:AO15)</f>
        <v>7407.8</v>
      </c>
      <c r="AP17" s="44">
        <f>SUM(AP12:AP15)</f>
        <v>11991.6</v>
      </c>
      <c r="AQ17" s="44">
        <f>+AM17+AN17+AO17+AP17</f>
        <v>41012.931796999997</v>
      </c>
      <c r="AR17" s="44">
        <f>SUM(AR12:AR15)</f>
        <v>8243.6</v>
      </c>
      <c r="AS17" s="44">
        <f>SUM(AS12:AS15)</f>
        <v>11041.732000000002</v>
      </c>
      <c r="AT17" s="44">
        <f>SUM(AT12:AT15)</f>
        <v>7727.8320000000003</v>
      </c>
      <c r="AU17" s="44">
        <f>SUM(AU12:AU15)</f>
        <v>12782.199999999999</v>
      </c>
      <c r="AV17" s="44">
        <f>+AR17+AS17+AT17+AU17</f>
        <v>39795.364000000001</v>
      </c>
      <c r="AW17" s="44">
        <f>SUM(AW12:AW15)</f>
        <v>8605.1999999999989</v>
      </c>
      <c r="AX17" s="50">
        <f>SUM(AX12:AX15)</f>
        <v>9375.6</v>
      </c>
      <c r="AY17" s="50">
        <f>SUM(AY12:AY15)</f>
        <v>7377.5</v>
      </c>
      <c r="AZ17" s="50">
        <f>SUM(AZ12:AZ15)</f>
        <v>11679.680000000002</v>
      </c>
      <c r="BA17" s="44">
        <f>+AW17+AX17+AY17+AZ17</f>
        <v>37037.980000000003</v>
      </c>
      <c r="BB17" s="50">
        <f>SUM(BB12:BB15)</f>
        <v>7577.39</v>
      </c>
      <c r="BC17" s="50">
        <f>SUM(BC12:BC15)</f>
        <v>10083.003000000001</v>
      </c>
      <c r="BD17" s="50">
        <f>SUM(BD12:BD15)</f>
        <v>7304.2999999999984</v>
      </c>
      <c r="BE17" s="50">
        <f>SUM(BE12:BE15)</f>
        <v>12234.900000000001</v>
      </c>
      <c r="BF17" s="50">
        <f>+BB17+BC17+BD17+BE17</f>
        <v>37199.593000000001</v>
      </c>
      <c r="BG17" s="50">
        <f>SUM(BG12:BG15)</f>
        <v>7922.3940000000011</v>
      </c>
      <c r="BH17" s="50">
        <f>SUM(BH12:BH15)</f>
        <v>11734.376</v>
      </c>
      <c r="BI17" s="50">
        <f>SUM(BI12:BI15)</f>
        <v>8035.8</v>
      </c>
      <c r="BJ17" s="50">
        <f>SUM(BJ12:BJ15)</f>
        <v>13572.5</v>
      </c>
      <c r="BK17" s="50">
        <f>+BG17+BH17+BI17+BJ17</f>
        <v>41265.07</v>
      </c>
      <c r="BL17" s="50">
        <f>SUM(BL12:BL15)</f>
        <v>9147.1999999999989</v>
      </c>
      <c r="BM17" s="50">
        <f>SUM(BM12:BM15)</f>
        <v>12357.020000000002</v>
      </c>
      <c r="BN17" s="50">
        <f>SUM(BN12:BN15)</f>
        <v>8348.9</v>
      </c>
      <c r="BO17" s="50">
        <f>SUM(BO12:BO15)</f>
        <v>13034.5</v>
      </c>
      <c r="BP17" s="50">
        <f>+BL17+BM17+BN17+BO17</f>
        <v>42887.62</v>
      </c>
      <c r="BQ17" s="50">
        <f t="shared" ref="BQ17:BV17" si="19">SUM(BQ12:BQ16)</f>
        <v>8989.1999999999989</v>
      </c>
      <c r="BR17" s="50">
        <f t="shared" si="19"/>
        <v>11033.6</v>
      </c>
      <c r="BS17" s="50">
        <f t="shared" si="19"/>
        <v>8694.0999999999985</v>
      </c>
      <c r="BT17" s="50">
        <f t="shared" si="19"/>
        <v>12666.2</v>
      </c>
      <c r="BU17" s="50">
        <f t="shared" si="19"/>
        <v>-142.29999999999922</v>
      </c>
      <c r="BV17" s="50">
        <f t="shared" si="19"/>
        <v>20022.8</v>
      </c>
      <c r="BW17" s="50">
        <f t="shared" si="9"/>
        <v>28716.899999999998</v>
      </c>
      <c r="BX17" s="50">
        <f>SUM(BX12:BX16)</f>
        <v>-1290.4200000000017</v>
      </c>
      <c r="BY17" s="50">
        <f>+BU17/(BL17)*100</f>
        <v>-1.5556673080286778</v>
      </c>
      <c r="BZ17" s="50">
        <f>+BX17/(BM17)*100</f>
        <v>-10.442809026771839</v>
      </c>
      <c r="CA17" s="50">
        <f t="shared" si="1"/>
        <v>41383.1</v>
      </c>
      <c r="CB17" s="50">
        <f t="shared" ref="CB17:CC17" si="20">SUM(CB12:CB16)</f>
        <v>8956.1000000000022</v>
      </c>
      <c r="CC17" s="50">
        <f t="shared" si="20"/>
        <v>11563.5</v>
      </c>
      <c r="CD17" s="50">
        <f t="shared" ref="CD17:CE17" si="21">SUM(CD12:CD16)</f>
        <v>8766.7000000000007</v>
      </c>
      <c r="CE17" s="50">
        <f t="shared" si="21"/>
        <v>15143.3</v>
      </c>
      <c r="CF17" s="50">
        <f t="shared" si="10"/>
        <v>44429.600000000006</v>
      </c>
      <c r="CG17" s="50">
        <f t="shared" ref="CG17:CH17" si="22">SUM(CG12:CG16)</f>
        <v>9084.5999999999985</v>
      </c>
      <c r="CH17" s="50">
        <f t="shared" si="22"/>
        <v>12618.299999999997</v>
      </c>
      <c r="CI17" s="50">
        <f t="shared" ref="CI17:CJ17" si="23">SUM(CI12:CI16)</f>
        <v>8032.4999999999991</v>
      </c>
      <c r="CJ17" s="50">
        <f t="shared" si="23"/>
        <v>12342.8</v>
      </c>
      <c r="CK17" s="79">
        <f t="shared" si="2"/>
        <v>42078.2</v>
      </c>
      <c r="CL17" s="79">
        <f t="shared" ref="CL17:CM17" si="24">SUM(CL12:CL16)</f>
        <v>9412.2999999999975</v>
      </c>
      <c r="CM17" s="79">
        <f t="shared" si="24"/>
        <v>11890.71</v>
      </c>
      <c r="CN17" s="79"/>
      <c r="CO17" s="79"/>
      <c r="CP17" s="79">
        <f t="shared" ref="CP17:CQ17" si="25">SUM(CP12:CP16)</f>
        <v>9030.56</v>
      </c>
      <c r="CQ17" s="79">
        <f t="shared" si="25"/>
        <v>11803.699999999999</v>
      </c>
      <c r="CR17" s="79">
        <f t="shared" si="15"/>
        <v>42137.26999999999</v>
      </c>
      <c r="CS17" s="79">
        <f t="shared" ref="CS17:CT17" si="26">SUM(CS12:CS16)</f>
        <v>9751.0999999999985</v>
      </c>
      <c r="CT17" s="79">
        <f t="shared" si="26"/>
        <v>11325.1</v>
      </c>
      <c r="CU17" s="79">
        <f t="shared" ref="CU17:CV17" si="27">SUM(CU12:CU16)</f>
        <v>7649.0999999999976</v>
      </c>
      <c r="CV17" s="79">
        <f t="shared" si="27"/>
        <v>14732</v>
      </c>
      <c r="CW17" s="79">
        <f t="shared" si="11"/>
        <v>43457.299999999996</v>
      </c>
      <c r="CX17" s="79">
        <f t="shared" si="12"/>
        <v>2928.3000000000011</v>
      </c>
      <c r="CY17" s="79">
        <f t="shared" si="13"/>
        <v>24.808322814032898</v>
      </c>
      <c r="CZ17" s="50">
        <f t="shared" si="6"/>
        <v>59.069999999996071</v>
      </c>
      <c r="DA17" s="50">
        <f t="shared" si="7"/>
        <v>0.14038148019638691</v>
      </c>
      <c r="DC17" s="11"/>
      <c r="DD17" s="71"/>
    </row>
    <row r="18" spans="1:113" ht="12.75" customHeight="1" x14ac:dyDescent="0.2">
      <c r="B18" s="7"/>
      <c r="C18" s="77"/>
      <c r="D18" s="77"/>
      <c r="E18" s="8"/>
      <c r="F18" s="18"/>
      <c r="G18" s="17"/>
      <c r="H18" s="17"/>
      <c r="I18" s="17"/>
      <c r="J18" s="8"/>
      <c r="K18" s="17"/>
      <c r="L18" s="17"/>
      <c r="M18" s="17"/>
      <c r="N18" s="8"/>
      <c r="O18" s="17"/>
      <c r="P18" s="17"/>
      <c r="Q18" s="17"/>
      <c r="R18" s="17"/>
      <c r="S18" s="12"/>
      <c r="T18" s="12"/>
      <c r="U18" s="12"/>
      <c r="V18" s="12"/>
      <c r="X18" s="12" t="str">
        <f>IF(O18="","",(O18+P18+Q18+R18))</f>
        <v/>
      </c>
      <c r="Z18" s="23"/>
      <c r="AA18" s="39"/>
      <c r="AC18" s="12"/>
      <c r="AE18" s="12" t="str">
        <f>IF(Y18="","",(Y18+Z18+AA18+AB18))</f>
        <v/>
      </c>
      <c r="AG18" s="12"/>
      <c r="AH18" s="39"/>
      <c r="AI18" s="39"/>
      <c r="AJ18" s="29"/>
      <c r="AK18" s="12" t="s">
        <v>10</v>
      </c>
      <c r="AL18" s="12" t="s">
        <v>10</v>
      </c>
      <c r="AM18" s="29"/>
      <c r="AN18" s="39"/>
      <c r="AO18" s="39"/>
      <c r="AP18" s="39"/>
      <c r="AQ18" s="12" t="s">
        <v>10</v>
      </c>
      <c r="AR18" s="12"/>
      <c r="AS18" s="12"/>
      <c r="AT18" s="12"/>
      <c r="AU18" s="12"/>
      <c r="AV18" s="12" t="s">
        <v>10</v>
      </c>
      <c r="AW18" s="12"/>
      <c r="AX18" s="23"/>
      <c r="AY18" s="23"/>
      <c r="AZ18" s="23"/>
      <c r="BA18" s="12" t="s">
        <v>10</v>
      </c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C18" s="11"/>
      <c r="DD18" s="71"/>
    </row>
    <row r="19" spans="1:113" ht="9.75" customHeight="1" x14ac:dyDescent="0.2">
      <c r="B19" s="7"/>
      <c r="C19" s="7"/>
      <c r="E19" s="8"/>
      <c r="F19" s="18"/>
      <c r="G19" s="17"/>
      <c r="H19" s="17"/>
      <c r="I19" s="17"/>
      <c r="J19" s="8"/>
      <c r="K19" s="17"/>
      <c r="L19" s="17"/>
      <c r="M19" s="17"/>
      <c r="N19" s="8"/>
      <c r="O19" s="17"/>
      <c r="P19" s="17"/>
      <c r="Q19" s="17"/>
      <c r="R19" s="17"/>
      <c r="S19" s="12"/>
      <c r="T19" s="12"/>
      <c r="U19" s="12"/>
      <c r="V19" s="12"/>
      <c r="X19" s="12" t="str">
        <f>IF(O19="","",(O19+P19+Q19+R19))</f>
        <v/>
      </c>
      <c r="Z19" s="23"/>
      <c r="AA19" s="39"/>
      <c r="AC19" s="12"/>
      <c r="AE19" s="12" t="str">
        <f>IF(Y19="","",(Y19+Z19+AA19+AB19))</f>
        <v/>
      </c>
      <c r="AG19" s="12"/>
      <c r="AH19" s="39"/>
      <c r="AI19" s="39"/>
      <c r="AJ19" s="29"/>
      <c r="AK19" s="12" t="s">
        <v>10</v>
      </c>
      <c r="AL19" s="12" t="s">
        <v>10</v>
      </c>
      <c r="AM19" s="29"/>
      <c r="AN19" s="39"/>
      <c r="AO19" s="39"/>
      <c r="AP19" s="39"/>
      <c r="AQ19" s="12" t="s">
        <v>10</v>
      </c>
      <c r="AR19" s="12"/>
      <c r="AS19" s="12"/>
      <c r="AT19" s="12"/>
      <c r="AU19" s="12"/>
      <c r="AV19" s="12" t="s">
        <v>10</v>
      </c>
      <c r="AW19" s="12"/>
      <c r="AX19" s="23"/>
      <c r="AY19" s="23"/>
      <c r="AZ19" s="23"/>
      <c r="BA19" s="12" t="s">
        <v>10</v>
      </c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C19" s="11"/>
      <c r="DD19" s="71"/>
    </row>
    <row r="20" spans="1:113" x14ac:dyDescent="0.2">
      <c r="A20" s="76" t="s">
        <v>7</v>
      </c>
      <c r="B20" s="76"/>
      <c r="C20" s="7"/>
      <c r="E20" s="8"/>
      <c r="F20" s="8"/>
      <c r="G20" s="17"/>
      <c r="H20" s="17" t="s">
        <v>10</v>
      </c>
      <c r="I20" s="17"/>
      <c r="J20" s="8"/>
      <c r="K20" s="17"/>
      <c r="L20" s="17"/>
      <c r="M20" s="17"/>
      <c r="N20" s="8"/>
      <c r="O20" s="17"/>
      <c r="P20" s="17"/>
      <c r="Q20" s="17"/>
      <c r="R20" s="17"/>
      <c r="S20" s="12"/>
      <c r="T20" s="12"/>
      <c r="U20" s="12"/>
      <c r="V20" s="12"/>
      <c r="X20" s="12" t="str">
        <f>IF(O20="","",(O20+P20+Q20+R20))</f>
        <v/>
      </c>
      <c r="Z20" s="23"/>
      <c r="AA20" s="39"/>
      <c r="AC20" s="12"/>
      <c r="AE20" s="12" t="str">
        <f>IF(Y20="","",(Y20+Z20+AA20+AB20))</f>
        <v/>
      </c>
      <c r="AG20" s="12"/>
      <c r="AH20" s="39"/>
      <c r="AI20" s="39"/>
      <c r="AJ20" s="29"/>
      <c r="AK20" s="12" t="s">
        <v>10</v>
      </c>
      <c r="AL20" s="12" t="s">
        <v>10</v>
      </c>
      <c r="AM20" s="29"/>
      <c r="AN20" s="39"/>
      <c r="AO20" s="39"/>
      <c r="AP20" s="39"/>
      <c r="AQ20" s="12" t="s">
        <v>10</v>
      </c>
      <c r="AR20" s="12"/>
      <c r="AS20" s="12"/>
      <c r="AT20" s="12"/>
      <c r="AU20" s="12"/>
      <c r="AV20" s="12" t="s">
        <v>10</v>
      </c>
      <c r="AW20" s="12"/>
      <c r="AX20" s="23"/>
      <c r="AY20" s="23"/>
      <c r="AZ20" s="23"/>
      <c r="BA20" s="12" t="s">
        <v>10</v>
      </c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C20" s="11"/>
      <c r="DD20" s="71"/>
    </row>
    <row r="21" spans="1:113" s="7" customFormat="1" x14ac:dyDescent="0.2">
      <c r="A21" s="76">
        <v>1</v>
      </c>
      <c r="B21" s="76" t="s">
        <v>120</v>
      </c>
      <c r="E21" s="8"/>
      <c r="F21" s="8">
        <v>13344</v>
      </c>
      <c r="G21" s="17">
        <v>12005.452000000001</v>
      </c>
      <c r="H21" s="17">
        <f>SUM(O21:R21)</f>
        <v>13206</v>
      </c>
      <c r="I21" s="17"/>
      <c r="J21" s="8">
        <v>1542</v>
      </c>
      <c r="K21" s="17">
        <v>3534</v>
      </c>
      <c r="L21" s="17">
        <v>2241.7159999999999</v>
      </c>
      <c r="M21" s="17">
        <v>4687.7360000000008</v>
      </c>
      <c r="N21" s="8"/>
      <c r="O21" s="17">
        <v>1497</v>
      </c>
      <c r="P21" s="17">
        <v>3903</v>
      </c>
      <c r="Q21" s="17">
        <v>3903</v>
      </c>
      <c r="R21" s="17">
        <v>3903</v>
      </c>
      <c r="S21" s="17">
        <f>S22</f>
        <v>1635</v>
      </c>
      <c r="T21" s="17">
        <f>T22</f>
        <v>3874.846</v>
      </c>
      <c r="U21" s="17">
        <f>U22</f>
        <v>2100.1999999999998</v>
      </c>
      <c r="V21" s="17">
        <f>V22</f>
        <v>4318</v>
      </c>
      <c r="X21" s="12">
        <f>+X22</f>
        <v>11928.045999999998</v>
      </c>
      <c r="Z21" s="17">
        <f>Z22</f>
        <v>1635.8658889999999</v>
      </c>
      <c r="AA21" s="17">
        <f>AA22</f>
        <v>3795</v>
      </c>
      <c r="AB21" s="17">
        <f>AB22</f>
        <v>1901.3</v>
      </c>
      <c r="AC21" s="17">
        <f>AC22</f>
        <v>3714</v>
      </c>
      <c r="AE21" s="12">
        <f>+AE22</f>
        <v>11046.165889</v>
      </c>
      <c r="AG21" s="17">
        <f>AG22</f>
        <v>1725.8</v>
      </c>
      <c r="AH21" s="17">
        <f>+AH22</f>
        <v>3865.5</v>
      </c>
      <c r="AI21" s="17">
        <f>+AI22</f>
        <v>1425</v>
      </c>
      <c r="AJ21" s="17">
        <f>+AJ22</f>
        <v>3469</v>
      </c>
      <c r="AK21" s="12">
        <f>+AG21+AH21+AI21+AJ21</f>
        <v>10485.299999999999</v>
      </c>
      <c r="AL21" s="12">
        <v>10485.299999999999</v>
      </c>
      <c r="AM21" s="17">
        <f>+AM22</f>
        <v>1237.0999999999999</v>
      </c>
      <c r="AN21" s="17">
        <f>+AN22</f>
        <v>5648.9</v>
      </c>
      <c r="AO21" s="17">
        <f>+AO22</f>
        <v>981.59999999999991</v>
      </c>
      <c r="AP21" s="17">
        <f>+AP22</f>
        <v>3347.1</v>
      </c>
      <c r="AQ21" s="12">
        <f>+AM21+AN21+AO21+AP21</f>
        <v>11214.7</v>
      </c>
      <c r="AR21" s="17">
        <f>+AR22</f>
        <v>1559</v>
      </c>
      <c r="AS21" s="17">
        <f>+AS22</f>
        <v>3707.6</v>
      </c>
      <c r="AT21" s="17">
        <f>+AT22</f>
        <v>1045.529</v>
      </c>
      <c r="AU21" s="17">
        <f>+AU22</f>
        <v>3835.7</v>
      </c>
      <c r="AV21" s="12">
        <f>+AR21+AS21+AT21+AU21</f>
        <v>10147.829000000002</v>
      </c>
      <c r="AW21" s="17">
        <f>+AW22</f>
        <v>1738</v>
      </c>
      <c r="AX21" s="17">
        <f>+AX22</f>
        <v>1903.5</v>
      </c>
      <c r="AY21" s="17">
        <f>+AY22</f>
        <v>1125</v>
      </c>
      <c r="AZ21" s="17">
        <f>+AZ22</f>
        <v>3784.2</v>
      </c>
      <c r="BA21" s="12">
        <f>+AW21+AX21+AY21+AZ21</f>
        <v>8550.7000000000007</v>
      </c>
      <c r="BB21" s="17">
        <f>+BB22</f>
        <v>1211</v>
      </c>
      <c r="BC21" s="17">
        <f>+BC22</f>
        <v>3032.3</v>
      </c>
      <c r="BD21" s="17">
        <f>+BD22</f>
        <v>697.2</v>
      </c>
      <c r="BE21" s="17">
        <f>+BE22</f>
        <v>2252.3000000000002</v>
      </c>
      <c r="BF21" s="17">
        <f t="shared" ref="BF21:BF91" si="28">+BB21+BC21+BD21+BE21</f>
        <v>7192.8</v>
      </c>
      <c r="BG21" s="17">
        <f>+BG22</f>
        <v>800.6</v>
      </c>
      <c r="BH21" s="17">
        <f>+BH22</f>
        <v>2816</v>
      </c>
      <c r="BI21" s="17">
        <f>+BI22</f>
        <v>1038.5</v>
      </c>
      <c r="BJ21" s="17">
        <f>+BJ22</f>
        <v>4143.1000000000004</v>
      </c>
      <c r="BK21" s="17">
        <f t="shared" ref="BK21:BK91" si="29">+BG21+BH21+BI21+BJ21</f>
        <v>8798.2000000000007</v>
      </c>
      <c r="BL21" s="17">
        <f>+BL22</f>
        <v>1258.3</v>
      </c>
      <c r="BM21" s="17">
        <f>+BM22</f>
        <v>2860.8</v>
      </c>
      <c r="BN21" s="17">
        <f>+BN22</f>
        <v>1148.7</v>
      </c>
      <c r="BO21" s="17">
        <f>+BO22</f>
        <v>2884.2</v>
      </c>
      <c r="BP21" s="17">
        <f t="shared" ref="BP21:BP91" si="30">+BL21+BM21+BN21+BO21</f>
        <v>8152</v>
      </c>
      <c r="BQ21" s="17">
        <f>+BQ22</f>
        <v>1637</v>
      </c>
      <c r="BR21" s="17">
        <f>+BR22</f>
        <v>2568.1999999999998</v>
      </c>
      <c r="BS21" s="17">
        <f>+BS22</f>
        <v>1178.5</v>
      </c>
      <c r="BT21" s="17">
        <f>+BT22</f>
        <v>2031</v>
      </c>
      <c r="BU21" s="17">
        <f>+BQ21-BL21</f>
        <v>378.70000000000005</v>
      </c>
      <c r="BV21" s="17">
        <f t="shared" si="0"/>
        <v>4205.2</v>
      </c>
      <c r="BW21" s="17">
        <f t="shared" ref="BW21:BW87" si="31">SUM(BQ21:BS21)</f>
        <v>5383.7</v>
      </c>
      <c r="BX21" s="17">
        <f>+BR21-BM21</f>
        <v>-292.60000000000036</v>
      </c>
      <c r="BY21" s="17">
        <f>+BU21/(BL21)*100</f>
        <v>30.096161487721535</v>
      </c>
      <c r="BZ21" s="17">
        <f>+BX21/(BM21)*100</f>
        <v>-10.227908277404934</v>
      </c>
      <c r="CA21" s="17"/>
      <c r="CB21" s="17">
        <f>+CB22</f>
        <v>0</v>
      </c>
      <c r="CC21" s="17">
        <f>+CC22</f>
        <v>0</v>
      </c>
      <c r="CD21" s="17">
        <f>+CD22</f>
        <v>0</v>
      </c>
      <c r="CE21" s="17">
        <f>+CE22</f>
        <v>0</v>
      </c>
      <c r="CF21" s="17">
        <f t="shared" ref="CF21:CF87" si="32">SUM(CB21:CE21)</f>
        <v>0</v>
      </c>
      <c r="CG21" s="17">
        <f>+CG22</f>
        <v>0</v>
      </c>
      <c r="CH21" s="17">
        <f>+CH22</f>
        <v>0</v>
      </c>
      <c r="CI21" s="17">
        <f>+CI22</f>
        <v>0</v>
      </c>
      <c r="CJ21" s="17">
        <f>+CJ22</f>
        <v>0</v>
      </c>
      <c r="CK21" s="91">
        <f t="shared" si="2"/>
        <v>0</v>
      </c>
      <c r="CL21" s="91">
        <f>CL90</f>
        <v>0</v>
      </c>
      <c r="CM21" s="91">
        <f>CM90</f>
        <v>0</v>
      </c>
      <c r="CN21" s="91"/>
      <c r="CO21" s="91"/>
      <c r="CP21" s="91">
        <f>CP90</f>
        <v>0</v>
      </c>
      <c r="CQ21" s="91">
        <f>CQ90</f>
        <v>0</v>
      </c>
      <c r="CR21" s="91">
        <f t="shared" ref="CR21" si="33">+CL21+CM21+CP21+CQ21</f>
        <v>0</v>
      </c>
      <c r="CS21" s="91">
        <f>CS90</f>
        <v>0</v>
      </c>
      <c r="CT21" s="91">
        <f>CT90</f>
        <v>0</v>
      </c>
      <c r="CU21" s="91">
        <f>CU90</f>
        <v>0</v>
      </c>
      <c r="CV21" s="91">
        <f>CV90</f>
        <v>0</v>
      </c>
      <c r="CW21" s="78">
        <f t="shared" ref="CW21" si="34">+CS21+CT21+CU21+CV21</f>
        <v>0</v>
      </c>
      <c r="CX21" s="78">
        <f t="shared" ref="CX21" si="35">+CV21-CQ21</f>
        <v>0</v>
      </c>
      <c r="CY21" s="78"/>
      <c r="CZ21" s="12">
        <f t="shared" si="6"/>
        <v>0</v>
      </c>
      <c r="DA21" s="12"/>
      <c r="DB21" s="9"/>
      <c r="DC21" s="11"/>
      <c r="DD21" s="71"/>
      <c r="DE21" s="9"/>
      <c r="DF21" s="9"/>
      <c r="DG21" s="9"/>
      <c r="DH21" s="9"/>
      <c r="DI21" s="9"/>
    </row>
    <row r="22" spans="1:113" x14ac:dyDescent="0.2">
      <c r="E22" s="8"/>
      <c r="F22" s="10">
        <v>13344</v>
      </c>
      <c r="G22" s="20">
        <v>12005.452000000001</v>
      </c>
      <c r="H22" s="20">
        <f>SUM(O22:R22)</f>
        <v>13635</v>
      </c>
      <c r="I22" s="20"/>
      <c r="J22" s="14">
        <v>1542</v>
      </c>
      <c r="K22" s="24">
        <v>3534</v>
      </c>
      <c r="L22" s="25">
        <v>2241.7159999999999</v>
      </c>
      <c r="M22" s="25">
        <v>4687.7360000000008</v>
      </c>
      <c r="N22" s="8"/>
      <c r="O22" s="25">
        <v>1497</v>
      </c>
      <c r="P22" s="25">
        <v>3903</v>
      </c>
      <c r="Q22" s="25">
        <v>2147</v>
      </c>
      <c r="R22" s="25">
        <v>6088</v>
      </c>
      <c r="S22" s="11">
        <v>1635</v>
      </c>
      <c r="T22" s="14">
        <v>3874.846</v>
      </c>
      <c r="U22" s="14">
        <v>2100.1999999999998</v>
      </c>
      <c r="V22" s="11">
        <v>4318</v>
      </c>
      <c r="W22" s="14"/>
      <c r="X22" s="11">
        <f>SUM(S22:V22)</f>
        <v>11928.045999999998</v>
      </c>
      <c r="Y22" s="14"/>
      <c r="Z22" s="24">
        <v>1635.8658889999999</v>
      </c>
      <c r="AA22" s="14">
        <v>3795</v>
      </c>
      <c r="AB22" s="14">
        <v>1901.3</v>
      </c>
      <c r="AC22" s="11">
        <v>3714</v>
      </c>
      <c r="AD22" s="14"/>
      <c r="AE22" s="11">
        <f>SUM(Z22:AC22)</f>
        <v>11046.165889</v>
      </c>
      <c r="AF22" s="14"/>
      <c r="AG22" s="11">
        <v>1725.8</v>
      </c>
      <c r="AH22" s="14">
        <v>3865.5</v>
      </c>
      <c r="AI22" s="14">
        <v>1425</v>
      </c>
      <c r="AJ22" s="25">
        <v>3469</v>
      </c>
      <c r="AK22" s="11">
        <f>+AG22+AH22+AI22+AJ22</f>
        <v>10485.299999999999</v>
      </c>
      <c r="AL22" s="58">
        <v>10485.299999999999</v>
      </c>
      <c r="AM22" s="25">
        <v>1237.0999999999999</v>
      </c>
      <c r="AN22" s="14">
        <v>5648.9</v>
      </c>
      <c r="AO22" s="14">
        <f>1230.6-249</f>
        <v>981.59999999999991</v>
      </c>
      <c r="AP22" s="14">
        <v>3347.1</v>
      </c>
      <c r="AQ22" s="11">
        <f>+AM22+AN22+AO22+AP22</f>
        <v>11214.7</v>
      </c>
      <c r="AR22" s="11">
        <v>1559</v>
      </c>
      <c r="AS22" s="11">
        <v>3707.6</v>
      </c>
      <c r="AT22" s="11">
        <v>1045.529</v>
      </c>
      <c r="AU22" s="11">
        <v>3835.7</v>
      </c>
      <c r="AV22" s="11">
        <f>+AR22+AS22+AT22+AU22</f>
        <v>10147.829000000002</v>
      </c>
      <c r="AW22" s="11">
        <v>1738</v>
      </c>
      <c r="AX22" s="24">
        <v>1903.5</v>
      </c>
      <c r="AY22" s="24">
        <v>1125</v>
      </c>
      <c r="AZ22" s="24">
        <f>3671.2+113</f>
        <v>3784.2</v>
      </c>
      <c r="BA22" s="11">
        <f>+AW22+AX22+AY22+AZ22</f>
        <v>8550.7000000000007</v>
      </c>
      <c r="BB22" s="11">
        <v>1211</v>
      </c>
      <c r="BC22" s="11">
        <v>3032.3</v>
      </c>
      <c r="BD22" s="11">
        <v>697.2</v>
      </c>
      <c r="BE22" s="11">
        <v>2252.3000000000002</v>
      </c>
      <c r="BF22" s="11">
        <f t="shared" si="28"/>
        <v>7192.8</v>
      </c>
      <c r="BG22" s="11">
        <v>800.6</v>
      </c>
      <c r="BH22" s="11">
        <v>2816</v>
      </c>
      <c r="BI22" s="11">
        <v>1038.5</v>
      </c>
      <c r="BJ22" s="11">
        <v>4143.1000000000004</v>
      </c>
      <c r="BK22" s="58">
        <f t="shared" si="29"/>
        <v>8798.2000000000007</v>
      </c>
      <c r="BL22" s="11">
        <v>1258.3</v>
      </c>
      <c r="BM22" s="11">
        <v>2860.8</v>
      </c>
      <c r="BN22" s="11">
        <v>1148.7</v>
      </c>
      <c r="BO22" s="11">
        <v>2884.2</v>
      </c>
      <c r="BP22" s="11">
        <f t="shared" si="30"/>
        <v>8152</v>
      </c>
      <c r="BQ22" s="11">
        <v>1637</v>
      </c>
      <c r="BR22" s="11">
        <v>2568.1999999999998</v>
      </c>
      <c r="BS22" s="11">
        <v>1178.5</v>
      </c>
      <c r="BT22" s="11">
        <v>2031</v>
      </c>
      <c r="BU22" s="11">
        <f>+BQ22-BL22</f>
        <v>378.70000000000005</v>
      </c>
      <c r="BV22" s="11">
        <f t="shared" si="0"/>
        <v>4205.2</v>
      </c>
      <c r="BW22" s="11">
        <f t="shared" si="31"/>
        <v>5383.7</v>
      </c>
      <c r="BX22" s="11">
        <f>+BR22-BM22</f>
        <v>-292.60000000000036</v>
      </c>
      <c r="BY22" s="11">
        <f>+BU22/(BL22)*100</f>
        <v>30.096161487721535</v>
      </c>
      <c r="BZ22" s="11">
        <f>+BX22/(BM22)*100</f>
        <v>-10.227908277404934</v>
      </c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93"/>
      <c r="CL22" s="93"/>
      <c r="CM22" s="93"/>
      <c r="CN22" s="93"/>
      <c r="CO22" s="93"/>
      <c r="CP22" s="93"/>
      <c r="CQ22" s="93"/>
      <c r="CR22" s="93"/>
      <c r="CS22" s="93"/>
      <c r="CT22" s="93"/>
      <c r="CU22" s="93"/>
      <c r="CV22" s="93"/>
      <c r="CW22" s="93"/>
      <c r="CX22" s="93"/>
      <c r="CY22" s="93"/>
      <c r="CZ22" s="11"/>
      <c r="DA22" s="11"/>
      <c r="DB22" s="11"/>
      <c r="DC22" s="11"/>
      <c r="DD22" s="71"/>
      <c r="DE22" s="3"/>
      <c r="DF22" s="3"/>
      <c r="DG22" s="3"/>
      <c r="DH22" s="3"/>
      <c r="DI22" s="3"/>
    </row>
    <row r="23" spans="1:113" ht="10.5" customHeight="1" x14ac:dyDescent="0.2">
      <c r="E23" s="8"/>
      <c r="F23" s="10"/>
      <c r="G23" s="20"/>
      <c r="H23" s="17" t="s">
        <v>10</v>
      </c>
      <c r="I23" s="17"/>
      <c r="J23" s="14"/>
      <c r="K23" s="24"/>
      <c r="L23" s="25"/>
      <c r="M23" s="25"/>
      <c r="N23" s="8"/>
      <c r="O23" s="25"/>
      <c r="P23" s="25"/>
      <c r="Q23" s="25"/>
      <c r="R23" s="25"/>
      <c r="S23" s="12"/>
      <c r="T23" s="12"/>
      <c r="U23" s="12"/>
      <c r="V23" s="12"/>
      <c r="W23" s="14"/>
      <c r="X23" s="12" t="str">
        <f>IF(O23="","",(O23+P23+Q23+R23))</f>
        <v/>
      </c>
      <c r="Y23" s="14"/>
      <c r="Z23" s="23"/>
      <c r="AA23" s="39"/>
      <c r="AC23" s="12"/>
      <c r="AD23" s="14"/>
      <c r="AE23" s="12" t="str">
        <f>IF(Y23="","",(Y23+Z23+AA23+AB23))</f>
        <v/>
      </c>
      <c r="AF23" s="14"/>
      <c r="AG23" s="12"/>
      <c r="AH23" s="39"/>
      <c r="AI23" s="39"/>
      <c r="AJ23" s="29"/>
      <c r="AK23" s="12" t="s">
        <v>10</v>
      </c>
      <c r="AL23" s="57" t="s">
        <v>10</v>
      </c>
      <c r="AM23" s="29"/>
      <c r="AN23" s="39"/>
      <c r="AO23" s="39"/>
      <c r="AP23" s="39"/>
      <c r="AQ23" s="12" t="s">
        <v>10</v>
      </c>
      <c r="AR23" s="12"/>
      <c r="AS23" s="12"/>
      <c r="AT23" s="12"/>
      <c r="AU23" s="12"/>
      <c r="AV23" s="12" t="s">
        <v>10</v>
      </c>
      <c r="AW23" s="12"/>
      <c r="AX23" s="23"/>
      <c r="AY23" s="23"/>
      <c r="AZ23" s="23"/>
      <c r="BA23" s="12" t="s">
        <v>10</v>
      </c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93"/>
      <c r="CL23" s="93"/>
      <c r="CM23" s="93"/>
      <c r="CN23" s="93"/>
      <c r="CO23" s="93"/>
      <c r="CP23" s="93"/>
      <c r="CQ23" s="93"/>
      <c r="CR23" s="93"/>
      <c r="CS23" s="93"/>
      <c r="CT23" s="93"/>
      <c r="CU23" s="93"/>
      <c r="CV23" s="93"/>
      <c r="CW23" s="93"/>
      <c r="CX23" s="93"/>
      <c r="CY23" s="93"/>
      <c r="CZ23" s="12"/>
      <c r="DA23" s="12"/>
      <c r="DB23" s="11"/>
      <c r="DC23" s="11"/>
      <c r="DD23" s="71"/>
      <c r="DE23" s="3"/>
      <c r="DF23" s="3"/>
      <c r="DG23" s="3"/>
      <c r="DH23" s="3"/>
      <c r="DI23" s="3"/>
    </row>
    <row r="24" spans="1:113" s="7" customFormat="1" x14ac:dyDescent="0.2">
      <c r="A24" s="76">
        <v>2</v>
      </c>
      <c r="B24" s="76" t="s">
        <v>11</v>
      </c>
      <c r="E24" s="8"/>
      <c r="F24" s="8">
        <f>SUM(F25:F31)</f>
        <v>17963</v>
      </c>
      <c r="G24" s="17">
        <f t="shared" ref="G24:G31" si="36">SUM(J24:M24)</f>
        <v>16128</v>
      </c>
      <c r="H24" s="17">
        <f t="shared" ref="H24:H31" si="37">SUM(O24:R24)</f>
        <v>14170</v>
      </c>
      <c r="I24" s="17"/>
      <c r="J24" s="17">
        <f>SUM(J25:J31)</f>
        <v>3381</v>
      </c>
      <c r="K24" s="17">
        <f>SUM(K25:K31)</f>
        <v>4283</v>
      </c>
      <c r="L24" s="17">
        <f>SUM(L25:L31)</f>
        <v>3750</v>
      </c>
      <c r="M24" s="17">
        <f>SUM(M25:M31)</f>
        <v>4714</v>
      </c>
      <c r="N24" s="8"/>
      <c r="O24" s="17">
        <f>SUM(O25:O31)</f>
        <v>3007</v>
      </c>
      <c r="P24" s="17">
        <f>SUM(P25:P31)</f>
        <v>3541</v>
      </c>
      <c r="Q24" s="17">
        <f>SUM(Q25:Q31)</f>
        <v>2813</v>
      </c>
      <c r="R24" s="17">
        <f>SUM(R25:R31)</f>
        <v>4809</v>
      </c>
      <c r="S24" s="17">
        <f>SUM(S25:S34)</f>
        <v>3546.8780590000001</v>
      </c>
      <c r="T24" s="17">
        <f>SUM(T25:T34)</f>
        <v>3429.9</v>
      </c>
      <c r="U24" s="17">
        <f>SUM(U25:U34)</f>
        <v>2835.5000000000005</v>
      </c>
      <c r="V24" s="17">
        <f>SUM(V25:V34)</f>
        <v>4827.579999999999</v>
      </c>
      <c r="W24" s="14"/>
      <c r="X24" s="12">
        <f>SUM(S24:V24)</f>
        <v>14639.858058999998</v>
      </c>
      <c r="Y24" s="14"/>
      <c r="Z24" s="17">
        <f>SUM(Z25:Z34)</f>
        <v>3480.3</v>
      </c>
      <c r="AA24" s="17">
        <f>SUM(AA25:AA33)</f>
        <v>3367.358338</v>
      </c>
      <c r="AB24" s="17">
        <f>SUM(AB25:AB34)</f>
        <v>3174.5000000000005</v>
      </c>
      <c r="AC24" s="17">
        <f>SUM(AC25:AC34)</f>
        <v>4993.0999999999995</v>
      </c>
      <c r="AD24" s="14"/>
      <c r="AE24" s="12">
        <f>SUM(AE25:AE34)</f>
        <v>15016.179648999998</v>
      </c>
      <c r="AF24" s="14"/>
      <c r="AG24" s="17">
        <f>SUM(AG25:AG34)</f>
        <v>3593.05</v>
      </c>
      <c r="AH24" s="17">
        <f>SUM(AH25:AH34)</f>
        <v>3185.74</v>
      </c>
      <c r="AI24" s="17">
        <f>SUM(AI25:AI34)</f>
        <v>2719.9599999999996</v>
      </c>
      <c r="AJ24" s="17">
        <f>SUM(AJ25:AJ34)</f>
        <v>4179.8499999999995</v>
      </c>
      <c r="AK24" s="12">
        <f t="shared" ref="AK24:AK34" si="38">+AG24+AH24+AI24+AJ24</f>
        <v>13678.599999999999</v>
      </c>
      <c r="AL24" s="57">
        <v>13679.2</v>
      </c>
      <c r="AM24" s="17">
        <f>SUM(AM25:AM34)</f>
        <v>3149.5</v>
      </c>
      <c r="AN24" s="17">
        <f>SUM(AN25:AN34)</f>
        <v>3596.8999999999996</v>
      </c>
      <c r="AO24" s="17">
        <f>SUM(AO25:AO34)</f>
        <v>2936.8</v>
      </c>
      <c r="AP24" s="17">
        <f>SUM(AP25:AP34)</f>
        <v>3850.6999999999989</v>
      </c>
      <c r="AQ24" s="12">
        <f t="shared" ref="AQ24:AQ34" si="39">+AM24+AN24+AO24+AP24</f>
        <v>13533.9</v>
      </c>
      <c r="AR24" s="17">
        <f>SUM(AR25:AR34)</f>
        <v>3007.6</v>
      </c>
      <c r="AS24" s="17">
        <f>SUM(AS25:AS34)</f>
        <v>3428.0119999999997</v>
      </c>
      <c r="AT24" s="17">
        <f>SUM(AT25:AT34)</f>
        <v>2965.7669999999998</v>
      </c>
      <c r="AU24" s="17">
        <f>SUM(AU25:AU34)</f>
        <v>4591.7</v>
      </c>
      <c r="AV24" s="12">
        <f t="shared" ref="AV24:AV34" si="40">+AR24+AS24+AT24+AU24</f>
        <v>13993.078999999998</v>
      </c>
      <c r="AW24" s="17">
        <f>SUM(AW25:AW34)</f>
        <v>3543</v>
      </c>
      <c r="AX24" s="17">
        <f>SUM(AX25:AX34)</f>
        <v>3449.6000000000004</v>
      </c>
      <c r="AY24" s="17">
        <f>SUM(AY25:AY34)</f>
        <v>3125.6</v>
      </c>
      <c r="AZ24" s="17">
        <f>SUM(AZ25:AZ34)</f>
        <v>4837.0800000000008</v>
      </c>
      <c r="BA24" s="12">
        <f t="shared" ref="BA24:BA34" si="41">+AW24+AX24+AY24+AZ24</f>
        <v>14955.280000000002</v>
      </c>
      <c r="BB24" s="17">
        <f>SUM(BB25:BB34)</f>
        <v>3349.7</v>
      </c>
      <c r="BC24" s="17">
        <f>SUM(BC25:BC34)</f>
        <v>3383.8000000000006</v>
      </c>
      <c r="BD24" s="17">
        <f>SUM(BD25:BD34)</f>
        <v>3377.099999999999</v>
      </c>
      <c r="BE24" s="17">
        <f>SUM(BE25:BE34)</f>
        <v>5813.6</v>
      </c>
      <c r="BF24" s="17">
        <f t="shared" si="28"/>
        <v>15924.199999999999</v>
      </c>
      <c r="BG24" s="17">
        <f>SUM(BG25:BG34)</f>
        <v>3944.5</v>
      </c>
      <c r="BH24" s="17">
        <f>SUM(BH25:BH34)</f>
        <v>4736.9769999999999</v>
      </c>
      <c r="BI24" s="17">
        <f>SUM(BI25:BI34)</f>
        <v>3515</v>
      </c>
      <c r="BJ24" s="17">
        <f>SUM(BJ25:BJ34)</f>
        <v>5700.3</v>
      </c>
      <c r="BK24" s="17">
        <f t="shared" si="29"/>
        <v>17896.776999999998</v>
      </c>
      <c r="BL24" s="17">
        <f>SUM(BL25:BL34)</f>
        <v>4605.8</v>
      </c>
      <c r="BM24" s="17">
        <f>SUM(BM25:BM34)</f>
        <v>5073.0200000000004</v>
      </c>
      <c r="BN24" s="17">
        <f>SUM(BN25:BN34)</f>
        <v>3610.7</v>
      </c>
      <c r="BO24" s="17">
        <f>SUM(BO25:BO34)</f>
        <v>6087.7999999999993</v>
      </c>
      <c r="BP24" s="17">
        <f t="shared" si="30"/>
        <v>19377.32</v>
      </c>
      <c r="BQ24" s="17">
        <f>SUM(BQ25:BQ34)</f>
        <v>4247.7999999999993</v>
      </c>
      <c r="BR24" s="17">
        <f>SUM(BR25:BR34)</f>
        <v>4260.6000000000013</v>
      </c>
      <c r="BS24" s="17">
        <f>SUM(BS25:BS34)</f>
        <v>3954.7999999999997</v>
      </c>
      <c r="BT24" s="17">
        <f>SUM(BT25:BT34)</f>
        <v>6127.8999999999987</v>
      </c>
      <c r="BU24" s="17">
        <f t="shared" ref="BU24:BU34" si="42">+BQ24-BL24</f>
        <v>-358.00000000000091</v>
      </c>
      <c r="BV24" s="17">
        <f t="shared" si="0"/>
        <v>8508.4000000000015</v>
      </c>
      <c r="BW24" s="17">
        <f t="shared" si="31"/>
        <v>12463.2</v>
      </c>
      <c r="BX24" s="17">
        <f t="shared" ref="BX24:BX34" si="43">+BR24-BM24</f>
        <v>-812.41999999999916</v>
      </c>
      <c r="BY24" s="17">
        <f t="shared" ref="BY24:BY34" si="44">+BU24/(BL24)*100</f>
        <v>-7.7728081983586108</v>
      </c>
      <c r="BZ24" s="17">
        <f t="shared" ref="BZ24:BZ29" si="45">+BX24/(BM24)*100</f>
        <v>-16.01452389306565</v>
      </c>
      <c r="CA24" s="17">
        <f t="shared" si="1"/>
        <v>18591.099999999999</v>
      </c>
      <c r="CB24" s="17">
        <f>SUM(CB25:CB34)</f>
        <v>4045.4000000000005</v>
      </c>
      <c r="CC24" s="17">
        <f>SUM(CC25:CC34)</f>
        <v>4751.6000000000004</v>
      </c>
      <c r="CD24" s="17">
        <f>SUM(CD25:CD34)</f>
        <v>3503.6000000000004</v>
      </c>
      <c r="CE24" s="17">
        <f>SUM(CE25:CE34)</f>
        <v>5883.4</v>
      </c>
      <c r="CF24" s="17">
        <f t="shared" si="32"/>
        <v>18184</v>
      </c>
      <c r="CG24" s="17">
        <f>SUM(CG25:CG34)</f>
        <v>3788.1000000000004</v>
      </c>
      <c r="CH24" s="17">
        <f>SUM(CH25:CH34)</f>
        <v>4634.3999999999987</v>
      </c>
      <c r="CI24" s="17">
        <f>SUM(CI25:CI34)</f>
        <v>3248</v>
      </c>
      <c r="CJ24" s="17">
        <f>SUM(CJ25:CJ34)</f>
        <v>6872.9</v>
      </c>
      <c r="CK24" s="91">
        <f t="shared" si="2"/>
        <v>18543.400000000001</v>
      </c>
      <c r="CL24" s="91">
        <f>SUM(CL25:CL34)</f>
        <v>4468.2999999999993</v>
      </c>
      <c r="CM24" s="91">
        <f>SUM(CM25:CM34)</f>
        <v>4016.81</v>
      </c>
      <c r="CN24" s="91"/>
      <c r="CO24" s="91"/>
      <c r="CP24" s="91">
        <f>SUM(CP25:CP34)</f>
        <v>4329.7599999999993</v>
      </c>
      <c r="CQ24" s="91">
        <f>SUM(CQ25:CQ34)</f>
        <v>6767.8999999999987</v>
      </c>
      <c r="CR24" s="91">
        <f t="shared" ref="CR24:CR87" si="46">+CL24+CM24+CP24+CQ24</f>
        <v>19582.769999999997</v>
      </c>
      <c r="CS24" s="91">
        <f>SUM(CS25:CS34)</f>
        <v>4395.5999999999995</v>
      </c>
      <c r="CT24" s="91">
        <f>SUM(CT25:CT34)</f>
        <v>4777.6000000000004</v>
      </c>
      <c r="CU24" s="91">
        <f>SUM(CU25:CU34)</f>
        <v>3403.7000000000003</v>
      </c>
      <c r="CV24" s="91">
        <f>SUM(CV25:CV34)</f>
        <v>6394.9</v>
      </c>
      <c r="CW24" s="78">
        <f t="shared" ref="CW24:CW34" si="47">+CS24+CT24+CU24+CV24</f>
        <v>18971.800000000003</v>
      </c>
      <c r="CX24" s="78">
        <f t="shared" ref="CX24:CX87" si="48">+CV24-CQ24</f>
        <v>-372.99999999999909</v>
      </c>
      <c r="CY24" s="78">
        <f t="shared" ref="CY24:CY32" si="49">+CX24/CQ24*100</f>
        <v>-5.5113107463171618</v>
      </c>
      <c r="CZ24" s="92">
        <f t="shared" si="6"/>
        <v>1039.3699999999972</v>
      </c>
      <c r="DA24" s="92">
        <f t="shared" si="7"/>
        <v>5.6050670319358753</v>
      </c>
      <c r="DB24" s="92"/>
      <c r="DC24" s="11"/>
      <c r="DD24" s="71"/>
      <c r="DE24" s="9"/>
      <c r="DF24" s="9"/>
      <c r="DG24" s="9"/>
    </row>
    <row r="25" spans="1:113" x14ac:dyDescent="0.2">
      <c r="B25" s="77" t="s">
        <v>12</v>
      </c>
      <c r="C25" s="77" t="s">
        <v>50</v>
      </c>
      <c r="E25" s="8"/>
      <c r="F25" s="10">
        <v>17195</v>
      </c>
      <c r="G25" s="20">
        <f t="shared" si="36"/>
        <v>15109</v>
      </c>
      <c r="H25" s="20">
        <f t="shared" si="37"/>
        <v>13297</v>
      </c>
      <c r="I25" s="20"/>
      <c r="J25" s="10">
        <v>3251</v>
      </c>
      <c r="K25" s="20">
        <v>4034</v>
      </c>
      <c r="L25" s="20">
        <v>3544</v>
      </c>
      <c r="M25" s="20">
        <v>4280</v>
      </c>
      <c r="N25" s="8"/>
      <c r="O25" s="20">
        <v>2849</v>
      </c>
      <c r="P25" s="20">
        <v>3304</v>
      </c>
      <c r="Q25" s="20">
        <v>2586</v>
      </c>
      <c r="R25" s="20">
        <v>4558</v>
      </c>
      <c r="S25" s="11">
        <v>3400.2780590000002</v>
      </c>
      <c r="T25" s="14">
        <v>3107.1</v>
      </c>
      <c r="U25" s="14">
        <v>2621.1</v>
      </c>
      <c r="V25" s="11">
        <v>4459.3</v>
      </c>
      <c r="W25" s="14"/>
      <c r="X25" s="11">
        <f>SUM(S25:V25)</f>
        <v>13587.778059</v>
      </c>
      <c r="Y25" s="14"/>
      <c r="Z25" s="24">
        <v>3314.1</v>
      </c>
      <c r="AA25" s="14">
        <v>3068</v>
      </c>
      <c r="AB25" s="14">
        <v>2952</v>
      </c>
      <c r="AC25" s="11">
        <v>4582</v>
      </c>
      <c r="AD25" s="14"/>
      <c r="AE25" s="11">
        <f t="shared" ref="AE25:AE34" si="50">SUM(Z25:AC25)</f>
        <v>13916.1</v>
      </c>
      <c r="AF25" s="14"/>
      <c r="AG25" s="11">
        <v>3450.9</v>
      </c>
      <c r="AH25" s="14">
        <v>2880.3</v>
      </c>
      <c r="AI25" s="14">
        <v>2567.9</v>
      </c>
      <c r="AJ25" s="25">
        <v>3735.8</v>
      </c>
      <c r="AK25" s="11">
        <f t="shared" si="38"/>
        <v>12634.900000000001</v>
      </c>
      <c r="AL25" s="58">
        <v>12635</v>
      </c>
      <c r="AM25" s="25">
        <v>2816.5</v>
      </c>
      <c r="AN25" s="14">
        <v>3107</v>
      </c>
      <c r="AO25" s="14">
        <v>2695.9</v>
      </c>
      <c r="AP25" s="14">
        <v>3455.2</v>
      </c>
      <c r="AQ25" s="11">
        <f t="shared" si="39"/>
        <v>12074.599999999999</v>
      </c>
      <c r="AR25" s="14">
        <v>2758.9</v>
      </c>
      <c r="AS25" s="14">
        <v>3155.3119999999999</v>
      </c>
      <c r="AT25" s="14">
        <v>2791.752</v>
      </c>
      <c r="AU25" s="14">
        <f>4506.5-25-1</f>
        <v>4480.5</v>
      </c>
      <c r="AV25" s="11">
        <f t="shared" si="40"/>
        <v>13186.464</v>
      </c>
      <c r="AW25" s="14">
        <f>2971+400</f>
        <v>3371</v>
      </c>
      <c r="AX25" s="25">
        <v>3423.5</v>
      </c>
      <c r="AY25" s="25">
        <f>2364.8+600</f>
        <v>2964.8</v>
      </c>
      <c r="AZ25" s="25">
        <f>5435.8-600</f>
        <v>4835.8</v>
      </c>
      <c r="BA25" s="11">
        <f t="shared" si="41"/>
        <v>14595.099999999999</v>
      </c>
      <c r="BB25" s="11">
        <v>3237.1</v>
      </c>
      <c r="BC25" s="11">
        <v>3391.1</v>
      </c>
      <c r="BD25" s="11">
        <v>3274</v>
      </c>
      <c r="BE25" s="11">
        <v>5578</v>
      </c>
      <c r="BF25" s="11">
        <f t="shared" si="28"/>
        <v>15480.2</v>
      </c>
      <c r="BG25" s="11">
        <v>3777.8</v>
      </c>
      <c r="BH25" s="11">
        <v>4658</v>
      </c>
      <c r="BI25" s="11">
        <v>3447.7</v>
      </c>
      <c r="BJ25" s="11">
        <v>5514.4</v>
      </c>
      <c r="BK25" s="11">
        <f t="shared" si="29"/>
        <v>17397.900000000001</v>
      </c>
      <c r="BL25" s="11">
        <v>4460.1000000000004</v>
      </c>
      <c r="BM25" s="11">
        <v>4982.8999999999996</v>
      </c>
      <c r="BN25" s="11">
        <v>3500</v>
      </c>
      <c r="BO25" s="11">
        <v>5924.9</v>
      </c>
      <c r="BP25" s="11">
        <f t="shared" si="30"/>
        <v>18867.900000000001</v>
      </c>
      <c r="BQ25" s="11">
        <v>4061</v>
      </c>
      <c r="BR25" s="11">
        <v>4223.6000000000004</v>
      </c>
      <c r="BS25" s="11">
        <v>3767.1</v>
      </c>
      <c r="BT25" s="11">
        <v>5926.7</v>
      </c>
      <c r="BU25" s="11">
        <f t="shared" si="42"/>
        <v>-399.10000000000036</v>
      </c>
      <c r="BV25" s="11">
        <f t="shared" si="0"/>
        <v>8284.6</v>
      </c>
      <c r="BW25" s="11">
        <f t="shared" si="31"/>
        <v>12051.7</v>
      </c>
      <c r="BX25" s="11">
        <f t="shared" si="43"/>
        <v>-759.29999999999927</v>
      </c>
      <c r="BY25" s="11">
        <f t="shared" si="44"/>
        <v>-8.9482298603170403</v>
      </c>
      <c r="BZ25" s="11">
        <f t="shared" si="45"/>
        <v>-15.238114351080684</v>
      </c>
      <c r="CA25" s="11">
        <f t="shared" si="1"/>
        <v>17978.400000000001</v>
      </c>
      <c r="CB25" s="11">
        <f>3929.3+100</f>
        <v>4029.3</v>
      </c>
      <c r="CC25" s="11">
        <v>4634</v>
      </c>
      <c r="CD25" s="11">
        <v>3361.9</v>
      </c>
      <c r="CE25" s="11">
        <v>5821.5</v>
      </c>
      <c r="CF25" s="11">
        <f t="shared" si="32"/>
        <v>17846.699999999997</v>
      </c>
      <c r="CG25" s="11">
        <v>3748.9</v>
      </c>
      <c r="CH25" s="11">
        <v>4552.5</v>
      </c>
      <c r="CI25" s="11">
        <v>3174.3</v>
      </c>
      <c r="CJ25" s="11">
        <v>6686.7</v>
      </c>
      <c r="CK25" s="91">
        <f t="shared" si="2"/>
        <v>18162.400000000001</v>
      </c>
      <c r="CL25" s="91">
        <v>4366.8999999999996</v>
      </c>
      <c r="CM25" s="91">
        <v>3882.3</v>
      </c>
      <c r="CN25" s="91"/>
      <c r="CO25" s="91"/>
      <c r="CP25" s="91">
        <v>4233.8999999999996</v>
      </c>
      <c r="CQ25" s="91">
        <f>2111.9+3900+513</f>
        <v>6524.9</v>
      </c>
      <c r="CR25" s="91">
        <f t="shared" si="46"/>
        <v>19008</v>
      </c>
      <c r="CS25" s="91">
        <v>4212.7</v>
      </c>
      <c r="CT25" s="91">
        <f>4782.1-211</f>
        <v>4571.1000000000004</v>
      </c>
      <c r="CU25" s="91">
        <v>3235.8</v>
      </c>
      <c r="CV25" s="91">
        <v>6155.3</v>
      </c>
      <c r="CW25" s="78">
        <f t="shared" si="47"/>
        <v>18174.899999999998</v>
      </c>
      <c r="CX25" s="78">
        <f t="shared" si="48"/>
        <v>-369.59999999999945</v>
      </c>
      <c r="CY25" s="78">
        <f t="shared" si="49"/>
        <v>-5.664454627657121</v>
      </c>
      <c r="CZ25" s="11">
        <f t="shared" si="6"/>
        <v>845.60000000000036</v>
      </c>
      <c r="DA25" s="11">
        <f t="shared" si="7"/>
        <v>4.6557723648857001</v>
      </c>
      <c r="DB25" s="3"/>
      <c r="DC25" s="11"/>
      <c r="DD25" s="71"/>
      <c r="DE25" s="3"/>
      <c r="DF25" s="3"/>
      <c r="DG25" s="3"/>
    </row>
    <row r="26" spans="1:113" x14ac:dyDescent="0.2">
      <c r="B26" s="77" t="s">
        <v>13</v>
      </c>
      <c r="C26" s="77" t="s">
        <v>14</v>
      </c>
      <c r="E26" s="8"/>
      <c r="F26" s="10">
        <v>634</v>
      </c>
      <c r="G26" s="20">
        <f t="shared" si="36"/>
        <v>855</v>
      </c>
      <c r="H26" s="20">
        <f t="shared" si="37"/>
        <v>691</v>
      </c>
      <c r="I26" s="20"/>
      <c r="J26" s="10">
        <v>97</v>
      </c>
      <c r="K26" s="20">
        <v>211</v>
      </c>
      <c r="L26" s="20">
        <v>169</v>
      </c>
      <c r="M26" s="20">
        <v>378</v>
      </c>
      <c r="N26" s="8"/>
      <c r="O26" s="20">
        <v>118</v>
      </c>
      <c r="P26" s="20">
        <v>187</v>
      </c>
      <c r="Q26" s="20">
        <v>156</v>
      </c>
      <c r="R26" s="20">
        <v>230</v>
      </c>
      <c r="S26" s="11">
        <v>99.9</v>
      </c>
      <c r="T26" s="14">
        <v>271.3</v>
      </c>
      <c r="U26" s="14">
        <v>137.9</v>
      </c>
      <c r="V26" s="11">
        <v>300.5</v>
      </c>
      <c r="W26" s="14"/>
      <c r="X26" s="11">
        <f t="shared" ref="X26:X34" si="51">SUM(S26:V26)</f>
        <v>809.6</v>
      </c>
      <c r="Y26" s="14"/>
      <c r="Z26" s="24">
        <v>103.5</v>
      </c>
      <c r="AA26" s="14">
        <v>260.443512</v>
      </c>
      <c r="AB26" s="14">
        <v>138.5</v>
      </c>
      <c r="AC26" s="11">
        <v>347.4</v>
      </c>
      <c r="AD26" s="14"/>
      <c r="AE26" s="11">
        <f t="shared" si="50"/>
        <v>849.84351199999992</v>
      </c>
      <c r="AF26" s="14"/>
      <c r="AG26" s="11">
        <v>64</v>
      </c>
      <c r="AH26" s="14">
        <v>264.5</v>
      </c>
      <c r="AI26" s="14">
        <v>82.9</v>
      </c>
      <c r="AJ26" s="25">
        <v>255.4</v>
      </c>
      <c r="AK26" s="11">
        <f t="shared" si="38"/>
        <v>666.8</v>
      </c>
      <c r="AL26" s="58">
        <v>666.8</v>
      </c>
      <c r="AM26" s="25">
        <v>82.3</v>
      </c>
      <c r="AN26" s="14">
        <v>263.10000000000002</v>
      </c>
      <c r="AO26" s="14">
        <v>69.5</v>
      </c>
      <c r="AP26" s="14">
        <v>251.6</v>
      </c>
      <c r="AQ26" s="11">
        <f t="shared" si="39"/>
        <v>666.5</v>
      </c>
      <c r="AR26" s="14">
        <v>82</v>
      </c>
      <c r="AS26" s="14">
        <v>146</v>
      </c>
      <c r="AT26" s="14">
        <v>73</v>
      </c>
      <c r="AU26" s="14">
        <v>179.5</v>
      </c>
      <c r="AV26" s="11">
        <f t="shared" si="40"/>
        <v>480.5</v>
      </c>
      <c r="AW26" s="14">
        <v>87</v>
      </c>
      <c r="AX26" s="25">
        <v>127.8</v>
      </c>
      <c r="AY26" s="25">
        <v>55.2</v>
      </c>
      <c r="AZ26" s="25">
        <v>126.5</v>
      </c>
      <c r="BA26" s="11">
        <f t="shared" si="41"/>
        <v>396.5</v>
      </c>
      <c r="BB26" s="11">
        <v>79</v>
      </c>
      <c r="BC26" s="11">
        <v>166.4</v>
      </c>
      <c r="BD26" s="11">
        <v>61.6</v>
      </c>
      <c r="BE26" s="11">
        <v>154.30000000000001</v>
      </c>
      <c r="BF26" s="11">
        <f t="shared" si="28"/>
        <v>461.3</v>
      </c>
      <c r="BG26" s="11">
        <v>92.9</v>
      </c>
      <c r="BH26" s="11">
        <v>174.9</v>
      </c>
      <c r="BI26" s="11">
        <v>85.1</v>
      </c>
      <c r="BJ26" s="11">
        <v>168.4</v>
      </c>
      <c r="BK26" s="11">
        <f t="shared" si="29"/>
        <v>521.29999999999995</v>
      </c>
      <c r="BL26" s="11">
        <v>94.4</v>
      </c>
      <c r="BM26" s="11">
        <v>181.2</v>
      </c>
      <c r="BN26" s="11">
        <v>86.3</v>
      </c>
      <c r="BO26" s="11">
        <v>249.3</v>
      </c>
      <c r="BP26" s="11">
        <f t="shared" si="30"/>
        <v>611.20000000000005</v>
      </c>
      <c r="BQ26" s="11">
        <v>120.9</v>
      </c>
      <c r="BR26" s="11">
        <v>166.1</v>
      </c>
      <c r="BS26" s="11">
        <v>130</v>
      </c>
      <c r="BT26" s="11">
        <v>168.5</v>
      </c>
      <c r="BU26" s="11">
        <f t="shared" si="42"/>
        <v>26.5</v>
      </c>
      <c r="BV26" s="11">
        <f t="shared" si="0"/>
        <v>287</v>
      </c>
      <c r="BW26" s="11">
        <f t="shared" si="31"/>
        <v>417</v>
      </c>
      <c r="BX26" s="11">
        <f t="shared" si="43"/>
        <v>-15.099999999999994</v>
      </c>
      <c r="BY26" s="11">
        <f t="shared" si="44"/>
        <v>28.072033898305083</v>
      </c>
      <c r="BZ26" s="11">
        <f t="shared" si="45"/>
        <v>-8.3333333333333304</v>
      </c>
      <c r="CA26" s="11">
        <f t="shared" si="1"/>
        <v>585.5</v>
      </c>
      <c r="CB26" s="11">
        <v>103.8</v>
      </c>
      <c r="CC26" s="11">
        <v>146.30000000000001</v>
      </c>
      <c r="CD26" s="11">
        <v>93.3</v>
      </c>
      <c r="CE26" s="11">
        <v>160.30000000000001</v>
      </c>
      <c r="CF26" s="11">
        <f t="shared" si="32"/>
        <v>503.70000000000005</v>
      </c>
      <c r="CG26" s="11">
        <v>95.5</v>
      </c>
      <c r="CH26" s="11">
        <v>98.2</v>
      </c>
      <c r="CI26" s="11">
        <v>75.2</v>
      </c>
      <c r="CJ26" s="11">
        <v>152</v>
      </c>
      <c r="CK26" s="91">
        <f t="shared" si="2"/>
        <v>420.9</v>
      </c>
      <c r="CL26" s="91">
        <v>83.4</v>
      </c>
      <c r="CM26" s="91">
        <v>128.1</v>
      </c>
      <c r="CN26" s="91"/>
      <c r="CO26" s="91"/>
      <c r="CP26" s="91">
        <v>63.9</v>
      </c>
      <c r="CQ26" s="91">
        <v>193.2</v>
      </c>
      <c r="CR26" s="91">
        <f t="shared" si="46"/>
        <v>468.59999999999997</v>
      </c>
      <c r="CS26" s="91">
        <v>92.8</v>
      </c>
      <c r="CT26" s="91">
        <v>124.5</v>
      </c>
      <c r="CU26" s="91">
        <v>89.8</v>
      </c>
      <c r="CV26" s="91">
        <v>162.80000000000001</v>
      </c>
      <c r="CW26" s="78">
        <f t="shared" si="47"/>
        <v>469.90000000000003</v>
      </c>
      <c r="CX26" s="78">
        <f t="shared" si="48"/>
        <v>-30.399999999999977</v>
      </c>
      <c r="CY26" s="78">
        <f t="shared" si="49"/>
        <v>-15.734989648033116</v>
      </c>
      <c r="CZ26" s="11">
        <f t="shared" si="6"/>
        <v>47.699999999999989</v>
      </c>
      <c r="DA26" s="11">
        <f t="shared" si="7"/>
        <v>11.33285816108339</v>
      </c>
      <c r="DB26" s="3"/>
      <c r="DC26" s="11"/>
      <c r="DD26" s="71"/>
      <c r="DE26" s="3"/>
      <c r="DF26" s="3"/>
      <c r="DG26" s="3"/>
    </row>
    <row r="27" spans="1:113" x14ac:dyDescent="0.2">
      <c r="B27" s="77" t="s">
        <v>15</v>
      </c>
      <c r="C27" s="77" t="s">
        <v>16</v>
      </c>
      <c r="E27" s="8"/>
      <c r="F27" s="10">
        <v>33</v>
      </c>
      <c r="G27" s="20">
        <f t="shared" si="36"/>
        <v>72</v>
      </c>
      <c r="H27" s="20">
        <v>150</v>
      </c>
      <c r="I27" s="20"/>
      <c r="J27" s="10">
        <v>20</v>
      </c>
      <c r="K27" s="20">
        <v>12</v>
      </c>
      <c r="L27" s="20">
        <v>18</v>
      </c>
      <c r="M27" s="20">
        <v>22</v>
      </c>
      <c r="N27" s="8"/>
      <c r="O27" s="20">
        <v>32</v>
      </c>
      <c r="P27" s="20">
        <v>36</v>
      </c>
      <c r="Q27" s="20">
        <v>64</v>
      </c>
      <c r="R27" s="20">
        <v>6</v>
      </c>
      <c r="S27" s="11">
        <v>32.700000000000003</v>
      </c>
      <c r="T27" s="14">
        <v>34.5</v>
      </c>
      <c r="U27" s="14">
        <v>63.3</v>
      </c>
      <c r="V27" s="11">
        <v>56.48</v>
      </c>
      <c r="W27" s="14"/>
      <c r="X27" s="11">
        <f t="shared" si="51"/>
        <v>186.98</v>
      </c>
      <c r="Y27" s="14"/>
      <c r="Z27" s="24">
        <v>40.6</v>
      </c>
      <c r="AA27" s="14">
        <v>47.2</v>
      </c>
      <c r="AB27" s="14">
        <v>70.8</v>
      </c>
      <c r="AC27" s="11">
        <v>72.599999999999994</v>
      </c>
      <c r="AD27" s="14"/>
      <c r="AE27" s="11">
        <f t="shared" si="50"/>
        <v>231.20000000000002</v>
      </c>
      <c r="AF27" s="14"/>
      <c r="AG27" s="11">
        <v>41.9</v>
      </c>
      <c r="AH27" s="14">
        <v>48.5</v>
      </c>
      <c r="AI27" s="14">
        <v>55</v>
      </c>
      <c r="AJ27" s="25">
        <f>205.4-0.08</f>
        <v>205.32</v>
      </c>
      <c r="AK27" s="11">
        <f t="shared" si="38"/>
        <v>350.72</v>
      </c>
      <c r="AL27" s="58">
        <v>350.8</v>
      </c>
      <c r="AM27" s="25">
        <v>221.3</v>
      </c>
      <c r="AN27" s="14">
        <v>220.6</v>
      </c>
      <c r="AO27" s="14">
        <v>158.4</v>
      </c>
      <c r="AP27" s="14">
        <v>158.4</v>
      </c>
      <c r="AQ27" s="11">
        <f t="shared" si="39"/>
        <v>758.69999999999993</v>
      </c>
      <c r="AR27" s="14">
        <v>155</v>
      </c>
      <c r="AS27" s="14">
        <v>125.6</v>
      </c>
      <c r="AT27" s="14">
        <v>105</v>
      </c>
      <c r="AU27" s="14">
        <v>105</v>
      </c>
      <c r="AV27" s="11">
        <f t="shared" si="40"/>
        <v>490.6</v>
      </c>
      <c r="AW27" s="14">
        <v>102</v>
      </c>
      <c r="AX27" s="25">
        <v>87.2</v>
      </c>
      <c r="AY27" s="25">
        <v>96.6</v>
      </c>
      <c r="AZ27" s="25">
        <v>95.6</v>
      </c>
      <c r="BA27" s="11">
        <f t="shared" si="41"/>
        <v>381.4</v>
      </c>
      <c r="BB27" s="11">
        <v>83</v>
      </c>
      <c r="BC27" s="11">
        <v>77.400000000000006</v>
      </c>
      <c r="BD27" s="11">
        <v>75.2</v>
      </c>
      <c r="BE27" s="11">
        <v>72.3</v>
      </c>
      <c r="BF27" s="11">
        <f t="shared" si="28"/>
        <v>307.90000000000003</v>
      </c>
      <c r="BG27" s="11">
        <v>80.2</v>
      </c>
      <c r="BH27" s="11">
        <v>81.599999999999994</v>
      </c>
      <c r="BI27" s="11">
        <v>90.8</v>
      </c>
      <c r="BJ27" s="11">
        <v>105.1</v>
      </c>
      <c r="BK27" s="11">
        <f t="shared" si="29"/>
        <v>357.70000000000005</v>
      </c>
      <c r="BL27" s="11">
        <v>79.099999999999994</v>
      </c>
      <c r="BM27" s="11">
        <v>72</v>
      </c>
      <c r="BN27" s="11">
        <v>71</v>
      </c>
      <c r="BO27" s="11">
        <v>95.6</v>
      </c>
      <c r="BP27" s="11">
        <f t="shared" si="30"/>
        <v>317.7</v>
      </c>
      <c r="BQ27" s="11">
        <v>90</v>
      </c>
      <c r="BR27" s="11">
        <v>74</v>
      </c>
      <c r="BS27" s="11">
        <v>79.7</v>
      </c>
      <c r="BT27" s="11">
        <v>90.4</v>
      </c>
      <c r="BU27" s="11">
        <f t="shared" si="42"/>
        <v>10.900000000000006</v>
      </c>
      <c r="BV27" s="11">
        <f t="shared" si="0"/>
        <v>164</v>
      </c>
      <c r="BW27" s="11">
        <f t="shared" si="31"/>
        <v>243.7</v>
      </c>
      <c r="BX27" s="11">
        <f t="shared" si="43"/>
        <v>2</v>
      </c>
      <c r="BY27" s="11">
        <f t="shared" si="44"/>
        <v>13.780025284450071</v>
      </c>
      <c r="BZ27" s="11">
        <f t="shared" si="45"/>
        <v>2.7777777777777777</v>
      </c>
      <c r="CA27" s="11">
        <f t="shared" si="1"/>
        <v>334.1</v>
      </c>
      <c r="CB27" s="11">
        <v>75</v>
      </c>
      <c r="CC27" s="11">
        <v>76.599999999999994</v>
      </c>
      <c r="CD27" s="11">
        <v>76.3</v>
      </c>
      <c r="CE27" s="11">
        <v>107.9</v>
      </c>
      <c r="CF27" s="11">
        <f t="shared" si="32"/>
        <v>335.79999999999995</v>
      </c>
      <c r="CG27" s="11">
        <v>85.5</v>
      </c>
      <c r="CH27" s="11">
        <f>152.7-68</f>
        <v>84.699999999999989</v>
      </c>
      <c r="CI27" s="11">
        <v>84.7</v>
      </c>
      <c r="CJ27" s="11">
        <v>78.400000000000006</v>
      </c>
      <c r="CK27" s="91">
        <f t="shared" si="2"/>
        <v>333.29999999999995</v>
      </c>
      <c r="CL27" s="91">
        <v>118.2</v>
      </c>
      <c r="CM27" s="91">
        <v>88.3</v>
      </c>
      <c r="CN27" s="91"/>
      <c r="CO27" s="91"/>
      <c r="CP27" s="91">
        <v>83.9</v>
      </c>
      <c r="CQ27" s="91">
        <v>82</v>
      </c>
      <c r="CR27" s="91">
        <f t="shared" si="46"/>
        <v>372.4</v>
      </c>
      <c r="CS27" s="91">
        <v>96.6</v>
      </c>
      <c r="CT27" s="91">
        <v>95.7</v>
      </c>
      <c r="CU27" s="91">
        <v>75.2</v>
      </c>
      <c r="CV27" s="91">
        <v>77.900000000000006</v>
      </c>
      <c r="CW27" s="78">
        <f t="shared" si="47"/>
        <v>345.4</v>
      </c>
      <c r="CX27" s="78">
        <f t="shared" si="48"/>
        <v>-4.0999999999999943</v>
      </c>
      <c r="CY27" s="78">
        <f t="shared" si="49"/>
        <v>-4.9999999999999929</v>
      </c>
      <c r="CZ27" s="11">
        <f t="shared" si="6"/>
        <v>39.09999999999998</v>
      </c>
      <c r="DA27" s="11">
        <f t="shared" si="7"/>
        <v>11.731173117311727</v>
      </c>
      <c r="DB27" s="3"/>
      <c r="DC27" s="11"/>
      <c r="DD27" s="71"/>
      <c r="DE27" s="3"/>
      <c r="DF27" s="3"/>
      <c r="DG27" s="3"/>
    </row>
    <row r="28" spans="1:113" x14ac:dyDescent="0.2">
      <c r="B28" s="77" t="s">
        <v>17</v>
      </c>
      <c r="C28" s="77" t="s">
        <v>18</v>
      </c>
      <c r="E28" s="8"/>
      <c r="F28" s="10">
        <v>97</v>
      </c>
      <c r="G28" s="20">
        <f t="shared" si="36"/>
        <v>87</v>
      </c>
      <c r="H28" s="20">
        <f t="shared" si="37"/>
        <v>39</v>
      </c>
      <c r="I28" s="20"/>
      <c r="J28" s="10">
        <v>11</v>
      </c>
      <c r="K28" s="20">
        <v>25</v>
      </c>
      <c r="L28" s="20">
        <v>18</v>
      </c>
      <c r="M28" s="20">
        <v>33</v>
      </c>
      <c r="N28" s="8"/>
      <c r="O28" s="20">
        <v>6</v>
      </c>
      <c r="P28" s="20">
        <v>13</v>
      </c>
      <c r="Q28" s="20">
        <v>6</v>
      </c>
      <c r="R28" s="20">
        <v>14</v>
      </c>
      <c r="S28" s="11">
        <v>2</v>
      </c>
      <c r="T28" s="14">
        <v>6.1</v>
      </c>
      <c r="U28" s="14">
        <v>5.8</v>
      </c>
      <c r="V28" s="11">
        <v>36</v>
      </c>
      <c r="W28" s="14"/>
      <c r="X28" s="11">
        <f t="shared" si="51"/>
        <v>49.9</v>
      </c>
      <c r="Y28" s="14"/>
      <c r="Z28" s="24">
        <v>5.8</v>
      </c>
      <c r="AA28" s="14">
        <v>2.9112650000000002</v>
      </c>
      <c r="AB28" s="14">
        <v>5.3</v>
      </c>
      <c r="AC28" s="11">
        <v>20</v>
      </c>
      <c r="AD28" s="14"/>
      <c r="AE28" s="11">
        <f t="shared" si="50"/>
        <v>34.011265000000002</v>
      </c>
      <c r="AF28" s="14"/>
      <c r="AG28" s="11">
        <v>26.6</v>
      </c>
      <c r="AH28" s="14">
        <v>17.399999999999999</v>
      </c>
      <c r="AI28" s="14">
        <v>5.4</v>
      </c>
      <c r="AJ28" s="25">
        <v>31.6</v>
      </c>
      <c r="AK28" s="11">
        <f t="shared" si="38"/>
        <v>81</v>
      </c>
      <c r="AL28" s="58">
        <v>81.400000000000006</v>
      </c>
      <c r="AM28" s="25">
        <v>21.6</v>
      </c>
      <c r="AN28" s="14">
        <v>8.5</v>
      </c>
      <c r="AO28" s="14">
        <v>3.4</v>
      </c>
      <c r="AP28" s="14">
        <v>-2.9</v>
      </c>
      <c r="AQ28" s="11">
        <f t="shared" si="39"/>
        <v>30.6</v>
      </c>
      <c r="AR28" s="14">
        <v>3.1</v>
      </c>
      <c r="AS28" s="14">
        <v>4.5999999999999996</v>
      </c>
      <c r="AT28" s="14">
        <v>3.7829999999999999</v>
      </c>
      <c r="AU28" s="14">
        <v>7.4</v>
      </c>
      <c r="AV28" s="11">
        <f t="shared" si="40"/>
        <v>18.882999999999999</v>
      </c>
      <c r="AW28" s="14">
        <v>2</v>
      </c>
      <c r="AX28" s="25">
        <v>5.0999999999999996</v>
      </c>
      <c r="AY28" s="25">
        <v>3.1</v>
      </c>
      <c r="AZ28" s="25">
        <v>6.6</v>
      </c>
      <c r="BA28" s="11">
        <f t="shared" si="41"/>
        <v>16.799999999999997</v>
      </c>
      <c r="BB28" s="11">
        <v>2</v>
      </c>
      <c r="BC28" s="11">
        <v>4.5999999999999996</v>
      </c>
      <c r="BD28" s="11">
        <v>1.2</v>
      </c>
      <c r="BE28" s="11">
        <v>3.2</v>
      </c>
      <c r="BF28" s="11">
        <f t="shared" si="28"/>
        <v>11</v>
      </c>
      <c r="BG28" s="11">
        <v>2.6</v>
      </c>
      <c r="BH28" s="11">
        <v>1.5</v>
      </c>
      <c r="BI28" s="11">
        <v>2.2000000000000002</v>
      </c>
      <c r="BJ28" s="11">
        <v>3.6</v>
      </c>
      <c r="BK28" s="11">
        <f t="shared" si="29"/>
        <v>9.9</v>
      </c>
      <c r="BL28" s="11">
        <v>0.4</v>
      </c>
      <c r="BM28" s="11">
        <v>2.7</v>
      </c>
      <c r="BN28" s="11">
        <v>1.2</v>
      </c>
      <c r="BO28" s="11">
        <v>0.3</v>
      </c>
      <c r="BP28" s="11">
        <f t="shared" si="30"/>
        <v>4.5999999999999996</v>
      </c>
      <c r="BQ28" s="11">
        <v>2.1</v>
      </c>
      <c r="BR28" s="11">
        <v>4.3</v>
      </c>
      <c r="BS28" s="11">
        <v>1.5</v>
      </c>
      <c r="BT28" s="11">
        <v>2.2000000000000002</v>
      </c>
      <c r="BU28" s="11">
        <f t="shared" si="42"/>
        <v>1.7000000000000002</v>
      </c>
      <c r="BV28" s="11">
        <f t="shared" si="0"/>
        <v>6.4</v>
      </c>
      <c r="BW28" s="11">
        <f t="shared" si="31"/>
        <v>7.9</v>
      </c>
      <c r="BX28" s="11">
        <f t="shared" si="43"/>
        <v>1.5999999999999996</v>
      </c>
      <c r="BY28" s="11">
        <f t="shared" si="44"/>
        <v>425</v>
      </c>
      <c r="BZ28" s="11">
        <f t="shared" si="45"/>
        <v>59.259259259259245</v>
      </c>
      <c r="CA28" s="11">
        <f t="shared" si="1"/>
        <v>10.100000000000001</v>
      </c>
      <c r="CB28" s="11">
        <v>1.5</v>
      </c>
      <c r="CC28" s="11">
        <v>4</v>
      </c>
      <c r="CD28" s="11">
        <v>3.9</v>
      </c>
      <c r="CE28" s="11">
        <v>19.5</v>
      </c>
      <c r="CF28" s="11">
        <f t="shared" si="32"/>
        <v>28.9</v>
      </c>
      <c r="CG28" s="11">
        <v>3.4</v>
      </c>
      <c r="CH28" s="11">
        <v>5.9</v>
      </c>
      <c r="CI28" s="11">
        <v>2.1</v>
      </c>
      <c r="CJ28" s="11">
        <v>5.2</v>
      </c>
      <c r="CK28" s="91">
        <f t="shared" si="2"/>
        <v>16.600000000000001</v>
      </c>
      <c r="CL28" s="91">
        <v>2.1</v>
      </c>
      <c r="CM28" s="91">
        <v>6.5</v>
      </c>
      <c r="CN28" s="91"/>
      <c r="CO28" s="91"/>
      <c r="CP28" s="91">
        <v>2.5</v>
      </c>
      <c r="CQ28" s="91">
        <v>4.8</v>
      </c>
      <c r="CR28" s="91">
        <f t="shared" si="46"/>
        <v>15.899999999999999</v>
      </c>
      <c r="CS28" s="91">
        <v>0.4</v>
      </c>
      <c r="CT28" s="91">
        <v>7.6</v>
      </c>
      <c r="CU28" s="91">
        <v>2.2999999999999998</v>
      </c>
      <c r="CV28" s="91">
        <v>11.2</v>
      </c>
      <c r="CW28" s="78">
        <f t="shared" si="47"/>
        <v>21.5</v>
      </c>
      <c r="CX28" s="78">
        <f t="shared" si="48"/>
        <v>6.3999999999999995</v>
      </c>
      <c r="CY28" s="78">
        <f t="shared" si="49"/>
        <v>133.33333333333331</v>
      </c>
      <c r="CZ28" s="11">
        <f t="shared" si="6"/>
        <v>-0.70000000000000195</v>
      </c>
      <c r="DA28" s="11">
        <f t="shared" si="7"/>
        <v>-4.2168674698795297</v>
      </c>
      <c r="DB28" s="3"/>
      <c r="DC28" s="11"/>
      <c r="DD28" s="71"/>
      <c r="DE28" s="3"/>
      <c r="DF28" s="3"/>
      <c r="DG28" s="3"/>
    </row>
    <row r="29" spans="1:113" x14ac:dyDescent="0.2">
      <c r="B29" s="77" t="s">
        <v>74</v>
      </c>
      <c r="C29" s="77" t="s">
        <v>52</v>
      </c>
      <c r="E29" s="8"/>
      <c r="F29" s="10"/>
      <c r="G29" s="20"/>
      <c r="H29" s="20"/>
      <c r="I29" s="20"/>
      <c r="J29" s="10"/>
      <c r="K29" s="20"/>
      <c r="L29" s="20"/>
      <c r="M29" s="20"/>
      <c r="N29" s="8"/>
      <c r="O29" s="20"/>
      <c r="P29" s="20"/>
      <c r="Q29" s="20"/>
      <c r="R29" s="20"/>
      <c r="S29" s="11">
        <v>0.9</v>
      </c>
      <c r="T29" s="14">
        <v>3.5</v>
      </c>
      <c r="U29" s="14">
        <v>0.7</v>
      </c>
      <c r="V29" s="11">
        <v>-29.6</v>
      </c>
      <c r="W29" s="14"/>
      <c r="X29" s="11">
        <f t="shared" si="51"/>
        <v>-24.5</v>
      </c>
      <c r="Y29" s="14"/>
      <c r="Z29" s="24">
        <v>5.3</v>
      </c>
      <c r="AA29" s="14">
        <v>-16.308986000000001</v>
      </c>
      <c r="AB29" s="14">
        <v>0.7</v>
      </c>
      <c r="AC29" s="11">
        <v>-35.1</v>
      </c>
      <c r="AD29" s="14"/>
      <c r="AE29" s="11">
        <f t="shared" si="50"/>
        <v>-45.408985999999999</v>
      </c>
      <c r="AF29" s="14"/>
      <c r="AG29" s="11">
        <v>2.1</v>
      </c>
      <c r="AH29" s="14">
        <v>-31.9</v>
      </c>
      <c r="AI29" s="14">
        <v>2.7</v>
      </c>
      <c r="AJ29" s="25">
        <v>-66.099999999999994</v>
      </c>
      <c r="AK29" s="11">
        <f t="shared" si="38"/>
        <v>-93.199999999999989</v>
      </c>
      <c r="AL29" s="58">
        <v>-93.1</v>
      </c>
      <c r="AM29" s="25">
        <v>0.6</v>
      </c>
      <c r="AN29" s="14">
        <v>-11</v>
      </c>
      <c r="AO29" s="14">
        <v>2</v>
      </c>
      <c r="AP29" s="14">
        <v>-25.9</v>
      </c>
      <c r="AQ29" s="11">
        <f t="shared" si="39"/>
        <v>-34.299999999999997</v>
      </c>
      <c r="AR29" s="14">
        <v>2.2000000000000002</v>
      </c>
      <c r="AS29" s="14">
        <v>-10.9</v>
      </c>
      <c r="AT29" s="14">
        <v>-10.036</v>
      </c>
      <c r="AU29" s="14">
        <v>-191.7</v>
      </c>
      <c r="AV29" s="11">
        <f t="shared" si="40"/>
        <v>-210.43599999999998</v>
      </c>
      <c r="AW29" s="14">
        <v>-35</v>
      </c>
      <c r="AX29" s="25">
        <v>-212.2</v>
      </c>
      <c r="AY29" s="25">
        <v>0.3</v>
      </c>
      <c r="AZ29" s="25">
        <v>-231.3</v>
      </c>
      <c r="BA29" s="11">
        <f t="shared" si="41"/>
        <v>-478.2</v>
      </c>
      <c r="BB29" s="11">
        <v>-60</v>
      </c>
      <c r="BC29" s="11">
        <v>-261.2</v>
      </c>
      <c r="BD29" s="11">
        <v>-39.299999999999997</v>
      </c>
      <c r="BE29" s="11">
        <v>-9.5</v>
      </c>
      <c r="BF29" s="11">
        <f t="shared" si="28"/>
        <v>-370</v>
      </c>
      <c r="BG29" s="11">
        <v>-16.899999999999999</v>
      </c>
      <c r="BH29" s="11">
        <v>-183</v>
      </c>
      <c r="BI29" s="11">
        <v>-116</v>
      </c>
      <c r="BJ29" s="11">
        <v>-96.2</v>
      </c>
      <c r="BK29" s="11">
        <f t="shared" si="29"/>
        <v>-412.09999999999997</v>
      </c>
      <c r="BL29" s="11">
        <v>-32.299999999999997</v>
      </c>
      <c r="BM29" s="11">
        <v>-170.9</v>
      </c>
      <c r="BN29" s="11">
        <v>-51.4</v>
      </c>
      <c r="BO29" s="11">
        <v>-187.1</v>
      </c>
      <c r="BP29" s="11">
        <f t="shared" si="30"/>
        <v>-441.7</v>
      </c>
      <c r="BQ29" s="11">
        <v>-31.1</v>
      </c>
      <c r="BR29" s="11">
        <v>-212.7</v>
      </c>
      <c r="BS29" s="11">
        <v>-27.5</v>
      </c>
      <c r="BT29" s="11">
        <v>-63.3</v>
      </c>
      <c r="BU29" s="11">
        <f t="shared" si="42"/>
        <v>1.1999999999999957</v>
      </c>
      <c r="BV29" s="11">
        <f t="shared" si="0"/>
        <v>-243.79999999999998</v>
      </c>
      <c r="BW29" s="11">
        <f t="shared" si="31"/>
        <v>-271.29999999999995</v>
      </c>
      <c r="BX29" s="11">
        <f t="shared" si="43"/>
        <v>-41.799999999999983</v>
      </c>
      <c r="BY29" s="11">
        <f t="shared" si="44"/>
        <v>-3.7151702786377583</v>
      </c>
      <c r="BZ29" s="11">
        <f t="shared" si="45"/>
        <v>24.458747805734337</v>
      </c>
      <c r="CA29" s="11">
        <f t="shared" si="1"/>
        <v>-334.59999999999997</v>
      </c>
      <c r="CB29" s="11">
        <v>-168.3</v>
      </c>
      <c r="CC29" s="11">
        <v>-113.1</v>
      </c>
      <c r="CD29" s="11">
        <v>-35.799999999999997</v>
      </c>
      <c r="CE29" s="11">
        <v>-229</v>
      </c>
      <c r="CF29" s="11">
        <f t="shared" si="32"/>
        <v>-546.20000000000005</v>
      </c>
      <c r="CG29" s="11">
        <v>-150.9</v>
      </c>
      <c r="CH29" s="11">
        <v>-110.5</v>
      </c>
      <c r="CI29" s="11">
        <v>-92</v>
      </c>
      <c r="CJ29" s="11">
        <v>-54.2</v>
      </c>
      <c r="CK29" s="91">
        <f t="shared" si="2"/>
        <v>-407.59999999999997</v>
      </c>
      <c r="CL29" s="91">
        <v>-107.3</v>
      </c>
      <c r="CM29" s="91">
        <v>-92.5</v>
      </c>
      <c r="CN29" s="91"/>
      <c r="CO29" s="91"/>
      <c r="CP29" s="91">
        <v>-58</v>
      </c>
      <c r="CQ29" s="91">
        <v>-41.5</v>
      </c>
      <c r="CR29" s="91">
        <f t="shared" si="46"/>
        <v>-299.3</v>
      </c>
      <c r="CS29" s="91">
        <v>-10.5</v>
      </c>
      <c r="CT29" s="91">
        <v>-26.3</v>
      </c>
      <c r="CU29" s="91">
        <v>-2.6</v>
      </c>
      <c r="CV29" s="91">
        <v>-16.3</v>
      </c>
      <c r="CW29" s="78">
        <f t="shared" si="47"/>
        <v>-55.7</v>
      </c>
      <c r="CX29" s="78">
        <f t="shared" si="48"/>
        <v>25.2</v>
      </c>
      <c r="CY29" s="78">
        <f t="shared" si="49"/>
        <v>-60.722891566265055</v>
      </c>
      <c r="CZ29" s="11">
        <f t="shared" si="6"/>
        <v>108.3</v>
      </c>
      <c r="DA29" s="11">
        <f t="shared" si="7"/>
        <v>-26.570166830225713</v>
      </c>
      <c r="DB29" s="3"/>
      <c r="DC29" s="11"/>
      <c r="DD29" s="71"/>
      <c r="DE29" s="3"/>
      <c r="DF29" s="3"/>
      <c r="DG29" s="3"/>
    </row>
    <row r="30" spans="1:113" x14ac:dyDescent="0.2">
      <c r="B30" s="77" t="s">
        <v>92</v>
      </c>
      <c r="C30" s="77" t="s">
        <v>51</v>
      </c>
      <c r="E30" s="8"/>
      <c r="F30" s="10"/>
      <c r="G30" s="20"/>
      <c r="H30" s="20"/>
      <c r="I30" s="20"/>
      <c r="J30" s="10"/>
      <c r="K30" s="20"/>
      <c r="L30" s="20"/>
      <c r="M30" s="20"/>
      <c r="N30" s="8"/>
      <c r="O30" s="20"/>
      <c r="P30" s="20"/>
      <c r="Q30" s="20"/>
      <c r="R30" s="20"/>
      <c r="S30" s="11"/>
      <c r="T30" s="14"/>
      <c r="U30" s="14"/>
      <c r="V30" s="11"/>
      <c r="W30" s="14"/>
      <c r="X30" s="11"/>
      <c r="Y30" s="14"/>
      <c r="Z30" s="24"/>
      <c r="AA30" s="14">
        <v>-0.2291</v>
      </c>
      <c r="AB30" s="14"/>
      <c r="AC30" s="11">
        <v>-1.1000000000000001</v>
      </c>
      <c r="AD30" s="14"/>
      <c r="AE30" s="11">
        <f t="shared" si="50"/>
        <v>-1.3291000000000002</v>
      </c>
      <c r="AF30" s="14"/>
      <c r="AG30" s="11">
        <v>0</v>
      </c>
      <c r="AH30" s="14">
        <v>-0.5</v>
      </c>
      <c r="AI30" s="14">
        <v>0</v>
      </c>
      <c r="AJ30" s="25">
        <v>-4</v>
      </c>
      <c r="AK30" s="11">
        <f t="shared" si="38"/>
        <v>-4.5</v>
      </c>
      <c r="AL30" s="58">
        <v>-4.5</v>
      </c>
      <c r="AM30" s="25">
        <v>0</v>
      </c>
      <c r="AN30" s="14">
        <v>-0.4</v>
      </c>
      <c r="AO30" s="14">
        <v>0</v>
      </c>
      <c r="AP30" s="14">
        <v>-0.3</v>
      </c>
      <c r="AQ30" s="11">
        <f t="shared" si="39"/>
        <v>-0.7</v>
      </c>
      <c r="AR30" s="14">
        <v>0</v>
      </c>
      <c r="AS30" s="14">
        <v>-0.6</v>
      </c>
      <c r="AT30" s="14">
        <v>0</v>
      </c>
      <c r="AU30" s="14">
        <v>-0.2</v>
      </c>
      <c r="AV30" s="11">
        <f t="shared" si="40"/>
        <v>-0.8</v>
      </c>
      <c r="AW30" s="14">
        <v>0</v>
      </c>
      <c r="AX30" s="25">
        <v>-0.2</v>
      </c>
      <c r="AY30" s="25">
        <v>0</v>
      </c>
      <c r="AZ30" s="25">
        <v>-0.1</v>
      </c>
      <c r="BA30" s="11">
        <f t="shared" si="41"/>
        <v>-0.30000000000000004</v>
      </c>
      <c r="BB30" s="11">
        <v>0</v>
      </c>
      <c r="BC30" s="11">
        <v>-0.1</v>
      </c>
      <c r="BD30" s="11">
        <v>0</v>
      </c>
      <c r="BE30" s="11">
        <v>-0.1</v>
      </c>
      <c r="BF30" s="11">
        <f t="shared" si="28"/>
        <v>-0.2</v>
      </c>
      <c r="BG30" s="11">
        <v>0</v>
      </c>
      <c r="BH30" s="11">
        <v>-2.3E-2</v>
      </c>
      <c r="BI30" s="11">
        <v>0</v>
      </c>
      <c r="BJ30" s="11">
        <v>-0.3</v>
      </c>
      <c r="BK30" s="11">
        <f t="shared" si="29"/>
        <v>-0.32300000000000001</v>
      </c>
      <c r="BL30" s="11">
        <v>0</v>
      </c>
      <c r="BM30" s="11">
        <v>0.02</v>
      </c>
      <c r="BN30" s="11">
        <v>0</v>
      </c>
      <c r="BO30" s="11">
        <v>-0.1</v>
      </c>
      <c r="BP30" s="11">
        <f t="shared" si="30"/>
        <v>-0.08</v>
      </c>
      <c r="BQ30" s="11">
        <v>0</v>
      </c>
      <c r="BR30" s="11">
        <v>-0.4</v>
      </c>
      <c r="BS30" s="11">
        <v>0</v>
      </c>
      <c r="BT30" s="11">
        <v>-0.3</v>
      </c>
      <c r="BU30" s="11">
        <f t="shared" si="42"/>
        <v>0</v>
      </c>
      <c r="BV30" s="11">
        <f t="shared" si="0"/>
        <v>-0.4</v>
      </c>
      <c r="BW30" s="11">
        <f t="shared" si="31"/>
        <v>-0.4</v>
      </c>
      <c r="BX30" s="11">
        <f t="shared" si="43"/>
        <v>-0.42000000000000004</v>
      </c>
      <c r="BY30" s="11" t="e">
        <f t="shared" si="44"/>
        <v>#DIV/0!</v>
      </c>
      <c r="BZ30" s="68" t="s">
        <v>114</v>
      </c>
      <c r="CA30" s="11">
        <f t="shared" si="1"/>
        <v>-0.7</v>
      </c>
      <c r="CB30" s="11">
        <v>-0.1</v>
      </c>
      <c r="CC30" s="11">
        <v>-0.4</v>
      </c>
      <c r="CD30" s="11">
        <v>-0.2</v>
      </c>
      <c r="CE30" s="11">
        <v>-1.4</v>
      </c>
      <c r="CF30" s="11">
        <f t="shared" si="32"/>
        <v>-2.0999999999999996</v>
      </c>
      <c r="CG30" s="11">
        <v>-0.1</v>
      </c>
      <c r="CH30" s="11">
        <v>-0.1</v>
      </c>
      <c r="CI30" s="11">
        <v>0</v>
      </c>
      <c r="CJ30" s="11">
        <v>0</v>
      </c>
      <c r="CK30" s="91">
        <f t="shared" si="2"/>
        <v>-0.2</v>
      </c>
      <c r="CL30" s="91">
        <v>0</v>
      </c>
      <c r="CM30" s="91">
        <v>0.01</v>
      </c>
      <c r="CN30" s="91"/>
      <c r="CO30" s="91"/>
      <c r="CP30" s="91">
        <v>-0.04</v>
      </c>
      <c r="CQ30" s="91">
        <v>-0.1</v>
      </c>
      <c r="CR30" s="91">
        <f t="shared" si="46"/>
        <v>-0.13</v>
      </c>
      <c r="CS30" s="91">
        <v>0</v>
      </c>
      <c r="CT30" s="91">
        <v>0</v>
      </c>
      <c r="CU30" s="91">
        <v>-0.2</v>
      </c>
      <c r="CV30" s="91">
        <v>-0.2</v>
      </c>
      <c r="CW30" s="78">
        <f t="shared" si="47"/>
        <v>-0.4</v>
      </c>
      <c r="CX30" s="78">
        <f t="shared" si="48"/>
        <v>-0.1</v>
      </c>
      <c r="CY30" s="78">
        <f t="shared" si="49"/>
        <v>100</v>
      </c>
      <c r="CZ30" s="11">
        <f t="shared" si="6"/>
        <v>7.0000000000000007E-2</v>
      </c>
      <c r="DA30" s="11">
        <f t="shared" si="7"/>
        <v>-35</v>
      </c>
      <c r="DB30" s="3"/>
      <c r="DC30" s="11"/>
      <c r="DD30" s="71"/>
      <c r="DE30" s="3"/>
      <c r="DF30" s="3"/>
      <c r="DG30" s="3"/>
    </row>
    <row r="31" spans="1:113" x14ac:dyDescent="0.2">
      <c r="B31" s="77" t="s">
        <v>19</v>
      </c>
      <c r="C31" s="77" t="s">
        <v>20</v>
      </c>
      <c r="E31" s="8"/>
      <c r="F31" s="10">
        <v>4</v>
      </c>
      <c r="G31" s="20">
        <f t="shared" si="36"/>
        <v>5</v>
      </c>
      <c r="H31" s="20">
        <f t="shared" si="37"/>
        <v>5</v>
      </c>
      <c r="I31" s="20"/>
      <c r="J31" s="10">
        <v>2</v>
      </c>
      <c r="K31" s="20">
        <v>1</v>
      </c>
      <c r="L31" s="20">
        <v>1</v>
      </c>
      <c r="M31" s="20">
        <v>1</v>
      </c>
      <c r="N31" s="8"/>
      <c r="O31" s="20">
        <v>2</v>
      </c>
      <c r="P31" s="20">
        <v>1</v>
      </c>
      <c r="Q31" s="20">
        <v>1</v>
      </c>
      <c r="R31" s="20">
        <v>1</v>
      </c>
      <c r="S31" s="11">
        <v>2.2000000000000002</v>
      </c>
      <c r="T31" s="14">
        <v>2</v>
      </c>
      <c r="U31" s="14">
        <v>0.8</v>
      </c>
      <c r="V31" s="11">
        <v>1</v>
      </c>
      <c r="W31" s="14"/>
      <c r="X31" s="11">
        <f t="shared" si="51"/>
        <v>6</v>
      </c>
      <c r="Y31" s="14"/>
      <c r="Z31" s="24">
        <v>2.2999999999999998</v>
      </c>
      <c r="AA31" s="14">
        <v>1.8774299999999999</v>
      </c>
      <c r="AB31" s="14">
        <v>0.4</v>
      </c>
      <c r="AC31" s="11">
        <v>1.8</v>
      </c>
      <c r="AD31" s="14"/>
      <c r="AE31" s="11">
        <f t="shared" si="50"/>
        <v>6.3774299999999995</v>
      </c>
      <c r="AF31" s="14"/>
      <c r="AG31" s="11">
        <v>2</v>
      </c>
      <c r="AH31" s="14">
        <v>1.7</v>
      </c>
      <c r="AI31" s="14">
        <v>0.6</v>
      </c>
      <c r="AJ31" s="25">
        <v>15.8</v>
      </c>
      <c r="AK31" s="11">
        <f t="shared" si="38"/>
        <v>20.100000000000001</v>
      </c>
      <c r="AL31" s="58">
        <v>20.3</v>
      </c>
      <c r="AM31" s="25">
        <v>2</v>
      </c>
      <c r="AN31" s="14">
        <v>2.7</v>
      </c>
      <c r="AO31" s="14">
        <v>0.9</v>
      </c>
      <c r="AP31" s="14">
        <v>9.6999999999999993</v>
      </c>
      <c r="AQ31" s="11">
        <f t="shared" si="39"/>
        <v>15.3</v>
      </c>
      <c r="AR31" s="14">
        <v>1.4</v>
      </c>
      <c r="AS31" s="14">
        <v>0.5</v>
      </c>
      <c r="AT31" s="14">
        <v>0.56699999999999995</v>
      </c>
      <c r="AU31" s="14">
        <v>7.5</v>
      </c>
      <c r="AV31" s="11">
        <f t="shared" si="40"/>
        <v>9.9669999999999987</v>
      </c>
      <c r="AW31" s="14">
        <v>12</v>
      </c>
      <c r="AX31" s="25">
        <v>14</v>
      </c>
      <c r="AY31" s="25">
        <v>1.2</v>
      </c>
      <c r="AZ31" s="25">
        <v>0.8</v>
      </c>
      <c r="BA31" s="11">
        <f t="shared" si="41"/>
        <v>28</v>
      </c>
      <c r="BB31" s="11">
        <v>5.6</v>
      </c>
      <c r="BC31" s="11">
        <v>0.8</v>
      </c>
      <c r="BD31" s="11">
        <v>0.7</v>
      </c>
      <c r="BE31" s="11">
        <v>11.8</v>
      </c>
      <c r="BF31" s="11">
        <f t="shared" si="28"/>
        <v>18.899999999999999</v>
      </c>
      <c r="BG31" s="11">
        <v>3.9</v>
      </c>
      <c r="BH31" s="11">
        <v>1.1000000000000001</v>
      </c>
      <c r="BI31" s="11">
        <v>0.3</v>
      </c>
      <c r="BJ31" s="11">
        <v>2.6</v>
      </c>
      <c r="BK31" s="11">
        <f t="shared" si="29"/>
        <v>7.9</v>
      </c>
      <c r="BL31" s="11">
        <v>0.6</v>
      </c>
      <c r="BM31" s="11">
        <v>0.6</v>
      </c>
      <c r="BN31" s="11">
        <v>0.2</v>
      </c>
      <c r="BO31" s="11">
        <v>1.4</v>
      </c>
      <c r="BP31" s="11">
        <f t="shared" si="30"/>
        <v>2.8</v>
      </c>
      <c r="BQ31" s="11">
        <v>0.9</v>
      </c>
      <c r="BR31" s="11">
        <v>0.7</v>
      </c>
      <c r="BS31" s="11">
        <v>0.7</v>
      </c>
      <c r="BT31" s="11">
        <v>0.8</v>
      </c>
      <c r="BU31" s="11">
        <f t="shared" si="42"/>
        <v>0.30000000000000004</v>
      </c>
      <c r="BV31" s="11">
        <f t="shared" si="0"/>
        <v>1.6</v>
      </c>
      <c r="BW31" s="11">
        <f t="shared" si="31"/>
        <v>2.2999999999999998</v>
      </c>
      <c r="BX31" s="11">
        <f t="shared" si="43"/>
        <v>9.9999999999999978E-2</v>
      </c>
      <c r="BY31" s="11">
        <f t="shared" si="44"/>
        <v>50.000000000000014</v>
      </c>
      <c r="BZ31" s="11">
        <f>+BX31/(BM31)*100</f>
        <v>16.666666666666664</v>
      </c>
      <c r="CA31" s="11">
        <f t="shared" si="1"/>
        <v>3.0999999999999996</v>
      </c>
      <c r="CB31" s="11">
        <v>0.8</v>
      </c>
      <c r="CC31" s="11">
        <v>0.7</v>
      </c>
      <c r="CD31" s="11">
        <v>1.1000000000000001</v>
      </c>
      <c r="CE31" s="11">
        <v>1.4</v>
      </c>
      <c r="CF31" s="11">
        <f t="shared" si="32"/>
        <v>4</v>
      </c>
      <c r="CG31" s="11">
        <v>2</v>
      </c>
      <c r="CH31" s="11">
        <v>0.2</v>
      </c>
      <c r="CI31" s="11">
        <v>0.8</v>
      </c>
      <c r="CJ31" s="11">
        <v>1.7</v>
      </c>
      <c r="CK31" s="91">
        <f t="shared" si="2"/>
        <v>4.7</v>
      </c>
      <c r="CL31" s="91">
        <v>1.8</v>
      </c>
      <c r="CM31" s="91">
        <v>0.5</v>
      </c>
      <c r="CN31" s="91"/>
      <c r="CO31" s="91"/>
      <c r="CP31" s="91">
        <v>0.3</v>
      </c>
      <c r="CQ31" s="91">
        <v>1.4</v>
      </c>
      <c r="CR31" s="91">
        <f t="shared" si="46"/>
        <v>3.9999999999999996</v>
      </c>
      <c r="CS31" s="91">
        <v>0.7</v>
      </c>
      <c r="CT31" s="91">
        <v>0.7</v>
      </c>
      <c r="CU31" s="91">
        <v>0.7</v>
      </c>
      <c r="CV31" s="91">
        <v>0.8</v>
      </c>
      <c r="CW31" s="78">
        <f t="shared" si="47"/>
        <v>2.8999999999999995</v>
      </c>
      <c r="CX31" s="78">
        <f t="shared" si="48"/>
        <v>-0.59999999999999987</v>
      </c>
      <c r="CY31" s="78">
        <f t="shared" si="49"/>
        <v>-42.857142857142847</v>
      </c>
      <c r="CZ31" s="11">
        <f t="shared" si="6"/>
        <v>-0.7000000000000004</v>
      </c>
      <c r="DA31" s="11">
        <f t="shared" si="7"/>
        <v>-14.893617021276603</v>
      </c>
      <c r="DB31" s="3"/>
      <c r="DC31" s="11"/>
      <c r="DD31" s="71"/>
      <c r="DE31" s="3"/>
      <c r="DF31" s="3"/>
      <c r="DG31" s="3"/>
    </row>
    <row r="32" spans="1:113" x14ac:dyDescent="0.2">
      <c r="B32" s="77" t="s">
        <v>75</v>
      </c>
      <c r="C32" s="77" t="s">
        <v>76</v>
      </c>
      <c r="E32" s="8"/>
      <c r="F32" s="10"/>
      <c r="G32" s="20"/>
      <c r="H32" s="20"/>
      <c r="I32" s="20"/>
      <c r="J32" s="10"/>
      <c r="K32" s="20"/>
      <c r="L32" s="20"/>
      <c r="M32" s="20"/>
      <c r="N32" s="8"/>
      <c r="O32" s="20"/>
      <c r="P32" s="20"/>
      <c r="Q32" s="20"/>
      <c r="R32" s="20"/>
      <c r="S32" s="11">
        <v>8.9</v>
      </c>
      <c r="T32" s="14">
        <v>1.9</v>
      </c>
      <c r="U32" s="14">
        <v>4.9000000000000004</v>
      </c>
      <c r="V32" s="11">
        <v>5</v>
      </c>
      <c r="W32" s="14"/>
      <c r="X32" s="11">
        <f t="shared" si="51"/>
        <v>20.700000000000003</v>
      </c>
      <c r="Y32" s="14"/>
      <c r="Z32" s="24">
        <v>7.7</v>
      </c>
      <c r="AA32" s="14">
        <v>3.2338900000000002</v>
      </c>
      <c r="AB32" s="14">
        <v>5.2</v>
      </c>
      <c r="AC32" s="11">
        <v>5.2</v>
      </c>
      <c r="AD32" s="14"/>
      <c r="AE32" s="11">
        <f t="shared" si="50"/>
        <v>21.33389</v>
      </c>
      <c r="AF32" s="14"/>
      <c r="AG32" s="11">
        <v>4.3</v>
      </c>
      <c r="AH32" s="14">
        <v>4.5</v>
      </c>
      <c r="AI32" s="14">
        <v>4.7</v>
      </c>
      <c r="AJ32" s="25">
        <v>4.9000000000000004</v>
      </c>
      <c r="AK32" s="11">
        <f t="shared" si="38"/>
        <v>18.399999999999999</v>
      </c>
      <c r="AL32" s="58">
        <v>18.2</v>
      </c>
      <c r="AM32" s="25">
        <v>4.0999999999999996</v>
      </c>
      <c r="AN32" s="14">
        <v>4.9000000000000004</v>
      </c>
      <c r="AO32" s="14">
        <v>4.7</v>
      </c>
      <c r="AP32" s="14">
        <v>4.2</v>
      </c>
      <c r="AQ32" s="11">
        <f t="shared" si="39"/>
        <v>17.899999999999999</v>
      </c>
      <c r="AR32" s="14">
        <v>4</v>
      </c>
      <c r="AS32" s="14">
        <v>6.1</v>
      </c>
      <c r="AT32" s="14">
        <v>0.73</v>
      </c>
      <c r="AU32" s="14">
        <v>3.7</v>
      </c>
      <c r="AV32" s="11">
        <f t="shared" si="40"/>
        <v>14.530000000000001</v>
      </c>
      <c r="AW32" s="14">
        <v>4</v>
      </c>
      <c r="AX32" s="25">
        <v>4.4000000000000004</v>
      </c>
      <c r="AY32" s="25">
        <v>4.4000000000000004</v>
      </c>
      <c r="AZ32" s="25">
        <v>3.18</v>
      </c>
      <c r="BA32" s="11">
        <f t="shared" si="41"/>
        <v>15.98</v>
      </c>
      <c r="BB32" s="11">
        <v>3</v>
      </c>
      <c r="BC32" s="11">
        <v>4.8</v>
      </c>
      <c r="BD32" s="11">
        <v>3.7</v>
      </c>
      <c r="BE32" s="11">
        <v>3.6</v>
      </c>
      <c r="BF32" s="11">
        <f t="shared" si="28"/>
        <v>15.1</v>
      </c>
      <c r="BG32" s="11">
        <v>4</v>
      </c>
      <c r="BH32" s="11">
        <v>2.9</v>
      </c>
      <c r="BI32" s="11">
        <v>4.9000000000000004</v>
      </c>
      <c r="BJ32" s="11">
        <v>2.7</v>
      </c>
      <c r="BK32" s="11">
        <f t="shared" si="29"/>
        <v>14.5</v>
      </c>
      <c r="BL32" s="11">
        <v>3.5</v>
      </c>
      <c r="BM32" s="11">
        <v>4.5</v>
      </c>
      <c r="BN32" s="11">
        <v>3.4</v>
      </c>
      <c r="BO32" s="11">
        <v>3.5</v>
      </c>
      <c r="BP32" s="11">
        <f t="shared" si="30"/>
        <v>14.9</v>
      </c>
      <c r="BQ32" s="11">
        <v>4</v>
      </c>
      <c r="BR32" s="11">
        <v>5</v>
      </c>
      <c r="BS32" s="11">
        <v>3.3</v>
      </c>
      <c r="BT32" s="11">
        <v>2.9</v>
      </c>
      <c r="BU32" s="11">
        <f t="shared" si="42"/>
        <v>0.5</v>
      </c>
      <c r="BV32" s="11">
        <f t="shared" si="0"/>
        <v>9</v>
      </c>
      <c r="BW32" s="11">
        <f t="shared" si="31"/>
        <v>12.3</v>
      </c>
      <c r="BX32" s="11">
        <f t="shared" si="43"/>
        <v>0.5</v>
      </c>
      <c r="BY32" s="11">
        <f t="shared" si="44"/>
        <v>14.285714285714285</v>
      </c>
      <c r="BZ32" s="11">
        <f>+BX32/(BM32)*100</f>
        <v>11.111111111111111</v>
      </c>
      <c r="CA32" s="11">
        <f t="shared" si="1"/>
        <v>15.200000000000001</v>
      </c>
      <c r="CB32" s="11">
        <v>3.4</v>
      </c>
      <c r="CC32" s="11">
        <v>3.5</v>
      </c>
      <c r="CD32" s="11">
        <v>3.1</v>
      </c>
      <c r="CE32" s="11">
        <v>3.2</v>
      </c>
      <c r="CF32" s="11">
        <f t="shared" si="32"/>
        <v>13.2</v>
      </c>
      <c r="CG32" s="11">
        <v>3.8</v>
      </c>
      <c r="CH32" s="11">
        <v>3.5</v>
      </c>
      <c r="CI32" s="11">
        <v>2.9</v>
      </c>
      <c r="CJ32" s="11">
        <v>3.1</v>
      </c>
      <c r="CK32" s="91">
        <f t="shared" si="2"/>
        <v>13.299999999999999</v>
      </c>
      <c r="CL32" s="91">
        <v>3.2</v>
      </c>
      <c r="CM32" s="91">
        <v>3.6</v>
      </c>
      <c r="CN32" s="91"/>
      <c r="CO32" s="91"/>
      <c r="CP32" s="91">
        <v>3.3</v>
      </c>
      <c r="CQ32" s="91">
        <v>3.2</v>
      </c>
      <c r="CR32" s="91">
        <f t="shared" si="46"/>
        <v>13.3</v>
      </c>
      <c r="CS32" s="91">
        <v>2.9</v>
      </c>
      <c r="CT32" s="91">
        <v>4.3</v>
      </c>
      <c r="CU32" s="91">
        <v>2.7</v>
      </c>
      <c r="CV32" s="91">
        <v>3.4</v>
      </c>
      <c r="CW32" s="78">
        <f t="shared" si="47"/>
        <v>13.299999999999999</v>
      </c>
      <c r="CX32" s="78">
        <f t="shared" si="48"/>
        <v>0.19999999999999973</v>
      </c>
      <c r="CY32" s="78">
        <f t="shared" si="49"/>
        <v>6.249999999999992</v>
      </c>
      <c r="CZ32" s="11">
        <f t="shared" si="6"/>
        <v>0</v>
      </c>
      <c r="DA32" s="11">
        <f t="shared" si="7"/>
        <v>0</v>
      </c>
      <c r="DB32" s="3"/>
      <c r="DC32" s="11"/>
      <c r="DD32" s="71"/>
      <c r="DE32" s="3"/>
      <c r="DF32" s="3"/>
      <c r="DG32" s="3"/>
    </row>
    <row r="33" spans="1:115" x14ac:dyDescent="0.2">
      <c r="B33" s="77" t="s">
        <v>80</v>
      </c>
      <c r="C33" s="77" t="s">
        <v>81</v>
      </c>
      <c r="E33" s="8"/>
      <c r="F33" s="10"/>
      <c r="G33" s="20"/>
      <c r="H33" s="20"/>
      <c r="I33" s="20"/>
      <c r="J33" s="10"/>
      <c r="K33" s="20"/>
      <c r="L33" s="20"/>
      <c r="M33" s="20"/>
      <c r="N33" s="8"/>
      <c r="O33" s="20"/>
      <c r="P33" s="20"/>
      <c r="Q33" s="20"/>
      <c r="R33" s="20"/>
      <c r="S33" s="11"/>
      <c r="T33" s="14">
        <v>0.7</v>
      </c>
      <c r="U33" s="14">
        <v>0.2</v>
      </c>
      <c r="V33" s="11">
        <v>0</v>
      </c>
      <c r="W33" s="14"/>
      <c r="X33" s="11">
        <f t="shared" si="51"/>
        <v>0.89999999999999991</v>
      </c>
      <c r="Y33" s="14"/>
      <c r="Z33" s="24">
        <v>0.2</v>
      </c>
      <c r="AA33" s="14">
        <v>0.230327</v>
      </c>
      <c r="AB33" s="14">
        <v>0.3</v>
      </c>
      <c r="AC33" s="11">
        <v>0.1</v>
      </c>
      <c r="AD33" s="14"/>
      <c r="AE33" s="11">
        <f t="shared" si="50"/>
        <v>0.83032699999999993</v>
      </c>
      <c r="AF33" s="14"/>
      <c r="AG33" s="11">
        <v>0.25</v>
      </c>
      <c r="AH33" s="14">
        <v>0.24</v>
      </c>
      <c r="AI33" s="14">
        <v>0.16</v>
      </c>
      <c r="AJ33" s="25">
        <v>0.23</v>
      </c>
      <c r="AK33" s="11">
        <f t="shared" si="38"/>
        <v>0.88</v>
      </c>
      <c r="AL33" s="58">
        <v>0.8</v>
      </c>
      <c r="AM33" s="25">
        <v>0.2</v>
      </c>
      <c r="AN33" s="14">
        <v>0.3</v>
      </c>
      <c r="AO33" s="14">
        <v>0.4</v>
      </c>
      <c r="AP33" s="14">
        <v>0.1</v>
      </c>
      <c r="AQ33" s="11">
        <f t="shared" si="39"/>
        <v>1</v>
      </c>
      <c r="AR33" s="14">
        <v>0.2</v>
      </c>
      <c r="AS33" s="14">
        <v>0.3</v>
      </c>
      <c r="AT33" s="14">
        <v>0.19400000000000001</v>
      </c>
      <c r="AU33" s="14"/>
      <c r="AV33" s="11">
        <f t="shared" si="40"/>
        <v>0.69399999999999995</v>
      </c>
      <c r="AW33" s="14">
        <v>0</v>
      </c>
      <c r="AX33" s="25"/>
      <c r="AY33" s="25"/>
      <c r="AZ33" s="25"/>
      <c r="BA33" s="11">
        <f t="shared" si="41"/>
        <v>0</v>
      </c>
      <c r="BB33" s="11"/>
      <c r="BC33" s="11"/>
      <c r="BD33" s="11"/>
      <c r="BE33" s="11"/>
      <c r="BF33" s="11">
        <f t="shared" si="28"/>
        <v>0</v>
      </c>
      <c r="BG33" s="11"/>
      <c r="BH33" s="11"/>
      <c r="BI33" s="11"/>
      <c r="BJ33" s="11"/>
      <c r="BK33" s="11">
        <f t="shared" si="29"/>
        <v>0</v>
      </c>
      <c r="BL33" s="11"/>
      <c r="BM33" s="11"/>
      <c r="BN33" s="11"/>
      <c r="BO33" s="11"/>
      <c r="BP33" s="11">
        <f t="shared" si="30"/>
        <v>0</v>
      </c>
      <c r="BQ33" s="11"/>
      <c r="BR33" s="11"/>
      <c r="BS33" s="11"/>
      <c r="BT33" s="11"/>
      <c r="BU33" s="11">
        <f t="shared" si="42"/>
        <v>0</v>
      </c>
      <c r="BV33" s="11">
        <f t="shared" si="0"/>
        <v>0</v>
      </c>
      <c r="BW33" s="11">
        <f t="shared" si="31"/>
        <v>0</v>
      </c>
      <c r="BX33" s="11">
        <f t="shared" si="43"/>
        <v>0</v>
      </c>
      <c r="BY33" s="11" t="e">
        <f t="shared" si="44"/>
        <v>#DIV/0!</v>
      </c>
      <c r="BZ33" s="68" t="s">
        <v>114</v>
      </c>
      <c r="CA33" s="11">
        <f t="shared" si="1"/>
        <v>0</v>
      </c>
      <c r="CB33" s="11"/>
      <c r="CC33" s="11"/>
      <c r="CD33" s="11"/>
      <c r="CE33" s="11"/>
      <c r="CF33" s="11">
        <f t="shared" si="32"/>
        <v>0</v>
      </c>
      <c r="CG33" s="11"/>
      <c r="CH33" s="11"/>
      <c r="CI33" s="11"/>
      <c r="CJ33" s="11"/>
      <c r="CK33" s="91">
        <f t="shared" si="2"/>
        <v>0</v>
      </c>
      <c r="CL33" s="91"/>
      <c r="CM33" s="91"/>
      <c r="CN33" s="91"/>
      <c r="CO33" s="91"/>
      <c r="CP33" s="91"/>
      <c r="CQ33" s="91"/>
      <c r="CR33" s="91">
        <f t="shared" si="46"/>
        <v>0</v>
      </c>
      <c r="CS33" s="91"/>
      <c r="CT33" s="91"/>
      <c r="CU33" s="91"/>
      <c r="CV33" s="91"/>
      <c r="CW33" s="78">
        <f t="shared" si="47"/>
        <v>0</v>
      </c>
      <c r="CX33" s="78">
        <f t="shared" si="48"/>
        <v>0</v>
      </c>
      <c r="CY33" s="78"/>
      <c r="CZ33" s="11">
        <f t="shared" si="6"/>
        <v>0</v>
      </c>
      <c r="DA33" s="11"/>
      <c r="DB33" s="3"/>
      <c r="DC33" s="11"/>
      <c r="DD33" s="71"/>
      <c r="DE33" s="3"/>
      <c r="DF33" s="3"/>
      <c r="DG33" s="3"/>
    </row>
    <row r="34" spans="1:115" x14ac:dyDescent="0.2">
      <c r="B34" s="77" t="s">
        <v>85</v>
      </c>
      <c r="C34" s="77" t="s">
        <v>82</v>
      </c>
      <c r="E34" s="8"/>
      <c r="F34" s="10"/>
      <c r="G34" s="20"/>
      <c r="H34" s="20"/>
      <c r="I34" s="20"/>
      <c r="J34" s="10"/>
      <c r="K34" s="20"/>
      <c r="L34" s="20"/>
      <c r="M34" s="20"/>
      <c r="N34" s="8"/>
      <c r="O34" s="20"/>
      <c r="P34" s="20"/>
      <c r="Q34" s="20"/>
      <c r="R34" s="20"/>
      <c r="S34" s="11"/>
      <c r="T34" s="14">
        <v>2.8</v>
      </c>
      <c r="U34" s="14">
        <v>0.8</v>
      </c>
      <c r="V34" s="11">
        <v>-1.1000000000000001</v>
      </c>
      <c r="W34" s="14"/>
      <c r="X34" s="11">
        <f t="shared" si="51"/>
        <v>2.4999999999999996</v>
      </c>
      <c r="Y34" s="14"/>
      <c r="Z34" s="24">
        <v>0.8</v>
      </c>
      <c r="AA34" s="11">
        <v>0.92131099999999999</v>
      </c>
      <c r="AB34" s="14">
        <v>1.3</v>
      </c>
      <c r="AC34" s="11">
        <v>0.2</v>
      </c>
      <c r="AD34" s="14"/>
      <c r="AE34" s="11">
        <f t="shared" si="50"/>
        <v>3.221311</v>
      </c>
      <c r="AF34" s="14"/>
      <c r="AG34" s="11">
        <v>1</v>
      </c>
      <c r="AH34" s="11">
        <v>1</v>
      </c>
      <c r="AI34" s="11">
        <v>0.6</v>
      </c>
      <c r="AJ34" s="24">
        <v>0.9</v>
      </c>
      <c r="AK34" s="11">
        <f t="shared" si="38"/>
        <v>3.5</v>
      </c>
      <c r="AL34" s="58">
        <v>3.5</v>
      </c>
      <c r="AM34" s="24">
        <v>0.9</v>
      </c>
      <c r="AN34" s="11">
        <v>1.2</v>
      </c>
      <c r="AO34" s="11">
        <v>1.6</v>
      </c>
      <c r="AP34" s="11">
        <v>0.6</v>
      </c>
      <c r="AQ34" s="11">
        <f t="shared" si="39"/>
        <v>4.3</v>
      </c>
      <c r="AR34" s="11">
        <v>0.8</v>
      </c>
      <c r="AS34" s="11">
        <v>1.1000000000000001</v>
      </c>
      <c r="AT34" s="11">
        <v>0.77700000000000002</v>
      </c>
      <c r="AU34" s="11"/>
      <c r="AV34" s="11">
        <f t="shared" si="40"/>
        <v>2.677</v>
      </c>
      <c r="AW34" s="11"/>
      <c r="AX34" s="24"/>
      <c r="AY34" s="24"/>
      <c r="AZ34" s="24"/>
      <c r="BA34" s="11">
        <f t="shared" si="41"/>
        <v>0</v>
      </c>
      <c r="BB34" s="11"/>
      <c r="BC34" s="11"/>
      <c r="BD34" s="11"/>
      <c r="BE34" s="11"/>
      <c r="BF34" s="11">
        <f t="shared" si="28"/>
        <v>0</v>
      </c>
      <c r="BG34" s="11"/>
      <c r="BH34" s="11"/>
      <c r="BI34" s="11"/>
      <c r="BJ34" s="11"/>
      <c r="BK34" s="11">
        <f t="shared" si="29"/>
        <v>0</v>
      </c>
      <c r="BL34" s="11"/>
      <c r="BM34" s="11"/>
      <c r="BN34" s="11"/>
      <c r="BO34" s="11"/>
      <c r="BP34" s="11">
        <f t="shared" si="30"/>
        <v>0</v>
      </c>
      <c r="BQ34" s="11"/>
      <c r="BR34" s="11"/>
      <c r="BS34" s="11"/>
      <c r="BT34" s="11"/>
      <c r="BU34" s="11">
        <f t="shared" si="42"/>
        <v>0</v>
      </c>
      <c r="BV34" s="11">
        <f t="shared" si="0"/>
        <v>0</v>
      </c>
      <c r="BW34" s="11">
        <f t="shared" si="31"/>
        <v>0</v>
      </c>
      <c r="BX34" s="11">
        <f t="shared" si="43"/>
        <v>0</v>
      </c>
      <c r="BY34" s="11" t="e">
        <f t="shared" si="44"/>
        <v>#DIV/0!</v>
      </c>
      <c r="BZ34" s="68" t="s">
        <v>114</v>
      </c>
      <c r="CA34" s="11">
        <f t="shared" si="1"/>
        <v>0</v>
      </c>
      <c r="CB34" s="11"/>
      <c r="CC34" s="11"/>
      <c r="CD34" s="11"/>
      <c r="CE34" s="11"/>
      <c r="CF34" s="11">
        <f t="shared" si="32"/>
        <v>0</v>
      </c>
      <c r="CG34" s="11"/>
      <c r="CH34" s="11"/>
      <c r="CI34" s="11"/>
      <c r="CJ34" s="11"/>
      <c r="CK34" s="91">
        <f t="shared" si="2"/>
        <v>0</v>
      </c>
      <c r="CL34" s="91"/>
      <c r="CM34" s="91"/>
      <c r="CN34" s="91"/>
      <c r="CO34" s="91"/>
      <c r="CP34" s="91"/>
      <c r="CQ34" s="91"/>
      <c r="CR34" s="91">
        <f t="shared" si="46"/>
        <v>0</v>
      </c>
      <c r="CS34" s="91"/>
      <c r="CT34" s="91"/>
      <c r="CU34" s="91"/>
      <c r="CV34" s="91"/>
      <c r="CW34" s="78">
        <f t="shared" si="47"/>
        <v>0</v>
      </c>
      <c r="CX34" s="78">
        <f t="shared" si="48"/>
        <v>0</v>
      </c>
      <c r="CY34" s="78"/>
      <c r="CZ34" s="11">
        <f t="shared" si="6"/>
        <v>0</v>
      </c>
      <c r="DA34" s="11"/>
      <c r="DB34" s="3"/>
      <c r="DC34" s="11"/>
      <c r="DD34" s="71"/>
      <c r="DE34" s="3"/>
      <c r="DF34" s="3"/>
      <c r="DG34" s="3"/>
    </row>
    <row r="35" spans="1:115" ht="10.5" customHeight="1" x14ac:dyDescent="0.2">
      <c r="E35" s="8"/>
      <c r="F35" s="10"/>
      <c r="G35" s="20"/>
      <c r="H35" s="17" t="s">
        <v>10</v>
      </c>
      <c r="I35" s="17"/>
      <c r="J35" s="14"/>
      <c r="K35" s="24"/>
      <c r="L35" s="25"/>
      <c r="M35" s="25"/>
      <c r="N35" s="8"/>
      <c r="O35" s="25"/>
      <c r="P35" s="25"/>
      <c r="Q35" s="25"/>
      <c r="R35" s="25"/>
      <c r="S35" s="12"/>
      <c r="T35" s="12"/>
      <c r="U35" s="12"/>
      <c r="V35" s="12"/>
      <c r="W35" s="14"/>
      <c r="X35" s="12" t="str">
        <f>IF(O35="","",(O35+P35+Q35+R35))</f>
        <v/>
      </c>
      <c r="Y35" s="14"/>
      <c r="Z35" s="23"/>
      <c r="AA35" s="4"/>
      <c r="AC35" s="12"/>
      <c r="AD35" s="14"/>
      <c r="AE35" s="12"/>
      <c r="AF35" s="14"/>
      <c r="AG35" s="12"/>
      <c r="AH35" s="4"/>
      <c r="AI35" s="4"/>
      <c r="AJ35" s="1"/>
      <c r="AK35" s="12" t="s">
        <v>10</v>
      </c>
      <c r="AL35" s="57" t="s">
        <v>10</v>
      </c>
      <c r="AM35" s="1"/>
      <c r="AN35" s="4"/>
      <c r="AP35" s="4"/>
      <c r="AQ35" s="12" t="s">
        <v>10</v>
      </c>
      <c r="AR35" s="4"/>
      <c r="AS35" s="4"/>
      <c r="AT35" s="4"/>
      <c r="AU35" s="4"/>
      <c r="AV35" s="12" t="s">
        <v>10</v>
      </c>
      <c r="AW35" s="4"/>
      <c r="AX35" s="1"/>
      <c r="AY35" s="1"/>
      <c r="AZ35" s="1"/>
      <c r="BA35" s="12" t="s">
        <v>10</v>
      </c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91"/>
      <c r="CL35" s="91"/>
      <c r="CM35" s="91"/>
      <c r="CN35" s="91"/>
      <c r="CO35" s="91"/>
      <c r="CP35" s="91"/>
      <c r="CQ35" s="91"/>
      <c r="CR35" s="91"/>
      <c r="CS35" s="91"/>
      <c r="CT35" s="91"/>
      <c r="CU35" s="91"/>
      <c r="CV35" s="91"/>
      <c r="CW35" s="91"/>
      <c r="CX35" s="78"/>
      <c r="CY35" s="78"/>
      <c r="CZ35" s="12"/>
      <c r="DA35" s="12"/>
      <c r="DB35" s="11"/>
      <c r="DC35" s="11"/>
      <c r="DD35" s="71"/>
      <c r="DE35" s="3"/>
      <c r="DF35" s="3"/>
      <c r="DG35" s="3"/>
      <c r="DH35" s="3"/>
      <c r="DI35" s="3"/>
    </row>
    <row r="36" spans="1:115" s="7" customFormat="1" x14ac:dyDescent="0.2">
      <c r="A36" s="92">
        <v>3</v>
      </c>
      <c r="B36" s="92" t="s">
        <v>21</v>
      </c>
      <c r="C36" s="92"/>
      <c r="E36" s="8"/>
      <c r="F36" s="8">
        <f>SUM(F37:F40)</f>
        <v>13313</v>
      </c>
      <c r="G36" s="17">
        <f>SUM(J36:M36)</f>
        <v>14710.89</v>
      </c>
      <c r="H36" s="17">
        <f>SUM(O36:R36)</f>
        <v>14192</v>
      </c>
      <c r="I36" s="17"/>
      <c r="J36" s="8">
        <f>SUM(J37:J40)</f>
        <v>3420</v>
      </c>
      <c r="K36" s="17">
        <f>SUM(K37:K40)</f>
        <v>3974.7919999999999</v>
      </c>
      <c r="L36" s="17">
        <f>SUM(L37:L40)</f>
        <v>3468.317</v>
      </c>
      <c r="M36" s="17">
        <f>SUM(M37:M40)</f>
        <v>3847.7809999999999</v>
      </c>
      <c r="N36" s="8"/>
      <c r="O36" s="17">
        <f>SUM(O37:O40)</f>
        <v>3412</v>
      </c>
      <c r="P36" s="17">
        <f>SUM(P37:P40)</f>
        <v>3943</v>
      </c>
      <c r="Q36" s="17">
        <f>SUM(Q37:Q40)</f>
        <v>3148</v>
      </c>
      <c r="R36" s="17">
        <f>SUM(R37:R40)</f>
        <v>3689</v>
      </c>
      <c r="S36" s="17">
        <f>SUM(S37:S42)</f>
        <v>3623.3</v>
      </c>
      <c r="T36" s="17">
        <f>SUM(T37:T42)</f>
        <v>4148.7000000000016</v>
      </c>
      <c r="U36" s="17">
        <f>SUM(U37:U42)</f>
        <v>3564.4</v>
      </c>
      <c r="V36" s="17">
        <f>SUM(V37:V42)</f>
        <v>3931.1</v>
      </c>
      <c r="W36" s="14"/>
      <c r="X36" s="12">
        <f>IF(O36="","",(S36+T36+U36+V36))</f>
        <v>15267.500000000002</v>
      </c>
      <c r="Y36" s="14"/>
      <c r="Z36" s="17">
        <f>SUM(Z37:Z42)</f>
        <v>3724.2999999999997</v>
      </c>
      <c r="AA36" s="17">
        <f>SUM(AA37:AA42)</f>
        <v>3824.8318040000004</v>
      </c>
      <c r="AB36" s="17">
        <f>SUM(AB37:AB42)</f>
        <v>3536.7</v>
      </c>
      <c r="AC36" s="17">
        <f>SUM(AC37:AC42)</f>
        <v>3870.2000000000003</v>
      </c>
      <c r="AD36" s="14"/>
      <c r="AE36" s="12">
        <f>SUM(AE37:AE42)</f>
        <v>14956.031804</v>
      </c>
      <c r="AF36" s="14"/>
      <c r="AG36" s="17">
        <f>SUM(AG37:AG42)</f>
        <v>3601.34</v>
      </c>
      <c r="AH36" s="17">
        <f>SUM(AH37:AH42)</f>
        <v>3657.3399999999997</v>
      </c>
      <c r="AI36" s="17">
        <f>SUM(AI37:AI42)</f>
        <v>3354.77</v>
      </c>
      <c r="AJ36" s="17">
        <f>SUM(AJ37:AJ42)</f>
        <v>3638.26</v>
      </c>
      <c r="AK36" s="12">
        <f t="shared" ref="AK36:AK42" si="52">+AG36+AH36+AI36+AJ36</f>
        <v>14251.710000000001</v>
      </c>
      <c r="AL36" s="57">
        <v>14345.4</v>
      </c>
      <c r="AM36" s="17">
        <f>SUM(AM37:AM42)</f>
        <v>3448.4847950000003</v>
      </c>
      <c r="AN36" s="17">
        <f>SUM(AN37:AN42)</f>
        <v>3854.9470020000003</v>
      </c>
      <c r="AO36" s="17">
        <f>SUM(AO37:AO42)</f>
        <v>3387.4</v>
      </c>
      <c r="AP36" s="17">
        <f>SUM(AP37:AP42)</f>
        <v>3944.9</v>
      </c>
      <c r="AQ36" s="12">
        <f t="shared" ref="AQ36:AQ42" si="53">+AM36+AN36+AO36+AP36</f>
        <v>14635.731797</v>
      </c>
      <c r="AR36" s="17">
        <f>SUM(AR37:AR42)</f>
        <v>3247.1</v>
      </c>
      <c r="AS36" s="17">
        <f>SUM(AS37:AS42)</f>
        <v>3772.8</v>
      </c>
      <c r="AT36" s="17">
        <f>SUM(AT37:AT42)</f>
        <v>3419.2250000000004</v>
      </c>
      <c r="AU36" s="17">
        <f>SUM(AU37:AU42)</f>
        <v>3730.7</v>
      </c>
      <c r="AV36" s="12">
        <f t="shared" ref="AV36:AV42" si="54">+AR36+AS36+AT36+AU36</f>
        <v>14169.825000000001</v>
      </c>
      <c r="AW36" s="17">
        <f>SUM(AW37:AW42)</f>
        <v>3321.3</v>
      </c>
      <c r="AX36" s="17">
        <f>SUM(AX37:AX42)</f>
        <v>3971.8</v>
      </c>
      <c r="AY36" s="17">
        <f>SUM(AY37:AY42)</f>
        <v>3286.7999999999997</v>
      </c>
      <c r="AZ36" s="17">
        <f>SUM(AZ37:AZ42)</f>
        <v>3477.2</v>
      </c>
      <c r="BA36" s="12">
        <f t="shared" ref="BA36:BA42" si="55">+AW36+AX36+AY36+AZ36</f>
        <v>14057.099999999999</v>
      </c>
      <c r="BB36" s="17">
        <f>SUM(BB37:BB42)</f>
        <v>3062.8</v>
      </c>
      <c r="BC36" s="17">
        <f>SUM(BC37:BC42)</f>
        <v>3386.5000000000009</v>
      </c>
      <c r="BD36" s="17">
        <f>SUM(BD37:BD42)</f>
        <v>3181.5</v>
      </c>
      <c r="BE36" s="17">
        <f>SUM(BE37:BE42)</f>
        <v>3652.0000000000005</v>
      </c>
      <c r="BF36" s="17">
        <f t="shared" si="28"/>
        <v>13282.800000000001</v>
      </c>
      <c r="BG36" s="17">
        <f>SUM(BG37:BG42)</f>
        <v>3431.6000000000004</v>
      </c>
      <c r="BH36" s="17">
        <f>SUM(BH37:BH42)</f>
        <v>3923.6000000000004</v>
      </c>
      <c r="BI36" s="17">
        <f>SUM(BI37:BI42)</f>
        <v>3498.5</v>
      </c>
      <c r="BJ36" s="17">
        <f>SUM(BJ37:BJ42)</f>
        <v>3819.9</v>
      </c>
      <c r="BK36" s="17">
        <f t="shared" si="29"/>
        <v>14673.6</v>
      </c>
      <c r="BL36" s="17">
        <f>SUM(BL37:BL42)</f>
        <v>3437.4999999999995</v>
      </c>
      <c r="BM36" s="17">
        <f>SUM(BM37:BM42)</f>
        <v>3866.9</v>
      </c>
      <c r="BN36" s="17">
        <f>SUM(BN37:BN42)</f>
        <v>3589.2999999999997</v>
      </c>
      <c r="BO36" s="17">
        <f>SUM(BO37:BO42)</f>
        <v>3855.9999999999995</v>
      </c>
      <c r="BP36" s="17">
        <f t="shared" si="30"/>
        <v>14749.699999999999</v>
      </c>
      <c r="BQ36" s="17">
        <f>SUM(BQ37:BQ42)</f>
        <v>3465.3</v>
      </c>
      <c r="BR36" s="17">
        <f>SUM(BR37:BR42)</f>
        <v>3906.5</v>
      </c>
      <c r="BS36" s="17">
        <f>SUM(BS37:BS42)</f>
        <v>3599.4</v>
      </c>
      <c r="BT36" s="17">
        <f>SUM(BT37:BT42)</f>
        <v>4009.9</v>
      </c>
      <c r="BU36" s="17">
        <f t="shared" ref="BU36:BU42" si="56">+BQ36-BL36</f>
        <v>27.800000000000637</v>
      </c>
      <c r="BV36" s="17">
        <f t="shared" si="0"/>
        <v>7371.8</v>
      </c>
      <c r="BW36" s="17">
        <f t="shared" si="31"/>
        <v>10971.2</v>
      </c>
      <c r="BX36" s="17">
        <f t="shared" ref="BX36:BX42" si="57">+BR36-BM36</f>
        <v>39.599999999999909</v>
      </c>
      <c r="BY36" s="17">
        <f t="shared" ref="BY36:BY42" si="58">+BU36/(BL36)*100</f>
        <v>0.80872727272729128</v>
      </c>
      <c r="BZ36" s="17">
        <f t="shared" ref="BZ36:BZ42" si="59">+BX36/(BM36)*100</f>
        <v>1.0240761333367792</v>
      </c>
      <c r="CA36" s="17">
        <f t="shared" si="1"/>
        <v>14981.1</v>
      </c>
      <c r="CB36" s="17">
        <f>SUM(CB37:CB42)</f>
        <v>3739.6000000000004</v>
      </c>
      <c r="CC36" s="17">
        <f>SUM(CC37:CC42)</f>
        <v>4191.7</v>
      </c>
      <c r="CD36" s="17">
        <f>SUM(CD37:CD42)</f>
        <v>3747.9999999999995</v>
      </c>
      <c r="CE36" s="17">
        <f>SUM(CE37:CE42)</f>
        <v>4209.7</v>
      </c>
      <c r="CF36" s="17">
        <f t="shared" si="32"/>
        <v>15889</v>
      </c>
      <c r="CG36" s="17">
        <f>SUM(CG37:CG42)</f>
        <v>3800.8999999999992</v>
      </c>
      <c r="CH36" s="17">
        <f>SUM(CH37:CH42)</f>
        <v>4334.6000000000004</v>
      </c>
      <c r="CI36" s="17">
        <f>SUM(CI37:CI42)</f>
        <v>3868.2</v>
      </c>
      <c r="CJ36" s="17">
        <f>SUM(CJ37:CJ42)</f>
        <v>4014.8</v>
      </c>
      <c r="CK36" s="91">
        <f t="shared" si="2"/>
        <v>16018.5</v>
      </c>
      <c r="CL36" s="91">
        <f>SUM(CL37:CL42)</f>
        <v>4059.0999999999995</v>
      </c>
      <c r="CM36" s="91">
        <f>SUM(CM37:CM42)</f>
        <v>4337.3999999999996</v>
      </c>
      <c r="CN36" s="91"/>
      <c r="CO36" s="91"/>
      <c r="CP36" s="91">
        <f>SUM(CP37:CP42)</f>
        <v>4093.2000000000003</v>
      </c>
      <c r="CQ36" s="91">
        <f>SUM(CQ37:CQ42)</f>
        <v>4260.6000000000004</v>
      </c>
      <c r="CR36" s="91">
        <f t="shared" si="46"/>
        <v>16750.300000000003</v>
      </c>
      <c r="CS36" s="91">
        <f>SUM(CS37:CS42)</f>
        <v>4210.3</v>
      </c>
      <c r="CT36" s="91">
        <f>SUM(CT37:CT42)</f>
        <v>4472.3999999999996</v>
      </c>
      <c r="CU36" s="91">
        <f>SUM(CU37:CU42)</f>
        <v>4204.5999999999985</v>
      </c>
      <c r="CV36" s="91">
        <f>SUM(CV37:CV42)</f>
        <v>4442.1000000000004</v>
      </c>
      <c r="CW36" s="78">
        <f t="shared" ref="CW36:CW95" si="60">+CS36+CT36+CU36+CV36</f>
        <v>17329.400000000001</v>
      </c>
      <c r="CX36" s="78">
        <f t="shared" si="48"/>
        <v>181.5</v>
      </c>
      <c r="CY36" s="78">
        <f t="shared" ref="CY36:CY46" si="61">+CX36/CQ36*100</f>
        <v>4.2599633854386703</v>
      </c>
      <c r="CZ36" s="17">
        <f t="shared" si="6"/>
        <v>731.80000000000291</v>
      </c>
      <c r="DA36" s="17">
        <f t="shared" si="7"/>
        <v>4.5684677092112427</v>
      </c>
      <c r="DB36" s="9"/>
      <c r="DC36" s="11"/>
      <c r="DD36" s="71"/>
      <c r="DE36" s="9"/>
      <c r="DF36" s="9"/>
      <c r="DG36" s="9"/>
    </row>
    <row r="37" spans="1:115" x14ac:dyDescent="0.2">
      <c r="A37" s="91"/>
      <c r="B37" s="91" t="s">
        <v>22</v>
      </c>
      <c r="C37" s="91" t="s">
        <v>23</v>
      </c>
      <c r="D37" s="91"/>
      <c r="E37" s="8"/>
      <c r="F37" s="10">
        <v>8704</v>
      </c>
      <c r="G37" s="20">
        <f>SUM(J37:M37)</f>
        <v>8700</v>
      </c>
      <c r="H37" s="20">
        <v>8608</v>
      </c>
      <c r="I37" s="20"/>
      <c r="J37" s="10">
        <v>2067</v>
      </c>
      <c r="K37" s="20">
        <v>2327</v>
      </c>
      <c r="L37" s="20">
        <v>2077</v>
      </c>
      <c r="M37" s="20">
        <v>2229</v>
      </c>
      <c r="N37" s="8"/>
      <c r="O37" s="20">
        <v>2068</v>
      </c>
      <c r="P37" s="20">
        <v>2285</v>
      </c>
      <c r="Q37" s="20">
        <v>2016</v>
      </c>
      <c r="R37" s="20">
        <v>2266</v>
      </c>
      <c r="S37" s="11">
        <v>2106.4</v>
      </c>
      <c r="T37" s="14">
        <v>2401.9</v>
      </c>
      <c r="U37" s="14">
        <v>2157.9</v>
      </c>
      <c r="V37" s="11">
        <v>2343.6999999999998</v>
      </c>
      <c r="W37" s="14"/>
      <c r="X37" s="11">
        <f>IF(O37="","",(S37+T37+U37+V37))</f>
        <v>9009.9000000000015</v>
      </c>
      <c r="Y37" s="14"/>
      <c r="Z37" s="24">
        <v>2223.9</v>
      </c>
      <c r="AA37" s="14">
        <v>2431.3000000000002</v>
      </c>
      <c r="AB37" s="14">
        <v>2186.9</v>
      </c>
      <c r="AC37" s="11">
        <v>2312.5</v>
      </c>
      <c r="AD37" s="14"/>
      <c r="AE37" s="11">
        <f t="shared" ref="AE37:AE42" si="62">SUM(Z37:AC37)</f>
        <v>9154.6</v>
      </c>
      <c r="AF37" s="14"/>
      <c r="AG37" s="11">
        <v>2184.9</v>
      </c>
      <c r="AH37" s="14">
        <v>2381.9</v>
      </c>
      <c r="AI37" s="14">
        <v>2143</v>
      </c>
      <c r="AJ37" s="25">
        <v>2285</v>
      </c>
      <c r="AK37" s="11">
        <f t="shared" si="52"/>
        <v>8994.7999999999993</v>
      </c>
      <c r="AL37" s="58">
        <v>8994.7999999999993</v>
      </c>
      <c r="AM37" s="11">
        <v>2116.5847950000002</v>
      </c>
      <c r="AN37" s="11">
        <v>2376.1470020000002</v>
      </c>
      <c r="AO37" s="14">
        <v>2152</v>
      </c>
      <c r="AP37" s="14">
        <v>2287.6</v>
      </c>
      <c r="AQ37" s="11">
        <f t="shared" si="53"/>
        <v>8932.3317970000007</v>
      </c>
      <c r="AR37" s="14">
        <v>2054.6999999999998</v>
      </c>
      <c r="AS37" s="14">
        <v>2284.1</v>
      </c>
      <c r="AT37" s="14">
        <v>2225.46</v>
      </c>
      <c r="AU37" s="14">
        <v>2375.5</v>
      </c>
      <c r="AV37" s="11">
        <f t="shared" si="54"/>
        <v>8939.7599999999984</v>
      </c>
      <c r="AW37" s="14">
        <v>2111</v>
      </c>
      <c r="AX37" s="25">
        <v>2378.9</v>
      </c>
      <c r="AY37" s="25">
        <v>2094.8000000000002</v>
      </c>
      <c r="AZ37" s="25">
        <v>2189.6999999999998</v>
      </c>
      <c r="BA37" s="11">
        <f t="shared" si="55"/>
        <v>8774.4</v>
      </c>
      <c r="BB37" s="11">
        <v>1999</v>
      </c>
      <c r="BC37" s="11">
        <v>2189.9</v>
      </c>
      <c r="BD37" s="11">
        <v>2103.3000000000002</v>
      </c>
      <c r="BE37" s="11">
        <v>2304.6</v>
      </c>
      <c r="BF37" s="11">
        <f t="shared" si="28"/>
        <v>8596.7999999999993</v>
      </c>
      <c r="BG37" s="11">
        <v>2183.1999999999998</v>
      </c>
      <c r="BH37" s="11">
        <v>2499.4</v>
      </c>
      <c r="BI37" s="11">
        <v>2317</v>
      </c>
      <c r="BJ37" s="11">
        <v>2527.9</v>
      </c>
      <c r="BK37" s="11">
        <f t="shared" si="29"/>
        <v>9527.5</v>
      </c>
      <c r="BL37" s="11">
        <v>2273.1999999999998</v>
      </c>
      <c r="BM37" s="11">
        <v>2592.4</v>
      </c>
      <c r="BN37" s="11">
        <v>2421.4</v>
      </c>
      <c r="BO37" s="11">
        <v>2602.6</v>
      </c>
      <c r="BP37" s="11">
        <f t="shared" si="30"/>
        <v>9889.6</v>
      </c>
      <c r="BQ37" s="11">
        <v>2332.5</v>
      </c>
      <c r="BR37" s="11">
        <v>2644</v>
      </c>
      <c r="BS37" s="11">
        <v>2411.8000000000002</v>
      </c>
      <c r="BT37" s="11">
        <v>2715.5</v>
      </c>
      <c r="BU37" s="11">
        <f t="shared" si="56"/>
        <v>59.300000000000182</v>
      </c>
      <c r="BV37" s="11">
        <f t="shared" si="0"/>
        <v>4976.5</v>
      </c>
      <c r="BW37" s="11">
        <f t="shared" si="31"/>
        <v>7388.3</v>
      </c>
      <c r="BX37" s="11">
        <f t="shared" si="57"/>
        <v>51.599999999999909</v>
      </c>
      <c r="BY37" s="11">
        <f t="shared" si="58"/>
        <v>2.6086573992609616</v>
      </c>
      <c r="BZ37" s="11">
        <f t="shared" si="59"/>
        <v>1.9904335750655728</v>
      </c>
      <c r="CA37" s="11">
        <f t="shared" si="1"/>
        <v>10103.799999999999</v>
      </c>
      <c r="CB37" s="11">
        <v>2491.8000000000002</v>
      </c>
      <c r="CC37" s="11">
        <v>2861</v>
      </c>
      <c r="CD37" s="11">
        <v>2524.1999999999998</v>
      </c>
      <c r="CE37" s="11">
        <v>2880.2</v>
      </c>
      <c r="CF37" s="11">
        <f t="shared" si="32"/>
        <v>10757.2</v>
      </c>
      <c r="CG37" s="11">
        <v>2550.6</v>
      </c>
      <c r="CH37" s="11">
        <v>2951.4</v>
      </c>
      <c r="CI37" s="11">
        <v>2587.4</v>
      </c>
      <c r="CJ37" s="11">
        <v>2761.3</v>
      </c>
      <c r="CK37" s="91">
        <f t="shared" si="2"/>
        <v>10850.7</v>
      </c>
      <c r="CL37" s="91">
        <v>2712.7</v>
      </c>
      <c r="CM37" s="91">
        <v>2912.9</v>
      </c>
      <c r="CN37" s="91"/>
      <c r="CO37" s="91"/>
      <c r="CP37" s="91">
        <v>2738.6</v>
      </c>
      <c r="CQ37" s="91">
        <v>2830.3</v>
      </c>
      <c r="CR37" s="91">
        <f t="shared" si="46"/>
        <v>11194.5</v>
      </c>
      <c r="CS37" s="91">
        <v>2769.4</v>
      </c>
      <c r="CT37" s="91">
        <v>2966.4</v>
      </c>
      <c r="CU37" s="91">
        <v>2763.2</v>
      </c>
      <c r="CV37" s="91">
        <v>2854</v>
      </c>
      <c r="CW37" s="78">
        <f t="shared" si="60"/>
        <v>11353</v>
      </c>
      <c r="CX37" s="78">
        <f t="shared" si="48"/>
        <v>23.699999999999818</v>
      </c>
      <c r="CY37" s="78">
        <f t="shared" si="61"/>
        <v>0.83736706356216006</v>
      </c>
      <c r="CZ37" s="11">
        <f t="shared" si="6"/>
        <v>343.79999999999973</v>
      </c>
      <c r="DA37" s="11">
        <f t="shared" si="7"/>
        <v>3.1684591777488982</v>
      </c>
      <c r="DB37" s="9"/>
      <c r="DC37" s="11"/>
      <c r="DD37" s="71"/>
      <c r="DE37" s="12"/>
      <c r="DF37" s="3"/>
      <c r="DG37" s="3"/>
    </row>
    <row r="38" spans="1:115" x14ac:dyDescent="0.2">
      <c r="A38" s="91"/>
      <c r="B38" s="91" t="s">
        <v>24</v>
      </c>
      <c r="C38" s="91" t="s">
        <v>25</v>
      </c>
      <c r="D38" s="91"/>
      <c r="E38" s="8"/>
      <c r="F38" s="10">
        <v>3867</v>
      </c>
      <c r="G38" s="20">
        <f>SUM(J38:M38)</f>
        <v>5233</v>
      </c>
      <c r="H38" s="20">
        <v>4867</v>
      </c>
      <c r="I38" s="20"/>
      <c r="J38" s="10">
        <v>1186</v>
      </c>
      <c r="K38" s="20">
        <v>1419</v>
      </c>
      <c r="L38" s="20">
        <v>1219</v>
      </c>
      <c r="M38" s="20">
        <v>1409</v>
      </c>
      <c r="N38" s="8"/>
      <c r="O38" s="20">
        <v>1142</v>
      </c>
      <c r="P38" s="20">
        <v>1495</v>
      </c>
      <c r="Q38" s="20">
        <v>987</v>
      </c>
      <c r="R38" s="20">
        <v>1244</v>
      </c>
      <c r="S38" s="11">
        <v>1193.2</v>
      </c>
      <c r="T38" s="14">
        <v>1518.2</v>
      </c>
      <c r="U38" s="14">
        <v>1201.4000000000001</v>
      </c>
      <c r="V38" s="11">
        <v>1350.4</v>
      </c>
      <c r="W38" s="14"/>
      <c r="X38" s="11">
        <f>IF(O38="","",(S38+T38+U38+V38))</f>
        <v>5263.2000000000007</v>
      </c>
      <c r="Y38" s="14"/>
      <c r="Z38" s="24">
        <v>1134.3</v>
      </c>
      <c r="AA38" s="14">
        <v>1174.4000000000001</v>
      </c>
      <c r="AB38" s="14">
        <v>1147.8</v>
      </c>
      <c r="AC38" s="11">
        <v>1340.3</v>
      </c>
      <c r="AD38" s="14"/>
      <c r="AE38" s="11">
        <f t="shared" si="62"/>
        <v>4796.8</v>
      </c>
      <c r="AF38" s="14"/>
      <c r="AG38" s="11">
        <v>1116</v>
      </c>
      <c r="AH38" s="14">
        <v>1115.0999999999999</v>
      </c>
      <c r="AI38" s="14">
        <v>1081.8</v>
      </c>
      <c r="AJ38" s="25">
        <v>1213</v>
      </c>
      <c r="AK38" s="11">
        <f t="shared" si="52"/>
        <v>4525.8999999999996</v>
      </c>
      <c r="AL38" s="58">
        <v>4525.8999999999996</v>
      </c>
      <c r="AM38" s="25">
        <v>1106</v>
      </c>
      <c r="AN38" s="25">
        <v>1372</v>
      </c>
      <c r="AO38" s="14">
        <v>1123.0999999999999</v>
      </c>
      <c r="AP38" s="14">
        <v>1467.5</v>
      </c>
      <c r="AQ38" s="11">
        <f t="shared" si="53"/>
        <v>5068.6000000000004</v>
      </c>
      <c r="AR38" s="14">
        <v>1077</v>
      </c>
      <c r="AS38" s="14">
        <v>1214.2</v>
      </c>
      <c r="AT38" s="14">
        <v>1110.6590000000001</v>
      </c>
      <c r="AU38" s="14">
        <v>1229.7</v>
      </c>
      <c r="AV38" s="11">
        <f t="shared" si="54"/>
        <v>4631.5590000000002</v>
      </c>
      <c r="AW38" s="14">
        <v>1110</v>
      </c>
      <c r="AX38" s="25">
        <v>1406.2</v>
      </c>
      <c r="AY38" s="25">
        <v>1121.5</v>
      </c>
      <c r="AZ38" s="25">
        <v>1042.3</v>
      </c>
      <c r="BA38" s="11">
        <f t="shared" si="55"/>
        <v>4680</v>
      </c>
      <c r="BB38" s="11">
        <f>898+107</f>
        <v>1005</v>
      </c>
      <c r="BC38" s="11">
        <v>1095.2</v>
      </c>
      <c r="BD38" s="11">
        <v>993.8</v>
      </c>
      <c r="BE38" s="11">
        <v>1209.9000000000001</v>
      </c>
      <c r="BF38" s="11">
        <f t="shared" si="28"/>
        <v>4303.8999999999996</v>
      </c>
      <c r="BG38" s="11">
        <v>1149.3</v>
      </c>
      <c r="BH38" s="11">
        <v>1193.7</v>
      </c>
      <c r="BI38" s="11">
        <v>1114.0999999999999</v>
      </c>
      <c r="BJ38" s="11">
        <v>1215.9000000000001</v>
      </c>
      <c r="BK38" s="11">
        <f t="shared" si="29"/>
        <v>4673</v>
      </c>
      <c r="BL38" s="11">
        <v>1120.7</v>
      </c>
      <c r="BM38" s="11">
        <v>1220.5999999999999</v>
      </c>
      <c r="BN38" s="11">
        <v>1148.5</v>
      </c>
      <c r="BO38" s="11">
        <v>1245</v>
      </c>
      <c r="BP38" s="11">
        <f t="shared" si="30"/>
        <v>4734.8</v>
      </c>
      <c r="BQ38" s="11">
        <v>1114.0999999999999</v>
      </c>
      <c r="BR38" s="11">
        <v>1227</v>
      </c>
      <c r="BS38" s="11">
        <v>1164.7</v>
      </c>
      <c r="BT38" s="11">
        <v>1264.3</v>
      </c>
      <c r="BU38" s="11">
        <f t="shared" si="56"/>
        <v>-6.6000000000001364</v>
      </c>
      <c r="BV38" s="11">
        <f t="shared" si="0"/>
        <v>2341.1</v>
      </c>
      <c r="BW38" s="11">
        <f t="shared" si="31"/>
        <v>3505.8</v>
      </c>
      <c r="BX38" s="11">
        <f t="shared" si="57"/>
        <v>6.4000000000000909</v>
      </c>
      <c r="BY38" s="11">
        <f t="shared" si="58"/>
        <v>-0.58891764076025133</v>
      </c>
      <c r="BZ38" s="11">
        <f t="shared" si="59"/>
        <v>0.52433229559233918</v>
      </c>
      <c r="CA38" s="11">
        <f t="shared" si="1"/>
        <v>4770.1000000000004</v>
      </c>
      <c r="CB38" s="11">
        <v>1228.3</v>
      </c>
      <c r="CC38" s="11">
        <v>1308.0999999999999</v>
      </c>
      <c r="CD38" s="11">
        <v>1202.8</v>
      </c>
      <c r="CE38" s="11">
        <v>1307</v>
      </c>
      <c r="CF38" s="11">
        <f t="shared" si="32"/>
        <v>5046.2</v>
      </c>
      <c r="CG38" s="11">
        <v>1232.0999999999999</v>
      </c>
      <c r="CH38" s="11">
        <v>1368.6</v>
      </c>
      <c r="CI38" s="11">
        <v>1256.3</v>
      </c>
      <c r="CJ38" s="11">
        <v>1233.9000000000001</v>
      </c>
      <c r="CK38" s="91">
        <f t="shared" si="2"/>
        <v>5090.8999999999996</v>
      </c>
      <c r="CL38" s="91">
        <v>1323.6</v>
      </c>
      <c r="CM38" s="91">
        <f>1366.1+31</f>
        <v>1397.1</v>
      </c>
      <c r="CN38" s="91"/>
      <c r="CO38" s="91"/>
      <c r="CP38" s="91">
        <v>1323.2</v>
      </c>
      <c r="CQ38" s="91">
        <v>1394</v>
      </c>
      <c r="CR38" s="91">
        <f t="shared" si="46"/>
        <v>5437.9</v>
      </c>
      <c r="CS38" s="91">
        <v>1412.8</v>
      </c>
      <c r="CT38" s="91">
        <v>1478</v>
      </c>
      <c r="CU38" s="91">
        <v>1402.6</v>
      </c>
      <c r="CV38" s="91">
        <v>1526.7</v>
      </c>
      <c r="CW38" s="78">
        <f t="shared" si="60"/>
        <v>5820.0999999999995</v>
      </c>
      <c r="CX38" s="78">
        <f t="shared" si="48"/>
        <v>132.70000000000005</v>
      </c>
      <c r="CY38" s="78">
        <f t="shared" si="61"/>
        <v>9.5193687230989994</v>
      </c>
      <c r="CZ38" s="11">
        <f t="shared" si="6"/>
        <v>346.99999999999932</v>
      </c>
      <c r="DA38" s="11">
        <f t="shared" si="7"/>
        <v>6.8160836001492724</v>
      </c>
      <c r="DB38" s="9"/>
      <c r="DC38" s="11"/>
      <c r="DD38" s="71"/>
      <c r="DE38" s="12"/>
      <c r="DF38" s="3"/>
      <c r="DG38" s="3"/>
    </row>
    <row r="39" spans="1:115" x14ac:dyDescent="0.2">
      <c r="A39" s="91"/>
      <c r="B39" s="91" t="s">
        <v>48</v>
      </c>
      <c r="C39" s="91" t="s">
        <v>111</v>
      </c>
      <c r="D39" s="91"/>
      <c r="E39" s="8"/>
      <c r="F39" s="10">
        <v>775</v>
      </c>
      <c r="G39" s="20">
        <f>SUM(J39:M39)</f>
        <v>785.88999999999987</v>
      </c>
      <c r="H39" s="20">
        <v>696</v>
      </c>
      <c r="I39" s="20"/>
      <c r="J39" s="14">
        <v>168</v>
      </c>
      <c r="K39" s="24">
        <v>229.79199999999997</v>
      </c>
      <c r="L39" s="25">
        <v>173.31700000000001</v>
      </c>
      <c r="M39" s="25">
        <v>214.78100000000001</v>
      </c>
      <c r="N39" s="8"/>
      <c r="O39" s="25">
        <v>203</v>
      </c>
      <c r="P39" s="25">
        <v>164</v>
      </c>
      <c r="Q39" s="25">
        <v>145</v>
      </c>
      <c r="R39" s="25">
        <v>183</v>
      </c>
      <c r="S39" s="11">
        <v>305.60000000000002</v>
      </c>
      <c r="T39" s="14">
        <v>229.1</v>
      </c>
      <c r="U39" s="14">
        <v>194.6</v>
      </c>
      <c r="V39" s="11">
        <v>237.3</v>
      </c>
      <c r="W39" s="14"/>
      <c r="X39" s="11">
        <f>IF(O39="","",(S39+T39+U39+V39))</f>
        <v>966.60000000000014</v>
      </c>
      <c r="Y39" s="14"/>
      <c r="Z39" s="24">
        <v>352</v>
      </c>
      <c r="AA39" s="14">
        <v>218.7</v>
      </c>
      <c r="AB39" s="14">
        <v>192.4</v>
      </c>
      <c r="AC39" s="11">
        <v>220.1</v>
      </c>
      <c r="AD39" s="14"/>
      <c r="AE39" s="11">
        <f t="shared" si="62"/>
        <v>983.2</v>
      </c>
      <c r="AF39" s="14"/>
      <c r="AG39" s="11">
        <v>294.52</v>
      </c>
      <c r="AH39" s="14">
        <v>162.11000000000001</v>
      </c>
      <c r="AI39" s="14">
        <v>127.93</v>
      </c>
      <c r="AJ39" s="25">
        <v>139.43</v>
      </c>
      <c r="AK39" s="11">
        <f t="shared" si="52"/>
        <v>723.99</v>
      </c>
      <c r="AL39" s="58">
        <v>817.6</v>
      </c>
      <c r="AM39" s="25">
        <v>217.9</v>
      </c>
      <c r="AN39" s="14">
        <v>119</v>
      </c>
      <c r="AO39" s="14">
        <v>113.3</v>
      </c>
      <c r="AP39" s="14">
        <v>203.4</v>
      </c>
      <c r="AQ39" s="11">
        <f t="shared" si="53"/>
        <v>653.6</v>
      </c>
      <c r="AR39" s="14">
        <v>116</v>
      </c>
      <c r="AS39" s="14">
        <v>273</v>
      </c>
      <c r="AT39" s="14">
        <v>86</v>
      </c>
      <c r="AU39" s="14">
        <v>138</v>
      </c>
      <c r="AV39" s="11">
        <f t="shared" si="54"/>
        <v>613</v>
      </c>
      <c r="AW39" s="14">
        <v>100</v>
      </c>
      <c r="AX39" s="25">
        <v>192.2</v>
      </c>
      <c r="AY39" s="25">
        <v>109</v>
      </c>
      <c r="AZ39" s="25">
        <v>268</v>
      </c>
      <c r="BA39" s="11">
        <f t="shared" si="55"/>
        <v>669.2</v>
      </c>
      <c r="BB39" s="11">
        <v>66</v>
      </c>
      <c r="BC39" s="11">
        <v>109.3</v>
      </c>
      <c r="BD39" s="11">
        <v>90.6</v>
      </c>
      <c r="BE39" s="11">
        <v>153.30000000000001</v>
      </c>
      <c r="BF39" s="11">
        <f t="shared" si="28"/>
        <v>419.2</v>
      </c>
      <c r="BG39" s="11">
        <v>104</v>
      </c>
      <c r="BH39" s="11">
        <v>241.6</v>
      </c>
      <c r="BI39" s="11">
        <v>84.7</v>
      </c>
      <c r="BJ39" s="11">
        <v>110.6</v>
      </c>
      <c r="BK39" s="11">
        <f t="shared" si="29"/>
        <v>540.9</v>
      </c>
      <c r="BL39" s="11">
        <v>57.7</v>
      </c>
      <c r="BM39" s="11">
        <v>73.8</v>
      </c>
      <c r="BN39" s="11">
        <v>32.700000000000003</v>
      </c>
      <c r="BO39" s="11">
        <v>38.6</v>
      </c>
      <c r="BP39" s="11">
        <f t="shared" si="30"/>
        <v>202.79999999999998</v>
      </c>
      <c r="BQ39" s="11">
        <v>29.9</v>
      </c>
      <c r="BR39" s="11">
        <v>40</v>
      </c>
      <c r="BS39" s="11">
        <v>31</v>
      </c>
      <c r="BT39" s="11">
        <v>41.6</v>
      </c>
      <c r="BU39" s="11">
        <f t="shared" si="56"/>
        <v>-27.800000000000004</v>
      </c>
      <c r="BV39" s="11">
        <f t="shared" si="0"/>
        <v>69.900000000000006</v>
      </c>
      <c r="BW39" s="11">
        <f t="shared" si="31"/>
        <v>100.9</v>
      </c>
      <c r="BX39" s="11">
        <f t="shared" si="57"/>
        <v>-33.799999999999997</v>
      </c>
      <c r="BY39" s="11">
        <f t="shared" si="58"/>
        <v>-48.180242634315427</v>
      </c>
      <c r="BZ39" s="11">
        <f t="shared" si="59"/>
        <v>-45.799457994579946</v>
      </c>
      <c r="CA39" s="11">
        <f t="shared" si="1"/>
        <v>142.5</v>
      </c>
      <c r="CB39" s="11">
        <v>35.1</v>
      </c>
      <c r="CC39" s="11">
        <v>42.6</v>
      </c>
      <c r="CD39" s="11">
        <v>37.6</v>
      </c>
      <c r="CE39" s="11">
        <v>46</v>
      </c>
      <c r="CF39" s="11">
        <f t="shared" si="32"/>
        <v>161.30000000000001</v>
      </c>
      <c r="CG39" s="11">
        <v>30.7</v>
      </c>
      <c r="CH39" s="11">
        <v>33.700000000000003</v>
      </c>
      <c r="CI39" s="11">
        <v>40.799999999999997</v>
      </c>
      <c r="CJ39" s="11">
        <v>44.4</v>
      </c>
      <c r="CK39" s="91">
        <f t="shared" si="2"/>
        <v>149.6</v>
      </c>
      <c r="CL39" s="91">
        <v>31.1</v>
      </c>
      <c r="CM39" s="91">
        <v>37.5</v>
      </c>
      <c r="CN39" s="91"/>
      <c r="CO39" s="91"/>
      <c r="CP39" s="91">
        <v>36</v>
      </c>
      <c r="CQ39" s="91">
        <v>46.1</v>
      </c>
      <c r="CR39" s="91">
        <f t="shared" si="46"/>
        <v>150.69999999999999</v>
      </c>
      <c r="CS39" s="91">
        <v>30.7</v>
      </c>
      <c r="CT39" s="91">
        <v>34</v>
      </c>
      <c r="CU39" s="91">
        <v>43.5</v>
      </c>
      <c r="CV39" s="91">
        <v>75.099999999999994</v>
      </c>
      <c r="CW39" s="78">
        <f t="shared" si="60"/>
        <v>183.3</v>
      </c>
      <c r="CX39" s="78">
        <f t="shared" si="48"/>
        <v>28.999999999999993</v>
      </c>
      <c r="CY39" s="78">
        <f t="shared" si="61"/>
        <v>62.90672451193057</v>
      </c>
      <c r="CZ39" s="11">
        <f t="shared" si="6"/>
        <v>1.0999999999999872</v>
      </c>
      <c r="DA39" s="11">
        <f t="shared" si="7"/>
        <v>0.73529411764705033</v>
      </c>
      <c r="DB39" s="12"/>
      <c r="DC39" s="11"/>
      <c r="DD39" s="71"/>
      <c r="DE39" s="12"/>
      <c r="DF39" s="70"/>
      <c r="DG39" s="3"/>
      <c r="DH39" s="3"/>
      <c r="DI39" s="3"/>
    </row>
    <row r="40" spans="1:115" x14ac:dyDescent="0.2">
      <c r="A40" s="91"/>
      <c r="B40" s="91" t="s">
        <v>26</v>
      </c>
      <c r="C40" s="91" t="s">
        <v>49</v>
      </c>
      <c r="D40" s="91"/>
      <c r="E40" s="8"/>
      <c r="F40" s="10">
        <v>-33</v>
      </c>
      <c r="G40" s="20">
        <f>SUM(J40:M40)</f>
        <v>-8</v>
      </c>
      <c r="H40" s="20">
        <f>SUM(O40:R40)</f>
        <v>-6</v>
      </c>
      <c r="I40" s="20"/>
      <c r="J40" s="10">
        <v>-1</v>
      </c>
      <c r="K40" s="20">
        <v>-1</v>
      </c>
      <c r="L40" s="20">
        <v>-1</v>
      </c>
      <c r="M40" s="20">
        <v>-5</v>
      </c>
      <c r="N40" s="8"/>
      <c r="O40" s="20">
        <v>-1</v>
      </c>
      <c r="P40" s="20">
        <v>-1</v>
      </c>
      <c r="Q40" s="20">
        <v>0</v>
      </c>
      <c r="R40" s="20">
        <v>-4</v>
      </c>
      <c r="S40" s="11">
        <v>-2.6</v>
      </c>
      <c r="T40" s="14">
        <v>-4.9000000000000004</v>
      </c>
      <c r="U40" s="14">
        <v>-0.9</v>
      </c>
      <c r="V40" s="11">
        <v>-12.4</v>
      </c>
      <c r="W40" s="14"/>
      <c r="X40" s="11">
        <f>IF(O40="","",(S40+T40+U40+V40))</f>
        <v>-20.8</v>
      </c>
      <c r="Y40" s="14"/>
      <c r="Z40" s="24">
        <v>-3.8</v>
      </c>
      <c r="AA40" s="14">
        <v>-7.1139390000000002</v>
      </c>
      <c r="AB40" s="14">
        <v>-2.5</v>
      </c>
      <c r="AC40" s="11">
        <v>-14.7</v>
      </c>
      <c r="AD40" s="14"/>
      <c r="AE40" s="11">
        <f t="shared" si="62"/>
        <v>-28.113938999999998</v>
      </c>
      <c r="AF40" s="14"/>
      <c r="AG40" s="11">
        <v>-4.0999999999999996</v>
      </c>
      <c r="AH40" s="14">
        <v>-12.4</v>
      </c>
      <c r="AI40" s="14">
        <v>-9</v>
      </c>
      <c r="AJ40" s="25">
        <v>-10.6</v>
      </c>
      <c r="AK40" s="11">
        <f t="shared" si="52"/>
        <v>-36.1</v>
      </c>
      <c r="AL40" s="58">
        <v>-35.5</v>
      </c>
      <c r="AM40" s="25">
        <v>-1.4</v>
      </c>
      <c r="AN40" s="14">
        <v>-23.6</v>
      </c>
      <c r="AO40" s="14">
        <v>-12</v>
      </c>
      <c r="AP40" s="14">
        <v>-23.3</v>
      </c>
      <c r="AQ40" s="11">
        <f t="shared" si="53"/>
        <v>-60.3</v>
      </c>
      <c r="AR40" s="14">
        <v>-10</v>
      </c>
      <c r="AS40" s="14">
        <v>-12.8</v>
      </c>
      <c r="AT40" s="14">
        <v>-2.8940000000000001</v>
      </c>
      <c r="AU40" s="14">
        <v>-21.2</v>
      </c>
      <c r="AV40" s="11">
        <f t="shared" si="54"/>
        <v>-46.894000000000005</v>
      </c>
      <c r="AW40" s="14">
        <v>-9</v>
      </c>
      <c r="AX40" s="25">
        <v>-15.9</v>
      </c>
      <c r="AY40" s="25">
        <v>-48.8</v>
      </c>
      <c r="AZ40" s="25">
        <v>-30.2</v>
      </c>
      <c r="BA40" s="11">
        <f t="shared" si="55"/>
        <v>-103.89999999999999</v>
      </c>
      <c r="BB40" s="11">
        <v>-14.2</v>
      </c>
      <c r="BC40" s="11">
        <v>-19</v>
      </c>
      <c r="BD40" s="11">
        <v>-14.9</v>
      </c>
      <c r="BE40" s="24">
        <v>-24.2</v>
      </c>
      <c r="BF40" s="11">
        <f t="shared" si="28"/>
        <v>-72.3</v>
      </c>
      <c r="BG40" s="24">
        <v>-14.2</v>
      </c>
      <c r="BH40" s="24">
        <v>-17.899999999999999</v>
      </c>
      <c r="BI40" s="24">
        <v>-28.7</v>
      </c>
      <c r="BJ40" s="24">
        <v>-40.799999999999997</v>
      </c>
      <c r="BK40" s="24">
        <f t="shared" si="29"/>
        <v>-101.6</v>
      </c>
      <c r="BL40" s="24">
        <v>-22.4</v>
      </c>
      <c r="BM40" s="24">
        <v>-30.3</v>
      </c>
      <c r="BN40" s="24">
        <v>-21.3</v>
      </c>
      <c r="BO40" s="24">
        <v>-38.299999999999997</v>
      </c>
      <c r="BP40" s="24">
        <f t="shared" si="30"/>
        <v>-112.3</v>
      </c>
      <c r="BQ40" s="24">
        <v>-20.5</v>
      </c>
      <c r="BR40" s="24">
        <v>-16.2</v>
      </c>
      <c r="BS40" s="24">
        <v>-15.8</v>
      </c>
      <c r="BT40" s="24">
        <v>-18.3</v>
      </c>
      <c r="BU40" s="24">
        <f t="shared" si="56"/>
        <v>1.8999999999999986</v>
      </c>
      <c r="BV40" s="24">
        <f t="shared" si="0"/>
        <v>-36.700000000000003</v>
      </c>
      <c r="BW40" s="24">
        <f t="shared" si="31"/>
        <v>-52.5</v>
      </c>
      <c r="BX40" s="24">
        <f t="shared" si="57"/>
        <v>14.100000000000001</v>
      </c>
      <c r="BY40" s="24">
        <f t="shared" si="58"/>
        <v>-8.4821428571428523</v>
      </c>
      <c r="BZ40" s="24">
        <f t="shared" si="59"/>
        <v>-46.534653465346537</v>
      </c>
      <c r="CA40" s="24">
        <f t="shared" si="1"/>
        <v>-70.8</v>
      </c>
      <c r="CB40" s="24">
        <v>-23.6</v>
      </c>
      <c r="CC40" s="24">
        <v>-28.1</v>
      </c>
      <c r="CD40" s="24">
        <v>-23.9</v>
      </c>
      <c r="CE40" s="24">
        <v>-31.1</v>
      </c>
      <c r="CF40" s="24">
        <f t="shared" si="32"/>
        <v>-106.69999999999999</v>
      </c>
      <c r="CG40" s="24">
        <v>-21.3</v>
      </c>
      <c r="CH40" s="24">
        <v>-27.4</v>
      </c>
      <c r="CI40" s="24">
        <v>-23</v>
      </c>
      <c r="CJ40" s="24">
        <v>-32.1</v>
      </c>
      <c r="CK40" s="91">
        <f t="shared" si="2"/>
        <v>-103.80000000000001</v>
      </c>
      <c r="CL40" s="91">
        <v>-15.7</v>
      </c>
      <c r="CM40" s="91">
        <v>-18.8</v>
      </c>
      <c r="CN40" s="91"/>
      <c r="CO40" s="91"/>
      <c r="CP40" s="91">
        <v>-12.3</v>
      </c>
      <c r="CQ40" s="91">
        <v>-17.2</v>
      </c>
      <c r="CR40" s="91">
        <f t="shared" si="46"/>
        <v>-64</v>
      </c>
      <c r="CS40" s="91">
        <v>-9.4</v>
      </c>
      <c r="CT40" s="91">
        <v>-16</v>
      </c>
      <c r="CU40" s="91">
        <v>-11.1</v>
      </c>
      <c r="CV40" s="91">
        <v>-21.7</v>
      </c>
      <c r="CW40" s="78">
        <f t="shared" si="60"/>
        <v>-58.2</v>
      </c>
      <c r="CX40" s="78">
        <f t="shared" si="48"/>
        <v>-4.5</v>
      </c>
      <c r="CY40" s="78">
        <f t="shared" si="61"/>
        <v>26.162790697674421</v>
      </c>
      <c r="CZ40" s="24">
        <f t="shared" si="6"/>
        <v>39.799999999999997</v>
      </c>
      <c r="DA40" s="24">
        <f t="shared" si="7"/>
        <v>-38.342967244701342</v>
      </c>
      <c r="DB40" s="9"/>
      <c r="DC40" s="11"/>
      <c r="DD40" s="71"/>
      <c r="DE40" s="3"/>
      <c r="DF40" s="3"/>
      <c r="DG40" s="3"/>
    </row>
    <row r="41" spans="1:115" x14ac:dyDescent="0.2">
      <c r="A41" s="91"/>
      <c r="B41" s="91" t="s">
        <v>77</v>
      </c>
      <c r="C41" s="91" t="s">
        <v>78</v>
      </c>
      <c r="D41" s="91"/>
      <c r="E41" s="8"/>
      <c r="F41" s="10"/>
      <c r="G41" s="20"/>
      <c r="H41" s="20"/>
      <c r="I41" s="20"/>
      <c r="J41" s="10"/>
      <c r="K41" s="20"/>
      <c r="L41" s="20"/>
      <c r="M41" s="20"/>
      <c r="N41" s="8"/>
      <c r="O41" s="20"/>
      <c r="P41" s="20"/>
      <c r="Q41" s="20"/>
      <c r="R41" s="20"/>
      <c r="S41" s="11">
        <v>14.5</v>
      </c>
      <c r="T41" s="14">
        <v>3.1</v>
      </c>
      <c r="U41" s="14">
        <v>8</v>
      </c>
      <c r="V41" s="11">
        <v>8.5</v>
      </c>
      <c r="W41" s="14"/>
      <c r="X41" s="11">
        <f>SUM(S41:V41)</f>
        <v>34.1</v>
      </c>
      <c r="Y41" s="14"/>
      <c r="Z41" s="24">
        <v>12.6</v>
      </c>
      <c r="AA41" s="14">
        <v>5.2927999999999997</v>
      </c>
      <c r="AB41" s="14">
        <v>8.5</v>
      </c>
      <c r="AC41" s="11">
        <v>8.4</v>
      </c>
      <c r="AD41" s="14"/>
      <c r="AE41" s="11">
        <f t="shared" si="62"/>
        <v>34.7928</v>
      </c>
      <c r="AF41" s="14"/>
      <c r="AG41" s="11">
        <v>7.02</v>
      </c>
      <c r="AH41" s="14">
        <v>7.43</v>
      </c>
      <c r="AI41" s="14">
        <v>7.74</v>
      </c>
      <c r="AJ41" s="25">
        <v>8.0299999999999994</v>
      </c>
      <c r="AK41" s="11">
        <f t="shared" si="52"/>
        <v>30.22</v>
      </c>
      <c r="AL41" s="58">
        <v>30.1</v>
      </c>
      <c r="AM41" s="25">
        <v>6.6</v>
      </c>
      <c r="AN41" s="14">
        <v>8</v>
      </c>
      <c r="AO41" s="14">
        <v>7.7</v>
      </c>
      <c r="AP41" s="14">
        <v>6.8</v>
      </c>
      <c r="AQ41" s="11">
        <f t="shared" si="53"/>
        <v>29.1</v>
      </c>
      <c r="AR41" s="14">
        <v>6.6</v>
      </c>
      <c r="AS41" s="14">
        <v>10</v>
      </c>
      <c r="AT41" s="14">
        <v>0</v>
      </c>
      <c r="AU41" s="14">
        <v>6.1</v>
      </c>
      <c r="AV41" s="11">
        <f t="shared" si="54"/>
        <v>22.700000000000003</v>
      </c>
      <c r="AW41" s="14">
        <v>6.3</v>
      </c>
      <c r="AX41" s="25">
        <v>7.3</v>
      </c>
      <c r="AY41" s="25">
        <v>7.2</v>
      </c>
      <c r="AZ41" s="25">
        <v>5.2</v>
      </c>
      <c r="BA41" s="11">
        <f t="shared" si="55"/>
        <v>26</v>
      </c>
      <c r="BB41" s="11">
        <v>5</v>
      </c>
      <c r="BC41" s="11">
        <v>7.8</v>
      </c>
      <c r="BD41" s="11">
        <v>6.1</v>
      </c>
      <c r="BE41" s="11">
        <v>5.9</v>
      </c>
      <c r="BF41" s="11">
        <f t="shared" si="28"/>
        <v>24.799999999999997</v>
      </c>
      <c r="BG41" s="11">
        <v>6.5</v>
      </c>
      <c r="BH41" s="11">
        <v>4.8</v>
      </c>
      <c r="BI41" s="11">
        <v>8</v>
      </c>
      <c r="BJ41" s="11">
        <v>4.4000000000000004</v>
      </c>
      <c r="BK41" s="11">
        <f t="shared" si="29"/>
        <v>23.700000000000003</v>
      </c>
      <c r="BL41" s="11">
        <v>5.8</v>
      </c>
      <c r="BM41" s="11">
        <v>7.3</v>
      </c>
      <c r="BN41" s="11">
        <v>5.6</v>
      </c>
      <c r="BO41" s="11">
        <v>5.7</v>
      </c>
      <c r="BP41" s="11">
        <f t="shared" si="30"/>
        <v>24.4</v>
      </c>
      <c r="BQ41" s="11">
        <v>6.5</v>
      </c>
      <c r="BR41" s="11">
        <v>8.1999999999999993</v>
      </c>
      <c r="BS41" s="11">
        <v>5.4</v>
      </c>
      <c r="BT41" s="11">
        <v>4.8</v>
      </c>
      <c r="BU41" s="11">
        <f t="shared" si="56"/>
        <v>0.70000000000000018</v>
      </c>
      <c r="BV41" s="11">
        <f t="shared" si="0"/>
        <v>14.7</v>
      </c>
      <c r="BW41" s="11">
        <f t="shared" si="31"/>
        <v>20.100000000000001</v>
      </c>
      <c r="BX41" s="11">
        <f t="shared" si="57"/>
        <v>0.89999999999999947</v>
      </c>
      <c r="BY41" s="11">
        <f t="shared" si="58"/>
        <v>12.068965517241383</v>
      </c>
      <c r="BZ41" s="11">
        <f t="shared" si="59"/>
        <v>12.328767123287664</v>
      </c>
      <c r="CA41" s="11">
        <f t="shared" si="1"/>
        <v>24.900000000000002</v>
      </c>
      <c r="CB41" s="11">
        <v>5.6</v>
      </c>
      <c r="CC41" s="11">
        <v>5.7</v>
      </c>
      <c r="CD41" s="11">
        <v>5.0999999999999996</v>
      </c>
      <c r="CE41" s="11">
        <v>5.3</v>
      </c>
      <c r="CF41" s="11">
        <f t="shared" si="32"/>
        <v>21.7</v>
      </c>
      <c r="CG41" s="11">
        <v>6.2</v>
      </c>
      <c r="CH41" s="11">
        <v>5.8</v>
      </c>
      <c r="CI41" s="11">
        <v>4.7</v>
      </c>
      <c r="CJ41" s="11">
        <v>5.0999999999999996</v>
      </c>
      <c r="CK41" s="91">
        <f t="shared" si="2"/>
        <v>21.799999999999997</v>
      </c>
      <c r="CL41" s="91">
        <v>5.2</v>
      </c>
      <c r="CM41" s="91">
        <v>6.2</v>
      </c>
      <c r="CN41" s="91"/>
      <c r="CO41" s="91"/>
      <c r="CP41" s="91">
        <v>5.4</v>
      </c>
      <c r="CQ41" s="91">
        <v>5.2</v>
      </c>
      <c r="CR41" s="91">
        <f t="shared" si="46"/>
        <v>22</v>
      </c>
      <c r="CS41" s="91">
        <v>4.8</v>
      </c>
      <c r="CT41" s="91">
        <v>7</v>
      </c>
      <c r="CU41" s="91">
        <v>4.5</v>
      </c>
      <c r="CV41" s="91">
        <v>5.6</v>
      </c>
      <c r="CW41" s="78">
        <f t="shared" si="60"/>
        <v>21.9</v>
      </c>
      <c r="CX41" s="78">
        <f t="shared" si="48"/>
        <v>0.39999999999999947</v>
      </c>
      <c r="CY41" s="78">
        <f t="shared" si="61"/>
        <v>7.6923076923076819</v>
      </c>
      <c r="CZ41" s="11">
        <f t="shared" si="6"/>
        <v>0.20000000000000018</v>
      </c>
      <c r="DA41" s="11">
        <f t="shared" si="7"/>
        <v>0.9174311926605514</v>
      </c>
      <c r="DB41" s="9"/>
      <c r="DC41" s="11"/>
      <c r="DD41" s="71"/>
      <c r="DE41" s="3"/>
      <c r="DF41" s="3"/>
      <c r="DG41" s="3"/>
    </row>
    <row r="42" spans="1:115" x14ac:dyDescent="0.2">
      <c r="A42" s="91"/>
      <c r="B42" s="91" t="s">
        <v>83</v>
      </c>
      <c r="C42" s="91" t="s">
        <v>84</v>
      </c>
      <c r="D42" s="91"/>
      <c r="E42" s="8"/>
      <c r="F42" s="10"/>
      <c r="G42" s="20"/>
      <c r="H42" s="20"/>
      <c r="I42" s="20"/>
      <c r="J42" s="10"/>
      <c r="K42" s="20"/>
      <c r="L42" s="20"/>
      <c r="M42" s="20"/>
      <c r="N42" s="8"/>
      <c r="O42" s="20"/>
      <c r="P42" s="20"/>
      <c r="Q42" s="20"/>
      <c r="R42" s="20"/>
      <c r="S42" s="11">
        <v>6.2</v>
      </c>
      <c r="T42" s="14">
        <v>1.3</v>
      </c>
      <c r="U42" s="14">
        <v>3.4</v>
      </c>
      <c r="V42" s="11">
        <v>3.6</v>
      </c>
      <c r="W42" s="14"/>
      <c r="X42" s="11">
        <f>SUM(S42:V42)</f>
        <v>14.5</v>
      </c>
      <c r="Y42" s="14"/>
      <c r="Z42" s="24">
        <v>5.3</v>
      </c>
      <c r="AA42" s="14">
        <v>2.2529430000000001</v>
      </c>
      <c r="AB42" s="14">
        <v>3.6</v>
      </c>
      <c r="AC42" s="11">
        <v>3.6</v>
      </c>
      <c r="AD42" s="14"/>
      <c r="AE42" s="11">
        <f t="shared" si="62"/>
        <v>14.752943</v>
      </c>
      <c r="AF42" s="14"/>
      <c r="AG42" s="11">
        <v>3</v>
      </c>
      <c r="AH42" s="14">
        <v>3.2</v>
      </c>
      <c r="AI42" s="14">
        <v>3.3</v>
      </c>
      <c r="AJ42" s="25">
        <v>3.4</v>
      </c>
      <c r="AK42" s="11">
        <f t="shared" si="52"/>
        <v>12.9</v>
      </c>
      <c r="AL42" s="58">
        <v>12.5</v>
      </c>
      <c r="AM42" s="25">
        <v>2.8</v>
      </c>
      <c r="AN42" s="14">
        <v>3.4</v>
      </c>
      <c r="AO42" s="14">
        <v>3.3</v>
      </c>
      <c r="AP42" s="14">
        <v>2.9</v>
      </c>
      <c r="AQ42" s="11">
        <f t="shared" si="53"/>
        <v>12.4</v>
      </c>
      <c r="AR42" s="14">
        <v>2.8</v>
      </c>
      <c r="AS42" s="14">
        <v>4.3</v>
      </c>
      <c r="AT42" s="14">
        <v>0</v>
      </c>
      <c r="AU42" s="14">
        <v>2.6</v>
      </c>
      <c r="AV42" s="11">
        <f t="shared" si="54"/>
        <v>9.6999999999999993</v>
      </c>
      <c r="AW42" s="14">
        <v>3</v>
      </c>
      <c r="AX42" s="25">
        <v>3.1</v>
      </c>
      <c r="AY42" s="25">
        <v>3.1</v>
      </c>
      <c r="AZ42" s="25">
        <v>2.2000000000000002</v>
      </c>
      <c r="BA42" s="11">
        <f t="shared" si="55"/>
        <v>11.399999999999999</v>
      </c>
      <c r="BB42" s="11">
        <v>2</v>
      </c>
      <c r="BC42" s="11">
        <v>3.3</v>
      </c>
      <c r="BD42" s="11">
        <v>2.6</v>
      </c>
      <c r="BE42" s="11">
        <v>2.5</v>
      </c>
      <c r="BF42" s="11">
        <f t="shared" si="28"/>
        <v>10.4</v>
      </c>
      <c r="BG42" s="11">
        <v>2.8</v>
      </c>
      <c r="BH42" s="11">
        <v>2</v>
      </c>
      <c r="BI42" s="11">
        <v>3.4</v>
      </c>
      <c r="BJ42" s="11">
        <v>1.9</v>
      </c>
      <c r="BK42" s="11">
        <f t="shared" si="29"/>
        <v>10.1</v>
      </c>
      <c r="BL42" s="11">
        <v>2.5</v>
      </c>
      <c r="BM42" s="11">
        <v>3.1</v>
      </c>
      <c r="BN42" s="11">
        <v>2.4</v>
      </c>
      <c r="BO42" s="11">
        <v>2.4</v>
      </c>
      <c r="BP42" s="11">
        <f t="shared" si="30"/>
        <v>10.4</v>
      </c>
      <c r="BQ42" s="11">
        <v>2.8</v>
      </c>
      <c r="BR42" s="11">
        <v>3.5</v>
      </c>
      <c r="BS42" s="11">
        <v>2.2999999999999998</v>
      </c>
      <c r="BT42" s="11">
        <v>2</v>
      </c>
      <c r="BU42" s="11">
        <f t="shared" si="56"/>
        <v>0.29999999999999982</v>
      </c>
      <c r="BV42" s="11">
        <f t="shared" si="0"/>
        <v>6.3</v>
      </c>
      <c r="BW42" s="11">
        <f t="shared" si="31"/>
        <v>8.6</v>
      </c>
      <c r="BX42" s="11">
        <f t="shared" si="57"/>
        <v>0.39999999999999991</v>
      </c>
      <c r="BY42" s="11">
        <f t="shared" si="58"/>
        <v>11.999999999999993</v>
      </c>
      <c r="BZ42" s="11">
        <f t="shared" si="59"/>
        <v>12.90322580645161</v>
      </c>
      <c r="CA42" s="11">
        <f t="shared" si="1"/>
        <v>10.6</v>
      </c>
      <c r="CB42" s="11">
        <v>2.4</v>
      </c>
      <c r="CC42" s="11">
        <v>2.4</v>
      </c>
      <c r="CD42" s="11">
        <v>2.2000000000000002</v>
      </c>
      <c r="CE42" s="11">
        <v>2.2999999999999998</v>
      </c>
      <c r="CF42" s="11">
        <f t="shared" si="32"/>
        <v>9.3000000000000007</v>
      </c>
      <c r="CG42" s="11">
        <v>2.6</v>
      </c>
      <c r="CH42" s="11">
        <v>2.5</v>
      </c>
      <c r="CI42" s="11">
        <v>2</v>
      </c>
      <c r="CJ42" s="11">
        <v>2.2000000000000002</v>
      </c>
      <c r="CK42" s="91">
        <f t="shared" si="2"/>
        <v>9.3000000000000007</v>
      </c>
      <c r="CL42" s="91">
        <v>2.2000000000000002</v>
      </c>
      <c r="CM42" s="91">
        <v>2.5</v>
      </c>
      <c r="CN42" s="91"/>
      <c r="CO42" s="91"/>
      <c r="CP42" s="91">
        <v>2.2999999999999998</v>
      </c>
      <c r="CQ42" s="91">
        <v>2.2000000000000002</v>
      </c>
      <c r="CR42" s="91">
        <f t="shared" si="46"/>
        <v>9.1999999999999993</v>
      </c>
      <c r="CS42" s="91">
        <v>2</v>
      </c>
      <c r="CT42" s="91">
        <v>3</v>
      </c>
      <c r="CU42" s="91">
        <v>1.9</v>
      </c>
      <c r="CV42" s="91">
        <v>2.4</v>
      </c>
      <c r="CW42" s="78">
        <f t="shared" si="60"/>
        <v>9.3000000000000007</v>
      </c>
      <c r="CX42" s="78">
        <f t="shared" si="48"/>
        <v>0.19999999999999973</v>
      </c>
      <c r="CY42" s="78">
        <f t="shared" si="61"/>
        <v>9.0909090909090793</v>
      </c>
      <c r="CZ42" s="11">
        <f t="shared" si="6"/>
        <v>-0.10000000000000053</v>
      </c>
      <c r="DA42" s="11">
        <f t="shared" si="7"/>
        <v>-1.0752688172043068</v>
      </c>
      <c r="DB42" s="9"/>
      <c r="DC42" s="11"/>
      <c r="DD42" s="71"/>
      <c r="DE42" s="3"/>
      <c r="DF42" s="3"/>
      <c r="DG42" s="3"/>
    </row>
    <row r="43" spans="1:115" ht="10.5" customHeight="1" x14ac:dyDescent="0.2">
      <c r="E43" s="8"/>
      <c r="F43" s="10"/>
      <c r="G43" s="20"/>
      <c r="H43" s="17" t="s">
        <v>10</v>
      </c>
      <c r="I43" s="17"/>
      <c r="J43" s="14"/>
      <c r="K43" s="24"/>
      <c r="L43" s="25"/>
      <c r="M43" s="25"/>
      <c r="N43" s="8"/>
      <c r="O43" s="25"/>
      <c r="P43" s="25"/>
      <c r="Q43" s="25"/>
      <c r="R43" s="25"/>
      <c r="S43" s="12"/>
      <c r="T43" s="12"/>
      <c r="U43" s="12"/>
      <c r="V43" s="12"/>
      <c r="W43" s="14"/>
      <c r="X43" s="12" t="str">
        <f>IF(O43="","",(O43+P43+Q43+R43))</f>
        <v/>
      </c>
      <c r="Y43" s="14"/>
      <c r="Z43" s="23"/>
      <c r="AA43" s="39"/>
      <c r="AC43" s="12"/>
      <c r="AD43" s="14"/>
      <c r="AE43" s="12"/>
      <c r="AF43" s="14"/>
      <c r="AG43" s="12"/>
      <c r="AH43" s="39"/>
      <c r="AI43" s="39"/>
      <c r="AJ43" s="29"/>
      <c r="AK43" s="12">
        <f>2980-2886.3</f>
        <v>93.699999999999818</v>
      </c>
      <c r="AL43" s="57" t="s">
        <v>10</v>
      </c>
      <c r="AM43" s="29"/>
      <c r="AN43" s="39"/>
      <c r="AO43" s="39"/>
      <c r="AP43" s="39"/>
      <c r="AQ43" s="12" t="s">
        <v>10</v>
      </c>
      <c r="AR43" s="39"/>
      <c r="AS43" s="39"/>
      <c r="AT43" s="39"/>
      <c r="AU43" s="39"/>
      <c r="AV43" s="12" t="s">
        <v>10</v>
      </c>
      <c r="AW43" s="39"/>
      <c r="AX43" s="29"/>
      <c r="AY43" s="29"/>
      <c r="AZ43" s="29"/>
      <c r="BA43" s="12" t="s">
        <v>10</v>
      </c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91"/>
      <c r="CL43" s="91"/>
      <c r="CM43" s="91"/>
      <c r="CN43" s="91"/>
      <c r="CO43" s="91"/>
      <c r="CP43" s="91"/>
      <c r="CQ43" s="91"/>
      <c r="CR43" s="91"/>
      <c r="CS43" s="91"/>
      <c r="CT43" s="91"/>
      <c r="CU43" s="91"/>
      <c r="CV43" s="91"/>
      <c r="CW43" s="78"/>
      <c r="CX43" s="78"/>
      <c r="CY43" s="78"/>
      <c r="CZ43" s="12"/>
      <c r="DA43" s="12"/>
      <c r="DB43" s="9"/>
      <c r="DC43" s="11"/>
      <c r="DD43" s="71"/>
      <c r="DE43" s="3"/>
      <c r="DF43" s="3"/>
      <c r="DG43" s="3"/>
      <c r="DH43" s="3"/>
      <c r="DI43" s="3"/>
    </row>
    <row r="44" spans="1:115" s="7" customFormat="1" x14ac:dyDescent="0.2">
      <c r="A44" s="92">
        <v>4</v>
      </c>
      <c r="B44" s="92" t="s">
        <v>27</v>
      </c>
      <c r="C44" s="92"/>
      <c r="E44" s="8"/>
      <c r="F44" s="8">
        <f>SUM(F45:F46)</f>
        <v>-2637</v>
      </c>
      <c r="G44" s="17">
        <f>SUM(J44:M44)</f>
        <v>-3395</v>
      </c>
      <c r="H44" s="17">
        <f>SUM(O44:R44)</f>
        <v>-3853</v>
      </c>
      <c r="I44" s="17"/>
      <c r="J44" s="8">
        <f>SUM(J45:J46)</f>
        <v>-664</v>
      </c>
      <c r="K44" s="23">
        <f>SUM(K45:K46)</f>
        <v>-1054</v>
      </c>
      <c r="L44" s="23">
        <f>SUM(L45:L46)</f>
        <v>-632</v>
      </c>
      <c r="M44" s="29">
        <f>SUM(M45:M46)</f>
        <v>-1045</v>
      </c>
      <c r="N44" s="8"/>
      <c r="O44" s="23">
        <f t="shared" ref="O44:U44" si="63">SUM(O45:O46)</f>
        <v>-832</v>
      </c>
      <c r="P44" s="23">
        <f t="shared" si="63"/>
        <v>-1200</v>
      </c>
      <c r="Q44" s="23">
        <f t="shared" si="63"/>
        <v>-705</v>
      </c>
      <c r="R44" s="23">
        <f t="shared" si="63"/>
        <v>-1116</v>
      </c>
      <c r="S44" s="23">
        <f t="shared" si="63"/>
        <v>-867.95540000000005</v>
      </c>
      <c r="T44" s="23">
        <f t="shared" si="63"/>
        <v>-1492.4</v>
      </c>
      <c r="U44" s="23">
        <f t="shared" si="63"/>
        <v>-775.8</v>
      </c>
      <c r="V44" s="23">
        <f>SUM(V45:V46)</f>
        <v>-1300.8</v>
      </c>
      <c r="W44" s="14"/>
      <c r="X44" s="12">
        <f>IF(O44="","",(S44+T44+U44+V44))</f>
        <v>-4436.9554000000007</v>
      </c>
      <c r="Y44" s="14"/>
      <c r="Z44" s="23">
        <f>SUM(Z45:Z46)</f>
        <v>-893.5</v>
      </c>
      <c r="AA44" s="23">
        <f>SUM(AA45:AA46)</f>
        <v>-1455.2115590000001</v>
      </c>
      <c r="AB44" s="23">
        <f>SUM(AB45:AB46)</f>
        <v>-821.5</v>
      </c>
      <c r="AC44" s="23">
        <f>SUM(AC45:AC46)</f>
        <v>-1317</v>
      </c>
      <c r="AD44" s="14"/>
      <c r="AE44" s="12">
        <f>SUM(AE45:AE46)</f>
        <v>-4487.2115590000003</v>
      </c>
      <c r="AF44" s="14"/>
      <c r="AG44" s="23">
        <f>SUM(AG45:AG46)</f>
        <v>-555.79999999999995</v>
      </c>
      <c r="AH44" s="23">
        <f>SUM(AH45:AH46)</f>
        <v>-1014.0999999999999</v>
      </c>
      <c r="AI44" s="23">
        <f>SUM(AI45:AI46)</f>
        <v>-778.9</v>
      </c>
      <c r="AJ44" s="23">
        <f>SUM(AJ45:AJ46)</f>
        <v>-1233.8999999999999</v>
      </c>
      <c r="AK44" s="12">
        <f>+AG44+AH44+AI44+AJ44</f>
        <v>-3582.7</v>
      </c>
      <c r="AL44" s="57">
        <v>-3675.7</v>
      </c>
      <c r="AM44" s="23">
        <f>SUM(AM45:AM46)</f>
        <v>-813.8</v>
      </c>
      <c r="AN44" s="23">
        <f>SUM(AN45:AN46)</f>
        <v>-899.6</v>
      </c>
      <c r="AO44" s="23">
        <f>SUM(AO45:AO46)</f>
        <v>-907.8</v>
      </c>
      <c r="AP44" s="23">
        <f>SUM(AP45:AP46)</f>
        <v>-1383.3000000000002</v>
      </c>
      <c r="AQ44" s="12">
        <f>+AM44+AN44+AO44+AP44</f>
        <v>-4004.5</v>
      </c>
      <c r="AR44" s="23">
        <f>SUM(AR45:AR46)</f>
        <v>-805.2</v>
      </c>
      <c r="AS44" s="23">
        <f>SUM(AS45:AS46)</f>
        <v>-1289.5999999999999</v>
      </c>
      <c r="AT44" s="23">
        <f>SUM(AT45:AT46)</f>
        <v>-792.87699999999995</v>
      </c>
      <c r="AU44" s="23">
        <f>SUM(AU45:AU46)</f>
        <v>-1312.5</v>
      </c>
      <c r="AV44" s="12">
        <f>+AR44+AS44+AT44+AU44</f>
        <v>-4200.1769999999997</v>
      </c>
      <c r="AW44" s="23">
        <f>SUM(AW45:AW46)</f>
        <v>-1259.6000000000001</v>
      </c>
      <c r="AX44" s="23">
        <f>SUM(AX45:AX46)</f>
        <v>-1655</v>
      </c>
      <c r="AY44" s="23">
        <f>SUM(AY45:AY46)</f>
        <v>-1246.2</v>
      </c>
      <c r="AZ44" s="23">
        <f>SUM(AZ45:AZ46)</f>
        <v>-2371.9</v>
      </c>
      <c r="BA44" s="12">
        <f>+AW44+AX44+AY44+AZ44</f>
        <v>-6532.7000000000007</v>
      </c>
      <c r="BB44" s="23">
        <f>SUM(BB45:BB46)</f>
        <v>-907.3</v>
      </c>
      <c r="BC44" s="23">
        <f>SUM(BC45:BC46)</f>
        <v>-1324.9</v>
      </c>
      <c r="BD44" s="23">
        <f>SUM(BD45:BD46)</f>
        <v>-1009.7</v>
      </c>
      <c r="BE44" s="23">
        <f>SUM(BE45:BE46)</f>
        <v>-1316.8</v>
      </c>
      <c r="BF44" s="23">
        <f t="shared" si="28"/>
        <v>-4558.7</v>
      </c>
      <c r="BG44" s="23">
        <f>SUM(BG45:BG46)</f>
        <v>-1151.4000000000001</v>
      </c>
      <c r="BH44" s="23">
        <f>SUM(BH45:BH46)</f>
        <v>-834.7</v>
      </c>
      <c r="BI44" s="23">
        <f>SUM(BI45:BI46)</f>
        <v>-998.19999999999993</v>
      </c>
      <c r="BJ44" s="23">
        <f>SUM(BJ45:BJ46)</f>
        <v>-1708.4</v>
      </c>
      <c r="BK44" s="23">
        <f t="shared" si="29"/>
        <v>-4692.7000000000007</v>
      </c>
      <c r="BL44" s="23">
        <f>SUM(BL45:BL46)</f>
        <v>-862.40000000000009</v>
      </c>
      <c r="BM44" s="23">
        <f>SUM(BM45:BM46)</f>
        <v>-723.30000000000007</v>
      </c>
      <c r="BN44" s="23">
        <f>SUM(BN45:BN46)</f>
        <v>-685.4</v>
      </c>
      <c r="BO44" s="23">
        <f>SUM(BO45:BO46)</f>
        <v>-1013</v>
      </c>
      <c r="BP44" s="23">
        <f t="shared" si="30"/>
        <v>-3284.1000000000004</v>
      </c>
      <c r="BQ44" s="23">
        <f>SUM(BQ45:BQ46)</f>
        <v>-868.2</v>
      </c>
      <c r="BR44" s="23">
        <f>SUM(BR45:BR46)</f>
        <v>-540.79999999999995</v>
      </c>
      <c r="BS44" s="23">
        <f>SUM(BS45:BS46)</f>
        <v>-697.7</v>
      </c>
      <c r="BT44" s="23">
        <f>SUM(BT45:BT46)</f>
        <v>-1200.6000000000001</v>
      </c>
      <c r="BU44" s="23">
        <f>+BQ44-BL44</f>
        <v>-5.7999999999999545</v>
      </c>
      <c r="BV44" s="23">
        <f t="shared" si="0"/>
        <v>-1409</v>
      </c>
      <c r="BW44" s="23">
        <f t="shared" si="31"/>
        <v>-2106.6999999999998</v>
      </c>
      <c r="BX44" s="23">
        <f>+BR44-BM44</f>
        <v>182.50000000000011</v>
      </c>
      <c r="BY44" s="23">
        <f>+BU44/(BL44)*100</f>
        <v>0.67254174397031008</v>
      </c>
      <c r="BZ44" s="23">
        <f>+BX44/(BM44)*100</f>
        <v>-25.231577492050338</v>
      </c>
      <c r="CA44" s="23">
        <f t="shared" si="1"/>
        <v>-3307.3</v>
      </c>
      <c r="CB44" s="23">
        <f>SUM(CB45:CB46)</f>
        <v>-683.5</v>
      </c>
      <c r="CC44" s="23">
        <f>SUM(CC45:CC46)</f>
        <v>-775.3</v>
      </c>
      <c r="CD44" s="23">
        <f>SUM(CD45:CD46)</f>
        <v>-679.1</v>
      </c>
      <c r="CE44" s="23">
        <f>SUM(CE45:CE46)</f>
        <v>-1259.5</v>
      </c>
      <c r="CF44" s="23">
        <f t="shared" si="32"/>
        <v>-3397.4</v>
      </c>
      <c r="CG44" s="23">
        <f>SUM(CG45:CG46)</f>
        <v>-604.90000000000009</v>
      </c>
      <c r="CH44" s="23">
        <f>SUM(CH45:CH46)</f>
        <v>-625.4</v>
      </c>
      <c r="CI44" s="23">
        <f>SUM(CI45:CI46)</f>
        <v>-556.9</v>
      </c>
      <c r="CJ44" s="23">
        <f>SUM(CJ45:CJ46)</f>
        <v>-1178.8</v>
      </c>
      <c r="CK44" s="95">
        <f t="shared" si="2"/>
        <v>-2966</v>
      </c>
      <c r="CL44" s="95">
        <f>SUM(CL45:CL46)</f>
        <v>-609.29999999999995</v>
      </c>
      <c r="CM44" s="95">
        <f>SUM(CM45:CM46)</f>
        <v>-657.4</v>
      </c>
      <c r="CN44" s="95"/>
      <c r="CO44" s="95"/>
      <c r="CP44" s="95">
        <f>SUM(CP45:CP46)</f>
        <v>-511</v>
      </c>
      <c r="CQ44" s="95">
        <f>SUM(CQ45:CQ46)</f>
        <v>-1054.8</v>
      </c>
      <c r="CR44" s="95">
        <f t="shared" si="46"/>
        <v>-2832.5</v>
      </c>
      <c r="CS44" s="95">
        <f>SUM(CS45:CS46)</f>
        <v>-511.2</v>
      </c>
      <c r="CT44" s="95">
        <f>SUM(CT45:CT46)</f>
        <v>-701.30000000000007</v>
      </c>
      <c r="CU44" s="95">
        <f>SUM(CU45:CU46)</f>
        <v>-483.79999999999995</v>
      </c>
      <c r="CV44" s="95">
        <f>SUM(CV45:CV46)</f>
        <v>-871.80000000000007</v>
      </c>
      <c r="CW44" s="78">
        <f t="shared" si="60"/>
        <v>-2568.1</v>
      </c>
      <c r="CX44" s="78">
        <f t="shared" si="48"/>
        <v>182.99999999999989</v>
      </c>
      <c r="CY44" s="78">
        <f t="shared" si="61"/>
        <v>-17.349260523321945</v>
      </c>
      <c r="CZ44" s="23">
        <f t="shared" si="6"/>
        <v>133.50000000000023</v>
      </c>
      <c r="DA44" s="23">
        <f t="shared" si="7"/>
        <v>-4.5010114632501761</v>
      </c>
      <c r="DB44" s="9"/>
      <c r="DC44" s="11"/>
      <c r="DD44" s="71"/>
      <c r="DE44" s="9"/>
      <c r="DF44" s="9"/>
      <c r="DG44" s="9"/>
    </row>
    <row r="45" spans="1:115" x14ac:dyDescent="0.2">
      <c r="B45" s="91" t="s">
        <v>28</v>
      </c>
      <c r="C45" s="91" t="s">
        <v>29</v>
      </c>
      <c r="E45" s="8"/>
      <c r="F45" s="10">
        <v>-1757</v>
      </c>
      <c r="G45" s="20">
        <f>SUM(J45:M45)</f>
        <v>-2049</v>
      </c>
      <c r="H45" s="20">
        <v>-2389</v>
      </c>
      <c r="I45" s="20"/>
      <c r="J45" s="10">
        <v>-517</v>
      </c>
      <c r="K45" s="20">
        <v>-451</v>
      </c>
      <c r="L45" s="20">
        <v>-460</v>
      </c>
      <c r="M45" s="20">
        <v>-621</v>
      </c>
      <c r="N45" s="8"/>
      <c r="O45" s="20">
        <v>-428</v>
      </c>
      <c r="P45" s="20">
        <v>-759</v>
      </c>
      <c r="Q45" s="20">
        <v>-467</v>
      </c>
      <c r="R45" s="20">
        <v>-744</v>
      </c>
      <c r="S45" s="11">
        <v>-412.2</v>
      </c>
      <c r="T45" s="14">
        <v>-743.4</v>
      </c>
      <c r="U45" s="25">
        <v>-447.7</v>
      </c>
      <c r="V45" s="11">
        <v>-778.5</v>
      </c>
      <c r="W45" s="14"/>
      <c r="X45" s="11">
        <f>IF(O45="","",(S45+T45+U45+V45))</f>
        <v>-2381.8000000000002</v>
      </c>
      <c r="Y45" s="14"/>
      <c r="Z45" s="24">
        <v>-409.6</v>
      </c>
      <c r="AA45" s="14">
        <v>-680.7</v>
      </c>
      <c r="AB45" s="14">
        <v>-425.3</v>
      </c>
      <c r="AC45" s="11">
        <v>-719.4</v>
      </c>
      <c r="AD45" s="14"/>
      <c r="AE45" s="11">
        <f>SUM(Z45:AC45)</f>
        <v>-2235</v>
      </c>
      <c r="AF45" s="14"/>
      <c r="AG45" s="11">
        <v>-424.9</v>
      </c>
      <c r="AH45" s="14">
        <v>-795.8</v>
      </c>
      <c r="AI45" s="14">
        <v>-541</v>
      </c>
      <c r="AJ45" s="25">
        <v>-1124.5999999999999</v>
      </c>
      <c r="AK45" s="11">
        <f>+AG45+AH45+AI45+AJ45</f>
        <v>-2886.2999999999997</v>
      </c>
      <c r="AL45" s="58">
        <v>-2979.7</v>
      </c>
      <c r="AM45" s="25">
        <v>-675.4</v>
      </c>
      <c r="AN45" s="14">
        <v>-761.2</v>
      </c>
      <c r="AO45" s="14">
        <v>-766.8</v>
      </c>
      <c r="AP45" s="14">
        <f>-1066.4-89</f>
        <v>-1155.4000000000001</v>
      </c>
      <c r="AQ45" s="11">
        <f>+AM45+AN45+AO45+AP45</f>
        <v>-3358.7999999999997</v>
      </c>
      <c r="AR45" s="14">
        <v>-738</v>
      </c>
      <c r="AS45" s="14">
        <v>-1224</v>
      </c>
      <c r="AT45" s="14">
        <v>-719</v>
      </c>
      <c r="AU45" s="14">
        <v>-1280</v>
      </c>
      <c r="AV45" s="11">
        <f>+AR45+AS45+AT45+AU45</f>
        <v>-3961</v>
      </c>
      <c r="AW45" s="14">
        <f>-824.9-400</f>
        <v>-1224.9000000000001</v>
      </c>
      <c r="AX45" s="25">
        <f>-1901.5+400</f>
        <v>-1501.5</v>
      </c>
      <c r="AY45" s="25">
        <v>-1180.9000000000001</v>
      </c>
      <c r="AZ45" s="25">
        <v>-2313.3000000000002</v>
      </c>
      <c r="BA45" s="11">
        <f>+AW45+AX45+AY45+AZ45</f>
        <v>-6220.6</v>
      </c>
      <c r="BB45" s="11">
        <v>-862.5</v>
      </c>
      <c r="BC45" s="11">
        <v>-1243.9000000000001</v>
      </c>
      <c r="BD45" s="11">
        <v>-940.6</v>
      </c>
      <c r="BE45" s="11">
        <v>-1268</v>
      </c>
      <c r="BF45" s="11">
        <f t="shared" si="28"/>
        <v>-4315</v>
      </c>
      <c r="BG45" s="11">
        <v>-1071.9000000000001</v>
      </c>
      <c r="BH45" s="11">
        <v>-761.7</v>
      </c>
      <c r="BI45" s="11">
        <v>-927.3</v>
      </c>
      <c r="BJ45" s="11">
        <v>-1638.2</v>
      </c>
      <c r="BK45" s="11">
        <f t="shared" si="29"/>
        <v>-4399.1000000000004</v>
      </c>
      <c r="BL45" s="11">
        <v>-814.7</v>
      </c>
      <c r="BM45" s="11">
        <v>-594.70000000000005</v>
      </c>
      <c r="BN45" s="11">
        <v>-608.79999999999995</v>
      </c>
      <c r="BO45" s="11">
        <v>-911</v>
      </c>
      <c r="BP45" s="11">
        <f t="shared" si="30"/>
        <v>-2929.2</v>
      </c>
      <c r="BQ45" s="11">
        <v>-779.1</v>
      </c>
      <c r="BR45" s="11">
        <v>-456.7</v>
      </c>
      <c r="BS45" s="11">
        <v>-607.6</v>
      </c>
      <c r="BT45" s="11">
        <v>-1167.7</v>
      </c>
      <c r="BU45" s="11">
        <f>+BQ45-BL45</f>
        <v>35.600000000000023</v>
      </c>
      <c r="BV45" s="11">
        <f t="shared" si="0"/>
        <v>-1235.8</v>
      </c>
      <c r="BW45" s="11">
        <f t="shared" si="31"/>
        <v>-1843.4</v>
      </c>
      <c r="BX45" s="11">
        <f>+BR45-BM45</f>
        <v>138.00000000000006</v>
      </c>
      <c r="BY45" s="11">
        <f>+BU45/(BL45)*100</f>
        <v>-4.3697066404811613</v>
      </c>
      <c r="BZ45" s="11">
        <f>+BX45/(BM45)*100</f>
        <v>-23.204977299478738</v>
      </c>
      <c r="CA45" s="11">
        <f t="shared" si="1"/>
        <v>-3011.1000000000004</v>
      </c>
      <c r="CB45" s="11">
        <v>-603.9</v>
      </c>
      <c r="CC45" s="11">
        <v>-695.9</v>
      </c>
      <c r="CD45" s="11">
        <v>-631.6</v>
      </c>
      <c r="CE45" s="11">
        <v>-1134.8</v>
      </c>
      <c r="CF45" s="11">
        <f t="shared" si="32"/>
        <v>-3066.2</v>
      </c>
      <c r="CG45" s="11">
        <v>-548.70000000000005</v>
      </c>
      <c r="CH45" s="11">
        <v>-536.5</v>
      </c>
      <c r="CI45" s="11">
        <v>-540.5</v>
      </c>
      <c r="CJ45" s="11">
        <v>-1051.7</v>
      </c>
      <c r="CK45" s="91">
        <f t="shared" si="2"/>
        <v>-2677.4</v>
      </c>
      <c r="CL45" s="91">
        <v>-554.4</v>
      </c>
      <c r="CM45" s="91">
        <v>-553.4</v>
      </c>
      <c r="CN45" s="91"/>
      <c r="CO45" s="91"/>
      <c r="CP45" s="91">
        <v>-429</v>
      </c>
      <c r="CQ45" s="91">
        <v>-982.5</v>
      </c>
      <c r="CR45" s="91">
        <f t="shared" si="46"/>
        <v>-2519.3000000000002</v>
      </c>
      <c r="CS45" s="91">
        <v>-454.4</v>
      </c>
      <c r="CT45" s="91">
        <v>-653.1</v>
      </c>
      <c r="CU45" s="91">
        <v>-375.2</v>
      </c>
      <c r="CV45" s="91">
        <v>-769.7</v>
      </c>
      <c r="CW45" s="78">
        <f t="shared" si="60"/>
        <v>-2252.4</v>
      </c>
      <c r="CX45" s="78">
        <f t="shared" si="48"/>
        <v>212.79999999999995</v>
      </c>
      <c r="CY45" s="78">
        <f t="shared" si="61"/>
        <v>-21.659033078880402</v>
      </c>
      <c r="CZ45" s="11">
        <f t="shared" si="6"/>
        <v>158.09999999999991</v>
      </c>
      <c r="DA45" s="11">
        <f t="shared" si="7"/>
        <v>-5.9049824456562305</v>
      </c>
      <c r="DB45" s="9"/>
      <c r="DC45" s="11"/>
      <c r="DD45" s="71"/>
      <c r="DE45" s="3"/>
      <c r="DF45" s="3"/>
      <c r="DG45" s="3"/>
    </row>
    <row r="46" spans="1:115" x14ac:dyDescent="0.2">
      <c r="B46" s="91" t="s">
        <v>30</v>
      </c>
      <c r="C46" s="91" t="s">
        <v>31</v>
      </c>
      <c r="E46" s="8"/>
      <c r="F46" s="10">
        <v>-880</v>
      </c>
      <c r="G46" s="20">
        <f>SUM(J46:M46)</f>
        <v>-1346</v>
      </c>
      <c r="H46" s="20">
        <v>-1675</v>
      </c>
      <c r="I46" s="20"/>
      <c r="J46" s="10">
        <v>-147</v>
      </c>
      <c r="K46" s="20">
        <v>-603</v>
      </c>
      <c r="L46" s="20">
        <v>-172</v>
      </c>
      <c r="M46" s="20">
        <v>-424</v>
      </c>
      <c r="N46" s="8"/>
      <c r="O46" s="20">
        <v>-404</v>
      </c>
      <c r="P46" s="20">
        <v>-441</v>
      </c>
      <c r="Q46" s="20">
        <v>-238</v>
      </c>
      <c r="R46" s="20">
        <v>-372</v>
      </c>
      <c r="S46" s="11">
        <v>-455.75540000000001</v>
      </c>
      <c r="T46" s="14">
        <v>-749</v>
      </c>
      <c r="U46" s="25">
        <v>-328.1</v>
      </c>
      <c r="V46" s="11">
        <v>-522.29999999999995</v>
      </c>
      <c r="W46" s="14"/>
      <c r="X46" s="11">
        <f>IF(O46="","",(S46+T46+U46+V46))</f>
        <v>-2055.1553999999996</v>
      </c>
      <c r="Y46" s="14"/>
      <c r="Z46" s="24">
        <v>-483.9</v>
      </c>
      <c r="AA46" s="14">
        <v>-774.51155900000003</v>
      </c>
      <c r="AB46" s="25">
        <v>-396.2</v>
      </c>
      <c r="AC46" s="11">
        <v>-597.6</v>
      </c>
      <c r="AD46" s="14"/>
      <c r="AE46" s="11">
        <f>SUM(Z46:AC46)</f>
        <v>-2252.2115590000003</v>
      </c>
      <c r="AF46" s="14"/>
      <c r="AG46" s="11">
        <v>-130.9</v>
      </c>
      <c r="AH46" s="14">
        <v>-218.3</v>
      </c>
      <c r="AI46" s="14">
        <v>-237.9</v>
      </c>
      <c r="AJ46" s="25">
        <v>-109.3</v>
      </c>
      <c r="AK46" s="11">
        <f>+AG46+AH46+AI46+AJ46</f>
        <v>-696.4</v>
      </c>
      <c r="AL46" s="58">
        <v>-696</v>
      </c>
      <c r="AM46" s="25">
        <v>-138.4</v>
      </c>
      <c r="AN46" s="14">
        <v>-138.4</v>
      </c>
      <c r="AO46" s="14">
        <v>-141</v>
      </c>
      <c r="AP46" s="14">
        <v>-227.9</v>
      </c>
      <c r="AQ46" s="11">
        <f>+AM46+AN46+AO46+AP46</f>
        <v>-645.70000000000005</v>
      </c>
      <c r="AR46" s="14">
        <v>-67.2</v>
      </c>
      <c r="AS46" s="14">
        <v>-65.599999999999994</v>
      </c>
      <c r="AT46" s="14">
        <v>-73.876999999999995</v>
      </c>
      <c r="AU46" s="14">
        <v>-32.5</v>
      </c>
      <c r="AV46" s="11">
        <f>+AR46+AS46+AT46+AU46</f>
        <v>-239.17700000000002</v>
      </c>
      <c r="AW46" s="14">
        <v>-34.700000000000003</v>
      </c>
      <c r="AX46" s="25">
        <v>-153.5</v>
      </c>
      <c r="AY46" s="25">
        <v>-65.3</v>
      </c>
      <c r="AZ46" s="25">
        <v>-58.6</v>
      </c>
      <c r="BA46" s="11">
        <f>+AW46+AX46+AY46+AZ46</f>
        <v>-312.10000000000002</v>
      </c>
      <c r="BB46" s="11">
        <v>-44.8</v>
      </c>
      <c r="BC46" s="11">
        <v>-81</v>
      </c>
      <c r="BD46" s="11">
        <v>-69.099999999999994</v>
      </c>
      <c r="BE46" s="11">
        <v>-48.8</v>
      </c>
      <c r="BF46" s="11">
        <f t="shared" si="28"/>
        <v>-243.7</v>
      </c>
      <c r="BG46" s="11">
        <v>-79.5</v>
      </c>
      <c r="BH46" s="11">
        <v>-73</v>
      </c>
      <c r="BI46" s="11">
        <v>-70.900000000000006</v>
      </c>
      <c r="BJ46" s="11">
        <v>-70.2</v>
      </c>
      <c r="BK46" s="11">
        <f t="shared" si="29"/>
        <v>-293.60000000000002</v>
      </c>
      <c r="BL46" s="11">
        <v>-47.7</v>
      </c>
      <c r="BM46" s="11">
        <v>-128.6</v>
      </c>
      <c r="BN46" s="11">
        <v>-76.599999999999994</v>
      </c>
      <c r="BO46" s="11">
        <v>-102</v>
      </c>
      <c r="BP46" s="11">
        <f t="shared" si="30"/>
        <v>-354.9</v>
      </c>
      <c r="BQ46" s="11">
        <v>-89.1</v>
      </c>
      <c r="BR46" s="11">
        <f>-76.1-8</f>
        <v>-84.1</v>
      </c>
      <c r="BS46" s="11">
        <v>-90.1</v>
      </c>
      <c r="BT46" s="11">
        <v>-32.9</v>
      </c>
      <c r="BU46" s="11">
        <f>+BQ46-BL46</f>
        <v>-41.399999999999991</v>
      </c>
      <c r="BV46" s="11">
        <f t="shared" si="0"/>
        <v>-173.2</v>
      </c>
      <c r="BW46" s="11">
        <f t="shared" si="31"/>
        <v>-263.29999999999995</v>
      </c>
      <c r="BX46" s="11">
        <f>+BR46-BM46</f>
        <v>44.5</v>
      </c>
      <c r="BY46" s="11">
        <f>+BU46/(BL46)*100</f>
        <v>86.792452830188665</v>
      </c>
      <c r="BZ46" s="11">
        <f>+BX46/(BM46)*100</f>
        <v>-34.603421461897362</v>
      </c>
      <c r="CA46" s="11">
        <f t="shared" si="1"/>
        <v>-296.19999999999993</v>
      </c>
      <c r="CB46" s="11">
        <v>-79.599999999999994</v>
      </c>
      <c r="CC46" s="11">
        <v>-79.400000000000006</v>
      </c>
      <c r="CD46" s="11">
        <v>-47.5</v>
      </c>
      <c r="CE46" s="11">
        <v>-124.7</v>
      </c>
      <c r="CF46" s="11">
        <f t="shared" si="32"/>
        <v>-331.2</v>
      </c>
      <c r="CG46" s="11">
        <v>-56.2</v>
      </c>
      <c r="CH46" s="11">
        <v>-88.9</v>
      </c>
      <c r="CI46" s="11">
        <v>-16.399999999999999</v>
      </c>
      <c r="CJ46" s="11">
        <v>-127.1</v>
      </c>
      <c r="CK46" s="91">
        <f t="shared" si="2"/>
        <v>-288.60000000000002</v>
      </c>
      <c r="CL46" s="91">
        <v>-54.9</v>
      </c>
      <c r="CM46" s="91">
        <v>-104</v>
      </c>
      <c r="CN46" s="91"/>
      <c r="CO46" s="91"/>
      <c r="CP46" s="91">
        <v>-82</v>
      </c>
      <c r="CQ46" s="91">
        <v>-72.3</v>
      </c>
      <c r="CR46" s="91">
        <f t="shared" si="46"/>
        <v>-313.2</v>
      </c>
      <c r="CS46" s="91">
        <v>-56.8</v>
      </c>
      <c r="CT46" s="91">
        <v>-48.2</v>
      </c>
      <c r="CU46" s="91">
        <v>-108.6</v>
      </c>
      <c r="CV46" s="91">
        <v>-102.1</v>
      </c>
      <c r="CW46" s="78">
        <f t="shared" si="60"/>
        <v>-315.7</v>
      </c>
      <c r="CX46" s="78">
        <f t="shared" si="48"/>
        <v>-29.799999999999997</v>
      </c>
      <c r="CY46" s="78">
        <f t="shared" si="61"/>
        <v>41.217150760719221</v>
      </c>
      <c r="CZ46" s="11">
        <f t="shared" si="6"/>
        <v>-24.599999999999994</v>
      </c>
      <c r="DA46" s="11">
        <f t="shared" si="7"/>
        <v>8.5239085239085224</v>
      </c>
      <c r="DB46" s="3"/>
      <c r="DC46" s="11"/>
      <c r="DD46" s="71"/>
      <c r="DE46" s="3"/>
      <c r="DF46" s="3"/>
      <c r="DG46" s="3"/>
    </row>
    <row r="47" spans="1:115" ht="9" customHeight="1" x14ac:dyDescent="0.2">
      <c r="E47" s="8"/>
      <c r="F47" s="8"/>
      <c r="G47" s="17"/>
      <c r="H47" s="17" t="s">
        <v>10</v>
      </c>
      <c r="I47" s="17"/>
      <c r="J47" s="10"/>
      <c r="K47" s="24"/>
      <c r="L47" s="24"/>
      <c r="N47" s="8"/>
      <c r="O47" s="22"/>
      <c r="P47" s="22"/>
      <c r="Q47" s="24"/>
      <c r="R47" s="24"/>
      <c r="S47" s="12"/>
      <c r="T47" s="12"/>
      <c r="U47" s="12"/>
      <c r="V47" s="12"/>
      <c r="W47" s="14"/>
      <c r="X47" s="12" t="str">
        <f>IF(O47="","",(O47+P47+Q47+R47))</f>
        <v/>
      </c>
      <c r="Y47" s="14"/>
      <c r="Z47" s="23"/>
      <c r="AA47" s="39"/>
      <c r="AC47" s="12"/>
      <c r="AD47" s="14"/>
      <c r="AE47" s="12" t="str">
        <f>IF(Y47="","",(Y47+Z47+AA47+AB47))</f>
        <v/>
      </c>
      <c r="AF47" s="14"/>
      <c r="AG47" s="12"/>
      <c r="AH47" s="39"/>
      <c r="AI47" s="39"/>
      <c r="AJ47" s="29"/>
      <c r="AK47" s="12" t="s">
        <v>10</v>
      </c>
      <c r="AL47" s="57" t="s">
        <v>10</v>
      </c>
      <c r="AM47" s="29"/>
      <c r="AN47" s="39"/>
      <c r="AO47" s="39"/>
      <c r="AP47" s="39"/>
      <c r="AQ47" s="12" t="s">
        <v>10</v>
      </c>
      <c r="AR47" s="39"/>
      <c r="AS47" s="39"/>
      <c r="AT47" s="39"/>
      <c r="AU47" s="39"/>
      <c r="AV47" s="12" t="s">
        <v>10</v>
      </c>
      <c r="AW47" s="39"/>
      <c r="AX47" s="29"/>
      <c r="AY47" s="29"/>
      <c r="AZ47" s="29"/>
      <c r="BA47" s="12" t="s">
        <v>10</v>
      </c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91"/>
      <c r="CL47" s="91"/>
      <c r="CM47" s="91"/>
      <c r="CN47" s="91"/>
      <c r="CO47" s="91"/>
      <c r="CP47" s="91"/>
      <c r="CQ47" s="91"/>
      <c r="CR47" s="91"/>
      <c r="CS47" s="91"/>
      <c r="CT47" s="91"/>
      <c r="CU47" s="91"/>
      <c r="CV47" s="91"/>
      <c r="CW47" s="78"/>
      <c r="CX47" s="78"/>
      <c r="CY47" s="78"/>
      <c r="CZ47" s="12"/>
      <c r="DA47" s="12"/>
      <c r="DB47" s="3"/>
      <c r="DC47" s="11"/>
      <c r="DD47" s="71"/>
      <c r="DE47" s="3"/>
      <c r="DF47" s="3"/>
      <c r="DG47" s="3"/>
    </row>
    <row r="48" spans="1:115" hidden="1" x14ac:dyDescent="0.2">
      <c r="C48" s="43" t="s">
        <v>61</v>
      </c>
      <c r="D48" s="41"/>
      <c r="E48" s="17"/>
      <c r="F48" s="40">
        <f>IF((F21+F24+F36+F44)="","",(F21+F24+F36+F44))</f>
        <v>41983</v>
      </c>
      <c r="G48" s="40">
        <f>IF((G21+G24+G36+G44)="","",(G21+G24+G36+G44))</f>
        <v>39449.342000000004</v>
      </c>
      <c r="H48" s="40">
        <f>IF((H21+H24+H36+H44)="","",(H21+H24+H36+H44))</f>
        <v>37715</v>
      </c>
      <c r="I48" s="17"/>
      <c r="J48" s="40">
        <f>IF((J21+J24+J36+J44)="","",(J21+J24+J36+J44))</f>
        <v>7679</v>
      </c>
      <c r="K48" s="40">
        <f>IF((K21+K24+K36+K44)="","",(K21+K24+K36+K44))</f>
        <v>10737.791999999999</v>
      </c>
      <c r="L48" s="40">
        <f>IF((L21+L24+L36+L44)="","",(L21+L24+L36+L44))</f>
        <v>8828.0329999999994</v>
      </c>
      <c r="M48" s="40">
        <f>IF((M21+M24+M36+M44)="","",(M21+M24+M36+M44))</f>
        <v>12204.517</v>
      </c>
      <c r="N48" s="17"/>
      <c r="O48" s="40">
        <f t="shared" ref="O48:V48" si="64">IF((O21+O24+O36+O44)="","",(O21+O24+O36+O44))</f>
        <v>7084</v>
      </c>
      <c r="P48" s="40">
        <f t="shared" si="64"/>
        <v>10187</v>
      </c>
      <c r="Q48" s="40">
        <f t="shared" si="64"/>
        <v>9159</v>
      </c>
      <c r="R48" s="40">
        <f t="shared" si="64"/>
        <v>11285</v>
      </c>
      <c r="S48" s="40">
        <f t="shared" si="64"/>
        <v>7937.2226590000018</v>
      </c>
      <c r="T48" s="40">
        <f t="shared" si="64"/>
        <v>9961.0460000000021</v>
      </c>
      <c r="U48" s="40">
        <f t="shared" si="64"/>
        <v>7724.3</v>
      </c>
      <c r="V48" s="40">
        <f t="shared" si="64"/>
        <v>11775.88</v>
      </c>
      <c r="W48" s="48"/>
      <c r="X48" s="44">
        <f>IF(O48="","",(S48+T48+U48+V48))</f>
        <v>37398.448659000001</v>
      </c>
      <c r="Y48" s="17"/>
      <c r="Z48" s="40">
        <f>IF((Z21+Z24+Z36+Z44)="","",(Z21+Z24+Z36+Z44))</f>
        <v>7946.9658889999992</v>
      </c>
      <c r="AA48" s="40">
        <f>IF((AA21+AA24+AA36+AA44)="","",(AA21+AA24+AA36+AA44))</f>
        <v>9531.9785830000001</v>
      </c>
      <c r="AB48" s="40">
        <f>IF((AB21+AB24+AB36+AB44)="","",(AB21+AB24+AB36+AB44))</f>
        <v>7791</v>
      </c>
      <c r="AC48" s="40">
        <f>IF((AC21+AC24+AC36+AC44)="","",(AC21+AC24+AC36+AC44))</f>
        <v>11260.3</v>
      </c>
      <c r="AD48" s="48"/>
      <c r="AE48" s="44">
        <f>+AE44+AE36+AE24+AE21</f>
        <v>36531.165782999997</v>
      </c>
      <c r="AF48" s="17"/>
      <c r="AG48" s="40">
        <f>IF((AG21+AG24+AG36+AG44)="","",(AG21+AG24+AG36+AG44))</f>
        <v>8364.3900000000012</v>
      </c>
      <c r="AH48" s="40">
        <f>+AH44+AH36+AH24+AH21</f>
        <v>9694.48</v>
      </c>
      <c r="AI48" s="40">
        <f>+AI44+AI36+AI24+AI21</f>
        <v>6720.83</v>
      </c>
      <c r="AJ48" s="40">
        <f>+AJ44+AJ36+AJ24+AJ21</f>
        <v>10053.209999999999</v>
      </c>
      <c r="AK48" s="44">
        <f>+AG48+AH48+AI48+AJ48</f>
        <v>34832.910000000003</v>
      </c>
      <c r="AL48" s="59">
        <v>34834.199999999997</v>
      </c>
      <c r="AM48" s="40">
        <f>+AM44+AM36+AM24+AM21</f>
        <v>7021.2847949999996</v>
      </c>
      <c r="AN48" s="40">
        <f>+AN44+AN36+AN24+AN21</f>
        <v>12201.147002</v>
      </c>
      <c r="AO48" s="40">
        <f>+AO44+AO36+AO24+AO21</f>
        <v>6398</v>
      </c>
      <c r="AP48" s="40">
        <f>+AP44+AP36+AP24+AP21</f>
        <v>9759.4</v>
      </c>
      <c r="AQ48" s="44">
        <f>+AM48+AN48+AO48+AP48</f>
        <v>35379.831796999999</v>
      </c>
      <c r="AR48" s="40">
        <f>+AR44+AR36+AR24+AR21</f>
        <v>7008.5</v>
      </c>
      <c r="AS48" s="40">
        <f>+AS44+AS36+AS24+AS21</f>
        <v>9618.8119999999999</v>
      </c>
      <c r="AT48" s="40">
        <f>+AT44+AT36+AT24+AT21</f>
        <v>6637.6440000000002</v>
      </c>
      <c r="AU48" s="40">
        <f>+AU44+AU36+AU24+AU21</f>
        <v>10845.599999999999</v>
      </c>
      <c r="AV48" s="44">
        <f>+AR48+AS48+AT48+AU48</f>
        <v>34110.555999999997</v>
      </c>
      <c r="AW48" s="40">
        <f>+AW44+AW36+AW24+AW21</f>
        <v>7342.7</v>
      </c>
      <c r="AX48" s="40">
        <f>+AX44+AX36+AX24+AX21</f>
        <v>7669.9000000000005</v>
      </c>
      <c r="AY48" s="40">
        <f>+AY44+AY36+AY24+AY21</f>
        <v>6291.2</v>
      </c>
      <c r="AZ48" s="40">
        <f>+AZ44+AZ36+AZ24+AZ21</f>
        <v>9726.5800000000017</v>
      </c>
      <c r="BA48" s="44">
        <f>+AW48+AX48+AY48+AZ48</f>
        <v>31030.38</v>
      </c>
      <c r="BB48" s="40">
        <f>+BB44+BB36+BB24+BB21</f>
        <v>6716.2</v>
      </c>
      <c r="BC48" s="40">
        <f>+BC44+BC36+BC24+BC21</f>
        <v>8477.7000000000007</v>
      </c>
      <c r="BD48" s="40">
        <f>+BD44+BD36+BD24+BD21</f>
        <v>6246.0999999999995</v>
      </c>
      <c r="BE48" s="40">
        <f>+BE44+BE36+BE24+BE21</f>
        <v>10401.100000000002</v>
      </c>
      <c r="BF48" s="40">
        <f t="shared" si="28"/>
        <v>31841.100000000002</v>
      </c>
      <c r="BG48" s="40">
        <f>+BG44+BG36+BG24+BG21</f>
        <v>7025.3000000000011</v>
      </c>
      <c r="BH48" s="40">
        <f>+BH44+BH36+BH24+BH21</f>
        <v>10641.877</v>
      </c>
      <c r="BI48" s="40">
        <f>+BI44+BI36+BI24+BI21</f>
        <v>7053.8</v>
      </c>
      <c r="BJ48" s="40">
        <f>+BJ44+BJ36+BJ24+BJ21</f>
        <v>11954.900000000001</v>
      </c>
      <c r="BK48" s="40">
        <f t="shared" si="29"/>
        <v>36675.877000000008</v>
      </c>
      <c r="BL48" s="40">
        <f>+BL44+BL36+BL24+BL21</f>
        <v>8439.1999999999989</v>
      </c>
      <c r="BM48" s="40">
        <f>+BM44+BM36+BM24+BM21</f>
        <v>11077.420000000002</v>
      </c>
      <c r="BN48" s="40">
        <f>+BN44+BN36+BN24+BN21</f>
        <v>7663.2999999999993</v>
      </c>
      <c r="BO48" s="40">
        <f>+BO44+BO36+BO24+BO21</f>
        <v>11815</v>
      </c>
      <c r="BP48" s="40">
        <f t="shared" si="30"/>
        <v>38994.92</v>
      </c>
      <c r="BQ48" s="40">
        <f>+BQ44+BQ36+BQ24+BQ21</f>
        <v>8481.9</v>
      </c>
      <c r="BR48" s="40">
        <f>+BR44+BR36+BR24+BR21</f>
        <v>10194.5</v>
      </c>
      <c r="BS48" s="40">
        <f>+BS44+BS36+BS24+BS21</f>
        <v>8035</v>
      </c>
      <c r="BT48" s="40">
        <f>+BT44+BT36+BT24+BT21</f>
        <v>10968.199999999999</v>
      </c>
      <c r="BU48" s="40">
        <f>+BQ48-BL48</f>
        <v>42.700000000000728</v>
      </c>
      <c r="BV48" s="40">
        <f t="shared" si="0"/>
        <v>18676.400000000001</v>
      </c>
      <c r="BW48" s="40">
        <f t="shared" si="31"/>
        <v>26711.4</v>
      </c>
      <c r="BX48" s="40">
        <f>+BR48-BM48</f>
        <v>-882.92000000000189</v>
      </c>
      <c r="BY48" s="40">
        <f>+BU48/(BL48)*100</f>
        <v>0.50597213005972996</v>
      </c>
      <c r="BZ48" s="40">
        <f>+BX48/(BM48)*100</f>
        <v>-7.970447992402578</v>
      </c>
      <c r="CA48" s="40">
        <f t="shared" si="1"/>
        <v>37679.599999999999</v>
      </c>
      <c r="CB48" s="40">
        <f>+CB44+CB36+CB24+CB21</f>
        <v>7101.5000000000009</v>
      </c>
      <c r="CC48" s="40">
        <f>+CC44+CC36+CC24+CC21</f>
        <v>8168</v>
      </c>
      <c r="CD48" s="40">
        <f>+CD44+CD36+CD24+CD21</f>
        <v>6572.5</v>
      </c>
      <c r="CE48" s="40">
        <f>+CE44+CE36+CE24+CE21</f>
        <v>8833.5999999999985</v>
      </c>
      <c r="CF48" s="40">
        <f t="shared" si="32"/>
        <v>30675.599999999999</v>
      </c>
      <c r="CG48" s="40">
        <f>+CG44+CG36+CG24+CG21</f>
        <v>6984.0999999999995</v>
      </c>
      <c r="CH48" s="40">
        <f>+CH44+CH36+CH24+CH21</f>
        <v>8343.5999999999985</v>
      </c>
      <c r="CI48" s="40">
        <f>+CI44+CI36+CI24+CI21</f>
        <v>6559.2999999999993</v>
      </c>
      <c r="CJ48" s="40">
        <f>+CJ44+CJ36+CJ24+CJ21</f>
        <v>9708.9</v>
      </c>
      <c r="CK48" s="96">
        <f t="shared" si="2"/>
        <v>31595.899999999994</v>
      </c>
      <c r="CL48" s="96">
        <f>+CL44+CL36+CL24+CL21</f>
        <v>7918.0999999999985</v>
      </c>
      <c r="CM48" s="96">
        <f>+CM44+CM36+CM24+CM21</f>
        <v>7696.8099999999995</v>
      </c>
      <c r="CN48" s="96"/>
      <c r="CO48" s="96"/>
      <c r="CP48" s="96">
        <f>+CP44+CP36+CP24+CP21</f>
        <v>7911.9599999999991</v>
      </c>
      <c r="CQ48" s="96">
        <f>+CQ44+CQ36+CQ24+CQ21</f>
        <v>9973.6999999999989</v>
      </c>
      <c r="CR48" s="96">
        <f t="shared" si="46"/>
        <v>33500.569999999992</v>
      </c>
      <c r="CS48" s="96">
        <f>+CS44+CS36+CS24+CS21</f>
        <v>8094.7</v>
      </c>
      <c r="CT48" s="96">
        <f>+CT44+CT36+CT24+CT21</f>
        <v>8548.7000000000007</v>
      </c>
      <c r="CU48" s="96">
        <f>+CU44+CU36+CU24+CU21</f>
        <v>7124.4999999999982</v>
      </c>
      <c r="CV48" s="96">
        <f>+CV44+CV36+CV24+CV21</f>
        <v>9965.2000000000007</v>
      </c>
      <c r="CW48" s="78"/>
      <c r="CX48" s="78"/>
      <c r="CY48" s="78"/>
      <c r="CZ48" s="40"/>
      <c r="DA48" s="40"/>
      <c r="DB48" s="3"/>
      <c r="DC48" s="11"/>
      <c r="DD48" s="71"/>
      <c r="DE48" s="3"/>
      <c r="DF48" s="3"/>
      <c r="DG48" s="3"/>
      <c r="DH48" s="3"/>
      <c r="DI48" s="3"/>
      <c r="DJ48" s="3"/>
      <c r="DK48" s="3"/>
    </row>
    <row r="49" spans="1:115" s="7" customFormat="1" ht="10.5" customHeight="1" x14ac:dyDescent="0.2">
      <c r="A49" s="36"/>
      <c r="E49" s="39"/>
      <c r="F49" s="8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14"/>
      <c r="X49" s="12" t="str">
        <f>IF(O49="","",(O49+P49+Q49+R49))</f>
        <v/>
      </c>
      <c r="Y49" s="39"/>
      <c r="Z49" s="29"/>
      <c r="AA49" s="39"/>
      <c r="AC49" s="39"/>
      <c r="AD49" s="14"/>
      <c r="AE49" s="12" t="str">
        <f>IF(Y49="","",(Y49+Z49+AA49+AB49))</f>
        <v/>
      </c>
      <c r="AF49" s="39"/>
      <c r="AG49" s="39"/>
      <c r="AH49" s="39"/>
      <c r="AI49" s="39"/>
      <c r="AJ49" s="29"/>
      <c r="AK49" s="12" t="s">
        <v>10</v>
      </c>
      <c r="AL49" s="57" t="s">
        <v>10</v>
      </c>
      <c r="AM49" s="29"/>
      <c r="AN49" s="39"/>
      <c r="AO49" s="39"/>
      <c r="AP49" s="39"/>
      <c r="AQ49" s="12" t="s">
        <v>10</v>
      </c>
      <c r="AR49" s="39"/>
      <c r="AS49" s="39"/>
      <c r="AT49" s="39"/>
      <c r="AU49" s="39"/>
      <c r="AV49" s="12" t="s">
        <v>10</v>
      </c>
      <c r="AW49" s="39"/>
      <c r="AX49" s="29"/>
      <c r="AY49" s="29"/>
      <c r="AZ49" s="29"/>
      <c r="BA49" s="12" t="s">
        <v>10</v>
      </c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91"/>
      <c r="CL49" s="91"/>
      <c r="CM49" s="91"/>
      <c r="CN49" s="91"/>
      <c r="CO49" s="91"/>
      <c r="CP49" s="91"/>
      <c r="CQ49" s="91"/>
      <c r="CR49" s="91"/>
      <c r="CS49" s="91"/>
      <c r="CT49" s="91"/>
      <c r="CU49" s="91"/>
      <c r="CV49" s="91"/>
      <c r="CW49" s="78"/>
      <c r="CX49" s="78"/>
      <c r="CY49" s="78"/>
      <c r="CZ49" s="12"/>
      <c r="DA49" s="12"/>
      <c r="DB49" s="9"/>
      <c r="DC49" s="11"/>
      <c r="DD49" s="71"/>
      <c r="DE49" s="9"/>
      <c r="DF49" s="9"/>
      <c r="DG49" s="9"/>
      <c r="DH49" s="9"/>
      <c r="DI49" s="9"/>
      <c r="DJ49" s="9"/>
      <c r="DK49" s="9"/>
    </row>
    <row r="50" spans="1:115" s="7" customFormat="1" x14ac:dyDescent="0.2">
      <c r="A50" s="92">
        <v>5</v>
      </c>
      <c r="B50" s="92" t="s">
        <v>32</v>
      </c>
      <c r="C50" s="92"/>
      <c r="E50" s="8"/>
      <c r="F50" s="8">
        <f>SUM(F51:F55)</f>
        <v>739</v>
      </c>
      <c r="G50" s="17">
        <f t="shared" ref="G50:G55" si="65">SUM(J50:M50)</f>
        <v>1814</v>
      </c>
      <c r="H50" s="17">
        <f t="shared" ref="H50:H55" si="66">SUM(O50:R50)</f>
        <v>1233.2860000000001</v>
      </c>
      <c r="I50" s="17"/>
      <c r="J50" s="8">
        <f>SUM(J51:J55)</f>
        <v>252</v>
      </c>
      <c r="K50" s="8">
        <f>SUM(K51:K55)</f>
        <v>79</v>
      </c>
      <c r="L50" s="8">
        <f>SUM(L51:L55)</f>
        <v>204</v>
      </c>
      <c r="M50" s="8">
        <f>SUM(M51:M55)</f>
        <v>1279</v>
      </c>
      <c r="N50" s="8"/>
      <c r="O50" s="17">
        <f t="shared" ref="O50:V50" si="67">SUM(O51:O55)</f>
        <v>203.286</v>
      </c>
      <c r="P50" s="17">
        <f t="shared" si="67"/>
        <v>10</v>
      </c>
      <c r="Q50" s="17">
        <f t="shared" si="67"/>
        <v>221</v>
      </c>
      <c r="R50" s="17">
        <f t="shared" si="67"/>
        <v>799</v>
      </c>
      <c r="S50" s="17">
        <f t="shared" si="67"/>
        <v>266.96434199999999</v>
      </c>
      <c r="T50" s="17">
        <f t="shared" si="67"/>
        <v>353.40000000000003</v>
      </c>
      <c r="U50" s="17">
        <f t="shared" si="67"/>
        <v>152</v>
      </c>
      <c r="V50" s="17">
        <f t="shared" si="67"/>
        <v>805.1</v>
      </c>
      <c r="W50" s="14"/>
      <c r="X50" s="12">
        <f t="shared" ref="X50:X55" si="68">IF(O50="","",(S50+T50+U50+V50))</f>
        <v>1577.4643420000002</v>
      </c>
      <c r="Y50" s="14"/>
      <c r="Z50" s="17">
        <f>SUM(Z51:Z55)</f>
        <v>225.50000000000003</v>
      </c>
      <c r="AA50" s="17">
        <f>SUM(AA51:AA55)</f>
        <v>385.50977800000004</v>
      </c>
      <c r="AB50" s="17">
        <f>SUM(AB51:AB55)</f>
        <v>229</v>
      </c>
      <c r="AC50" s="17">
        <f>SUM(AC51:AC55)</f>
        <v>687.30000000000007</v>
      </c>
      <c r="AD50" s="14"/>
      <c r="AE50" s="12">
        <f>SUM(AE51:AE55)</f>
        <v>1527.3097780000001</v>
      </c>
      <c r="AF50" s="14"/>
      <c r="AG50" s="17">
        <f>SUM(AG51:AG55)</f>
        <v>135.71</v>
      </c>
      <c r="AH50" s="17">
        <f>SUM(AH51:AH55)</f>
        <v>407.67</v>
      </c>
      <c r="AI50" s="17">
        <f>SUM(AI51:AI55)</f>
        <v>160.55000000000001</v>
      </c>
      <c r="AJ50" s="17">
        <f>SUM(AJ51:AJ55)</f>
        <v>662.41000000000008</v>
      </c>
      <c r="AK50" s="12">
        <f t="shared" ref="AK50:AK55" si="69">+AG50+AH50+AI50+AJ50</f>
        <v>1366.3400000000001</v>
      </c>
      <c r="AL50" s="57">
        <v>1366.4</v>
      </c>
      <c r="AM50" s="17">
        <f>SUM(AM51:AM55)</f>
        <v>275.39999999999998</v>
      </c>
      <c r="AN50" s="17">
        <f>SUM(AN51:AN55)</f>
        <v>567.10000000000014</v>
      </c>
      <c r="AO50" s="17">
        <f>SUM(AO51:AO55)</f>
        <v>268.99999999999994</v>
      </c>
      <c r="AP50" s="17">
        <f>SUM(AP51:AP55)</f>
        <v>1370.0000000000002</v>
      </c>
      <c r="AQ50" s="12">
        <f t="shared" ref="AQ50:AQ55" si="70">+AM50+AN50+AO50+AP50</f>
        <v>2481.5</v>
      </c>
      <c r="AR50" s="17">
        <f>SUM(AR51:AR55)</f>
        <v>309.09999999999997</v>
      </c>
      <c r="AS50" s="17">
        <f>SUM(AS51:AS55)</f>
        <v>482.85200000000003</v>
      </c>
      <c r="AT50" s="17">
        <f>SUM(AT51:AT55)</f>
        <v>228.76</v>
      </c>
      <c r="AU50" s="17">
        <f>SUM(AU51:AU55)</f>
        <v>869.7</v>
      </c>
      <c r="AV50" s="12">
        <f t="shared" ref="AV50:AV55" si="71">+AR50+AS50+AT50+AU50</f>
        <v>1890.412</v>
      </c>
      <c r="AW50" s="17">
        <f>SUM(AW51:AW55)</f>
        <v>319.7</v>
      </c>
      <c r="AX50" s="17">
        <f>SUM(AX51:AX55)</f>
        <v>674.59999999999991</v>
      </c>
      <c r="AY50" s="17">
        <f>SUM(AY51:AY55)</f>
        <v>253.79999999999998</v>
      </c>
      <c r="AZ50" s="17">
        <f>SUM(AZ51:AZ55)</f>
        <v>702.90000000000009</v>
      </c>
      <c r="BA50" s="12">
        <f t="shared" ref="BA50:BA55" si="72">+AW50+AX50+AY50+AZ50</f>
        <v>1951</v>
      </c>
      <c r="BB50" s="17">
        <f>SUM(BB51:BB55)</f>
        <v>189.29999999999998</v>
      </c>
      <c r="BC50" s="17">
        <f>SUM(BC51:BC55)</f>
        <v>600.30300000000011</v>
      </c>
      <c r="BD50" s="17">
        <f>SUM(BD51:BD55)</f>
        <v>234.4</v>
      </c>
      <c r="BE50" s="17">
        <f>SUM(BE51:BE55)</f>
        <v>556</v>
      </c>
      <c r="BF50" s="17">
        <f t="shared" si="28"/>
        <v>1580.0030000000002</v>
      </c>
      <c r="BG50" s="17">
        <f>SUM(BG51:BG55)</f>
        <v>191.5</v>
      </c>
      <c r="BH50" s="17">
        <f>SUM(BH51:BH55)</f>
        <v>537</v>
      </c>
      <c r="BI50" s="17">
        <f>SUM(BI51:BI55)</f>
        <v>398.59999999999997</v>
      </c>
      <c r="BJ50" s="17">
        <f>SUM(BJ51:BJ55)</f>
        <v>750.3</v>
      </c>
      <c r="BK50" s="17">
        <f t="shared" si="29"/>
        <v>1877.3999999999999</v>
      </c>
      <c r="BL50" s="17">
        <f>SUM(BL51:BL55)</f>
        <v>271.60000000000002</v>
      </c>
      <c r="BM50" s="17">
        <f>SUM(BM51:BM55)</f>
        <v>882.29999999999984</v>
      </c>
      <c r="BN50" s="17">
        <f>SUM(BN51:BN55)</f>
        <v>397.79999999999995</v>
      </c>
      <c r="BO50" s="17">
        <f>SUM(BO51:BO55)</f>
        <v>819.59999999999991</v>
      </c>
      <c r="BP50" s="17">
        <f t="shared" si="30"/>
        <v>2371.2999999999997</v>
      </c>
      <c r="BQ50" s="17">
        <f>SUM(BQ51:BQ55)</f>
        <v>238.10000000000002</v>
      </c>
      <c r="BR50" s="17">
        <f>SUM(BR51:BR55)</f>
        <v>515.5</v>
      </c>
      <c r="BS50" s="17">
        <f>SUM(BS51:BS55)</f>
        <v>417.3</v>
      </c>
      <c r="BT50" s="17">
        <f>SUM(BT51:BT55)</f>
        <v>701.7</v>
      </c>
      <c r="BU50" s="17">
        <f t="shared" ref="BU50:BU55" si="73">+BQ50-BL50</f>
        <v>-33.5</v>
      </c>
      <c r="BV50" s="17">
        <f t="shared" si="0"/>
        <v>753.6</v>
      </c>
      <c r="BW50" s="17">
        <f t="shared" si="31"/>
        <v>1170.9000000000001</v>
      </c>
      <c r="BX50" s="17">
        <f t="shared" ref="BX50:BX55" si="74">+BR50-BM50</f>
        <v>-366.79999999999984</v>
      </c>
      <c r="BY50" s="17">
        <f t="shared" ref="BY50:BY55" si="75">+BU50/(BL50)*100</f>
        <v>-12.334315169366715</v>
      </c>
      <c r="BZ50" s="17">
        <f t="shared" ref="BZ50:BZ55" si="76">+BX50/(BM50)*100</f>
        <v>-41.573161056330036</v>
      </c>
      <c r="CA50" s="17">
        <f>SUM(BQ50:BT50)+CA56</f>
        <v>9287.2999999999993</v>
      </c>
      <c r="CB50" s="17">
        <f>SUM(CB51:CB56)</f>
        <v>1644.1000000000001</v>
      </c>
      <c r="CC50" s="17">
        <f t="shared" ref="CC50:CF50" si="77">SUM(CC51:CC56)</f>
        <v>3153.2</v>
      </c>
      <c r="CD50" s="17">
        <f t="shared" si="77"/>
        <v>1824.1</v>
      </c>
      <c r="CE50" s="17">
        <f t="shared" si="77"/>
        <v>5506.6</v>
      </c>
      <c r="CF50" s="17">
        <f t="shared" si="77"/>
        <v>12128</v>
      </c>
      <c r="CG50" s="17">
        <f t="shared" ref="CG50" si="78">SUM(CG51:CG56)</f>
        <v>1963.6</v>
      </c>
      <c r="CH50" s="17">
        <f t="shared" ref="CH50:CJ50" si="79">SUM(CH51:CH56)</f>
        <v>3635.7999999999997</v>
      </c>
      <c r="CI50" s="17">
        <f t="shared" si="79"/>
        <v>1321.7</v>
      </c>
      <c r="CJ50" s="17">
        <f t="shared" si="79"/>
        <v>2043.2999999999997</v>
      </c>
      <c r="CK50" s="94">
        <f>+CG50+CH50+CI50+CJ50-696</f>
        <v>8268.4</v>
      </c>
      <c r="CL50" s="94">
        <f t="shared" ref="CL50:CM50" si="80">SUM(CL51:CL56)</f>
        <v>703.7</v>
      </c>
      <c r="CM50" s="94">
        <f t="shared" si="80"/>
        <v>2811.5</v>
      </c>
      <c r="CN50" s="94"/>
      <c r="CO50" s="94"/>
      <c r="CP50" s="94">
        <f t="shared" ref="CP50:CT50" si="81">SUM(CP51:CP56)</f>
        <v>362</v>
      </c>
      <c r="CQ50" s="94">
        <f t="shared" si="81"/>
        <v>646</v>
      </c>
      <c r="CR50" s="94">
        <f t="shared" si="46"/>
        <v>4523.2</v>
      </c>
      <c r="CS50" s="94">
        <f t="shared" si="81"/>
        <v>1456.4</v>
      </c>
      <c r="CT50" s="94">
        <f t="shared" si="81"/>
        <v>2499.1000000000004</v>
      </c>
      <c r="CU50" s="94">
        <f t="shared" ref="CU50:CV50" si="82">SUM(CU51:CU56)</f>
        <v>341.7</v>
      </c>
      <c r="CV50" s="94">
        <f t="shared" si="82"/>
        <v>3895.4</v>
      </c>
      <c r="CW50" s="78">
        <f t="shared" si="60"/>
        <v>8192.6</v>
      </c>
      <c r="CX50" s="78">
        <f t="shared" si="48"/>
        <v>3249.4</v>
      </c>
      <c r="CY50" s="78">
        <f t="shared" ref="CY50:CY55" si="83">+CX50/CQ50*100</f>
        <v>503.00309597523221</v>
      </c>
      <c r="CZ50" s="17">
        <f t="shared" si="6"/>
        <v>-4441.1999999999989</v>
      </c>
      <c r="DA50" s="17">
        <f t="shared" si="7"/>
        <v>-49.542635313015921</v>
      </c>
      <c r="DB50" s="9"/>
      <c r="DC50" s="11"/>
      <c r="DD50" s="71"/>
      <c r="DE50" s="9"/>
      <c r="DF50" s="9"/>
      <c r="DG50" s="9"/>
    </row>
    <row r="51" spans="1:115" x14ac:dyDescent="0.2">
      <c r="B51" s="91" t="s">
        <v>33</v>
      </c>
      <c r="C51" s="91" t="s">
        <v>53</v>
      </c>
      <c r="D51" s="91"/>
      <c r="E51" s="8"/>
      <c r="F51" s="10">
        <v>54</v>
      </c>
      <c r="G51" s="20">
        <f t="shared" si="65"/>
        <v>563</v>
      </c>
      <c r="H51" s="20">
        <v>692</v>
      </c>
      <c r="I51" s="20"/>
      <c r="J51" s="10">
        <v>174</v>
      </c>
      <c r="K51" s="20">
        <v>14</v>
      </c>
      <c r="L51" s="20">
        <v>111</v>
      </c>
      <c r="M51" s="20">
        <v>264</v>
      </c>
      <c r="N51" s="8"/>
      <c r="O51" s="20">
        <v>157</v>
      </c>
      <c r="P51" s="20">
        <v>74</v>
      </c>
      <c r="Q51" s="20">
        <v>74</v>
      </c>
      <c r="R51" s="20">
        <v>386</v>
      </c>
      <c r="S51" s="11">
        <v>168.5</v>
      </c>
      <c r="T51" s="14">
        <v>256.60000000000002</v>
      </c>
      <c r="U51" s="14">
        <v>101.4</v>
      </c>
      <c r="V51" s="11">
        <v>411.7</v>
      </c>
      <c r="W51" s="14"/>
      <c r="X51" s="11">
        <f t="shared" si="68"/>
        <v>938.2</v>
      </c>
      <c r="Y51" s="14"/>
      <c r="Z51" s="24">
        <v>166.8</v>
      </c>
      <c r="AA51" s="14">
        <v>242.2877</v>
      </c>
      <c r="AB51" s="14">
        <v>184.4</v>
      </c>
      <c r="AC51" s="11">
        <v>264.3</v>
      </c>
      <c r="AD51" s="14"/>
      <c r="AE51" s="11">
        <f>SUM(Z51:AC51)</f>
        <v>857.78770000000009</v>
      </c>
      <c r="AF51" s="14"/>
      <c r="AG51" s="11">
        <v>92.5</v>
      </c>
      <c r="AH51" s="14">
        <v>183.7</v>
      </c>
      <c r="AI51" s="14">
        <v>89.3</v>
      </c>
      <c r="AJ51" s="25">
        <v>183.5</v>
      </c>
      <c r="AK51" s="11">
        <f t="shared" si="69"/>
        <v>549</v>
      </c>
      <c r="AL51" s="58">
        <v>549</v>
      </c>
      <c r="AM51" s="25">
        <v>228.1</v>
      </c>
      <c r="AN51" s="14">
        <v>346.6</v>
      </c>
      <c r="AO51" s="14">
        <v>136.30000000000001</v>
      </c>
      <c r="AP51" s="14">
        <v>747.2</v>
      </c>
      <c r="AQ51" s="11">
        <f t="shared" si="70"/>
        <v>1458.2</v>
      </c>
      <c r="AR51" s="14">
        <v>248.4</v>
      </c>
      <c r="AS51" s="14">
        <v>316.83199999999999</v>
      </c>
      <c r="AT51" s="14">
        <v>141.25899999999999</v>
      </c>
      <c r="AU51" s="14">
        <v>258.89999999999998</v>
      </c>
      <c r="AV51" s="11">
        <f t="shared" si="71"/>
        <v>965.39099999999996</v>
      </c>
      <c r="AW51" s="14">
        <v>175</v>
      </c>
      <c r="AX51" s="25">
        <v>275.10000000000002</v>
      </c>
      <c r="AY51" s="25">
        <v>128.69999999999999</v>
      </c>
      <c r="AZ51" s="25">
        <v>164.9</v>
      </c>
      <c r="BA51" s="11">
        <f t="shared" si="72"/>
        <v>743.69999999999993</v>
      </c>
      <c r="BB51" s="11">
        <v>57.9</v>
      </c>
      <c r="BC51" s="11">
        <v>127.4</v>
      </c>
      <c r="BD51" s="11">
        <v>118.1</v>
      </c>
      <c r="BE51" s="11">
        <v>223.5</v>
      </c>
      <c r="BF51" s="11">
        <f t="shared" si="28"/>
        <v>526.9</v>
      </c>
      <c r="BG51" s="11">
        <v>101.7</v>
      </c>
      <c r="BH51" s="11">
        <v>217.1</v>
      </c>
      <c r="BI51" s="11">
        <v>175.6</v>
      </c>
      <c r="BJ51" s="11">
        <v>417.4</v>
      </c>
      <c r="BK51" s="11">
        <f t="shared" si="29"/>
        <v>911.8</v>
      </c>
      <c r="BL51" s="11">
        <v>184</v>
      </c>
      <c r="BM51" s="11">
        <v>289.39999999999998</v>
      </c>
      <c r="BN51" s="11">
        <v>201.2</v>
      </c>
      <c r="BO51" s="11">
        <v>350.7</v>
      </c>
      <c r="BP51" s="11">
        <f t="shared" si="30"/>
        <v>1025.3</v>
      </c>
      <c r="BQ51" s="11">
        <v>156.4</v>
      </c>
      <c r="BR51" s="11">
        <v>224.8</v>
      </c>
      <c r="BS51" s="11">
        <v>279.10000000000002</v>
      </c>
      <c r="BT51" s="11">
        <v>336.6</v>
      </c>
      <c r="BU51" s="11">
        <f t="shared" si="73"/>
        <v>-27.599999999999994</v>
      </c>
      <c r="BV51" s="11">
        <f t="shared" si="0"/>
        <v>381.20000000000005</v>
      </c>
      <c r="BW51" s="11">
        <f t="shared" si="31"/>
        <v>660.30000000000007</v>
      </c>
      <c r="BX51" s="11">
        <f t="shared" si="74"/>
        <v>-64.599999999999966</v>
      </c>
      <c r="BY51" s="11">
        <f t="shared" si="75"/>
        <v>-14.999999999999996</v>
      </c>
      <c r="BZ51" s="11">
        <f t="shared" si="76"/>
        <v>-22.322045611610218</v>
      </c>
      <c r="CA51" s="11">
        <f t="shared" si="1"/>
        <v>996.90000000000009</v>
      </c>
      <c r="CB51" s="11">
        <v>148.19999999999999</v>
      </c>
      <c r="CC51" s="11">
        <v>178.2</v>
      </c>
      <c r="CD51" s="11">
        <v>259.2</v>
      </c>
      <c r="CE51" s="11">
        <v>262.39999999999998</v>
      </c>
      <c r="CF51" s="11">
        <f t="shared" si="32"/>
        <v>847.99999999999989</v>
      </c>
      <c r="CG51" s="11">
        <v>141.1</v>
      </c>
      <c r="CH51" s="11">
        <v>294.60000000000002</v>
      </c>
      <c r="CI51" s="11">
        <v>291.8</v>
      </c>
      <c r="CJ51" s="11">
        <f>518.8-82.2</f>
        <v>436.59999999999997</v>
      </c>
      <c r="CK51" s="91">
        <f t="shared" si="2"/>
        <v>1164.0999999999999</v>
      </c>
      <c r="CL51" s="91">
        <f>174.4-11.9</f>
        <v>162.5</v>
      </c>
      <c r="CM51" s="91">
        <v>222.1</v>
      </c>
      <c r="CN51" s="91"/>
      <c r="CO51" s="91"/>
      <c r="CP51" s="91">
        <v>153.5</v>
      </c>
      <c r="CQ51" s="91">
        <v>276</v>
      </c>
      <c r="CR51" s="91">
        <f t="shared" si="46"/>
        <v>814.1</v>
      </c>
      <c r="CS51" s="91">
        <v>170.7</v>
      </c>
      <c r="CT51" s="91">
        <v>326.10000000000002</v>
      </c>
      <c r="CU51" s="91">
        <v>235.5</v>
      </c>
      <c r="CV51" s="91">
        <v>456</v>
      </c>
      <c r="CW51" s="78">
        <f t="shared" si="60"/>
        <v>1188.3</v>
      </c>
      <c r="CX51" s="78">
        <f t="shared" si="48"/>
        <v>180</v>
      </c>
      <c r="CY51" s="78">
        <f t="shared" si="83"/>
        <v>65.217391304347828</v>
      </c>
      <c r="CZ51" s="11">
        <f t="shared" si="6"/>
        <v>-350</v>
      </c>
      <c r="DA51" s="11">
        <f t="shared" si="7"/>
        <v>-30.066145520144321</v>
      </c>
      <c r="DB51" s="3"/>
      <c r="DC51" s="11"/>
      <c r="DD51" s="71"/>
      <c r="DE51" s="3"/>
      <c r="DF51" s="3"/>
      <c r="DG51" s="3"/>
    </row>
    <row r="52" spans="1:115" ht="25.5" customHeight="1" x14ac:dyDescent="0.2">
      <c r="B52" s="91" t="s">
        <v>54</v>
      </c>
      <c r="C52" s="121" t="s">
        <v>55</v>
      </c>
      <c r="D52" s="122"/>
      <c r="E52" s="8"/>
      <c r="F52" s="10"/>
      <c r="G52" s="20">
        <f t="shared" si="65"/>
        <v>12</v>
      </c>
      <c r="H52" s="20">
        <f t="shared" si="66"/>
        <v>23</v>
      </c>
      <c r="I52" s="20"/>
      <c r="J52" s="14">
        <v>1</v>
      </c>
      <c r="K52" s="24">
        <v>4</v>
      </c>
      <c r="L52" s="25">
        <v>1</v>
      </c>
      <c r="M52" s="25">
        <v>6</v>
      </c>
      <c r="N52" s="8"/>
      <c r="O52" s="25">
        <v>0</v>
      </c>
      <c r="P52" s="25">
        <v>3</v>
      </c>
      <c r="Q52" s="25">
        <v>0</v>
      </c>
      <c r="R52" s="25">
        <v>20</v>
      </c>
      <c r="S52" s="11">
        <v>0.24745900000000001</v>
      </c>
      <c r="T52" s="14">
        <v>3.5</v>
      </c>
      <c r="U52" s="14">
        <v>1.3</v>
      </c>
      <c r="V52" s="11">
        <v>42.8</v>
      </c>
      <c r="W52" s="14"/>
      <c r="X52" s="11">
        <f t="shared" si="68"/>
        <v>47.847459000000001</v>
      </c>
      <c r="Y52" s="14"/>
      <c r="Z52" s="24">
        <v>5.3</v>
      </c>
      <c r="AA52" s="14">
        <v>5</v>
      </c>
      <c r="AB52" s="14"/>
      <c r="AC52" s="24">
        <v>40.700000000000003</v>
      </c>
      <c r="AD52" s="25"/>
      <c r="AE52" s="24">
        <f>SUM(Z52:AC52)</f>
        <v>51</v>
      </c>
      <c r="AF52" s="25"/>
      <c r="AG52" s="24">
        <v>1.2</v>
      </c>
      <c r="AH52" s="14">
        <v>17.7</v>
      </c>
      <c r="AI52" s="14">
        <v>1.5</v>
      </c>
      <c r="AJ52" s="25">
        <v>44.6</v>
      </c>
      <c r="AK52" s="11">
        <f t="shared" si="69"/>
        <v>65</v>
      </c>
      <c r="AL52" s="58">
        <v>65</v>
      </c>
      <c r="AM52" s="25">
        <v>2.8</v>
      </c>
      <c r="AN52" s="14">
        <v>6.5</v>
      </c>
      <c r="AO52" s="14">
        <v>3.2</v>
      </c>
      <c r="AP52" s="14">
        <v>80</v>
      </c>
      <c r="AQ52" s="11">
        <f t="shared" si="70"/>
        <v>92.5</v>
      </c>
      <c r="AR52" s="14">
        <v>2.1</v>
      </c>
      <c r="AS52" s="14">
        <v>29.135999999999999</v>
      </c>
      <c r="AT52" s="14">
        <v>16.36</v>
      </c>
      <c r="AU52" s="14">
        <v>135.4</v>
      </c>
      <c r="AV52" s="11">
        <f t="shared" si="71"/>
        <v>182.99600000000001</v>
      </c>
      <c r="AW52" s="14">
        <v>9</v>
      </c>
      <c r="AX52" s="25">
        <v>25</v>
      </c>
      <c r="AY52" s="25">
        <v>13.6</v>
      </c>
      <c r="AZ52" s="25">
        <v>50.2</v>
      </c>
      <c r="BA52" s="11">
        <f t="shared" si="72"/>
        <v>97.800000000000011</v>
      </c>
      <c r="BB52" s="11">
        <v>4.8</v>
      </c>
      <c r="BC52" s="11">
        <v>59</v>
      </c>
      <c r="BD52" s="11">
        <v>11.6</v>
      </c>
      <c r="BE52" s="11">
        <v>48.1</v>
      </c>
      <c r="BF52" s="11">
        <f t="shared" si="28"/>
        <v>123.5</v>
      </c>
      <c r="BG52" s="11">
        <v>6.3</v>
      </c>
      <c r="BH52" s="11">
        <v>7.5</v>
      </c>
      <c r="BI52" s="11">
        <v>16.100000000000001</v>
      </c>
      <c r="BJ52" s="11">
        <v>43.4</v>
      </c>
      <c r="BK52" s="11">
        <f t="shared" si="29"/>
        <v>73.3</v>
      </c>
      <c r="BL52" s="11">
        <v>0.8</v>
      </c>
      <c r="BM52" s="11">
        <v>5.3</v>
      </c>
      <c r="BN52" s="11">
        <v>6.7</v>
      </c>
      <c r="BO52" s="11">
        <v>64.8</v>
      </c>
      <c r="BP52" s="11">
        <f t="shared" si="30"/>
        <v>77.599999999999994</v>
      </c>
      <c r="BQ52" s="11">
        <v>2</v>
      </c>
      <c r="BR52" s="11">
        <v>9.5</v>
      </c>
      <c r="BS52" s="11">
        <v>7.3</v>
      </c>
      <c r="BT52" s="11">
        <v>136.6</v>
      </c>
      <c r="BU52" s="11">
        <f t="shared" si="73"/>
        <v>1.2</v>
      </c>
      <c r="BV52" s="11">
        <f t="shared" si="0"/>
        <v>11.5</v>
      </c>
      <c r="BW52" s="11">
        <f t="shared" si="31"/>
        <v>18.8</v>
      </c>
      <c r="BX52" s="11">
        <f t="shared" si="74"/>
        <v>4.2</v>
      </c>
      <c r="BY52" s="11">
        <f t="shared" si="75"/>
        <v>149.99999999999997</v>
      </c>
      <c r="BZ52" s="11">
        <f t="shared" si="76"/>
        <v>79.245283018867923</v>
      </c>
      <c r="CA52" s="11">
        <f t="shared" si="1"/>
        <v>155.4</v>
      </c>
      <c r="CB52" s="11">
        <v>30.4</v>
      </c>
      <c r="CC52" s="11">
        <v>18.899999999999999</v>
      </c>
      <c r="CD52" s="11">
        <v>10.6</v>
      </c>
      <c r="CE52" s="11">
        <v>83.4</v>
      </c>
      <c r="CF52" s="11">
        <f t="shared" si="32"/>
        <v>143.30000000000001</v>
      </c>
      <c r="CG52" s="11">
        <v>17</v>
      </c>
      <c r="CH52" s="11">
        <v>30.4</v>
      </c>
      <c r="CI52" s="11">
        <v>19.7</v>
      </c>
      <c r="CJ52" s="11">
        <v>86.5</v>
      </c>
      <c r="CK52" s="91">
        <f t="shared" si="2"/>
        <v>153.6</v>
      </c>
      <c r="CL52" s="91">
        <v>7.2</v>
      </c>
      <c r="CM52" s="91">
        <v>28.4</v>
      </c>
      <c r="CN52" s="91"/>
      <c r="CO52" s="91"/>
      <c r="CP52" s="91">
        <v>9.1999999999999993</v>
      </c>
      <c r="CQ52" s="91">
        <v>29.2</v>
      </c>
      <c r="CR52" s="91">
        <f t="shared" si="46"/>
        <v>74</v>
      </c>
      <c r="CS52" s="91">
        <v>2.7</v>
      </c>
      <c r="CT52" s="91">
        <v>49.3</v>
      </c>
      <c r="CU52" s="91">
        <v>18.100000000000001</v>
      </c>
      <c r="CV52" s="91">
        <v>47.5</v>
      </c>
      <c r="CW52" s="78">
        <f t="shared" si="60"/>
        <v>117.6</v>
      </c>
      <c r="CX52" s="78">
        <f t="shared" si="48"/>
        <v>18.3</v>
      </c>
      <c r="CY52" s="78">
        <f t="shared" si="83"/>
        <v>62.671232876712338</v>
      </c>
      <c r="CZ52" s="11">
        <f t="shared" si="6"/>
        <v>-79.599999999999994</v>
      </c>
      <c r="DA52" s="11">
        <f t="shared" si="7"/>
        <v>-51.822916666666664</v>
      </c>
      <c r="DB52" s="11"/>
      <c r="DC52" s="11"/>
      <c r="DD52" s="71"/>
      <c r="DE52" s="3"/>
      <c r="DF52" s="3"/>
      <c r="DG52" s="3"/>
      <c r="DH52" s="3"/>
      <c r="DI52" s="3"/>
    </row>
    <row r="53" spans="1:115" x14ac:dyDescent="0.2">
      <c r="B53" s="91" t="s">
        <v>56</v>
      </c>
      <c r="C53" s="91" t="s">
        <v>34</v>
      </c>
      <c r="E53" s="8"/>
      <c r="F53" s="10">
        <v>688</v>
      </c>
      <c r="G53" s="20">
        <f t="shared" si="65"/>
        <v>1290</v>
      </c>
      <c r="H53" s="20">
        <f t="shared" si="66"/>
        <v>727</v>
      </c>
      <c r="I53" s="20"/>
      <c r="J53" s="10">
        <v>78</v>
      </c>
      <c r="K53" s="20">
        <v>59</v>
      </c>
      <c r="L53" s="20">
        <v>92</v>
      </c>
      <c r="M53" s="20">
        <v>1061</v>
      </c>
      <c r="N53" s="8"/>
      <c r="O53" s="20">
        <v>46</v>
      </c>
      <c r="P53" s="20">
        <v>79</v>
      </c>
      <c r="Q53" s="20">
        <v>181</v>
      </c>
      <c r="R53" s="20">
        <v>421</v>
      </c>
      <c r="S53" s="11">
        <v>109.583865</v>
      </c>
      <c r="T53" s="14">
        <v>102.7</v>
      </c>
      <c r="U53" s="14">
        <v>55.4</v>
      </c>
      <c r="V53" s="11">
        <v>338.4</v>
      </c>
      <c r="W53" s="14"/>
      <c r="X53" s="11">
        <f t="shared" si="68"/>
        <v>606.08386499999995</v>
      </c>
      <c r="Y53" s="14"/>
      <c r="Z53" s="24">
        <v>48.1</v>
      </c>
      <c r="AA53" s="14">
        <v>125.9</v>
      </c>
      <c r="AB53" s="14">
        <v>38.1</v>
      </c>
      <c r="AC53" s="24">
        <v>283.7</v>
      </c>
      <c r="AD53" s="25"/>
      <c r="AE53" s="24">
        <f>SUM(Z53:AC53)</f>
        <v>495.79999999999995</v>
      </c>
      <c r="AF53" s="25"/>
      <c r="AG53" s="24">
        <v>51.1</v>
      </c>
      <c r="AH53" s="14">
        <v>124.3</v>
      </c>
      <c r="AI53" s="14">
        <v>55.6</v>
      </c>
      <c r="AJ53" s="25">
        <v>389.9</v>
      </c>
      <c r="AK53" s="11">
        <f t="shared" si="69"/>
        <v>620.9</v>
      </c>
      <c r="AL53" s="58">
        <v>620.9</v>
      </c>
      <c r="AM53" s="25">
        <v>52.3</v>
      </c>
      <c r="AN53" s="14">
        <v>209.3</v>
      </c>
      <c r="AO53" s="14">
        <v>125.9</v>
      </c>
      <c r="AP53" s="14">
        <v>496.6</v>
      </c>
      <c r="AQ53" s="11">
        <f t="shared" si="70"/>
        <v>884.1</v>
      </c>
      <c r="AR53" s="14">
        <v>70</v>
      </c>
      <c r="AS53" s="14">
        <v>134</v>
      </c>
      <c r="AT53" s="14">
        <v>59.643999999999998</v>
      </c>
      <c r="AU53" s="14">
        <v>294.10000000000002</v>
      </c>
      <c r="AV53" s="11">
        <f t="shared" si="71"/>
        <v>557.74400000000003</v>
      </c>
      <c r="AW53" s="14">
        <v>118.8</v>
      </c>
      <c r="AX53" s="25">
        <v>126</v>
      </c>
      <c r="AY53" s="25">
        <v>52.7</v>
      </c>
      <c r="AZ53" s="25">
        <v>222</v>
      </c>
      <c r="BA53" s="11">
        <f t="shared" si="72"/>
        <v>519.5</v>
      </c>
      <c r="BB53" s="11">
        <v>64</v>
      </c>
      <c r="BC53" s="11">
        <v>130.80000000000001</v>
      </c>
      <c r="BD53" s="11">
        <v>43.4</v>
      </c>
      <c r="BE53" s="11">
        <v>279.2</v>
      </c>
      <c r="BF53" s="11">
        <f t="shared" si="28"/>
        <v>517.4</v>
      </c>
      <c r="BG53" s="11">
        <v>83.1</v>
      </c>
      <c r="BH53" s="11">
        <v>127.8</v>
      </c>
      <c r="BI53" s="11">
        <v>77.599999999999994</v>
      </c>
      <c r="BJ53" s="11">
        <v>255.4</v>
      </c>
      <c r="BK53" s="11">
        <f t="shared" si="29"/>
        <v>543.9</v>
      </c>
      <c r="BL53" s="11">
        <v>59.3</v>
      </c>
      <c r="BM53" s="11">
        <v>507.4</v>
      </c>
      <c r="BN53" s="11">
        <v>150.9</v>
      </c>
      <c r="BO53" s="11">
        <v>248</v>
      </c>
      <c r="BP53" s="11">
        <f t="shared" si="30"/>
        <v>965.59999999999991</v>
      </c>
      <c r="BQ53" s="11">
        <v>34</v>
      </c>
      <c r="BR53" s="11">
        <v>89.3</v>
      </c>
      <c r="BS53" s="11">
        <v>96.5</v>
      </c>
      <c r="BT53" s="11">
        <v>331.8</v>
      </c>
      <c r="BU53" s="11">
        <f t="shared" si="73"/>
        <v>-25.299999999999997</v>
      </c>
      <c r="BV53" s="11">
        <f t="shared" si="0"/>
        <v>123.3</v>
      </c>
      <c r="BW53" s="11">
        <f t="shared" si="31"/>
        <v>219.8</v>
      </c>
      <c r="BX53" s="11">
        <f t="shared" si="74"/>
        <v>-418.09999999999997</v>
      </c>
      <c r="BY53" s="11">
        <f t="shared" si="75"/>
        <v>-42.664418212478914</v>
      </c>
      <c r="BZ53" s="11">
        <f t="shared" si="76"/>
        <v>-82.400472999605839</v>
      </c>
      <c r="CA53" s="11">
        <f t="shared" si="1"/>
        <v>551.6</v>
      </c>
      <c r="CB53" s="11">
        <v>31.8</v>
      </c>
      <c r="CC53" s="11">
        <v>223.6</v>
      </c>
      <c r="CD53" s="11">
        <v>56.6</v>
      </c>
      <c r="CE53" s="11">
        <v>250</v>
      </c>
      <c r="CF53" s="11">
        <f t="shared" si="32"/>
        <v>562</v>
      </c>
      <c r="CG53" s="11">
        <v>84.1</v>
      </c>
      <c r="CH53" s="11">
        <v>143.9</v>
      </c>
      <c r="CI53" s="11">
        <v>65.5</v>
      </c>
      <c r="CJ53" s="11">
        <f>215.3+83.3</f>
        <v>298.60000000000002</v>
      </c>
      <c r="CK53" s="91">
        <f t="shared" si="2"/>
        <v>592.1</v>
      </c>
      <c r="CL53" s="91">
        <f>94.9+11.9</f>
        <v>106.80000000000001</v>
      </c>
      <c r="CM53" s="91">
        <v>105.6</v>
      </c>
      <c r="CN53" s="91"/>
      <c r="CO53" s="91"/>
      <c r="CP53" s="91">
        <v>75.900000000000006</v>
      </c>
      <c r="CQ53" s="91">
        <v>339.5</v>
      </c>
      <c r="CR53" s="91">
        <f t="shared" si="46"/>
        <v>627.79999999999995</v>
      </c>
      <c r="CS53" s="91">
        <v>71.099999999999994</v>
      </c>
      <c r="CT53" s="91">
        <v>144.4</v>
      </c>
      <c r="CU53" s="91">
        <v>43.5</v>
      </c>
      <c r="CV53" s="91">
        <v>349.5</v>
      </c>
      <c r="CW53" s="78">
        <f t="shared" si="60"/>
        <v>608.5</v>
      </c>
      <c r="CX53" s="78">
        <f t="shared" si="48"/>
        <v>10</v>
      </c>
      <c r="CY53" s="78">
        <f t="shared" si="83"/>
        <v>2.9455081001472752</v>
      </c>
      <c r="CZ53" s="11">
        <f t="shared" si="6"/>
        <v>35.699999999999932</v>
      </c>
      <c r="DA53" s="11">
        <f t="shared" si="7"/>
        <v>6.0293869278837917</v>
      </c>
      <c r="DB53" s="3"/>
      <c r="DC53" s="11"/>
      <c r="DD53" s="71"/>
      <c r="DE53" s="3"/>
      <c r="DF53" s="3"/>
      <c r="DG53" s="3"/>
    </row>
    <row r="54" spans="1:115" x14ac:dyDescent="0.2">
      <c r="B54" s="91" t="s">
        <v>35</v>
      </c>
      <c r="C54" s="91" t="s">
        <v>103</v>
      </c>
      <c r="E54" s="8"/>
      <c r="F54" s="10"/>
      <c r="G54" s="20">
        <f t="shared" si="65"/>
        <v>8</v>
      </c>
      <c r="H54" s="20">
        <f t="shared" si="66"/>
        <v>26.286000000000001</v>
      </c>
      <c r="I54" s="20"/>
      <c r="J54" s="10">
        <v>0</v>
      </c>
      <c r="K54" s="20">
        <v>3</v>
      </c>
      <c r="L54" s="20">
        <v>0</v>
      </c>
      <c r="M54" s="20">
        <v>5</v>
      </c>
      <c r="N54" s="8"/>
      <c r="O54" s="20">
        <v>0.28599999999999998</v>
      </c>
      <c r="P54" s="20">
        <v>18</v>
      </c>
      <c r="Q54" s="20">
        <v>0</v>
      </c>
      <c r="R54" s="20">
        <v>8</v>
      </c>
      <c r="S54" s="11">
        <v>1.5E-3</v>
      </c>
      <c r="T54" s="14">
        <v>0.5</v>
      </c>
      <c r="U54" s="14">
        <v>0.5</v>
      </c>
      <c r="V54" s="11">
        <v>31</v>
      </c>
      <c r="W54" s="14"/>
      <c r="X54" s="11">
        <f t="shared" si="68"/>
        <v>32.0015</v>
      </c>
      <c r="Y54" s="14"/>
      <c r="Z54" s="24">
        <v>12.5</v>
      </c>
      <c r="AA54" s="14">
        <v>34.799999999999997</v>
      </c>
      <c r="AB54" s="14">
        <v>8.3000000000000007</v>
      </c>
      <c r="AC54" s="24">
        <v>106</v>
      </c>
      <c r="AD54" s="25"/>
      <c r="AE54" s="24">
        <f>SUM(Z54:AC54)</f>
        <v>161.6</v>
      </c>
      <c r="AF54" s="25"/>
      <c r="AG54" s="24">
        <v>4.0999999999999996</v>
      </c>
      <c r="AH54" s="14">
        <v>83.8</v>
      </c>
      <c r="AI54" s="14">
        <v>22.6</v>
      </c>
      <c r="AJ54" s="25">
        <v>61.7</v>
      </c>
      <c r="AK54" s="11">
        <f t="shared" si="69"/>
        <v>172.2</v>
      </c>
      <c r="AL54" s="58">
        <v>172.2</v>
      </c>
      <c r="AM54" s="25">
        <v>22.3</v>
      </c>
      <c r="AN54" s="14">
        <v>23.2</v>
      </c>
      <c r="AO54" s="14">
        <v>7.9</v>
      </c>
      <c r="AP54" s="14">
        <v>75.400000000000006</v>
      </c>
      <c r="AQ54" s="11">
        <f t="shared" si="70"/>
        <v>128.80000000000001</v>
      </c>
      <c r="AR54" s="14">
        <v>10.9</v>
      </c>
      <c r="AS54" s="14">
        <v>13.18</v>
      </c>
      <c r="AT54" s="14">
        <v>16.792000000000002</v>
      </c>
      <c r="AU54" s="14">
        <v>242.3</v>
      </c>
      <c r="AV54" s="11">
        <f t="shared" si="71"/>
        <v>283.17200000000003</v>
      </c>
      <c r="AW54" s="14">
        <v>57</v>
      </c>
      <c r="AX54" s="25">
        <v>261.2</v>
      </c>
      <c r="AY54" s="25">
        <v>64.900000000000006</v>
      </c>
      <c r="AZ54" s="25">
        <v>283.3</v>
      </c>
      <c r="BA54" s="11">
        <f t="shared" si="72"/>
        <v>666.40000000000009</v>
      </c>
      <c r="BB54" s="11">
        <v>87.6</v>
      </c>
      <c r="BC54" s="11">
        <v>296.60000000000002</v>
      </c>
      <c r="BD54" s="11">
        <v>69.900000000000006</v>
      </c>
      <c r="BE54" s="11">
        <v>88.7</v>
      </c>
      <c r="BF54" s="11">
        <f t="shared" si="28"/>
        <v>542.80000000000007</v>
      </c>
      <c r="BG54" s="11">
        <v>39.200000000000003</v>
      </c>
      <c r="BH54" s="11">
        <v>199.5</v>
      </c>
      <c r="BI54" s="11">
        <v>158.5</v>
      </c>
      <c r="BJ54" s="11">
        <v>123.1</v>
      </c>
      <c r="BK54" s="11">
        <f t="shared" si="29"/>
        <v>520.29999999999995</v>
      </c>
      <c r="BL54" s="11">
        <v>63.2</v>
      </c>
      <c r="BM54" s="11">
        <v>190.4</v>
      </c>
      <c r="BN54" s="11">
        <v>67.599999999999994</v>
      </c>
      <c r="BO54" s="11">
        <v>214.3</v>
      </c>
      <c r="BP54" s="11">
        <f t="shared" si="30"/>
        <v>535.5</v>
      </c>
      <c r="BQ54" s="11">
        <v>50.7</v>
      </c>
      <c r="BR54" s="11">
        <v>239.6</v>
      </c>
      <c r="BS54" s="11">
        <v>41.5</v>
      </c>
      <c r="BT54" s="11">
        <v>48.1</v>
      </c>
      <c r="BU54" s="11">
        <f t="shared" si="73"/>
        <v>-12.5</v>
      </c>
      <c r="BV54" s="11">
        <f t="shared" si="0"/>
        <v>290.3</v>
      </c>
      <c r="BW54" s="11">
        <f t="shared" si="31"/>
        <v>331.8</v>
      </c>
      <c r="BX54" s="11">
        <f t="shared" si="74"/>
        <v>49.199999999999989</v>
      </c>
      <c r="BY54" s="11">
        <f t="shared" si="75"/>
        <v>-19.778481012658229</v>
      </c>
      <c r="BZ54" s="11">
        <f t="shared" si="76"/>
        <v>25.840336134453771</v>
      </c>
      <c r="CA54" s="11">
        <f t="shared" si="1"/>
        <v>379.90000000000003</v>
      </c>
      <c r="CB54" s="11">
        <v>167.4</v>
      </c>
      <c r="CC54" s="11">
        <v>148.19999999999999</v>
      </c>
      <c r="CD54" s="11">
        <v>51.2</v>
      </c>
      <c r="CE54" s="11">
        <v>175.5</v>
      </c>
      <c r="CF54" s="11">
        <f t="shared" si="32"/>
        <v>542.29999999999995</v>
      </c>
      <c r="CG54" s="11">
        <v>171.9</v>
      </c>
      <c r="CH54" s="11">
        <v>135.9</v>
      </c>
      <c r="CI54" s="11">
        <v>109.3</v>
      </c>
      <c r="CJ54" s="11">
        <v>55.3</v>
      </c>
      <c r="CK54" s="91">
        <f t="shared" si="2"/>
        <v>472.40000000000003</v>
      </c>
      <c r="CL54" s="91">
        <v>124.6</v>
      </c>
      <c r="CM54" s="91">
        <v>105.2</v>
      </c>
      <c r="CN54" s="91"/>
      <c r="CO54" s="91"/>
      <c r="CP54" s="91">
        <v>68.900000000000006</v>
      </c>
      <c r="CQ54" s="91">
        <v>51.9</v>
      </c>
      <c r="CR54" s="91">
        <f t="shared" si="46"/>
        <v>350.6</v>
      </c>
      <c r="CS54" s="91">
        <v>22.1</v>
      </c>
      <c r="CT54" s="91">
        <v>49.9</v>
      </c>
      <c r="CU54" s="91">
        <v>13.4</v>
      </c>
      <c r="CV54" s="91">
        <v>47.2</v>
      </c>
      <c r="CW54" s="78">
        <f t="shared" si="60"/>
        <v>132.60000000000002</v>
      </c>
      <c r="CX54" s="78">
        <f t="shared" si="48"/>
        <v>-4.6999999999999957</v>
      </c>
      <c r="CY54" s="78">
        <f t="shared" si="83"/>
        <v>-9.0558766859344821</v>
      </c>
      <c r="CZ54" s="11">
        <f t="shared" si="6"/>
        <v>-121.79999999999998</v>
      </c>
      <c r="DA54" s="11">
        <f t="shared" si="7"/>
        <v>-25.783234546994066</v>
      </c>
      <c r="DB54" s="3"/>
      <c r="DC54" s="11"/>
      <c r="DD54" s="71"/>
      <c r="DE54" s="3"/>
      <c r="DF54" s="3"/>
      <c r="DG54" s="3"/>
    </row>
    <row r="55" spans="1:115" x14ac:dyDescent="0.2">
      <c r="B55" s="91" t="s">
        <v>46</v>
      </c>
      <c r="C55" s="91" t="s">
        <v>47</v>
      </c>
      <c r="E55" s="8"/>
      <c r="F55" s="10">
        <v>-3</v>
      </c>
      <c r="G55" s="20">
        <f t="shared" si="65"/>
        <v>-59</v>
      </c>
      <c r="H55" s="20">
        <f t="shared" si="66"/>
        <v>-234</v>
      </c>
      <c r="I55" s="20"/>
      <c r="J55" s="10">
        <v>-1</v>
      </c>
      <c r="K55" s="20">
        <v>-1</v>
      </c>
      <c r="L55" s="20">
        <v>0</v>
      </c>
      <c r="M55" s="20">
        <v>-57</v>
      </c>
      <c r="N55" s="8"/>
      <c r="O55" s="20">
        <v>0</v>
      </c>
      <c r="P55" s="20">
        <v>-164</v>
      </c>
      <c r="Q55" s="20">
        <v>-34</v>
      </c>
      <c r="R55" s="20">
        <v>-36</v>
      </c>
      <c r="S55" s="11">
        <v>-11.368482</v>
      </c>
      <c r="T55" s="14">
        <v>-9.9</v>
      </c>
      <c r="U55" s="14">
        <v>-6.6</v>
      </c>
      <c r="V55" s="11">
        <v>-18.8</v>
      </c>
      <c r="W55" s="14"/>
      <c r="X55" s="11">
        <f t="shared" si="68"/>
        <v>-46.668481999999997</v>
      </c>
      <c r="Y55" s="14"/>
      <c r="Z55" s="24">
        <v>-7.2</v>
      </c>
      <c r="AA55" s="14">
        <v>-22.477922</v>
      </c>
      <c r="AB55" s="14">
        <v>-1.8</v>
      </c>
      <c r="AC55" s="24">
        <v>-7.4</v>
      </c>
      <c r="AD55" s="25"/>
      <c r="AE55" s="24">
        <f>SUM(Z55:AC55)</f>
        <v>-38.877921999999998</v>
      </c>
      <c r="AF55" s="25"/>
      <c r="AG55" s="24">
        <v>-13.19</v>
      </c>
      <c r="AH55" s="14">
        <v>-1.83</v>
      </c>
      <c r="AI55" s="14">
        <v>-8.4499999999999993</v>
      </c>
      <c r="AJ55" s="25">
        <v>-17.29</v>
      </c>
      <c r="AK55" s="11">
        <f t="shared" si="69"/>
        <v>-40.76</v>
      </c>
      <c r="AL55" s="58">
        <v>-40.700000000000003</v>
      </c>
      <c r="AM55" s="25">
        <f>-5.5-24.6</f>
        <v>-30.1</v>
      </c>
      <c r="AN55" s="14">
        <v>-18.5</v>
      </c>
      <c r="AO55" s="14">
        <v>-4.3</v>
      </c>
      <c r="AP55" s="14">
        <f>-26.2-3</f>
        <v>-29.2</v>
      </c>
      <c r="AQ55" s="11">
        <f t="shared" si="70"/>
        <v>-82.1</v>
      </c>
      <c r="AR55" s="14">
        <v>-22.3</v>
      </c>
      <c r="AS55" s="14">
        <v>-10.295999999999999</v>
      </c>
      <c r="AT55" s="14">
        <v>-5.2949999999999999</v>
      </c>
      <c r="AU55" s="14">
        <v>-61</v>
      </c>
      <c r="AV55" s="11">
        <f t="shared" si="71"/>
        <v>-98.891000000000005</v>
      </c>
      <c r="AW55" s="14">
        <v>-40.1</v>
      </c>
      <c r="AX55" s="25">
        <v>-12.7</v>
      </c>
      <c r="AY55" s="25">
        <v>-6.1</v>
      </c>
      <c r="AZ55" s="25">
        <v>-17.5</v>
      </c>
      <c r="BA55" s="11">
        <f t="shared" si="72"/>
        <v>-76.400000000000006</v>
      </c>
      <c r="BB55" s="11">
        <v>-25</v>
      </c>
      <c r="BC55" s="11">
        <v>-13.497</v>
      </c>
      <c r="BD55" s="11">
        <v>-8.6</v>
      </c>
      <c r="BE55" s="11">
        <v>-83.5</v>
      </c>
      <c r="BF55" s="11">
        <f t="shared" si="28"/>
        <v>-130.59700000000001</v>
      </c>
      <c r="BG55" s="11">
        <f>-31.8-7</f>
        <v>-38.799999999999997</v>
      </c>
      <c r="BH55" s="11">
        <v>-14.9</v>
      </c>
      <c r="BI55" s="11">
        <v>-29.2</v>
      </c>
      <c r="BJ55" s="11">
        <f>-226+137</f>
        <v>-89</v>
      </c>
      <c r="BK55" s="11">
        <f t="shared" si="29"/>
        <v>-171.89999999999998</v>
      </c>
      <c r="BL55" s="11">
        <f>-1.8-33.9</f>
        <v>-35.699999999999996</v>
      </c>
      <c r="BM55" s="11">
        <v>-110.2</v>
      </c>
      <c r="BN55" s="11">
        <v>-28.6</v>
      </c>
      <c r="BO55" s="11">
        <v>-58.2</v>
      </c>
      <c r="BP55" s="11">
        <f t="shared" si="30"/>
        <v>-232.7</v>
      </c>
      <c r="BQ55" s="11">
        <f>-5</f>
        <v>-5</v>
      </c>
      <c r="BR55" s="11">
        <v>-47.7</v>
      </c>
      <c r="BS55" s="11">
        <v>-7.1</v>
      </c>
      <c r="BT55" s="11">
        <v>-151.4</v>
      </c>
      <c r="BU55" s="11">
        <f t="shared" si="73"/>
        <v>30.699999999999996</v>
      </c>
      <c r="BV55" s="11">
        <f t="shared" si="0"/>
        <v>-52.7</v>
      </c>
      <c r="BW55" s="11">
        <f t="shared" si="31"/>
        <v>-59.800000000000004</v>
      </c>
      <c r="BX55" s="11">
        <f t="shared" si="74"/>
        <v>62.5</v>
      </c>
      <c r="BY55" s="11">
        <f t="shared" si="75"/>
        <v>-85.994397759103634</v>
      </c>
      <c r="BZ55" s="11">
        <f t="shared" si="76"/>
        <v>-56.715063520871148</v>
      </c>
      <c r="CA55" s="11">
        <f t="shared" si="1"/>
        <v>-211.20000000000002</v>
      </c>
      <c r="CB55" s="11">
        <v>-1.9</v>
      </c>
      <c r="CC55" s="11">
        <v>-3.6</v>
      </c>
      <c r="CD55" s="11">
        <v>-5.5</v>
      </c>
      <c r="CE55" s="11">
        <v>-26.2</v>
      </c>
      <c r="CF55" s="11">
        <f t="shared" si="32"/>
        <v>-37.200000000000003</v>
      </c>
      <c r="CG55" s="11">
        <v>-6.1</v>
      </c>
      <c r="CH55" s="11">
        <v>-3.2</v>
      </c>
      <c r="CI55" s="11">
        <v>-2.7</v>
      </c>
      <c r="CJ55" s="11">
        <v>-3.3</v>
      </c>
      <c r="CK55" s="91">
        <f t="shared" si="2"/>
        <v>-15.3</v>
      </c>
      <c r="CL55" s="91">
        <v>-1</v>
      </c>
      <c r="CM55" s="91">
        <v>-6.8</v>
      </c>
      <c r="CN55" s="91"/>
      <c r="CO55" s="91"/>
      <c r="CP55" s="91">
        <v>-4.8</v>
      </c>
      <c r="CQ55" s="91">
        <v>-12.2</v>
      </c>
      <c r="CR55" s="91">
        <f t="shared" si="46"/>
        <v>-24.799999999999997</v>
      </c>
      <c r="CS55" s="91">
        <v>-2.1</v>
      </c>
      <c r="CT55" s="91">
        <v>-1.4</v>
      </c>
      <c r="CU55" s="91">
        <v>-2.7</v>
      </c>
      <c r="CV55" s="91">
        <v>-1.2</v>
      </c>
      <c r="CW55" s="78">
        <f t="shared" si="60"/>
        <v>-7.4</v>
      </c>
      <c r="CX55" s="78">
        <f t="shared" si="48"/>
        <v>11</v>
      </c>
      <c r="CY55" s="78">
        <f t="shared" si="83"/>
        <v>-90.163934426229503</v>
      </c>
      <c r="CZ55" s="11">
        <f t="shared" si="6"/>
        <v>-9.4999999999999964</v>
      </c>
      <c r="DA55" s="11">
        <f t="shared" si="7"/>
        <v>62.091503267973835</v>
      </c>
      <c r="DB55" s="3"/>
      <c r="DC55" s="11"/>
      <c r="DD55" s="71"/>
      <c r="DE55" s="3"/>
      <c r="DF55" s="3"/>
      <c r="DG55" s="3"/>
    </row>
    <row r="56" spans="1:115" x14ac:dyDescent="0.2">
      <c r="B56" s="91" t="s">
        <v>118</v>
      </c>
      <c r="C56" s="91" t="s">
        <v>119</v>
      </c>
      <c r="E56" s="8"/>
      <c r="F56" s="10"/>
      <c r="G56" s="20"/>
      <c r="H56" s="20"/>
      <c r="I56" s="20"/>
      <c r="J56" s="10"/>
      <c r="K56" s="20"/>
      <c r="L56" s="20"/>
      <c r="M56" s="20"/>
      <c r="N56" s="8"/>
      <c r="O56" s="20"/>
      <c r="P56" s="20"/>
      <c r="Q56" s="20"/>
      <c r="R56" s="20"/>
      <c r="S56" s="11"/>
      <c r="T56" s="14"/>
      <c r="U56" s="14"/>
      <c r="V56" s="11"/>
      <c r="W56" s="14"/>
      <c r="X56" s="11"/>
      <c r="Y56" s="14"/>
      <c r="Z56" s="24"/>
      <c r="AA56" s="14"/>
      <c r="AB56" s="14"/>
      <c r="AC56" s="24"/>
      <c r="AD56" s="25"/>
      <c r="AE56" s="24"/>
      <c r="AF56" s="25"/>
      <c r="AG56" s="24"/>
      <c r="AH56" s="14"/>
      <c r="AI56" s="14"/>
      <c r="AJ56" s="25"/>
      <c r="AK56" s="11"/>
      <c r="AL56" s="58"/>
      <c r="AM56" s="25"/>
      <c r="AN56" s="14"/>
      <c r="AO56" s="14"/>
      <c r="AP56" s="14"/>
      <c r="AQ56" s="11"/>
      <c r="AR56" s="14"/>
      <c r="AS56" s="14"/>
      <c r="AT56" s="14"/>
      <c r="AU56" s="14"/>
      <c r="AV56" s="11"/>
      <c r="AW56" s="14"/>
      <c r="AX56" s="25"/>
      <c r="AY56" s="25"/>
      <c r="AZ56" s="25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>
        <v>7414.7</v>
      </c>
      <c r="CB56" s="11">
        <v>1268.2</v>
      </c>
      <c r="CC56" s="11">
        <v>2587.9</v>
      </c>
      <c r="CD56" s="11">
        <v>1452</v>
      </c>
      <c r="CE56" s="11">
        <v>4761.5</v>
      </c>
      <c r="CF56" s="11">
        <f t="shared" ref="CF56" si="84">SUM(CB56:CE56)</f>
        <v>10069.6</v>
      </c>
      <c r="CG56" s="11">
        <v>1555.6</v>
      </c>
      <c r="CH56" s="11">
        <v>3034.2</v>
      </c>
      <c r="CI56" s="11">
        <v>838.1</v>
      </c>
      <c r="CJ56" s="11">
        <v>1169.5999999999999</v>
      </c>
      <c r="CK56" s="91">
        <f>+CG56+CH56+CI56+CJ56-696</f>
        <v>5901.5</v>
      </c>
      <c r="CL56" s="91">
        <v>303.60000000000002</v>
      </c>
      <c r="CM56" s="91">
        <v>2357</v>
      </c>
      <c r="CN56" s="91"/>
      <c r="CO56" s="91"/>
      <c r="CP56" s="91">
        <v>59.3</v>
      </c>
      <c r="CQ56" s="91">
        <v>-38.4</v>
      </c>
      <c r="CR56" s="91">
        <f t="shared" si="46"/>
        <v>2681.5</v>
      </c>
      <c r="CS56" s="91">
        <v>1191.9000000000001</v>
      </c>
      <c r="CT56" s="91">
        <f>2739.8+211-1020</f>
        <v>1930.8000000000002</v>
      </c>
      <c r="CU56" s="91">
        <v>33.9</v>
      </c>
      <c r="CV56" s="91">
        <v>2996.4</v>
      </c>
      <c r="CW56" s="78">
        <f t="shared" si="60"/>
        <v>6153</v>
      </c>
      <c r="CX56" s="78">
        <f t="shared" si="48"/>
        <v>3034.8</v>
      </c>
      <c r="CY56" s="78"/>
      <c r="CZ56" s="11">
        <f t="shared" si="6"/>
        <v>-3915.9999999999995</v>
      </c>
      <c r="DA56" s="11">
        <f t="shared" si="7"/>
        <v>-59.355816597195897</v>
      </c>
      <c r="DB56" s="3"/>
      <c r="DC56" s="11"/>
      <c r="DD56" s="71"/>
      <c r="DE56" s="3"/>
      <c r="DF56" s="71"/>
      <c r="DG56" s="3"/>
    </row>
    <row r="57" spans="1:115" ht="9" customHeight="1" x14ac:dyDescent="0.2">
      <c r="E57" s="8"/>
      <c r="F57" s="8"/>
      <c r="G57" s="17"/>
      <c r="H57" s="17" t="s">
        <v>10</v>
      </c>
      <c r="I57" s="17"/>
      <c r="J57" s="10"/>
      <c r="K57" s="24"/>
      <c r="L57" s="24"/>
      <c r="N57" s="8"/>
      <c r="O57" s="22"/>
      <c r="P57" s="22"/>
      <c r="Q57" s="24"/>
      <c r="R57" s="24"/>
      <c r="S57" s="12"/>
      <c r="T57" s="12"/>
      <c r="U57" s="12"/>
      <c r="V57" s="12"/>
      <c r="W57" s="14"/>
      <c r="X57" s="12" t="str">
        <f>IF(O57="","",(O57+P57+Q57+R57))</f>
        <v/>
      </c>
      <c r="Y57" s="14"/>
      <c r="Z57" s="23"/>
      <c r="AA57" s="39"/>
      <c r="AC57" s="23"/>
      <c r="AD57" s="25"/>
      <c r="AE57" s="23" t="str">
        <f>IF(Y57="","",(Y57+Z57+AA57+AB57))</f>
        <v/>
      </c>
      <c r="AF57" s="25"/>
      <c r="AG57" s="23"/>
      <c r="AH57" s="39"/>
      <c r="AI57" s="39"/>
      <c r="AJ57" s="29"/>
      <c r="AK57" s="12" t="s">
        <v>10</v>
      </c>
      <c r="AL57" s="57" t="s">
        <v>10</v>
      </c>
      <c r="AM57" s="29"/>
      <c r="AN57" s="39"/>
      <c r="AO57" s="39"/>
      <c r="AP57" s="39"/>
      <c r="AQ57" s="12" t="s">
        <v>10</v>
      </c>
      <c r="AR57" s="39"/>
      <c r="AS57" s="39"/>
      <c r="AT57" s="39"/>
      <c r="AU57" s="39"/>
      <c r="AV57" s="12" t="s">
        <v>10</v>
      </c>
      <c r="AW57" s="39"/>
      <c r="AX57" s="29"/>
      <c r="AY57" s="29"/>
      <c r="AZ57" s="29"/>
      <c r="BA57" s="12" t="s">
        <v>10</v>
      </c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91"/>
      <c r="CL57" s="91"/>
      <c r="CM57" s="91"/>
      <c r="CN57" s="91"/>
      <c r="CO57" s="91"/>
      <c r="CP57" s="91"/>
      <c r="CQ57" s="91"/>
      <c r="CR57" s="91"/>
      <c r="CS57" s="91"/>
      <c r="CT57" s="91"/>
      <c r="CU57" s="91"/>
      <c r="CV57" s="91"/>
      <c r="CW57" s="78"/>
      <c r="CX57" s="78"/>
      <c r="CY57" s="78"/>
      <c r="CZ57" s="12"/>
      <c r="DA57" s="12"/>
      <c r="DB57" s="3"/>
      <c r="DC57" s="11"/>
      <c r="DD57" s="71"/>
      <c r="DE57" s="3"/>
      <c r="DF57" s="3"/>
      <c r="DG57" s="3"/>
    </row>
    <row r="58" spans="1:115" s="7" customFormat="1" hidden="1" x14ac:dyDescent="0.2">
      <c r="A58" s="36"/>
      <c r="C58" s="43" t="s">
        <v>64</v>
      </c>
      <c r="D58" s="43"/>
      <c r="E58" s="39"/>
      <c r="F58" s="44">
        <f>IF(F50="","",F50)</f>
        <v>739</v>
      </c>
      <c r="G58" s="44">
        <f t="shared" ref="G58:U58" si="85">IF(G50="","",G50)</f>
        <v>1814</v>
      </c>
      <c r="H58" s="44">
        <f t="shared" si="85"/>
        <v>1233.2860000000001</v>
      </c>
      <c r="I58" s="39"/>
      <c r="J58" s="44">
        <f t="shared" si="85"/>
        <v>252</v>
      </c>
      <c r="K58" s="44">
        <f t="shared" si="85"/>
        <v>79</v>
      </c>
      <c r="L58" s="44">
        <f t="shared" si="85"/>
        <v>204</v>
      </c>
      <c r="M58" s="44">
        <f t="shared" si="85"/>
        <v>1279</v>
      </c>
      <c r="N58" s="39"/>
      <c r="O58" s="44">
        <f t="shared" si="85"/>
        <v>203.286</v>
      </c>
      <c r="P58" s="44">
        <f t="shared" si="85"/>
        <v>10</v>
      </c>
      <c r="Q58" s="44">
        <f t="shared" si="85"/>
        <v>221</v>
      </c>
      <c r="R58" s="44">
        <f t="shared" si="85"/>
        <v>799</v>
      </c>
      <c r="S58" s="44">
        <f t="shared" si="85"/>
        <v>266.96434199999999</v>
      </c>
      <c r="T58" s="44">
        <f t="shared" si="85"/>
        <v>353.40000000000003</v>
      </c>
      <c r="U58" s="44">
        <f t="shared" si="85"/>
        <v>152</v>
      </c>
      <c r="V58" s="44">
        <f>IF(V50="","",V50)</f>
        <v>805.1</v>
      </c>
      <c r="W58" s="48"/>
      <c r="X58" s="44">
        <f>IF(O58="","",(S58+T58+U58+V58))</f>
        <v>1577.4643420000002</v>
      </c>
      <c r="Y58" s="39"/>
      <c r="Z58" s="50">
        <f>IF(Z50="","",Z50)</f>
        <v>225.50000000000003</v>
      </c>
      <c r="AA58" s="44">
        <f>IF(AA50="","",AA50)</f>
        <v>385.50977800000004</v>
      </c>
      <c r="AB58" s="44">
        <f>IF(AB50="","",AB50)</f>
        <v>229</v>
      </c>
      <c r="AC58" s="50">
        <f>IF(AC50="","",AC50)</f>
        <v>687.30000000000007</v>
      </c>
      <c r="AD58" s="53"/>
      <c r="AE58" s="50">
        <f>SUM(Z58:AC58)</f>
        <v>1527.3097780000003</v>
      </c>
      <c r="AF58" s="29"/>
      <c r="AG58" s="50">
        <f>IF(AG50="","",AG50)</f>
        <v>135.71</v>
      </c>
      <c r="AH58" s="44">
        <f>+AH50</f>
        <v>407.67</v>
      </c>
      <c r="AI58" s="44">
        <f>+AI50</f>
        <v>160.55000000000001</v>
      </c>
      <c r="AJ58" s="50">
        <f>+AJ50</f>
        <v>662.41000000000008</v>
      </c>
      <c r="AK58" s="44">
        <f>+AG58+AH58+AI58+AJ58</f>
        <v>1366.3400000000001</v>
      </c>
      <c r="AL58" s="59">
        <v>1366.4</v>
      </c>
      <c r="AM58" s="50">
        <f>+AM50</f>
        <v>275.39999999999998</v>
      </c>
      <c r="AN58" s="44">
        <f>+AN50</f>
        <v>567.10000000000014</v>
      </c>
      <c r="AO58" s="44">
        <f>+AO50</f>
        <v>268.99999999999994</v>
      </c>
      <c r="AP58" s="44">
        <f>+AP50</f>
        <v>1370.0000000000002</v>
      </c>
      <c r="AQ58" s="44">
        <f>+AM58+AN58+AO58+AP58</f>
        <v>2481.5</v>
      </c>
      <c r="AR58" s="44">
        <f>+AR50</f>
        <v>309.09999999999997</v>
      </c>
      <c r="AS58" s="44">
        <f>+AS50</f>
        <v>482.85200000000003</v>
      </c>
      <c r="AT58" s="44">
        <f>+AT50</f>
        <v>228.76</v>
      </c>
      <c r="AU58" s="44">
        <f>+AU50</f>
        <v>869.7</v>
      </c>
      <c r="AV58" s="44">
        <f>+AR58+AS58+AT58+AU58</f>
        <v>1890.412</v>
      </c>
      <c r="AW58" s="44">
        <f>+AW50</f>
        <v>319.7</v>
      </c>
      <c r="AX58" s="50">
        <f>+AX50</f>
        <v>674.59999999999991</v>
      </c>
      <c r="AY58" s="50">
        <f>+AY50</f>
        <v>253.79999999999998</v>
      </c>
      <c r="AZ58" s="50">
        <f>+AZ50</f>
        <v>702.90000000000009</v>
      </c>
      <c r="BA58" s="44">
        <f>+AW58+AX58+AY58+AZ58</f>
        <v>1951</v>
      </c>
      <c r="BB58" s="50">
        <f>+BB50</f>
        <v>189.29999999999998</v>
      </c>
      <c r="BC58" s="50">
        <f>+BC50</f>
        <v>600.30300000000011</v>
      </c>
      <c r="BD58" s="50">
        <f>+BD50</f>
        <v>234.4</v>
      </c>
      <c r="BE58" s="50">
        <f>+BE50</f>
        <v>556</v>
      </c>
      <c r="BF58" s="50">
        <f t="shared" si="28"/>
        <v>1580.0030000000002</v>
      </c>
      <c r="BG58" s="50">
        <f>+BG50</f>
        <v>191.5</v>
      </c>
      <c r="BH58" s="50">
        <f>+BH50</f>
        <v>537</v>
      </c>
      <c r="BI58" s="50">
        <f>+BI50</f>
        <v>398.59999999999997</v>
      </c>
      <c r="BJ58" s="50">
        <f>+BJ50</f>
        <v>750.3</v>
      </c>
      <c r="BK58" s="50">
        <f t="shared" si="29"/>
        <v>1877.3999999999999</v>
      </c>
      <c r="BL58" s="50">
        <f>+BL50</f>
        <v>271.60000000000002</v>
      </c>
      <c r="BM58" s="50">
        <f>+BM50</f>
        <v>882.29999999999984</v>
      </c>
      <c r="BN58" s="50">
        <f>+BN50</f>
        <v>397.79999999999995</v>
      </c>
      <c r="BO58" s="50">
        <f>+BO50</f>
        <v>819.59999999999991</v>
      </c>
      <c r="BP58" s="50">
        <f t="shared" si="30"/>
        <v>2371.2999999999997</v>
      </c>
      <c r="BQ58" s="50">
        <f>+BQ50</f>
        <v>238.10000000000002</v>
      </c>
      <c r="BR58" s="50">
        <f>+BR50</f>
        <v>515.5</v>
      </c>
      <c r="BS58" s="50">
        <f>+BS50</f>
        <v>417.3</v>
      </c>
      <c r="BT58" s="50">
        <f>+BT50</f>
        <v>701.7</v>
      </c>
      <c r="BU58" s="50">
        <f>+BQ58-BL58</f>
        <v>-33.5</v>
      </c>
      <c r="BV58" s="50">
        <f t="shared" si="0"/>
        <v>753.6</v>
      </c>
      <c r="BW58" s="50">
        <f t="shared" si="31"/>
        <v>1170.9000000000001</v>
      </c>
      <c r="BX58" s="50">
        <f>+BR58-BM58</f>
        <v>-366.79999999999984</v>
      </c>
      <c r="BY58" s="50">
        <f>+BU58/(BL58)*100</f>
        <v>-12.334315169366715</v>
      </c>
      <c r="BZ58" s="50">
        <f>+BX58/(BM58)*100</f>
        <v>-41.573161056330036</v>
      </c>
      <c r="CA58" s="50">
        <f>SUM(BQ58:BT58)+CA56</f>
        <v>9287.2999999999993</v>
      </c>
      <c r="CB58" s="50">
        <f>+CB50</f>
        <v>1644.1000000000001</v>
      </c>
      <c r="CC58" s="50">
        <f>+CC50</f>
        <v>3153.2</v>
      </c>
      <c r="CD58" s="50">
        <f>+CD50</f>
        <v>1824.1</v>
      </c>
      <c r="CE58" s="50">
        <f>+CE50</f>
        <v>5506.6</v>
      </c>
      <c r="CF58" s="50">
        <f t="shared" si="32"/>
        <v>12128</v>
      </c>
      <c r="CG58" s="50">
        <f>+CG50</f>
        <v>1963.6</v>
      </c>
      <c r="CH58" s="50">
        <f>+CH50</f>
        <v>3635.7999999999997</v>
      </c>
      <c r="CI58" s="50">
        <f>+CI50</f>
        <v>1321.7</v>
      </c>
      <c r="CJ58" s="50">
        <f>+CJ50</f>
        <v>2043.2999999999997</v>
      </c>
      <c r="CK58" s="97">
        <f t="shared" si="2"/>
        <v>8964.4</v>
      </c>
      <c r="CL58" s="97">
        <f>+CL50</f>
        <v>703.7</v>
      </c>
      <c r="CM58" s="97">
        <f>+CM50</f>
        <v>2811.5</v>
      </c>
      <c r="CN58" s="97"/>
      <c r="CO58" s="97"/>
      <c r="CP58" s="97">
        <f>+CP50</f>
        <v>362</v>
      </c>
      <c r="CQ58" s="97">
        <f>+CQ50</f>
        <v>646</v>
      </c>
      <c r="CR58" s="97">
        <f t="shared" si="46"/>
        <v>4523.2</v>
      </c>
      <c r="CS58" s="97">
        <f>+CS50</f>
        <v>1456.4</v>
      </c>
      <c r="CT58" s="97">
        <f>+CT50</f>
        <v>2499.1000000000004</v>
      </c>
      <c r="CU58" s="97">
        <f>+CU50</f>
        <v>341.7</v>
      </c>
      <c r="CV58" s="97">
        <f>+CV50</f>
        <v>3895.4</v>
      </c>
      <c r="CW58" s="78"/>
      <c r="CX58" s="78"/>
      <c r="CY58" s="78"/>
      <c r="CZ58" s="50">
        <f t="shared" si="6"/>
        <v>-4441.1999999999989</v>
      </c>
      <c r="DA58" s="50">
        <f t="shared" si="7"/>
        <v>-49.542635313015921</v>
      </c>
      <c r="DB58" s="9"/>
      <c r="DC58" s="11"/>
      <c r="DD58" s="71"/>
      <c r="DE58" s="9"/>
      <c r="DF58" s="9"/>
      <c r="DG58" s="9"/>
      <c r="DH58" s="9"/>
      <c r="DI58" s="9"/>
      <c r="DJ58" s="9"/>
      <c r="DK58" s="9"/>
    </row>
    <row r="59" spans="1:115" s="7" customFormat="1" ht="10.5" customHeight="1" x14ac:dyDescent="0.2">
      <c r="A59" s="36"/>
      <c r="E59" s="39"/>
      <c r="F59" s="8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14"/>
      <c r="X59" s="12" t="str">
        <f>IF(O59="","",(O59+P59+Q59+R59))</f>
        <v/>
      </c>
      <c r="Y59" s="39"/>
      <c r="Z59" s="29"/>
      <c r="AA59" s="39"/>
      <c r="AC59" s="29"/>
      <c r="AD59" s="25"/>
      <c r="AE59" s="23" t="str">
        <f>IF(Y59="","",(Y59+Z59+AA59+AB59))</f>
        <v/>
      </c>
      <c r="AF59" s="29"/>
      <c r="AG59" s="29"/>
      <c r="AH59" s="39"/>
      <c r="AI59" s="39"/>
      <c r="AJ59" s="29"/>
      <c r="AK59" s="12" t="s">
        <v>10</v>
      </c>
      <c r="AL59" s="57" t="s">
        <v>10</v>
      </c>
      <c r="AM59" s="29"/>
      <c r="AN59" s="39"/>
      <c r="AO59" s="39"/>
      <c r="AP59" s="39"/>
      <c r="AQ59" s="12" t="s">
        <v>10</v>
      </c>
      <c r="AR59" s="39"/>
      <c r="AS59" s="39"/>
      <c r="AT59" s="39"/>
      <c r="AU59" s="39"/>
      <c r="AV59" s="12" t="s">
        <v>10</v>
      </c>
      <c r="AW59" s="39"/>
      <c r="AX59" s="29"/>
      <c r="AY59" s="29"/>
      <c r="AZ59" s="29"/>
      <c r="BA59" s="12" t="s">
        <v>10</v>
      </c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91"/>
      <c r="CL59" s="91"/>
      <c r="CM59" s="91"/>
      <c r="CN59" s="91"/>
      <c r="CO59" s="91"/>
      <c r="CP59" s="91"/>
      <c r="CQ59" s="91"/>
      <c r="CR59" s="91"/>
      <c r="CS59" s="91"/>
      <c r="CT59" s="91"/>
      <c r="CU59" s="91"/>
      <c r="CV59" s="91"/>
      <c r="CW59" s="78"/>
      <c r="CX59" s="78"/>
      <c r="CY59" s="78"/>
      <c r="CZ59" s="12"/>
      <c r="DA59" s="12"/>
      <c r="DB59" s="9"/>
      <c r="DC59" s="11"/>
      <c r="DD59" s="71"/>
      <c r="DE59" s="9"/>
      <c r="DF59" s="9"/>
      <c r="DG59" s="9"/>
      <c r="DH59" s="9"/>
      <c r="DI59" s="9"/>
      <c r="DJ59" s="9"/>
      <c r="DK59" s="9"/>
    </row>
    <row r="60" spans="1:115" s="7" customFormat="1" x14ac:dyDescent="0.2">
      <c r="A60" s="92">
        <v>6</v>
      </c>
      <c r="B60" s="92" t="s">
        <v>36</v>
      </c>
      <c r="C60" s="92"/>
      <c r="E60" s="8"/>
      <c r="F60" s="8">
        <f>SUM(F61)</f>
        <v>481</v>
      </c>
      <c r="G60" s="17">
        <f>SUM(J60:M60)</f>
        <v>664</v>
      </c>
      <c r="H60" s="17">
        <f>SUM(O60:R60)</f>
        <v>752</v>
      </c>
      <c r="I60" s="17"/>
      <c r="J60" s="8">
        <v>169</v>
      </c>
      <c r="K60" s="17">
        <v>179</v>
      </c>
      <c r="L60" s="17">
        <v>232</v>
      </c>
      <c r="M60" s="17">
        <v>84</v>
      </c>
      <c r="N60" s="8"/>
      <c r="O60" s="17">
        <v>165</v>
      </c>
      <c r="P60" s="17">
        <f t="shared" ref="P60:V60" si="86">P61</f>
        <v>196</v>
      </c>
      <c r="Q60" s="17">
        <f t="shared" si="86"/>
        <v>202</v>
      </c>
      <c r="R60" s="17">
        <f t="shared" si="86"/>
        <v>189</v>
      </c>
      <c r="S60" s="17">
        <f t="shared" si="86"/>
        <v>176.5</v>
      </c>
      <c r="T60" s="17">
        <f t="shared" si="86"/>
        <v>162.5</v>
      </c>
      <c r="U60" s="17">
        <f t="shared" si="86"/>
        <v>138.69999999999999</v>
      </c>
      <c r="V60" s="17">
        <f t="shared" si="86"/>
        <v>184.03671399999999</v>
      </c>
      <c r="W60" s="14"/>
      <c r="X60" s="12">
        <f>IF(O60="","",(S60+T60+U60+V60))</f>
        <v>661.73671400000001</v>
      </c>
      <c r="Y60" s="14"/>
      <c r="Z60" s="17">
        <f>Z61</f>
        <v>174.9</v>
      </c>
      <c r="AA60" s="17">
        <f>AA61</f>
        <v>154.6</v>
      </c>
      <c r="AB60" s="17">
        <f>AB61</f>
        <v>121.3</v>
      </c>
      <c r="AC60" s="17">
        <f>AC61</f>
        <v>128.1</v>
      </c>
      <c r="AD60" s="25"/>
      <c r="AE60" s="23">
        <f>SUM(AE61:AE62)</f>
        <v>578.29999999999995</v>
      </c>
      <c r="AF60" s="25"/>
      <c r="AG60" s="17">
        <f>AG61</f>
        <v>102.8</v>
      </c>
      <c r="AH60" s="17">
        <f>+AH61+AH62</f>
        <v>57.515700000000002</v>
      </c>
      <c r="AI60" s="17">
        <f>+AI61+AI62</f>
        <v>92.111729999999994</v>
      </c>
      <c r="AJ60" s="17">
        <f>+AJ61+AJ62</f>
        <v>47.930799999999998</v>
      </c>
      <c r="AK60" s="12">
        <f>+AG60+AH60+AI60+AJ60</f>
        <v>300.35822999999999</v>
      </c>
      <c r="AL60" s="55">
        <f>+AL61+AL62</f>
        <v>300.34370000000001</v>
      </c>
      <c r="AM60" s="17">
        <f>+AM61+AM62</f>
        <v>90.4</v>
      </c>
      <c r="AN60" s="17">
        <f>+AN61+AN62</f>
        <v>46.7</v>
      </c>
      <c r="AO60" s="17">
        <f>+AO61+AO62</f>
        <v>88.600000000000009</v>
      </c>
      <c r="AP60" s="17">
        <f>+AP61+AP62</f>
        <v>68.7</v>
      </c>
      <c r="AQ60" s="12">
        <f>+AM60+AN60+AO60+AP60</f>
        <v>294.40000000000003</v>
      </c>
      <c r="AR60" s="17">
        <f>+AR61+AR62</f>
        <v>105.2</v>
      </c>
      <c r="AS60" s="17">
        <f>+AS61+AS62</f>
        <v>141.11900000000003</v>
      </c>
      <c r="AT60" s="17">
        <f>+AT61+AT62</f>
        <v>113.914</v>
      </c>
      <c r="AU60" s="17">
        <f>+AU61+AU62</f>
        <v>157.4</v>
      </c>
      <c r="AV60" s="12">
        <f>+AR60+AS60+AT60+AU60</f>
        <v>517.63300000000004</v>
      </c>
      <c r="AW60" s="17">
        <f>+AW61+AW62</f>
        <v>122</v>
      </c>
      <c r="AX60" s="17">
        <f>+AX61+AX62</f>
        <v>113</v>
      </c>
      <c r="AY60" s="17">
        <f>+AY61+AY62</f>
        <v>111.9</v>
      </c>
      <c r="AZ60" s="17">
        <f>+AZ61+AZ62</f>
        <v>78.100000000000009</v>
      </c>
      <c r="BA60" s="12">
        <f>+AW60+AX60+AY60+AZ60</f>
        <v>425</v>
      </c>
      <c r="BB60" s="17">
        <f>+BB61+BB62</f>
        <v>94</v>
      </c>
      <c r="BC60" s="17">
        <f>+BC61+BC62</f>
        <v>93.9</v>
      </c>
      <c r="BD60" s="17">
        <f>+BD61+BD62</f>
        <v>102.4</v>
      </c>
      <c r="BE60" s="17">
        <f>+BE61+BE62</f>
        <v>104.3</v>
      </c>
      <c r="BF60" s="17">
        <f t="shared" si="28"/>
        <v>394.6</v>
      </c>
      <c r="BG60" s="17">
        <f>+BG61+BG62</f>
        <v>63.5</v>
      </c>
      <c r="BH60" s="17">
        <f>+BH61+BH62</f>
        <v>66.7</v>
      </c>
      <c r="BI60" s="17">
        <f>+BI61+BI62</f>
        <v>67</v>
      </c>
      <c r="BJ60" s="17">
        <f>+BJ61+BJ62</f>
        <v>37.799999999999997</v>
      </c>
      <c r="BK60" s="17">
        <f t="shared" si="29"/>
        <v>235</v>
      </c>
      <c r="BL60" s="17">
        <f>+BL61+BL62</f>
        <v>54.4</v>
      </c>
      <c r="BM60" s="17">
        <f>+BM61+BM62</f>
        <v>59.1</v>
      </c>
      <c r="BN60" s="17">
        <f>+BN61+BN62</f>
        <v>57.500000000000007</v>
      </c>
      <c r="BO60" s="17">
        <f>+BO61+BO62</f>
        <v>63.300000000000004</v>
      </c>
      <c r="BP60" s="17">
        <f t="shared" si="30"/>
        <v>234.3</v>
      </c>
      <c r="BQ60" s="17">
        <f>+BQ61+BQ62</f>
        <v>36.599999999999994</v>
      </c>
      <c r="BR60" s="17">
        <f>+BR61+BR62</f>
        <v>50.199999999999996</v>
      </c>
      <c r="BS60" s="17">
        <f>+BS61+BS62</f>
        <v>51.7</v>
      </c>
      <c r="BT60" s="17">
        <f>+BT61+BT62</f>
        <v>47.2</v>
      </c>
      <c r="BU60" s="17">
        <f>+BQ60-BL60</f>
        <v>-17.800000000000004</v>
      </c>
      <c r="BV60" s="17">
        <f t="shared" si="0"/>
        <v>86.799999999999983</v>
      </c>
      <c r="BW60" s="17">
        <f t="shared" si="31"/>
        <v>138.5</v>
      </c>
      <c r="BX60" s="17">
        <f>+BR60-BM60</f>
        <v>-8.9000000000000057</v>
      </c>
      <c r="BY60" s="17">
        <f>+BU60/(BL60)*100</f>
        <v>-32.72058823529413</v>
      </c>
      <c r="BZ60" s="17">
        <f>+BX60/(BM60)*100</f>
        <v>-15.05922165820644</v>
      </c>
      <c r="CA60" s="17">
        <f t="shared" si="1"/>
        <v>185.7</v>
      </c>
      <c r="CB60" s="17">
        <f>+CB61+CB62</f>
        <v>43.199999999999996</v>
      </c>
      <c r="CC60" s="17">
        <f>+CC61+CC62</f>
        <v>46.4</v>
      </c>
      <c r="CD60" s="17">
        <f>+CD61+CD62</f>
        <v>47.6</v>
      </c>
      <c r="CE60" s="17">
        <f>+CE61+CE62</f>
        <v>45.800000000000004</v>
      </c>
      <c r="CF60" s="17">
        <f t="shared" si="32"/>
        <v>183</v>
      </c>
      <c r="CG60" s="17">
        <f>+CG61+CG62</f>
        <v>48.9</v>
      </c>
      <c r="CH60" s="17">
        <f>+CH61+CH62</f>
        <v>51.9</v>
      </c>
      <c r="CI60" s="17">
        <f>+CI61+CI62</f>
        <v>40.1</v>
      </c>
      <c r="CJ60" s="17">
        <f>+CJ61+CJ62</f>
        <v>37</v>
      </c>
      <c r="CK60" s="94">
        <f t="shared" si="2"/>
        <v>177.9</v>
      </c>
      <c r="CL60" s="94">
        <f>+CL61+CL62</f>
        <v>34.800000000000004</v>
      </c>
      <c r="CM60" s="94">
        <f>+CM61+CM62</f>
        <v>30.9</v>
      </c>
      <c r="CN60" s="94"/>
      <c r="CO60" s="94"/>
      <c r="CP60" s="94">
        <f>+CP61+CP62</f>
        <v>20.7</v>
      </c>
      <c r="CQ60" s="94">
        <f>+CQ61+CQ62</f>
        <v>17.899999999999999</v>
      </c>
      <c r="CR60" s="94">
        <f t="shared" si="46"/>
        <v>104.30000000000001</v>
      </c>
      <c r="CS60" s="94">
        <f>+CS61+CS62</f>
        <v>21.8</v>
      </c>
      <c r="CT60" s="94">
        <f>+CT61+CT62</f>
        <v>17</v>
      </c>
      <c r="CU60" s="94">
        <f>+CU61+CU62</f>
        <v>12.399999999999999</v>
      </c>
      <c r="CV60" s="94">
        <f>+CV61+CV62</f>
        <v>8.4</v>
      </c>
      <c r="CW60" s="78">
        <f t="shared" si="60"/>
        <v>59.599999999999994</v>
      </c>
      <c r="CX60" s="78">
        <f t="shared" si="48"/>
        <v>-9.4999999999999982</v>
      </c>
      <c r="CY60" s="78">
        <f t="shared" ref="CY60:CY62" si="87">+CX60/CQ60*100</f>
        <v>-53.072625698324018</v>
      </c>
      <c r="CZ60" s="17">
        <f t="shared" si="6"/>
        <v>-73.599999999999994</v>
      </c>
      <c r="DA60" s="17">
        <f t="shared" si="7"/>
        <v>-41.371557054525013</v>
      </c>
      <c r="DB60" s="9"/>
      <c r="DC60" s="11"/>
      <c r="DD60" s="71"/>
      <c r="DE60" s="9"/>
      <c r="DF60" s="9"/>
      <c r="DG60" s="9"/>
    </row>
    <row r="61" spans="1:115" x14ac:dyDescent="0.2">
      <c r="B61" s="91" t="s">
        <v>37</v>
      </c>
      <c r="C61" s="91" t="s">
        <v>38</v>
      </c>
      <c r="E61" s="8"/>
      <c r="F61" s="10">
        <v>481</v>
      </c>
      <c r="G61" s="20">
        <f>SUM(J61:M61)</f>
        <v>664</v>
      </c>
      <c r="H61" s="20">
        <f>SUM(O61:R61)</f>
        <v>752</v>
      </c>
      <c r="I61" s="20"/>
      <c r="J61" s="10">
        <v>169</v>
      </c>
      <c r="K61" s="24">
        <v>179</v>
      </c>
      <c r="L61" s="24">
        <v>232</v>
      </c>
      <c r="M61" s="25">
        <v>84</v>
      </c>
      <c r="N61" s="8"/>
      <c r="O61" s="24">
        <v>165</v>
      </c>
      <c r="P61" s="24">
        <v>196</v>
      </c>
      <c r="Q61" s="24">
        <v>202</v>
      </c>
      <c r="R61" s="24">
        <v>189</v>
      </c>
      <c r="S61" s="11">
        <v>176.5</v>
      </c>
      <c r="T61" s="14">
        <v>162.5</v>
      </c>
      <c r="U61" s="14">
        <v>138.69999999999999</v>
      </c>
      <c r="V61" s="11">
        <v>184.03671399999999</v>
      </c>
      <c r="W61" s="14"/>
      <c r="X61" s="11">
        <f>IF(O61="","",(S61+T61+U61+V61))</f>
        <v>661.73671400000001</v>
      </c>
      <c r="Y61" s="14"/>
      <c r="Z61" s="24">
        <v>174.9</v>
      </c>
      <c r="AA61" s="14">
        <v>154.6</v>
      </c>
      <c r="AB61" s="14">
        <v>121.3</v>
      </c>
      <c r="AC61" s="24">
        <v>128.1</v>
      </c>
      <c r="AD61" s="25"/>
      <c r="AE61" s="24">
        <f>SUM(Z61:AC61)</f>
        <v>578.9</v>
      </c>
      <c r="AF61" s="25"/>
      <c r="AG61" s="24">
        <v>102.8</v>
      </c>
      <c r="AH61" s="14">
        <v>58</v>
      </c>
      <c r="AI61" s="14">
        <v>89.5</v>
      </c>
      <c r="AJ61" s="25">
        <v>50.5</v>
      </c>
      <c r="AK61" s="11">
        <f>+AG61+AH61+AI61+AJ61</f>
        <v>300.8</v>
      </c>
      <c r="AL61" s="58">
        <v>300.78899999999999</v>
      </c>
      <c r="AM61" s="25">
        <v>95.2</v>
      </c>
      <c r="AN61" s="14">
        <v>58.4</v>
      </c>
      <c r="AO61" s="14">
        <v>94.4</v>
      </c>
      <c r="AP61" s="14">
        <v>83.4</v>
      </c>
      <c r="AQ61" s="11">
        <f>+AM61+AN61+AO61+AP61</f>
        <v>331.4</v>
      </c>
      <c r="AR61" s="14">
        <v>105.4</v>
      </c>
      <c r="AS61" s="14">
        <v>159.96700000000001</v>
      </c>
      <c r="AT61" s="14">
        <v>124.443</v>
      </c>
      <c r="AU61" s="14">
        <v>165.1</v>
      </c>
      <c r="AV61" s="11">
        <f>+AR61+AS61+AT61+AU61</f>
        <v>554.91</v>
      </c>
      <c r="AW61" s="14">
        <v>130</v>
      </c>
      <c r="AX61" s="25">
        <v>126.7</v>
      </c>
      <c r="AY61" s="25">
        <v>123</v>
      </c>
      <c r="AZ61" s="25">
        <v>88.9</v>
      </c>
      <c r="BA61" s="11">
        <f>+AW61+AX61+AY61+AZ61</f>
        <v>468.6</v>
      </c>
      <c r="BB61" s="11">
        <v>101</v>
      </c>
      <c r="BC61" s="11">
        <v>99.4</v>
      </c>
      <c r="BD61" s="11">
        <v>107.7</v>
      </c>
      <c r="BE61" s="11">
        <v>108.7</v>
      </c>
      <c r="BF61" s="11">
        <f t="shared" si="28"/>
        <v>416.8</v>
      </c>
      <c r="BG61" s="11">
        <v>68</v>
      </c>
      <c r="BH61" s="11">
        <v>71.3</v>
      </c>
      <c r="BI61" s="11">
        <v>72</v>
      </c>
      <c r="BJ61" s="11">
        <v>44.3</v>
      </c>
      <c r="BK61" s="11">
        <f t="shared" si="29"/>
        <v>255.60000000000002</v>
      </c>
      <c r="BL61" s="11">
        <v>61.5</v>
      </c>
      <c r="BM61" s="11">
        <f>1.7+65.3</f>
        <v>67</v>
      </c>
      <c r="BN61" s="11">
        <v>65.900000000000006</v>
      </c>
      <c r="BO61" s="11">
        <v>70.7</v>
      </c>
      <c r="BP61" s="11">
        <f t="shared" si="30"/>
        <v>265.10000000000002</v>
      </c>
      <c r="BQ61" s="11">
        <v>42.3</v>
      </c>
      <c r="BR61" s="11">
        <v>55.3</v>
      </c>
      <c r="BS61" s="11">
        <v>57.5</v>
      </c>
      <c r="BT61" s="11">
        <v>51.7</v>
      </c>
      <c r="BU61" s="11">
        <f>+BQ61-BL61</f>
        <v>-19.200000000000003</v>
      </c>
      <c r="BV61" s="11">
        <f t="shared" si="0"/>
        <v>97.6</v>
      </c>
      <c r="BW61" s="11">
        <f t="shared" si="31"/>
        <v>155.1</v>
      </c>
      <c r="BX61" s="11">
        <f>+BR61-BM61</f>
        <v>-11.700000000000003</v>
      </c>
      <c r="BY61" s="11">
        <f>+BU61/(BL61)*100</f>
        <v>-31.219512195121958</v>
      </c>
      <c r="BZ61" s="11">
        <f>+BX61/(BM61)*100</f>
        <v>-17.462686567164184</v>
      </c>
      <c r="CA61" s="11">
        <f t="shared" si="1"/>
        <v>206.8</v>
      </c>
      <c r="CB61" s="11">
        <v>47.4</v>
      </c>
      <c r="CC61" s="11">
        <v>51.1</v>
      </c>
      <c r="CD61" s="11">
        <v>52.7</v>
      </c>
      <c r="CE61" s="11">
        <v>51.2</v>
      </c>
      <c r="CF61" s="11">
        <f t="shared" si="32"/>
        <v>202.39999999999998</v>
      </c>
      <c r="CG61" s="11">
        <v>54.8</v>
      </c>
      <c r="CH61" s="11">
        <v>58.4</v>
      </c>
      <c r="CI61" s="11">
        <v>48</v>
      </c>
      <c r="CJ61" s="11">
        <v>45.3</v>
      </c>
      <c r="CK61" s="91">
        <f t="shared" si="2"/>
        <v>206.5</v>
      </c>
      <c r="CL61" s="91">
        <v>41.1</v>
      </c>
      <c r="CM61" s="91">
        <v>35.799999999999997</v>
      </c>
      <c r="CN61" s="91"/>
      <c r="CO61" s="91"/>
      <c r="CP61" s="91">
        <v>25.2</v>
      </c>
      <c r="CQ61" s="91">
        <v>21.7</v>
      </c>
      <c r="CR61" s="91">
        <f t="shared" si="46"/>
        <v>123.80000000000001</v>
      </c>
      <c r="CS61" s="91">
        <v>24.7</v>
      </c>
      <c r="CT61" s="91">
        <v>20.6</v>
      </c>
      <c r="CU61" s="91">
        <v>16.7</v>
      </c>
      <c r="CV61" s="91">
        <v>13.8</v>
      </c>
      <c r="CW61" s="78">
        <f t="shared" si="60"/>
        <v>75.8</v>
      </c>
      <c r="CX61" s="78">
        <f t="shared" si="48"/>
        <v>-7.8999999999999986</v>
      </c>
      <c r="CY61" s="78">
        <f t="shared" si="87"/>
        <v>-36.405529953917046</v>
      </c>
      <c r="CZ61" s="11">
        <f t="shared" si="6"/>
        <v>-82.699999999999989</v>
      </c>
      <c r="DA61" s="11">
        <f t="shared" si="7"/>
        <v>-40.04842615012106</v>
      </c>
      <c r="DB61" s="3"/>
      <c r="DC61" s="11"/>
      <c r="DD61" s="71"/>
      <c r="DE61" s="3"/>
      <c r="DF61" s="3"/>
      <c r="DG61" s="3"/>
    </row>
    <row r="62" spans="1:115" x14ac:dyDescent="0.2">
      <c r="B62" s="91" t="s">
        <v>93</v>
      </c>
      <c r="C62" s="91" t="s">
        <v>94</v>
      </c>
      <c r="E62" s="8"/>
      <c r="F62" s="10"/>
      <c r="G62" s="20"/>
      <c r="H62" s="20"/>
      <c r="I62" s="20"/>
      <c r="J62" s="10"/>
      <c r="K62" s="24"/>
      <c r="L62" s="24"/>
      <c r="M62" s="25"/>
      <c r="N62" s="8"/>
      <c r="O62" s="24"/>
      <c r="P62" s="24"/>
      <c r="Q62" s="24"/>
      <c r="R62" s="24"/>
      <c r="S62" s="11"/>
      <c r="T62" s="14"/>
      <c r="U62" s="14"/>
      <c r="V62" s="11">
        <v>-3.3774999999999999E-2</v>
      </c>
      <c r="W62" s="14"/>
      <c r="X62" s="11"/>
      <c r="Y62" s="14"/>
      <c r="Z62" s="24">
        <v>-0.1</v>
      </c>
      <c r="AA62" s="14">
        <v>-0.2</v>
      </c>
      <c r="AB62" s="14">
        <v>-0.1</v>
      </c>
      <c r="AC62" s="11">
        <v>-0.2</v>
      </c>
      <c r="AD62" s="14"/>
      <c r="AE62" s="11">
        <f>SUM(Z62:AC62)</f>
        <v>-0.60000000000000009</v>
      </c>
      <c r="AF62" s="14"/>
      <c r="AG62" s="11">
        <v>3.4350000000000001E-3</v>
      </c>
      <c r="AH62" s="14">
        <v>-0.48430000000000001</v>
      </c>
      <c r="AI62" s="14">
        <v>2.6117300000000001</v>
      </c>
      <c r="AJ62" s="25">
        <v>-2.5691999999999999</v>
      </c>
      <c r="AK62" s="11">
        <f>+AG62+AH62+AI62+AJ62</f>
        <v>-0.43833499999999992</v>
      </c>
      <c r="AL62" s="58">
        <v>-0.44529999999999997</v>
      </c>
      <c r="AM62" s="25">
        <v>-4.8</v>
      </c>
      <c r="AN62" s="14">
        <v>-11.7</v>
      </c>
      <c r="AO62" s="14">
        <v>-5.8</v>
      </c>
      <c r="AP62" s="14">
        <v>-14.7</v>
      </c>
      <c r="AQ62" s="11">
        <f>+AM62+AN62+AO62+AP62</f>
        <v>-37</v>
      </c>
      <c r="AR62" s="14">
        <v>-0.2</v>
      </c>
      <c r="AS62" s="14">
        <v>-18.847999999999999</v>
      </c>
      <c r="AT62" s="14">
        <v>-10.529</v>
      </c>
      <c r="AU62" s="14">
        <v>-7.7</v>
      </c>
      <c r="AV62" s="11">
        <f>+AR62+AS62+AT62+AU62</f>
        <v>-37.277000000000001</v>
      </c>
      <c r="AW62" s="14">
        <v>-8</v>
      </c>
      <c r="AX62" s="25">
        <v>-13.7</v>
      </c>
      <c r="AY62" s="25">
        <v>-11.1</v>
      </c>
      <c r="AZ62" s="25">
        <v>-10.8</v>
      </c>
      <c r="BA62" s="11">
        <f>+AW62+AX62+AY62+AZ62</f>
        <v>-43.599999999999994</v>
      </c>
      <c r="BB62" s="11">
        <v>-7</v>
      </c>
      <c r="BC62" s="11">
        <v>-5.5</v>
      </c>
      <c r="BD62" s="11">
        <v>-5.3</v>
      </c>
      <c r="BE62" s="11">
        <v>-4.4000000000000004</v>
      </c>
      <c r="BF62" s="11">
        <f t="shared" si="28"/>
        <v>-22.200000000000003</v>
      </c>
      <c r="BG62" s="11">
        <v>-4.5</v>
      </c>
      <c r="BH62" s="11">
        <v>-4.5999999999999996</v>
      </c>
      <c r="BI62" s="11">
        <v>-5</v>
      </c>
      <c r="BJ62" s="11">
        <v>-6.5</v>
      </c>
      <c r="BK62" s="11">
        <f t="shared" si="29"/>
        <v>-20.6</v>
      </c>
      <c r="BL62" s="11">
        <v>-7.1</v>
      </c>
      <c r="BM62" s="11">
        <v>-7.9</v>
      </c>
      <c r="BN62" s="11">
        <v>-8.4</v>
      </c>
      <c r="BO62" s="11">
        <v>-7.4</v>
      </c>
      <c r="BP62" s="11">
        <f t="shared" si="30"/>
        <v>-30.799999999999997</v>
      </c>
      <c r="BQ62" s="11">
        <v>-5.7</v>
      </c>
      <c r="BR62" s="11">
        <v>-5.0999999999999996</v>
      </c>
      <c r="BS62" s="11">
        <v>-5.8</v>
      </c>
      <c r="BT62" s="11">
        <v>-4.5</v>
      </c>
      <c r="BU62" s="11">
        <f>+BQ62-BL62</f>
        <v>1.3999999999999995</v>
      </c>
      <c r="BV62" s="11">
        <f t="shared" si="0"/>
        <v>-10.8</v>
      </c>
      <c r="BW62" s="11">
        <f t="shared" si="31"/>
        <v>-16.600000000000001</v>
      </c>
      <c r="BX62" s="11">
        <f>+BR62-BM62</f>
        <v>2.8000000000000007</v>
      </c>
      <c r="BY62" s="11">
        <f>+BU62/(BL62)*100</f>
        <v>-19.718309859154921</v>
      </c>
      <c r="BZ62" s="11">
        <f>+BX62/(BM62)*100</f>
        <v>-35.443037974683548</v>
      </c>
      <c r="CA62" s="11">
        <f t="shared" si="1"/>
        <v>-21.1</v>
      </c>
      <c r="CB62" s="11">
        <v>-4.2</v>
      </c>
      <c r="CC62" s="11">
        <v>-4.7</v>
      </c>
      <c r="CD62" s="11">
        <v>-5.0999999999999996</v>
      </c>
      <c r="CE62" s="11">
        <v>-5.4</v>
      </c>
      <c r="CF62" s="11">
        <f t="shared" si="32"/>
        <v>-19.399999999999999</v>
      </c>
      <c r="CG62" s="11">
        <v>-5.9</v>
      </c>
      <c r="CH62" s="11">
        <v>-6.5</v>
      </c>
      <c r="CI62" s="11">
        <v>-7.9</v>
      </c>
      <c r="CJ62" s="11">
        <v>-8.3000000000000007</v>
      </c>
      <c r="CK62" s="91">
        <f t="shared" si="2"/>
        <v>-28.6</v>
      </c>
      <c r="CL62" s="91">
        <v>-6.3</v>
      </c>
      <c r="CM62" s="91">
        <v>-4.9000000000000004</v>
      </c>
      <c r="CN62" s="91"/>
      <c r="CO62" s="91"/>
      <c r="CP62" s="91">
        <v>-4.5</v>
      </c>
      <c r="CQ62" s="91">
        <v>-3.8</v>
      </c>
      <c r="CR62" s="91">
        <f t="shared" si="46"/>
        <v>-19.5</v>
      </c>
      <c r="CS62" s="91">
        <v>-2.9</v>
      </c>
      <c r="CT62" s="91">
        <v>-3.6</v>
      </c>
      <c r="CU62" s="91">
        <v>-4.3</v>
      </c>
      <c r="CV62" s="91">
        <v>-5.4</v>
      </c>
      <c r="CW62" s="78">
        <f t="shared" si="60"/>
        <v>-16.200000000000003</v>
      </c>
      <c r="CX62" s="78">
        <f t="shared" si="48"/>
        <v>-1.6000000000000005</v>
      </c>
      <c r="CY62" s="78">
        <f t="shared" si="87"/>
        <v>42.105263157894754</v>
      </c>
      <c r="CZ62" s="11">
        <f t="shared" si="6"/>
        <v>9.1000000000000014</v>
      </c>
      <c r="DA62" s="11">
        <f t="shared" si="7"/>
        <v>-31.818181818181824</v>
      </c>
      <c r="DB62" s="3"/>
      <c r="DC62" s="11"/>
      <c r="DD62" s="71"/>
      <c r="DE62" s="3"/>
      <c r="DF62" s="3"/>
      <c r="DG62" s="3"/>
    </row>
    <row r="63" spans="1:115" ht="9" customHeight="1" x14ac:dyDescent="0.2">
      <c r="E63" s="8"/>
      <c r="F63" s="8"/>
      <c r="G63" s="17"/>
      <c r="H63" s="17" t="s">
        <v>10</v>
      </c>
      <c r="I63" s="17"/>
      <c r="J63" s="10"/>
      <c r="K63" s="24"/>
      <c r="L63" s="24"/>
      <c r="N63" s="8"/>
      <c r="O63" s="22"/>
      <c r="P63" s="22"/>
      <c r="Q63" s="24"/>
      <c r="R63" s="24"/>
      <c r="S63" s="12"/>
      <c r="T63" s="12"/>
      <c r="U63" s="12"/>
      <c r="V63" s="12"/>
      <c r="W63" s="14"/>
      <c r="X63" s="12" t="str">
        <f>IF(O63="","",(O63+P63+Q63+R63))</f>
        <v/>
      </c>
      <c r="Y63" s="14"/>
      <c r="Z63" s="23"/>
      <c r="AA63" s="39"/>
      <c r="AC63" s="12"/>
      <c r="AD63" s="14"/>
      <c r="AE63" s="12" t="str">
        <f>IF(Y63="","",(Y63+Z63+AA63+AB63))</f>
        <v/>
      </c>
      <c r="AF63" s="14"/>
      <c r="AG63" s="12"/>
      <c r="AH63" s="39"/>
      <c r="AI63" s="39"/>
      <c r="AJ63" s="29"/>
      <c r="AK63" s="12" t="s">
        <v>10</v>
      </c>
      <c r="AL63" s="57" t="s">
        <v>10</v>
      </c>
      <c r="AM63" s="29"/>
      <c r="AN63" s="39"/>
      <c r="AO63" s="39"/>
      <c r="AP63" s="39"/>
      <c r="AQ63" s="12" t="s">
        <v>10</v>
      </c>
      <c r="AR63" s="39"/>
      <c r="AS63" s="39"/>
      <c r="AT63" s="39"/>
      <c r="AU63" s="39"/>
      <c r="AV63" s="12" t="s">
        <v>10</v>
      </c>
      <c r="AW63" s="39"/>
      <c r="AX63" s="29"/>
      <c r="AY63" s="29"/>
      <c r="AZ63" s="29"/>
      <c r="BA63" s="12" t="s">
        <v>10</v>
      </c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91"/>
      <c r="CL63" s="91"/>
      <c r="CM63" s="91"/>
      <c r="CN63" s="91"/>
      <c r="CO63" s="91"/>
      <c r="CP63" s="91"/>
      <c r="CQ63" s="91"/>
      <c r="CR63" s="91"/>
      <c r="CS63" s="91"/>
      <c r="CT63" s="91"/>
      <c r="CU63" s="91"/>
      <c r="CV63" s="91"/>
      <c r="CW63" s="78"/>
      <c r="CX63" s="78"/>
      <c r="CY63" s="78"/>
      <c r="CZ63" s="12"/>
      <c r="DA63" s="12"/>
      <c r="DB63" s="3"/>
      <c r="DC63" s="11"/>
      <c r="DD63" s="71"/>
      <c r="DE63" s="3"/>
      <c r="DF63" s="3"/>
      <c r="DG63" s="3"/>
    </row>
    <row r="64" spans="1:115" s="7" customFormat="1" hidden="1" x14ac:dyDescent="0.2">
      <c r="A64" s="36"/>
      <c r="C64" s="7" t="s">
        <v>62</v>
      </c>
      <c r="E64" s="8"/>
      <c r="F64" s="8">
        <f>F60</f>
        <v>481</v>
      </c>
      <c r="G64" s="8">
        <f t="shared" ref="G64:U64" si="88">G60</f>
        <v>664</v>
      </c>
      <c r="H64" s="8">
        <f t="shared" si="88"/>
        <v>752</v>
      </c>
      <c r="I64" s="8"/>
      <c r="J64" s="8">
        <f t="shared" si="88"/>
        <v>169</v>
      </c>
      <c r="K64" s="8">
        <f t="shared" si="88"/>
        <v>179</v>
      </c>
      <c r="L64" s="8">
        <f t="shared" si="88"/>
        <v>232</v>
      </c>
      <c r="M64" s="8">
        <f t="shared" si="88"/>
        <v>84</v>
      </c>
      <c r="N64" s="8"/>
      <c r="O64" s="8">
        <f t="shared" si="88"/>
        <v>165</v>
      </c>
      <c r="P64" s="8">
        <f t="shared" si="88"/>
        <v>196</v>
      </c>
      <c r="Q64" s="8">
        <f t="shared" si="88"/>
        <v>202</v>
      </c>
      <c r="R64" s="8">
        <f t="shared" si="88"/>
        <v>189</v>
      </c>
      <c r="S64" s="8">
        <f t="shared" si="88"/>
        <v>176.5</v>
      </c>
      <c r="T64" s="8">
        <f t="shared" si="88"/>
        <v>162.5</v>
      </c>
      <c r="U64" s="8">
        <f t="shared" si="88"/>
        <v>138.69999999999999</v>
      </c>
      <c r="V64" s="8">
        <f>V60</f>
        <v>184.03671399999999</v>
      </c>
      <c r="W64" s="14"/>
      <c r="X64" s="39">
        <f>IF(O64="","",(S64+T64+U64+V64))</f>
        <v>661.73671400000001</v>
      </c>
      <c r="Y64" s="8"/>
      <c r="Z64" s="17">
        <f>Z60</f>
        <v>174.9</v>
      </c>
      <c r="AA64" s="8">
        <f>AA60</f>
        <v>154.6</v>
      </c>
      <c r="AB64" s="8">
        <f>AB60</f>
        <v>121.3</v>
      </c>
      <c r="AC64" s="8">
        <f>AC60</f>
        <v>128.1</v>
      </c>
      <c r="AD64" s="14"/>
      <c r="AE64" s="39">
        <f>+AE60</f>
        <v>578.29999999999995</v>
      </c>
      <c r="AF64" s="8"/>
      <c r="AG64" s="8">
        <f>AG60</f>
        <v>102.8</v>
      </c>
      <c r="AH64" s="8">
        <f>+AH60</f>
        <v>57.515700000000002</v>
      </c>
      <c r="AI64" s="8">
        <f>+AI60</f>
        <v>92.111729999999994</v>
      </c>
      <c r="AJ64" s="17">
        <f>+AJ60</f>
        <v>47.930799999999998</v>
      </c>
      <c r="AK64" s="39">
        <f>+AG64+AH64+AI64+AJ64</f>
        <v>300.35822999999999</v>
      </c>
      <c r="AL64" s="55">
        <f>+AL60</f>
        <v>300.34370000000001</v>
      </c>
      <c r="AM64" s="17">
        <f>+AM60</f>
        <v>90.4</v>
      </c>
      <c r="AN64" s="8">
        <f>+AN60</f>
        <v>46.7</v>
      </c>
      <c r="AO64" s="8">
        <f>+AO60</f>
        <v>88.600000000000009</v>
      </c>
      <c r="AP64" s="8">
        <f>+AP60</f>
        <v>68.7</v>
      </c>
      <c r="AQ64" s="39">
        <f>+AM64+AN64+AO64+AP64</f>
        <v>294.40000000000003</v>
      </c>
      <c r="AR64" s="8">
        <f>+AR60</f>
        <v>105.2</v>
      </c>
      <c r="AS64" s="8">
        <f>+AS60</f>
        <v>141.11900000000003</v>
      </c>
      <c r="AT64" s="8">
        <f>+AT60</f>
        <v>113.914</v>
      </c>
      <c r="AU64" s="8">
        <f>+AU60</f>
        <v>157.4</v>
      </c>
      <c r="AV64" s="39">
        <f>+AR64+AS64+AT64+AU64</f>
        <v>517.63300000000004</v>
      </c>
      <c r="AW64" s="8">
        <f>+AW60</f>
        <v>122</v>
      </c>
      <c r="AX64" s="17">
        <f>+AX60</f>
        <v>113</v>
      </c>
      <c r="AY64" s="17">
        <f>+AY60</f>
        <v>111.9</v>
      </c>
      <c r="AZ64" s="17">
        <f>+AZ60</f>
        <v>78.100000000000009</v>
      </c>
      <c r="BA64" s="39">
        <f>+AW64+AX64+AY64+AZ64</f>
        <v>425</v>
      </c>
      <c r="BB64" s="17">
        <f>+BB60</f>
        <v>94</v>
      </c>
      <c r="BC64" s="17">
        <f>+BC60</f>
        <v>93.9</v>
      </c>
      <c r="BD64" s="17">
        <f>+BD60</f>
        <v>102.4</v>
      </c>
      <c r="BE64" s="17">
        <f>+BE60</f>
        <v>104.3</v>
      </c>
      <c r="BF64" s="17">
        <f t="shared" si="28"/>
        <v>394.6</v>
      </c>
      <c r="BG64" s="17">
        <f>+BG60</f>
        <v>63.5</v>
      </c>
      <c r="BH64" s="17">
        <f>+BH60</f>
        <v>66.7</v>
      </c>
      <c r="BI64" s="17">
        <f>+BI60</f>
        <v>67</v>
      </c>
      <c r="BJ64" s="17">
        <f>+BJ60</f>
        <v>37.799999999999997</v>
      </c>
      <c r="BK64" s="17">
        <f t="shared" si="29"/>
        <v>235</v>
      </c>
      <c r="BL64" s="17">
        <f>+BL60</f>
        <v>54.4</v>
      </c>
      <c r="BM64" s="17">
        <f>+BM60</f>
        <v>59.1</v>
      </c>
      <c r="BN64" s="17">
        <f>+BN60</f>
        <v>57.500000000000007</v>
      </c>
      <c r="BO64" s="17">
        <f>+BO60</f>
        <v>63.300000000000004</v>
      </c>
      <c r="BP64" s="17">
        <f t="shared" si="30"/>
        <v>234.3</v>
      </c>
      <c r="BQ64" s="17">
        <f>+BQ60</f>
        <v>36.599999999999994</v>
      </c>
      <c r="BR64" s="17">
        <f>+BR60</f>
        <v>50.199999999999996</v>
      </c>
      <c r="BS64" s="17">
        <f>+BS60</f>
        <v>51.7</v>
      </c>
      <c r="BT64" s="17">
        <f>+BT60</f>
        <v>47.2</v>
      </c>
      <c r="BU64" s="17">
        <f>+BQ64-BL64</f>
        <v>-17.800000000000004</v>
      </c>
      <c r="BV64" s="17">
        <f t="shared" si="0"/>
        <v>86.799999999999983</v>
      </c>
      <c r="BW64" s="17">
        <f t="shared" si="31"/>
        <v>138.5</v>
      </c>
      <c r="BX64" s="17">
        <f>+BR64-BM64</f>
        <v>-8.9000000000000057</v>
      </c>
      <c r="BY64" s="17">
        <f>+BU64/(BL64)*100</f>
        <v>-32.72058823529413</v>
      </c>
      <c r="BZ64" s="17">
        <f>+BX64/(BM64)*100</f>
        <v>-15.05922165820644</v>
      </c>
      <c r="CA64" s="17">
        <f t="shared" si="1"/>
        <v>185.7</v>
      </c>
      <c r="CB64" s="17">
        <f>+CB60</f>
        <v>43.199999999999996</v>
      </c>
      <c r="CC64" s="17">
        <f>+CC60</f>
        <v>46.4</v>
      </c>
      <c r="CD64" s="17">
        <f>+CD60</f>
        <v>47.6</v>
      </c>
      <c r="CE64" s="17">
        <f>+CE60</f>
        <v>45.800000000000004</v>
      </c>
      <c r="CF64" s="17">
        <f t="shared" si="32"/>
        <v>183</v>
      </c>
      <c r="CG64" s="17">
        <f>+CG60</f>
        <v>48.9</v>
      </c>
      <c r="CH64" s="17">
        <f>+CH60</f>
        <v>51.9</v>
      </c>
      <c r="CI64" s="17">
        <f>+CI60</f>
        <v>40.1</v>
      </c>
      <c r="CJ64" s="17">
        <f>+CJ60</f>
        <v>37</v>
      </c>
      <c r="CK64" s="94">
        <f t="shared" si="2"/>
        <v>177.9</v>
      </c>
      <c r="CL64" s="94">
        <f>+CL60</f>
        <v>34.800000000000004</v>
      </c>
      <c r="CM64" s="94">
        <f>+CM60</f>
        <v>30.9</v>
      </c>
      <c r="CN64" s="94"/>
      <c r="CO64" s="94"/>
      <c r="CP64" s="94">
        <f>+CP60</f>
        <v>20.7</v>
      </c>
      <c r="CQ64" s="94">
        <f>+CQ60</f>
        <v>17.899999999999999</v>
      </c>
      <c r="CR64" s="94">
        <f t="shared" si="46"/>
        <v>104.30000000000001</v>
      </c>
      <c r="CS64" s="94">
        <f>+CS60</f>
        <v>21.8</v>
      </c>
      <c r="CT64" s="94">
        <f>+CT60</f>
        <v>17</v>
      </c>
      <c r="CU64" s="94">
        <f>+CU60</f>
        <v>12.399999999999999</v>
      </c>
      <c r="CV64" s="94">
        <f>+CV60</f>
        <v>8.4</v>
      </c>
      <c r="CW64" s="78"/>
      <c r="CX64" s="78"/>
      <c r="CY64" s="78"/>
      <c r="CZ64" s="40"/>
      <c r="DA64" s="40"/>
      <c r="DB64" s="9"/>
      <c r="DC64" s="11"/>
      <c r="DD64" s="71"/>
      <c r="DE64" s="9"/>
      <c r="DF64" s="9"/>
      <c r="DG64" s="9"/>
      <c r="DH64" s="9"/>
      <c r="DI64" s="9"/>
      <c r="DJ64" s="9"/>
      <c r="DK64" s="9"/>
    </row>
    <row r="65" spans="1:115" s="7" customFormat="1" ht="10.5" customHeight="1" x14ac:dyDescent="0.2">
      <c r="A65" s="36"/>
      <c r="E65" s="39"/>
      <c r="F65" s="8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14"/>
      <c r="X65" s="12" t="str">
        <f>IF(O65="","",(O65+P65+Q65+R65))</f>
        <v/>
      </c>
      <c r="Y65" s="39"/>
      <c r="Z65" s="29"/>
      <c r="AA65" s="39"/>
      <c r="AC65" s="39"/>
      <c r="AD65" s="14"/>
      <c r="AE65" s="12" t="str">
        <f>IF(Y65="","",(Y65+Z65+AA65+AB65))</f>
        <v/>
      </c>
      <c r="AF65" s="39"/>
      <c r="AG65" s="39"/>
      <c r="AH65" s="39"/>
      <c r="AI65" s="39"/>
      <c r="AJ65" s="29"/>
      <c r="AK65" s="12" t="s">
        <v>10</v>
      </c>
      <c r="AL65" s="57" t="s">
        <v>10</v>
      </c>
      <c r="AM65" s="29"/>
      <c r="AN65" s="39"/>
      <c r="AO65" s="39"/>
      <c r="AP65" s="39"/>
      <c r="AQ65" s="12" t="s">
        <v>10</v>
      </c>
      <c r="AR65" s="39"/>
      <c r="AS65" s="39"/>
      <c r="AT65" s="39"/>
      <c r="AU65" s="39"/>
      <c r="AV65" s="12" t="s">
        <v>10</v>
      </c>
      <c r="AW65" s="39"/>
      <c r="AX65" s="29"/>
      <c r="AY65" s="29"/>
      <c r="AZ65" s="29"/>
      <c r="BA65" s="12" t="s">
        <v>10</v>
      </c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91"/>
      <c r="CL65" s="91"/>
      <c r="CM65" s="91"/>
      <c r="CN65" s="91"/>
      <c r="CO65" s="91"/>
      <c r="CP65" s="91"/>
      <c r="CQ65" s="91"/>
      <c r="CR65" s="91"/>
      <c r="CS65" s="91"/>
      <c r="CT65" s="91"/>
      <c r="CU65" s="91"/>
      <c r="CV65" s="91"/>
      <c r="CW65" s="78"/>
      <c r="CX65" s="78"/>
      <c r="CY65" s="78"/>
      <c r="CZ65" s="12"/>
      <c r="DA65" s="12"/>
      <c r="DB65" s="9"/>
      <c r="DC65" s="11"/>
      <c r="DD65" s="71"/>
      <c r="DE65" s="9"/>
      <c r="DF65" s="9"/>
      <c r="DG65" s="9"/>
      <c r="DH65" s="9"/>
      <c r="DI65" s="9"/>
      <c r="DJ65" s="9"/>
      <c r="DK65" s="9"/>
    </row>
    <row r="66" spans="1:115" s="7" customFormat="1" x14ac:dyDescent="0.2">
      <c r="A66" s="92">
        <v>7</v>
      </c>
      <c r="B66" s="92" t="s">
        <v>39</v>
      </c>
      <c r="C66" s="92"/>
      <c r="E66" s="8"/>
      <c r="F66" s="8">
        <v>675</v>
      </c>
      <c r="G66" s="17">
        <f>SUM(J66:M66)</f>
        <v>997</v>
      </c>
      <c r="H66" s="17">
        <f>SUM(O66:R66)</f>
        <v>1164</v>
      </c>
      <c r="I66" s="17"/>
      <c r="J66" s="8">
        <v>210</v>
      </c>
      <c r="K66" s="17">
        <v>297</v>
      </c>
      <c r="L66" s="17">
        <v>182</v>
      </c>
      <c r="M66" s="17">
        <v>308</v>
      </c>
      <c r="N66" s="8"/>
      <c r="O66" s="17">
        <f t="shared" ref="O66:V66" si="89">O68</f>
        <v>227</v>
      </c>
      <c r="P66" s="17">
        <f t="shared" si="89"/>
        <v>355</v>
      </c>
      <c r="Q66" s="17">
        <f t="shared" si="89"/>
        <v>236</v>
      </c>
      <c r="R66" s="17">
        <f t="shared" si="89"/>
        <v>346</v>
      </c>
      <c r="S66" s="17">
        <f t="shared" si="89"/>
        <v>184.21299999999999</v>
      </c>
      <c r="T66" s="17">
        <f t="shared" si="89"/>
        <v>358.5</v>
      </c>
      <c r="U66" s="17">
        <f t="shared" si="89"/>
        <v>225.6</v>
      </c>
      <c r="V66" s="17">
        <f t="shared" si="89"/>
        <v>417.4</v>
      </c>
      <c r="W66" s="14"/>
      <c r="X66" s="12">
        <f>IF(O66="","",(S66+T66+U66+V66))</f>
        <v>1185.713</v>
      </c>
      <c r="Y66" s="14"/>
      <c r="Z66" s="17">
        <f>Z68</f>
        <v>188.6</v>
      </c>
      <c r="AA66" s="17">
        <f>AA68</f>
        <v>348.6</v>
      </c>
      <c r="AB66" s="17">
        <f>AB68</f>
        <v>244.5</v>
      </c>
      <c r="AC66" s="17">
        <f>AC68</f>
        <v>344.7</v>
      </c>
      <c r="AD66" s="14"/>
      <c r="AE66" s="12">
        <f>+AE68</f>
        <v>1126.4000000000001</v>
      </c>
      <c r="AF66" s="14"/>
      <c r="AG66" s="17">
        <f>AG68</f>
        <v>279.10000000000002</v>
      </c>
      <c r="AH66" s="17">
        <f>+AH68</f>
        <v>430.3</v>
      </c>
      <c r="AI66" s="17">
        <f>+AI68</f>
        <v>340</v>
      </c>
      <c r="AJ66" s="17">
        <f>+AJ68</f>
        <v>629</v>
      </c>
      <c r="AK66" s="12">
        <f>+AG66+AH66+AI66+AJ66</f>
        <v>1678.4</v>
      </c>
      <c r="AL66" s="57">
        <v>1678.4</v>
      </c>
      <c r="AM66" s="17">
        <f>+AM68</f>
        <v>464.4</v>
      </c>
      <c r="AN66" s="17">
        <f>+AN68</f>
        <v>501.8</v>
      </c>
      <c r="AO66" s="17">
        <f>+AO68</f>
        <v>426</v>
      </c>
      <c r="AP66" s="17">
        <f>+AP68</f>
        <v>561</v>
      </c>
      <c r="AQ66" s="12">
        <f>+AM66+AN66+AO66+AP66</f>
        <v>1953.2</v>
      </c>
      <c r="AR66" s="17">
        <f>+AR68</f>
        <v>579.5</v>
      </c>
      <c r="AS66" s="17">
        <f>+AS68</f>
        <v>561.24900000000002</v>
      </c>
      <c r="AT66" s="17">
        <f>+AT68</f>
        <v>516.37099999999998</v>
      </c>
      <c r="AU66" s="17">
        <f>+AU68</f>
        <v>673.4</v>
      </c>
      <c r="AV66" s="12">
        <f>+AR66+AS66+AT66+AU66</f>
        <v>2330.52</v>
      </c>
      <c r="AW66" s="17">
        <f>+AW68</f>
        <v>581</v>
      </c>
      <c r="AX66" s="17">
        <f>+AX68</f>
        <v>691.7</v>
      </c>
      <c r="AY66" s="17">
        <f>+AY68</f>
        <v>472</v>
      </c>
      <c r="AZ66" s="17">
        <f>+AZ68</f>
        <v>751.9</v>
      </c>
      <c r="BA66" s="12">
        <f>+AW66+AX66+AY66+AZ66</f>
        <v>2496.6</v>
      </c>
      <c r="BB66" s="17">
        <f>+BB68</f>
        <v>372.8</v>
      </c>
      <c r="BC66" s="17">
        <f>+BC68</f>
        <v>706.1</v>
      </c>
      <c r="BD66" s="17">
        <f>+BD68</f>
        <v>539</v>
      </c>
      <c r="BE66" s="17">
        <f>+BE68</f>
        <v>799.5</v>
      </c>
      <c r="BF66" s="17">
        <f t="shared" si="28"/>
        <v>2417.4</v>
      </c>
      <c r="BG66" s="17">
        <f>+BG68</f>
        <v>503.1</v>
      </c>
      <c r="BH66" s="17">
        <f>+BH68</f>
        <v>365.9</v>
      </c>
      <c r="BI66" s="17">
        <f>+BI68</f>
        <v>403.5</v>
      </c>
      <c r="BJ66" s="17">
        <f>+BJ68</f>
        <v>722.3</v>
      </c>
      <c r="BK66" s="17">
        <f t="shared" si="29"/>
        <v>1994.8</v>
      </c>
      <c r="BL66" s="17">
        <f>+BL68</f>
        <v>316.7</v>
      </c>
      <c r="BM66" s="17">
        <f>+BM68</f>
        <v>278.2</v>
      </c>
      <c r="BN66" s="17">
        <f>+BN68</f>
        <v>175.9</v>
      </c>
      <c r="BO66" s="17">
        <f>+BO68</f>
        <v>264.89999999999998</v>
      </c>
      <c r="BP66" s="17">
        <f t="shared" si="30"/>
        <v>1035.6999999999998</v>
      </c>
      <c r="BQ66" s="17">
        <f>+BQ68</f>
        <v>197.2</v>
      </c>
      <c r="BR66" s="17">
        <f>+BR68</f>
        <v>261.5</v>
      </c>
      <c r="BS66" s="17">
        <f>+BS68</f>
        <v>203.7</v>
      </c>
      <c r="BT66" s="17">
        <f>+BT68</f>
        <v>350.9</v>
      </c>
      <c r="BU66" s="17">
        <f>+BQ66-BL66</f>
        <v>-119.5</v>
      </c>
      <c r="BV66" s="17">
        <f t="shared" si="0"/>
        <v>458.7</v>
      </c>
      <c r="BW66" s="17">
        <f t="shared" si="31"/>
        <v>662.4</v>
      </c>
      <c r="BX66" s="17">
        <f>+BR66-BM66</f>
        <v>-16.699999999999989</v>
      </c>
      <c r="BY66" s="17">
        <f>+BU66/(BL66)*100</f>
        <v>-37.732870224186932</v>
      </c>
      <c r="BZ66" s="17">
        <f>+BX66/(BM66)*100</f>
        <v>-6.0028756290438494</v>
      </c>
      <c r="CA66" s="17">
        <f t="shared" si="1"/>
        <v>1013.3</v>
      </c>
      <c r="CB66" s="17">
        <f>+CB68</f>
        <v>137.69999999999999</v>
      </c>
      <c r="CC66" s="17">
        <f>+CC68</f>
        <v>277.7</v>
      </c>
      <c r="CD66" s="17">
        <f>+CD68</f>
        <v>264</v>
      </c>
      <c r="CE66" s="17">
        <f>+CE68</f>
        <v>348.6</v>
      </c>
      <c r="CF66" s="17">
        <f t="shared" si="32"/>
        <v>1028</v>
      </c>
      <c r="CG66" s="17">
        <f t="shared" ref="CG66:CI66" si="90">+CG68+CG67</f>
        <v>145</v>
      </c>
      <c r="CH66" s="17">
        <f t="shared" si="90"/>
        <v>179</v>
      </c>
      <c r="CI66" s="17">
        <f t="shared" si="90"/>
        <v>136</v>
      </c>
      <c r="CJ66" s="17">
        <f>+CJ68+CJ67</f>
        <v>245.4</v>
      </c>
      <c r="CK66" s="94">
        <f t="shared" si="2"/>
        <v>705.4</v>
      </c>
      <c r="CL66" s="94">
        <f>+CL68+CL67</f>
        <v>151.1</v>
      </c>
      <c r="CM66" s="94">
        <f>+CM68+CM67</f>
        <v>108.6</v>
      </c>
      <c r="CN66" s="94"/>
      <c r="CO66" s="94"/>
      <c r="CP66" s="94">
        <f>+CP68+CP67</f>
        <v>61</v>
      </c>
      <c r="CQ66" s="94">
        <f>+CQ68+CQ67</f>
        <v>157.89999999999998</v>
      </c>
      <c r="CR66" s="94">
        <f t="shared" si="46"/>
        <v>478.59999999999997</v>
      </c>
      <c r="CS66" s="94">
        <f>+CS68+CS67</f>
        <v>156.30000000000001</v>
      </c>
      <c r="CT66" s="94">
        <f>+CT68+CT67</f>
        <v>124.3</v>
      </c>
      <c r="CU66" s="94">
        <f>+CU68+CU67</f>
        <v>100.6</v>
      </c>
      <c r="CV66" s="94">
        <f>+CV68+CV67</f>
        <v>262</v>
      </c>
      <c r="CW66" s="78">
        <f t="shared" si="60"/>
        <v>643.20000000000005</v>
      </c>
      <c r="CX66" s="78">
        <f t="shared" si="48"/>
        <v>104.10000000000002</v>
      </c>
      <c r="CY66" s="78">
        <f t="shared" ref="CY66:CY81" si="91">+CX66/CQ66*100</f>
        <v>65.927802406586466</v>
      </c>
      <c r="CZ66" s="17">
        <f t="shared" si="6"/>
        <v>-226.80000000000004</v>
      </c>
      <c r="DA66" s="17">
        <f t="shared" si="7"/>
        <v>-32.151970513184011</v>
      </c>
      <c r="DB66" s="11"/>
      <c r="DC66" s="11"/>
      <c r="DD66" s="71"/>
      <c r="DE66" s="9"/>
      <c r="DF66" s="9"/>
      <c r="DG66" s="9"/>
      <c r="DH66" s="9"/>
      <c r="DI66" s="9"/>
    </row>
    <row r="67" spans="1:115" s="7" customFormat="1" x14ac:dyDescent="0.2">
      <c r="A67" s="36"/>
      <c r="C67" s="91" t="s">
        <v>124</v>
      </c>
      <c r="D67" s="91" t="s">
        <v>125</v>
      </c>
      <c r="E67" s="8"/>
      <c r="F67" s="8"/>
      <c r="G67" s="17"/>
      <c r="H67" s="17"/>
      <c r="I67" s="17"/>
      <c r="J67" s="8"/>
      <c r="K67" s="17"/>
      <c r="L67" s="17"/>
      <c r="M67" s="17"/>
      <c r="N67" s="8"/>
      <c r="O67" s="17"/>
      <c r="P67" s="17"/>
      <c r="Q67" s="17"/>
      <c r="R67" s="17"/>
      <c r="S67" s="17"/>
      <c r="T67" s="17"/>
      <c r="U67" s="17"/>
      <c r="V67" s="17"/>
      <c r="W67" s="14"/>
      <c r="X67" s="12"/>
      <c r="Y67" s="14"/>
      <c r="Z67" s="17"/>
      <c r="AA67" s="17"/>
      <c r="AB67" s="17"/>
      <c r="AC67" s="17"/>
      <c r="AD67" s="14"/>
      <c r="AE67" s="12"/>
      <c r="AF67" s="14"/>
      <c r="AG67" s="17"/>
      <c r="AH67" s="17"/>
      <c r="AI67" s="17"/>
      <c r="AJ67" s="17"/>
      <c r="AK67" s="12"/>
      <c r="AL67" s="57"/>
      <c r="AM67" s="17"/>
      <c r="AN67" s="17"/>
      <c r="AO67" s="17"/>
      <c r="AP67" s="17"/>
      <c r="AQ67" s="12"/>
      <c r="AR67" s="17"/>
      <c r="AS67" s="17"/>
      <c r="AT67" s="17"/>
      <c r="AU67" s="17"/>
      <c r="AV67" s="12"/>
      <c r="AW67" s="17"/>
      <c r="AX67" s="17"/>
      <c r="AY67" s="17"/>
      <c r="AZ67" s="17"/>
      <c r="BA67" s="12"/>
      <c r="BB67" s="17"/>
      <c r="BC67" s="17"/>
      <c r="BD67" s="17"/>
      <c r="BE67" s="17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7"/>
      <c r="BX67" s="17"/>
      <c r="BY67" s="17"/>
      <c r="BZ67" s="17"/>
      <c r="CA67" s="17"/>
      <c r="CB67" s="17"/>
      <c r="CC67" s="17"/>
      <c r="CD67" s="17"/>
      <c r="CE67" s="17"/>
      <c r="CF67" s="11">
        <v>0</v>
      </c>
      <c r="CG67" s="11">
        <v>0</v>
      </c>
      <c r="CH67" s="11">
        <v>0</v>
      </c>
      <c r="CI67" s="11">
        <v>0</v>
      </c>
      <c r="CJ67" s="11">
        <v>0.6</v>
      </c>
      <c r="CK67" s="91">
        <f t="shared" si="2"/>
        <v>0.6</v>
      </c>
      <c r="CL67" s="91">
        <v>0</v>
      </c>
      <c r="CM67" s="91">
        <v>0.6</v>
      </c>
      <c r="CN67" s="91"/>
      <c r="CO67" s="91"/>
      <c r="CP67" s="91">
        <v>0</v>
      </c>
      <c r="CQ67" s="91">
        <v>0.2</v>
      </c>
      <c r="CR67" s="91">
        <f t="shared" si="46"/>
        <v>0.8</v>
      </c>
      <c r="CS67" s="91">
        <v>0.3</v>
      </c>
      <c r="CT67" s="91">
        <v>0.6</v>
      </c>
      <c r="CU67" s="91">
        <v>0</v>
      </c>
      <c r="CV67" s="91">
        <v>0</v>
      </c>
      <c r="CW67" s="78">
        <f t="shared" si="60"/>
        <v>0.89999999999999991</v>
      </c>
      <c r="CX67" s="78">
        <f t="shared" si="48"/>
        <v>-0.2</v>
      </c>
      <c r="CY67" s="78">
        <f t="shared" si="91"/>
        <v>-100</v>
      </c>
      <c r="CZ67" s="11">
        <f t="shared" si="6"/>
        <v>0.20000000000000007</v>
      </c>
      <c r="DA67" s="11">
        <f t="shared" si="7"/>
        <v>33.33333333333335</v>
      </c>
      <c r="DB67" s="11"/>
      <c r="DC67" s="11"/>
      <c r="DD67" s="71"/>
      <c r="DE67" s="9"/>
      <c r="DF67" s="9"/>
      <c r="DG67" s="9"/>
      <c r="DH67" s="9"/>
      <c r="DI67" s="9"/>
    </row>
    <row r="68" spans="1:115" x14ac:dyDescent="0.2">
      <c r="C68" s="91" t="s">
        <v>57</v>
      </c>
      <c r="D68" s="91" t="s">
        <v>58</v>
      </c>
      <c r="E68" s="8"/>
      <c r="F68" s="10">
        <v>675</v>
      </c>
      <c r="G68" s="20">
        <f>SUM(J68:M68)</f>
        <v>997</v>
      </c>
      <c r="H68" s="20">
        <f>SUM(O68:R68)</f>
        <v>1164</v>
      </c>
      <c r="I68" s="20"/>
      <c r="J68" s="14">
        <v>210</v>
      </c>
      <c r="K68" s="24">
        <v>297</v>
      </c>
      <c r="L68" s="25">
        <v>182</v>
      </c>
      <c r="M68" s="25">
        <v>308</v>
      </c>
      <c r="N68" s="8"/>
      <c r="O68" s="25">
        <v>227</v>
      </c>
      <c r="P68" s="25">
        <v>355</v>
      </c>
      <c r="Q68" s="25">
        <v>236</v>
      </c>
      <c r="R68" s="25">
        <v>346</v>
      </c>
      <c r="S68" s="11">
        <v>184.21299999999999</v>
      </c>
      <c r="T68" s="14">
        <v>358.5</v>
      </c>
      <c r="U68" s="14">
        <v>225.6</v>
      </c>
      <c r="V68" s="11">
        <v>417.4</v>
      </c>
      <c r="W68" s="14"/>
      <c r="X68" s="11">
        <f>IF(O68="","",(S68+T68+U68+V68))</f>
        <v>1185.713</v>
      </c>
      <c r="Y68" s="14"/>
      <c r="Z68" s="24">
        <v>188.6</v>
      </c>
      <c r="AA68" s="14">
        <v>348.6</v>
      </c>
      <c r="AB68" s="14">
        <v>244.5</v>
      </c>
      <c r="AC68" s="11">
        <v>344.7</v>
      </c>
      <c r="AD68" s="14"/>
      <c r="AE68" s="11">
        <f>SUM(Z68:AC68)</f>
        <v>1126.4000000000001</v>
      </c>
      <c r="AF68" s="14"/>
      <c r="AG68" s="11">
        <v>279.10000000000002</v>
      </c>
      <c r="AH68" s="14">
        <v>430.3</v>
      </c>
      <c r="AI68" s="14">
        <v>340</v>
      </c>
      <c r="AJ68" s="25">
        <v>629</v>
      </c>
      <c r="AK68" s="11">
        <f>+AG68+AH68+AI68+AJ68</f>
        <v>1678.4</v>
      </c>
      <c r="AL68" s="58">
        <v>1678.4</v>
      </c>
      <c r="AM68" s="25">
        <v>464.4</v>
      </c>
      <c r="AN68" s="14">
        <v>501.8</v>
      </c>
      <c r="AO68" s="14">
        <v>426</v>
      </c>
      <c r="AP68" s="14">
        <v>561</v>
      </c>
      <c r="AQ68" s="11">
        <f>+AM68+AN68+AO68+AP68</f>
        <v>1953.2</v>
      </c>
      <c r="AR68" s="14">
        <v>579.5</v>
      </c>
      <c r="AS68" s="14">
        <v>561.24900000000002</v>
      </c>
      <c r="AT68" s="14">
        <v>516.37099999999998</v>
      </c>
      <c r="AU68" s="14">
        <v>673.4</v>
      </c>
      <c r="AV68" s="11">
        <f>+AR68+AS68+AT68+AU68</f>
        <v>2330.52</v>
      </c>
      <c r="AW68" s="14">
        <v>581</v>
      </c>
      <c r="AX68" s="25">
        <v>691.7</v>
      </c>
      <c r="AY68" s="25">
        <v>472</v>
      </c>
      <c r="AZ68" s="25">
        <v>751.9</v>
      </c>
      <c r="BA68" s="11">
        <f>+AW68+AX68+AY68+AZ68</f>
        <v>2496.6</v>
      </c>
      <c r="BB68" s="11">
        <v>372.8</v>
      </c>
      <c r="BC68" s="11">
        <v>706.1</v>
      </c>
      <c r="BD68" s="11">
        <v>539</v>
      </c>
      <c r="BE68" s="11">
        <v>799.5</v>
      </c>
      <c r="BF68" s="11">
        <f t="shared" si="28"/>
        <v>2417.4</v>
      </c>
      <c r="BG68" s="11">
        <v>503.1</v>
      </c>
      <c r="BH68" s="11">
        <v>365.9</v>
      </c>
      <c r="BI68" s="11">
        <v>403.5</v>
      </c>
      <c r="BJ68" s="11">
        <v>722.3</v>
      </c>
      <c r="BK68" s="11">
        <f t="shared" si="29"/>
        <v>1994.8</v>
      </c>
      <c r="BL68" s="11">
        <f>321.7-5</f>
        <v>316.7</v>
      </c>
      <c r="BM68" s="11">
        <v>278.2</v>
      </c>
      <c r="BN68" s="11">
        <v>175.9</v>
      </c>
      <c r="BO68" s="11">
        <v>264.89999999999998</v>
      </c>
      <c r="BP68" s="11">
        <f t="shared" si="30"/>
        <v>1035.6999999999998</v>
      </c>
      <c r="BQ68" s="11">
        <v>197.2</v>
      </c>
      <c r="BR68" s="11">
        <v>261.5</v>
      </c>
      <c r="BS68" s="11">
        <v>203.7</v>
      </c>
      <c r="BT68" s="11">
        <v>350.9</v>
      </c>
      <c r="BU68" s="11">
        <f>+BQ68-BL68</f>
        <v>-119.5</v>
      </c>
      <c r="BV68" s="11">
        <f t="shared" si="0"/>
        <v>458.7</v>
      </c>
      <c r="BW68" s="11">
        <f t="shared" si="31"/>
        <v>662.4</v>
      </c>
      <c r="BX68" s="11">
        <f>+BR68-BM68</f>
        <v>-16.699999999999989</v>
      </c>
      <c r="BY68" s="11">
        <f>+BU68/(BL68)*100</f>
        <v>-37.732870224186932</v>
      </c>
      <c r="BZ68" s="11">
        <f>+BX68/(BM68)*100</f>
        <v>-6.0028756290438494</v>
      </c>
      <c r="CA68" s="11">
        <f t="shared" si="1"/>
        <v>1013.3</v>
      </c>
      <c r="CB68" s="11">
        <v>137.69999999999999</v>
      </c>
      <c r="CC68" s="11">
        <v>277.7</v>
      </c>
      <c r="CD68" s="11">
        <v>264</v>
      </c>
      <c r="CE68" s="11">
        <v>348.6</v>
      </c>
      <c r="CF68" s="11">
        <f t="shared" si="32"/>
        <v>1028</v>
      </c>
      <c r="CG68" s="11">
        <v>145</v>
      </c>
      <c r="CH68" s="11">
        <v>179</v>
      </c>
      <c r="CI68" s="11">
        <v>136</v>
      </c>
      <c r="CJ68" s="11">
        <f>245.4-0.6</f>
        <v>244.8</v>
      </c>
      <c r="CK68" s="91">
        <f t="shared" si="2"/>
        <v>704.8</v>
      </c>
      <c r="CL68" s="91">
        <v>151.1</v>
      </c>
      <c r="CM68" s="91">
        <f>108.6-0.6</f>
        <v>108</v>
      </c>
      <c r="CN68" s="91"/>
      <c r="CO68" s="91"/>
      <c r="CP68" s="91">
        <v>61</v>
      </c>
      <c r="CQ68" s="91">
        <v>157.69999999999999</v>
      </c>
      <c r="CR68" s="91">
        <f t="shared" si="46"/>
        <v>477.8</v>
      </c>
      <c r="CS68" s="91">
        <v>156</v>
      </c>
      <c r="CT68" s="91">
        <f>124.3-0.6</f>
        <v>123.7</v>
      </c>
      <c r="CU68" s="91">
        <v>100.6</v>
      </c>
      <c r="CV68" s="91">
        <v>262</v>
      </c>
      <c r="CW68" s="78">
        <f t="shared" si="60"/>
        <v>642.29999999999995</v>
      </c>
      <c r="CX68" s="78">
        <f t="shared" si="48"/>
        <v>104.30000000000001</v>
      </c>
      <c r="CY68" s="78">
        <f t="shared" si="91"/>
        <v>66.138237159162983</v>
      </c>
      <c r="CZ68" s="11">
        <f t="shared" si="6"/>
        <v>-227</v>
      </c>
      <c r="DA68" s="11">
        <f t="shared" si="7"/>
        <v>-32.207718501702615</v>
      </c>
      <c r="DB68" s="11"/>
      <c r="DC68" s="11"/>
      <c r="DD68" s="71"/>
      <c r="DE68" s="3"/>
      <c r="DF68" s="3"/>
      <c r="DG68" s="3"/>
      <c r="DH68" s="3"/>
      <c r="DI68" s="3"/>
    </row>
    <row r="69" spans="1:115" s="7" customFormat="1" ht="10.5" customHeight="1" x14ac:dyDescent="0.2">
      <c r="A69" s="36"/>
      <c r="D69" s="7" t="s">
        <v>10</v>
      </c>
      <c r="E69" s="39"/>
      <c r="F69" s="8"/>
      <c r="G69" s="39"/>
      <c r="H69" s="39" t="s">
        <v>10</v>
      </c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12" t="str">
        <f>IF(O69="","",(O69+P69+Q69+R69))</f>
        <v/>
      </c>
      <c r="Y69" s="39"/>
      <c r="Z69" s="29"/>
      <c r="AA69" s="39"/>
      <c r="AC69" s="39"/>
      <c r="AD69" s="39"/>
      <c r="AE69" s="12" t="str">
        <f>IF(Y69="","",(Y69+Z69+AA69+AB69))</f>
        <v/>
      </c>
      <c r="AF69" s="39"/>
      <c r="AG69" s="39"/>
      <c r="AH69" s="39"/>
      <c r="AI69" s="39"/>
      <c r="AJ69" s="29"/>
      <c r="AK69" s="12" t="s">
        <v>10</v>
      </c>
      <c r="AL69" s="57" t="s">
        <v>10</v>
      </c>
      <c r="AM69" s="29"/>
      <c r="AN69" s="39"/>
      <c r="AO69" s="39"/>
      <c r="AP69" s="39"/>
      <c r="AQ69" s="12" t="s">
        <v>10</v>
      </c>
      <c r="AR69" s="39"/>
      <c r="AS69" s="39"/>
      <c r="AT69" s="39"/>
      <c r="AU69" s="39"/>
      <c r="AV69" s="12" t="s">
        <v>10</v>
      </c>
      <c r="AW69" s="39"/>
      <c r="AX69" s="29"/>
      <c r="AY69" s="29"/>
      <c r="AZ69" s="29"/>
      <c r="BA69" s="12" t="s">
        <v>10</v>
      </c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91"/>
      <c r="CL69" s="91"/>
      <c r="CM69" s="91"/>
      <c r="CN69" s="91"/>
      <c r="CO69" s="91"/>
      <c r="CP69" s="91"/>
      <c r="CQ69" s="91"/>
      <c r="CR69" s="91"/>
      <c r="CS69" s="91"/>
      <c r="CT69" s="91"/>
      <c r="CU69" s="91"/>
      <c r="CV69" s="91"/>
      <c r="CW69" s="78"/>
      <c r="CX69" s="78"/>
      <c r="CY69" s="78"/>
      <c r="CZ69" s="12"/>
      <c r="DA69" s="12"/>
      <c r="DB69" s="9"/>
      <c r="DC69" s="11"/>
      <c r="DD69" s="71"/>
      <c r="DE69" s="9"/>
      <c r="DF69" s="9"/>
      <c r="DG69" s="9"/>
      <c r="DH69" s="9"/>
      <c r="DI69" s="9"/>
      <c r="DJ69" s="9"/>
      <c r="DK69" s="9"/>
    </row>
    <row r="70" spans="1:115" s="7" customFormat="1" x14ac:dyDescent="0.2">
      <c r="A70" s="92">
        <v>8</v>
      </c>
      <c r="B70" s="92" t="s">
        <v>40</v>
      </c>
      <c r="C70" s="92"/>
      <c r="E70" s="8"/>
      <c r="F70" s="8" t="e">
        <f>#REF!+F78+F75</f>
        <v>#REF!</v>
      </c>
      <c r="G70" s="17" t="e">
        <f t="shared" ref="G70:G78" si="92">SUM(J70:M70)</f>
        <v>#REF!</v>
      </c>
      <c r="H70" s="17" t="e">
        <f>SUM(O70:R70)</f>
        <v>#REF!</v>
      </c>
      <c r="I70" s="17"/>
      <c r="J70" s="8" t="e">
        <f>#REF!+J75+J78</f>
        <v>#REF!</v>
      </c>
      <c r="K70" s="17" t="e">
        <f>#REF!+K75+K78</f>
        <v>#REF!</v>
      </c>
      <c r="L70" s="17" t="e">
        <f>#REF!+L75+L78</f>
        <v>#REF!</v>
      </c>
      <c r="M70" s="17" t="e">
        <f>#REF!+M75+M78</f>
        <v>#REF!</v>
      </c>
      <c r="N70" s="8"/>
      <c r="O70" s="17" t="e">
        <f>#REF!+O75+O78</f>
        <v>#REF!</v>
      </c>
      <c r="P70" s="17" t="e">
        <f>#REF!+P75+P78</f>
        <v>#REF!</v>
      </c>
      <c r="Q70" s="17" t="e">
        <f>#REF!+Q75+Q78</f>
        <v>#REF!</v>
      </c>
      <c r="R70" s="17" t="e">
        <f>#REF!+R75+R78</f>
        <v>#REF!</v>
      </c>
      <c r="S70" s="17">
        <f>S71+S73+S75+S78</f>
        <v>222.22943000000001</v>
      </c>
      <c r="T70" s="17">
        <f>T71+T73+T75+T78</f>
        <v>277.3</v>
      </c>
      <c r="U70" s="17">
        <f>U71+U73+U75+U78</f>
        <v>159.10000000000002</v>
      </c>
      <c r="V70" s="17">
        <f>V71+V73+V75+V78</f>
        <v>229.8</v>
      </c>
      <c r="W70" s="17"/>
      <c r="X70" s="17">
        <f>X71+X73+X75+X78</f>
        <v>888.42942999999991</v>
      </c>
      <c r="Y70" s="17"/>
      <c r="Z70" s="17">
        <f>Z71+Z73+Z75+Z78</f>
        <v>204.76570799999999</v>
      </c>
      <c r="AA70" s="17">
        <f>AA71+AA73+AA75+AA78</f>
        <v>197.739924</v>
      </c>
      <c r="AB70" s="17">
        <f>AB71+AB73+AB75+AB78</f>
        <v>206.3</v>
      </c>
      <c r="AC70" s="17">
        <f>AC71+AC73+AC75+AC78</f>
        <v>202.5</v>
      </c>
      <c r="AD70" s="17"/>
      <c r="AE70" s="17">
        <f>+AE71+AE73+AE75+AE78</f>
        <v>811.30563199999995</v>
      </c>
      <c r="AF70" s="17"/>
      <c r="AG70" s="17">
        <f>AG71+AG73+AG75+AG78</f>
        <v>228.703757</v>
      </c>
      <c r="AH70" s="17">
        <f>+AH71+AH73+AH75+AH78</f>
        <v>300.19624299999998</v>
      </c>
      <c r="AI70" s="17">
        <f>+AI71+AI73+AI75+AI78</f>
        <v>164.2</v>
      </c>
      <c r="AJ70" s="17">
        <f>+AJ71+AJ73+AJ75+AJ78</f>
        <v>189.39999999999998</v>
      </c>
      <c r="AK70" s="12">
        <f t="shared" ref="AK70:AK78" si="93">+AG70+AH70+AI70+AJ70</f>
        <v>882.49999999999989</v>
      </c>
      <c r="AL70" s="57">
        <v>882.3</v>
      </c>
      <c r="AM70" s="17">
        <f>+AM71+AM73+AM75+AM78</f>
        <v>225.79999999999998</v>
      </c>
      <c r="AN70" s="17">
        <f>+AN71+AN73+AN75+AN78</f>
        <v>218.9</v>
      </c>
      <c r="AO70" s="17">
        <f>+AO71+AO73+AO75+AO78</f>
        <v>225.9</v>
      </c>
      <c r="AP70" s="17">
        <f>+AP71+AP73+AP75+AP78</f>
        <v>232.2</v>
      </c>
      <c r="AQ70" s="12">
        <f t="shared" ref="AQ70:AQ78" si="94">+AM70+AN70+AO70+AP70</f>
        <v>902.8</v>
      </c>
      <c r="AR70" s="17">
        <f>+AR71+AR73+AR75+AR78</f>
        <v>241</v>
      </c>
      <c r="AS70" s="17">
        <f>+AS71+AS73+AS75+AS78</f>
        <v>237.3</v>
      </c>
      <c r="AT70" s="17">
        <f>+AT71+AT73+AT75+AT78</f>
        <v>231.09300000000002</v>
      </c>
      <c r="AU70" s="17">
        <f>+AU71+AU73+AU75+AU78</f>
        <v>235.8</v>
      </c>
      <c r="AV70" s="12">
        <f t="shared" ref="AV70:AV78" si="95">+AR70+AS70+AT70+AU70</f>
        <v>945.19299999999998</v>
      </c>
      <c r="AW70" s="17">
        <f>+AW71+AW73+AW75+AW78</f>
        <v>239.5</v>
      </c>
      <c r="AX70" s="17">
        <f>+AX71+AX73+AX75+AX78</f>
        <v>226.1</v>
      </c>
      <c r="AY70" s="17">
        <f>+AY71+AY73+AY75+AY78</f>
        <v>248.29999999999998</v>
      </c>
      <c r="AZ70" s="17">
        <f>+AZ71+AZ73+AZ75+AZ78</f>
        <v>420</v>
      </c>
      <c r="BA70" s="12">
        <f t="shared" ref="BA70:BA78" si="96">+AW70+AX70+AY70+AZ70</f>
        <v>1133.9000000000001</v>
      </c>
      <c r="BB70" s="17">
        <f>+BB71+BB73+BB75+BB78</f>
        <v>204.88200000000001</v>
      </c>
      <c r="BC70" s="17">
        <f>+BC71+BC73+BC75+BC78</f>
        <v>204.7</v>
      </c>
      <c r="BD70" s="17">
        <f>+BD71+BD73+BD75+BD78</f>
        <v>182.09999999999997</v>
      </c>
      <c r="BE70" s="17">
        <f>+BE71+BE73+BE75+BE78</f>
        <v>373.8</v>
      </c>
      <c r="BF70" s="17">
        <f t="shared" si="28"/>
        <v>965.48199999999997</v>
      </c>
      <c r="BG70" s="17">
        <f>+BG71+BG73+BG75+BG78</f>
        <v>138.72200000000001</v>
      </c>
      <c r="BH70" s="17">
        <f>+BH71+BH73+BH75+BH78</f>
        <v>122.70099999999999</v>
      </c>
      <c r="BI70" s="17">
        <f>+BI71+BI73+BI75+BI78</f>
        <v>112.6</v>
      </c>
      <c r="BJ70" s="17">
        <f>+BJ71+BJ73+BJ75+BJ78</f>
        <v>107</v>
      </c>
      <c r="BK70" s="17">
        <f t="shared" si="29"/>
        <v>481.02300000000002</v>
      </c>
      <c r="BL70" s="17">
        <f>+BL71+BL73+BL75+BL78</f>
        <v>65.099999999999994</v>
      </c>
      <c r="BM70" s="17">
        <f>+BM71+BM73+BM75+BM78</f>
        <v>59.699999999999996</v>
      </c>
      <c r="BN70" s="17">
        <f>+BN71+BN73+BN75+BN78</f>
        <v>54.2</v>
      </c>
      <c r="BO70" s="17">
        <f>+BO71+BO73+BO75+BO78</f>
        <v>71.5</v>
      </c>
      <c r="BP70" s="17">
        <f t="shared" si="30"/>
        <v>250.5</v>
      </c>
      <c r="BQ70" s="17">
        <f>+BQ71+BQ73+BQ75+BQ78</f>
        <v>50.8</v>
      </c>
      <c r="BR70" s="17">
        <f>+BR71+BR73+BR75+BR78</f>
        <v>44.6</v>
      </c>
      <c r="BS70" s="17">
        <f>+BS71+BS73+BS75+BS78</f>
        <v>40.9</v>
      </c>
      <c r="BT70" s="17">
        <f>+BT71+BT73+BT75+BT78</f>
        <v>37.9</v>
      </c>
      <c r="BU70" s="17">
        <f t="shared" ref="BU70:BU81" si="97">+BQ70-BL70</f>
        <v>-14.299999999999997</v>
      </c>
      <c r="BV70" s="17">
        <f t="shared" si="0"/>
        <v>95.4</v>
      </c>
      <c r="BW70" s="17">
        <f t="shared" si="31"/>
        <v>136.30000000000001</v>
      </c>
      <c r="BX70" s="17">
        <f t="shared" ref="BX70:BX78" si="98">+BR70-BM70</f>
        <v>-15.099999999999994</v>
      </c>
      <c r="BY70" s="17">
        <f t="shared" ref="BY70:BY78" si="99">+BU70/(BL70)*100</f>
        <v>-21.966205837173579</v>
      </c>
      <c r="BZ70" s="17">
        <f>+BX70/(BM70)*100</f>
        <v>-25.2931323283082</v>
      </c>
      <c r="CA70" s="17">
        <f t="shared" si="1"/>
        <v>174.20000000000002</v>
      </c>
      <c r="CB70" s="17">
        <f>+CB71+CB73+CB75+CB78</f>
        <v>62.8</v>
      </c>
      <c r="CC70" s="17">
        <f>+CC71+CC73+CC75+CC78</f>
        <v>60.199999999999996</v>
      </c>
      <c r="CD70" s="17">
        <f>+CD71+CD73+CD75+CD78</f>
        <v>57.3</v>
      </c>
      <c r="CE70" s="17">
        <f>+CE71+CE73+CE75+CE78</f>
        <v>54.4</v>
      </c>
      <c r="CF70" s="17">
        <f t="shared" si="32"/>
        <v>234.70000000000002</v>
      </c>
      <c r="CG70" s="17">
        <f>+CG71+CG73+CG75+CG78</f>
        <v>53.1</v>
      </c>
      <c r="CH70" s="17">
        <f>+CH71+CH73+CH75+CH78</f>
        <v>70.599999999999994</v>
      </c>
      <c r="CI70" s="17">
        <f>+CI71+CI73+CI75+CI78</f>
        <v>44</v>
      </c>
      <c r="CJ70" s="17">
        <f>+CJ71+CJ73+CJ75+CJ78</f>
        <v>53.1</v>
      </c>
      <c r="CK70" s="94">
        <f t="shared" si="2"/>
        <v>220.79999999999998</v>
      </c>
      <c r="CL70" s="94">
        <f>+CL71+CL73+CL75+CL78</f>
        <v>46.6</v>
      </c>
      <c r="CM70" s="94">
        <f>+CM71+CM73+CM75+CM78</f>
        <v>45.699999999999996</v>
      </c>
      <c r="CN70" s="94"/>
      <c r="CO70" s="94"/>
      <c r="CP70" s="94">
        <f>+CP71+CP73+CP75+CP78</f>
        <v>37.400000000000006</v>
      </c>
      <c r="CQ70" s="94">
        <f>+CQ71+CQ73+CQ75+CQ78</f>
        <v>39.299999999999997</v>
      </c>
      <c r="CR70" s="94">
        <f t="shared" si="46"/>
        <v>169</v>
      </c>
      <c r="CS70" s="94">
        <f>+CS71+CS73+CS75+CS78</f>
        <v>36.299999999999997</v>
      </c>
      <c r="CT70" s="94">
        <f>+CT71+CT73+CT75+CT78</f>
        <v>36.200000000000003</v>
      </c>
      <c r="CU70" s="94">
        <f>+CU71+CU73+CU75+CU78</f>
        <v>34.699999999999996</v>
      </c>
      <c r="CV70" s="94">
        <f>+CV71+CV73+CV75+CV78</f>
        <v>34</v>
      </c>
      <c r="CW70" s="78">
        <f t="shared" si="60"/>
        <v>141.19999999999999</v>
      </c>
      <c r="CX70" s="78">
        <f t="shared" si="48"/>
        <v>-5.2999999999999972</v>
      </c>
      <c r="CY70" s="78">
        <f t="shared" si="91"/>
        <v>-13.486005089058517</v>
      </c>
      <c r="CZ70" s="17">
        <f t="shared" si="6"/>
        <v>-51.79999999999999</v>
      </c>
      <c r="DA70" s="17">
        <f t="shared" si="7"/>
        <v>-23.460144927536227</v>
      </c>
      <c r="DB70" s="9"/>
      <c r="DC70" s="11"/>
      <c r="DD70" s="71"/>
      <c r="DE70" s="9"/>
      <c r="DF70" s="9"/>
      <c r="DG70" s="9"/>
    </row>
    <row r="71" spans="1:115" x14ac:dyDescent="0.2">
      <c r="B71" s="77" t="s">
        <v>86</v>
      </c>
      <c r="C71" s="77" t="s">
        <v>41</v>
      </c>
      <c r="D71" s="77"/>
      <c r="E71" s="8"/>
      <c r="F71" s="10"/>
      <c r="G71" s="20"/>
      <c r="H71" s="20"/>
      <c r="I71" s="20"/>
      <c r="J71" s="10"/>
      <c r="K71" s="20"/>
      <c r="L71" s="20"/>
      <c r="N71" s="8"/>
      <c r="O71" s="22"/>
      <c r="P71" s="22"/>
      <c r="Q71" s="20"/>
      <c r="R71" s="20"/>
      <c r="S71" s="11">
        <f>+S72</f>
        <v>0</v>
      </c>
      <c r="T71" s="11">
        <f>+T72</f>
        <v>0</v>
      </c>
      <c r="U71" s="11">
        <f>+U72</f>
        <v>0.4</v>
      </c>
      <c r="V71" s="11">
        <f>+V72</f>
        <v>1.3</v>
      </c>
      <c r="W71" s="11"/>
      <c r="X71" s="11">
        <f>+X72</f>
        <v>1.7000000000000002</v>
      </c>
      <c r="Y71" s="14"/>
      <c r="Z71" s="24">
        <f>+Z72</f>
        <v>0.4</v>
      </c>
      <c r="AA71" s="11">
        <f>+AA72</f>
        <v>2.080803</v>
      </c>
      <c r="AB71" s="11">
        <f>+AB72</f>
        <v>1.3</v>
      </c>
      <c r="AC71" s="11">
        <f>+AC72</f>
        <v>1.7</v>
      </c>
      <c r="AD71" s="11"/>
      <c r="AE71" s="11">
        <f t="shared" ref="AE71:AE78" si="100">SUM(Z71:AC71)</f>
        <v>5.4808029999999999</v>
      </c>
      <c r="AF71" s="14"/>
      <c r="AG71" s="11">
        <f>+AG72</f>
        <v>0</v>
      </c>
      <c r="AH71" s="11">
        <f>+AH72</f>
        <v>1.5</v>
      </c>
      <c r="AI71" s="11">
        <f>+AI72</f>
        <v>0.2</v>
      </c>
      <c r="AJ71" s="24">
        <f>+AJ72</f>
        <v>0.2</v>
      </c>
      <c r="AK71" s="11">
        <f t="shared" si="93"/>
        <v>1.9</v>
      </c>
      <c r="AL71" s="58">
        <v>1.9</v>
      </c>
      <c r="AM71" s="24">
        <f>+AM72</f>
        <v>0</v>
      </c>
      <c r="AN71" s="11">
        <f>+AN72</f>
        <v>0</v>
      </c>
      <c r="AO71" s="11">
        <f>+AO72</f>
        <v>0</v>
      </c>
      <c r="AP71" s="11">
        <f>+AP72</f>
        <v>1.9</v>
      </c>
      <c r="AQ71" s="11">
        <f t="shared" si="94"/>
        <v>1.9</v>
      </c>
      <c r="AR71" s="11">
        <f>+AR72</f>
        <v>0</v>
      </c>
      <c r="AS71" s="11">
        <f>+AS72</f>
        <v>0</v>
      </c>
      <c r="AT71" s="11">
        <f>+AT72</f>
        <v>0</v>
      </c>
      <c r="AU71" s="11">
        <f>+AU72</f>
        <v>0</v>
      </c>
      <c r="AV71" s="11">
        <f t="shared" si="95"/>
        <v>0</v>
      </c>
      <c r="AW71" s="11">
        <f>+AW72</f>
        <v>6</v>
      </c>
      <c r="AX71" s="24">
        <f>+AX72</f>
        <v>1.4</v>
      </c>
      <c r="AY71" s="24">
        <f>+AY72</f>
        <v>30.6</v>
      </c>
      <c r="AZ71" s="24">
        <f>+AZ72</f>
        <v>3.1</v>
      </c>
      <c r="BA71" s="11">
        <f t="shared" si="96"/>
        <v>41.1</v>
      </c>
      <c r="BB71" s="24">
        <f>+BB72</f>
        <v>3.1819999999999999</v>
      </c>
      <c r="BC71" s="24">
        <f>+BC72</f>
        <v>20.399999999999999</v>
      </c>
      <c r="BD71" s="24">
        <f>+BD72</f>
        <v>3.6</v>
      </c>
      <c r="BE71" s="24">
        <f>+BE72</f>
        <v>1</v>
      </c>
      <c r="BF71" s="24">
        <f t="shared" si="28"/>
        <v>28.181999999999999</v>
      </c>
      <c r="BG71" s="24">
        <f>+BG72</f>
        <v>0.92200000000000004</v>
      </c>
      <c r="BH71" s="24">
        <f>+BH72</f>
        <v>0.20100000000000001</v>
      </c>
      <c r="BI71" s="24">
        <f>+BI72</f>
        <v>0.2</v>
      </c>
      <c r="BJ71" s="24">
        <f>+BJ72</f>
        <v>0.3</v>
      </c>
      <c r="BK71" s="24">
        <f t="shared" si="29"/>
        <v>1.623</v>
      </c>
      <c r="BL71" s="24">
        <f>+BL72</f>
        <v>1.1000000000000001</v>
      </c>
      <c r="BM71" s="24">
        <f>+BM72</f>
        <v>3.3</v>
      </c>
      <c r="BN71" s="24">
        <f>+BN72</f>
        <v>3</v>
      </c>
      <c r="BO71" s="24">
        <f>+BO72</f>
        <v>7.3</v>
      </c>
      <c r="BP71" s="24">
        <f t="shared" si="30"/>
        <v>14.7</v>
      </c>
      <c r="BQ71" s="24">
        <f>+BQ72</f>
        <v>0.3</v>
      </c>
      <c r="BR71" s="24">
        <f>+BR72</f>
        <v>2.2000000000000002</v>
      </c>
      <c r="BS71" s="24">
        <f>+BS72</f>
        <v>2.2999999999999998</v>
      </c>
      <c r="BT71" s="24">
        <f>+BT72</f>
        <v>0.8</v>
      </c>
      <c r="BU71" s="24">
        <f t="shared" si="97"/>
        <v>-0.8</v>
      </c>
      <c r="BV71" s="24">
        <f t="shared" si="0"/>
        <v>2.5</v>
      </c>
      <c r="BW71" s="24">
        <f t="shared" si="31"/>
        <v>4.8</v>
      </c>
      <c r="BX71" s="24">
        <f t="shared" si="98"/>
        <v>-1.0999999999999996</v>
      </c>
      <c r="BY71" s="24">
        <f t="shared" si="99"/>
        <v>-72.727272727272734</v>
      </c>
      <c r="BZ71" s="24">
        <f>+BX71/(BM71)*100</f>
        <v>-33.333333333333329</v>
      </c>
      <c r="CA71" s="24">
        <f t="shared" si="1"/>
        <v>5.6</v>
      </c>
      <c r="CB71" s="24">
        <f>+CB72</f>
        <v>0.4</v>
      </c>
      <c r="CC71" s="24">
        <f>+CC72</f>
        <v>0.3</v>
      </c>
      <c r="CD71" s="24">
        <f>+CD72</f>
        <v>0.5</v>
      </c>
      <c r="CE71" s="24">
        <f>+CE72</f>
        <v>0.5</v>
      </c>
      <c r="CF71" s="24">
        <f t="shared" si="32"/>
        <v>1.7</v>
      </c>
      <c r="CG71" s="24">
        <f>+CG72</f>
        <v>1.2</v>
      </c>
      <c r="CH71" s="24">
        <f>+CH72</f>
        <v>0.3</v>
      </c>
      <c r="CI71" s="24">
        <f>+CI72</f>
        <v>0.2</v>
      </c>
      <c r="CJ71" s="24">
        <f>+CJ72</f>
        <v>0.5</v>
      </c>
      <c r="CK71" s="95">
        <f t="shared" si="2"/>
        <v>2.2000000000000002</v>
      </c>
      <c r="CL71" s="95">
        <f>+CL72</f>
        <v>0.4</v>
      </c>
      <c r="CM71" s="95">
        <f>+CM72</f>
        <v>-5.6</v>
      </c>
      <c r="CN71" s="95"/>
      <c r="CO71" s="95"/>
      <c r="CP71" s="95">
        <f>+CP72</f>
        <v>7.5</v>
      </c>
      <c r="CQ71" s="95">
        <f>+CQ72</f>
        <v>1.5</v>
      </c>
      <c r="CR71" s="95">
        <f t="shared" si="46"/>
        <v>3.8000000000000007</v>
      </c>
      <c r="CS71" s="95">
        <f>+CS72</f>
        <v>0.5</v>
      </c>
      <c r="CT71" s="95">
        <f>+CT72</f>
        <v>0.7</v>
      </c>
      <c r="CU71" s="95">
        <f>+CU72</f>
        <v>0.9</v>
      </c>
      <c r="CV71" s="95">
        <f>+CV72</f>
        <v>3.6</v>
      </c>
      <c r="CW71" s="78">
        <f t="shared" si="60"/>
        <v>5.7</v>
      </c>
      <c r="CX71" s="78">
        <f t="shared" si="48"/>
        <v>2.1</v>
      </c>
      <c r="CY71" s="78">
        <f t="shared" si="91"/>
        <v>140</v>
      </c>
      <c r="CZ71" s="24">
        <f t="shared" si="6"/>
        <v>1.6000000000000005</v>
      </c>
      <c r="DA71" s="24">
        <f t="shared" si="7"/>
        <v>72.727272727272734</v>
      </c>
      <c r="DB71" s="3"/>
      <c r="DC71" s="11"/>
      <c r="DD71" s="71"/>
      <c r="DE71" s="3"/>
      <c r="DF71" s="3"/>
      <c r="DG71" s="3"/>
      <c r="DH71" s="3"/>
      <c r="DI71" s="3"/>
    </row>
    <row r="72" spans="1:115" x14ac:dyDescent="0.2">
      <c r="B72" s="77"/>
      <c r="C72" s="77" t="s">
        <v>87</v>
      </c>
      <c r="D72" s="77" t="s">
        <v>88</v>
      </c>
      <c r="E72" s="8"/>
      <c r="F72" s="10"/>
      <c r="G72" s="20"/>
      <c r="H72" s="20"/>
      <c r="I72" s="20"/>
      <c r="J72" s="10"/>
      <c r="K72" s="20"/>
      <c r="L72" s="20"/>
      <c r="N72" s="8"/>
      <c r="O72" s="22"/>
      <c r="P72" s="22"/>
      <c r="Q72" s="20"/>
      <c r="R72" s="20"/>
      <c r="S72" s="11"/>
      <c r="T72" s="11"/>
      <c r="U72" s="11">
        <v>0.4</v>
      </c>
      <c r="V72" s="11">
        <v>1.3</v>
      </c>
      <c r="W72" s="14"/>
      <c r="X72" s="11">
        <f>SUM(S72:V72)</f>
        <v>1.7000000000000002</v>
      </c>
      <c r="Y72" s="14"/>
      <c r="Z72" s="24">
        <v>0.4</v>
      </c>
      <c r="AA72" s="11">
        <v>2.080803</v>
      </c>
      <c r="AB72" s="11">
        <v>1.3</v>
      </c>
      <c r="AC72" s="11">
        <v>1.7</v>
      </c>
      <c r="AD72" s="14"/>
      <c r="AE72" s="11">
        <f t="shared" si="100"/>
        <v>5.4808029999999999</v>
      </c>
      <c r="AF72" s="14"/>
      <c r="AG72" s="11"/>
      <c r="AH72" s="11">
        <v>1.5</v>
      </c>
      <c r="AI72" s="11">
        <v>0.2</v>
      </c>
      <c r="AJ72" s="24">
        <v>0.2</v>
      </c>
      <c r="AK72" s="11">
        <f t="shared" si="93"/>
        <v>1.9</v>
      </c>
      <c r="AL72" s="58">
        <v>1.9</v>
      </c>
      <c r="AM72" s="24"/>
      <c r="AN72" s="11"/>
      <c r="AO72" s="11"/>
      <c r="AP72" s="11">
        <v>1.9</v>
      </c>
      <c r="AQ72" s="11">
        <f t="shared" si="94"/>
        <v>1.9</v>
      </c>
      <c r="AR72" s="11"/>
      <c r="AS72" s="11"/>
      <c r="AT72" s="11"/>
      <c r="AU72" s="11"/>
      <c r="AV72" s="11">
        <f t="shared" si="95"/>
        <v>0</v>
      </c>
      <c r="AW72" s="11">
        <v>6</v>
      </c>
      <c r="AX72" s="24">
        <v>1.4</v>
      </c>
      <c r="AY72" s="24">
        <v>30.6</v>
      </c>
      <c r="AZ72" s="24">
        <v>3.1</v>
      </c>
      <c r="BA72" s="11">
        <f t="shared" si="96"/>
        <v>41.1</v>
      </c>
      <c r="BB72" s="11">
        <v>3.1819999999999999</v>
      </c>
      <c r="BC72" s="11">
        <v>20.399999999999999</v>
      </c>
      <c r="BD72" s="11">
        <v>3.6</v>
      </c>
      <c r="BE72" s="11">
        <v>1</v>
      </c>
      <c r="BF72" s="11">
        <f t="shared" si="28"/>
        <v>28.181999999999999</v>
      </c>
      <c r="BG72" s="11">
        <v>0.92200000000000004</v>
      </c>
      <c r="BH72" s="11">
        <v>0.20100000000000001</v>
      </c>
      <c r="BI72" s="11">
        <v>0.2</v>
      </c>
      <c r="BJ72" s="11">
        <v>0.3</v>
      </c>
      <c r="BK72" s="11">
        <f t="shared" si="29"/>
        <v>1.623</v>
      </c>
      <c r="BL72" s="11">
        <v>1.1000000000000001</v>
      </c>
      <c r="BM72" s="11">
        <v>3.3</v>
      </c>
      <c r="BN72" s="11">
        <v>3</v>
      </c>
      <c r="BO72" s="11">
        <v>7.3</v>
      </c>
      <c r="BP72" s="11">
        <f t="shared" si="30"/>
        <v>14.7</v>
      </c>
      <c r="BQ72" s="11">
        <v>0.3</v>
      </c>
      <c r="BR72" s="11">
        <v>2.2000000000000002</v>
      </c>
      <c r="BS72" s="11">
        <v>2.2999999999999998</v>
      </c>
      <c r="BT72" s="11">
        <v>0.8</v>
      </c>
      <c r="BU72" s="11">
        <f t="shared" si="97"/>
        <v>-0.8</v>
      </c>
      <c r="BV72" s="11">
        <f t="shared" si="0"/>
        <v>2.5</v>
      </c>
      <c r="BW72" s="11">
        <f t="shared" si="31"/>
        <v>4.8</v>
      </c>
      <c r="BX72" s="11">
        <f t="shared" si="98"/>
        <v>-1.0999999999999996</v>
      </c>
      <c r="BY72" s="11">
        <f t="shared" si="99"/>
        <v>-72.727272727272734</v>
      </c>
      <c r="BZ72" s="11">
        <f>+BX72/(BM72)*100</f>
        <v>-33.333333333333329</v>
      </c>
      <c r="CA72" s="11">
        <f t="shared" si="1"/>
        <v>5.6</v>
      </c>
      <c r="CB72" s="11">
        <v>0.4</v>
      </c>
      <c r="CC72" s="11">
        <v>0.3</v>
      </c>
      <c r="CD72" s="11">
        <v>0.5</v>
      </c>
      <c r="CE72" s="11">
        <v>0.5</v>
      </c>
      <c r="CF72" s="11">
        <f t="shared" si="32"/>
        <v>1.7</v>
      </c>
      <c r="CG72" s="11">
        <v>1.2</v>
      </c>
      <c r="CH72" s="11">
        <v>0.3</v>
      </c>
      <c r="CI72" s="11">
        <v>0.2</v>
      </c>
      <c r="CJ72" s="11">
        <v>0.5</v>
      </c>
      <c r="CK72" s="91">
        <f t="shared" si="2"/>
        <v>2.2000000000000002</v>
      </c>
      <c r="CL72" s="91">
        <v>0.4</v>
      </c>
      <c r="CM72" s="91">
        <v>-5.6</v>
      </c>
      <c r="CN72" s="91"/>
      <c r="CO72" s="91"/>
      <c r="CP72" s="91">
        <v>7.5</v>
      </c>
      <c r="CQ72" s="91">
        <v>1.5</v>
      </c>
      <c r="CR72" s="91">
        <f t="shared" si="46"/>
        <v>3.8000000000000007</v>
      </c>
      <c r="CS72" s="91">
        <v>0.5</v>
      </c>
      <c r="CT72" s="91">
        <v>0.7</v>
      </c>
      <c r="CU72" s="91">
        <v>0.9</v>
      </c>
      <c r="CV72" s="91">
        <v>3.6</v>
      </c>
      <c r="CW72" s="78">
        <f t="shared" si="60"/>
        <v>5.7</v>
      </c>
      <c r="CX72" s="78">
        <f t="shared" si="48"/>
        <v>2.1</v>
      </c>
      <c r="CY72" s="78">
        <f t="shared" si="91"/>
        <v>140</v>
      </c>
      <c r="CZ72" s="11">
        <f t="shared" ref="CZ72:CZ95" si="101">+CL72+CM72+CP72+CQ72-CG72-CH72-CI72-CJ72</f>
        <v>1.6000000000000005</v>
      </c>
      <c r="DA72" s="11">
        <f t="shared" ref="DA72:DA95" si="102">+CZ72/(CG72+CH72+CI72+CJ72)*100</f>
        <v>72.727272727272734</v>
      </c>
      <c r="DB72" s="3"/>
      <c r="DC72" s="11"/>
      <c r="DD72" s="71"/>
      <c r="DE72" s="12"/>
      <c r="DF72" s="3"/>
      <c r="DG72" s="3"/>
      <c r="DH72" s="3"/>
      <c r="DI72" s="3"/>
    </row>
    <row r="73" spans="1:115" x14ac:dyDescent="0.2">
      <c r="B73" s="77" t="s">
        <v>70</v>
      </c>
      <c r="C73" s="77" t="s">
        <v>72</v>
      </c>
      <c r="D73" s="77"/>
      <c r="E73" s="8"/>
      <c r="F73" s="10"/>
      <c r="G73" s="20"/>
      <c r="H73" s="20"/>
      <c r="I73" s="20"/>
      <c r="J73" s="10"/>
      <c r="K73" s="20"/>
      <c r="L73" s="20"/>
      <c r="N73" s="8"/>
      <c r="O73" s="22"/>
      <c r="P73" s="22"/>
      <c r="Q73" s="20"/>
      <c r="R73" s="20"/>
      <c r="S73" s="11">
        <f>S74</f>
        <v>3</v>
      </c>
      <c r="T73" s="11">
        <f>T74</f>
        <v>0</v>
      </c>
      <c r="U73" s="11">
        <f>U74</f>
        <v>3</v>
      </c>
      <c r="V73" s="11">
        <f>V74</f>
        <v>0</v>
      </c>
      <c r="W73" s="11"/>
      <c r="X73" s="11">
        <f>X74</f>
        <v>6</v>
      </c>
      <c r="Y73" s="14"/>
      <c r="Z73" s="24">
        <f>Z74</f>
        <v>6.5</v>
      </c>
      <c r="AA73" s="11">
        <f>AA74</f>
        <v>0</v>
      </c>
      <c r="AB73" s="11">
        <f>AB74</f>
        <v>0</v>
      </c>
      <c r="AC73" s="11">
        <f>AC74</f>
        <v>2.9</v>
      </c>
      <c r="AD73" s="11"/>
      <c r="AE73" s="11">
        <f t="shared" si="100"/>
        <v>9.4</v>
      </c>
      <c r="AF73" s="14"/>
      <c r="AG73" s="11">
        <f>AG74</f>
        <v>3.7569999999999999E-3</v>
      </c>
      <c r="AH73" s="11">
        <f>+AH74</f>
        <v>-3.7569999999999999E-3</v>
      </c>
      <c r="AI73" s="11"/>
      <c r="AJ73" s="24"/>
      <c r="AK73" s="11">
        <f t="shared" si="93"/>
        <v>0</v>
      </c>
      <c r="AL73" s="58">
        <v>0</v>
      </c>
      <c r="AM73" s="11">
        <f>+AM74</f>
        <v>0</v>
      </c>
      <c r="AN73" s="11">
        <f>+AN74</f>
        <v>0</v>
      </c>
      <c r="AO73" s="11">
        <f>+AO74</f>
        <v>0</v>
      </c>
      <c r="AP73" s="11">
        <f>+AP74</f>
        <v>1</v>
      </c>
      <c r="AQ73" s="11">
        <f t="shared" si="94"/>
        <v>1</v>
      </c>
      <c r="AR73" s="11">
        <f>+AR74</f>
        <v>0</v>
      </c>
      <c r="AS73" s="11">
        <f>+AS74</f>
        <v>0</v>
      </c>
      <c r="AT73" s="11">
        <f>+AT74</f>
        <v>0</v>
      </c>
      <c r="AU73" s="11">
        <f>+AU74</f>
        <v>0</v>
      </c>
      <c r="AV73" s="11">
        <f t="shared" si="95"/>
        <v>0</v>
      </c>
      <c r="AW73" s="11">
        <f>+AW74</f>
        <v>0</v>
      </c>
      <c r="AX73" s="24">
        <f>+AX74</f>
        <v>0</v>
      </c>
      <c r="AY73" s="24">
        <f>+AY74</f>
        <v>0</v>
      </c>
      <c r="AZ73" s="24">
        <f>+AZ74</f>
        <v>0</v>
      </c>
      <c r="BA73" s="11">
        <f t="shared" si="96"/>
        <v>0</v>
      </c>
      <c r="BB73" s="24">
        <f>+BB74</f>
        <v>0</v>
      </c>
      <c r="BC73" s="24">
        <f>+BC74</f>
        <v>0</v>
      </c>
      <c r="BD73" s="24">
        <f>+BD74</f>
        <v>0</v>
      </c>
      <c r="BE73" s="24">
        <f>+BE74</f>
        <v>0</v>
      </c>
      <c r="BF73" s="24">
        <f t="shared" si="28"/>
        <v>0</v>
      </c>
      <c r="BG73" s="24">
        <f>+BG74</f>
        <v>0</v>
      </c>
      <c r="BH73" s="24">
        <f>+BH74</f>
        <v>0</v>
      </c>
      <c r="BI73" s="24">
        <f>+BI74</f>
        <v>0</v>
      </c>
      <c r="BJ73" s="24">
        <f>+BJ74</f>
        <v>0</v>
      </c>
      <c r="BK73" s="24">
        <f t="shared" si="29"/>
        <v>0</v>
      </c>
      <c r="BL73" s="24">
        <f>+BL74</f>
        <v>0</v>
      </c>
      <c r="BM73" s="24">
        <f>+BM74</f>
        <v>0</v>
      </c>
      <c r="BN73" s="24">
        <f>+BN74</f>
        <v>0</v>
      </c>
      <c r="BO73" s="24">
        <f>+BO74</f>
        <v>0</v>
      </c>
      <c r="BP73" s="24">
        <f t="shared" si="30"/>
        <v>0</v>
      </c>
      <c r="BQ73" s="24">
        <f>+BQ74</f>
        <v>0</v>
      </c>
      <c r="BR73" s="24">
        <f>+BR74</f>
        <v>0</v>
      </c>
      <c r="BS73" s="24">
        <f>+BS74</f>
        <v>0</v>
      </c>
      <c r="BT73" s="24">
        <f>+BT74</f>
        <v>0</v>
      </c>
      <c r="BU73" s="24">
        <f t="shared" si="97"/>
        <v>0</v>
      </c>
      <c r="BV73" s="24">
        <f t="shared" si="0"/>
        <v>0</v>
      </c>
      <c r="BW73" s="24">
        <f t="shared" si="31"/>
        <v>0</v>
      </c>
      <c r="BX73" s="24">
        <f t="shared" si="98"/>
        <v>0</v>
      </c>
      <c r="BY73" s="24" t="e">
        <f t="shared" si="99"/>
        <v>#DIV/0!</v>
      </c>
      <c r="BZ73" s="68" t="s">
        <v>114</v>
      </c>
      <c r="CA73" s="24">
        <f t="shared" si="1"/>
        <v>0</v>
      </c>
      <c r="CB73" s="24">
        <f>+CB74</f>
        <v>0</v>
      </c>
      <c r="CC73" s="24">
        <f>+CC74</f>
        <v>0</v>
      </c>
      <c r="CD73" s="24">
        <f>+CD74</f>
        <v>0</v>
      </c>
      <c r="CE73" s="24">
        <f>+CE74</f>
        <v>0</v>
      </c>
      <c r="CF73" s="24">
        <f t="shared" si="32"/>
        <v>0</v>
      </c>
      <c r="CG73" s="24">
        <f>+CG74</f>
        <v>0</v>
      </c>
      <c r="CH73" s="24">
        <f>+CH74</f>
        <v>0</v>
      </c>
      <c r="CI73" s="24">
        <f>+CI74</f>
        <v>0</v>
      </c>
      <c r="CJ73" s="24">
        <f>+CJ74</f>
        <v>0</v>
      </c>
      <c r="CK73" s="95">
        <f t="shared" ref="CK73:CK95" si="103">+CG73+CH73+CI73+CJ73</f>
        <v>0</v>
      </c>
      <c r="CL73" s="95">
        <f>+CL74</f>
        <v>0</v>
      </c>
      <c r="CM73" s="95">
        <f>+CM74</f>
        <v>0</v>
      </c>
      <c r="CN73" s="95"/>
      <c r="CO73" s="95"/>
      <c r="CP73" s="95">
        <f>+CP74</f>
        <v>0</v>
      </c>
      <c r="CQ73" s="95">
        <f>+CQ74</f>
        <v>0</v>
      </c>
      <c r="CR73" s="95">
        <f t="shared" si="46"/>
        <v>0</v>
      </c>
      <c r="CS73" s="95">
        <f>+CS74</f>
        <v>0</v>
      </c>
      <c r="CT73" s="95">
        <f>+CT74</f>
        <v>0</v>
      </c>
      <c r="CU73" s="95">
        <f>+CU74</f>
        <v>0</v>
      </c>
      <c r="CV73" s="95">
        <f>+CV74</f>
        <v>0</v>
      </c>
      <c r="CW73" s="78">
        <f t="shared" si="60"/>
        <v>0</v>
      </c>
      <c r="CX73" s="78">
        <f t="shared" si="48"/>
        <v>0</v>
      </c>
      <c r="CY73" s="78"/>
      <c r="CZ73" s="24">
        <f t="shared" si="101"/>
        <v>0</v>
      </c>
      <c r="DA73" s="24"/>
      <c r="DB73" s="3"/>
      <c r="DC73" s="11"/>
      <c r="DD73" s="71"/>
      <c r="DE73" s="17"/>
      <c r="DF73" s="3"/>
      <c r="DG73" s="3"/>
      <c r="DH73" s="3"/>
      <c r="DI73" s="3"/>
    </row>
    <row r="74" spans="1:115" x14ac:dyDescent="0.2">
      <c r="B74" s="77"/>
      <c r="C74" s="77" t="s">
        <v>71</v>
      </c>
      <c r="D74" s="77" t="s">
        <v>73</v>
      </c>
      <c r="E74" s="8"/>
      <c r="F74" s="10"/>
      <c r="G74" s="20"/>
      <c r="H74" s="20"/>
      <c r="I74" s="20"/>
      <c r="J74" s="10"/>
      <c r="K74" s="20"/>
      <c r="L74" s="20"/>
      <c r="N74" s="8"/>
      <c r="O74" s="22"/>
      <c r="P74" s="22"/>
      <c r="Q74" s="20"/>
      <c r="R74" s="20"/>
      <c r="S74" s="11">
        <v>3</v>
      </c>
      <c r="T74" s="14"/>
      <c r="U74" s="14">
        <v>3</v>
      </c>
      <c r="V74" s="11"/>
      <c r="W74" s="14"/>
      <c r="X74" s="11">
        <f>SUM(S74:V74)</f>
        <v>6</v>
      </c>
      <c r="Y74" s="14"/>
      <c r="Z74" s="24">
        <v>6.5</v>
      </c>
      <c r="AA74" s="14"/>
      <c r="AB74" s="14"/>
      <c r="AC74" s="11">
        <v>2.9</v>
      </c>
      <c r="AD74" s="14"/>
      <c r="AE74" s="11">
        <f t="shared" si="100"/>
        <v>9.4</v>
      </c>
      <c r="AF74" s="14"/>
      <c r="AG74" s="11">
        <v>3.7569999999999999E-3</v>
      </c>
      <c r="AH74" s="14">
        <v>-3.7569999999999999E-3</v>
      </c>
      <c r="AI74" s="14"/>
      <c r="AJ74" s="25"/>
      <c r="AK74" s="11">
        <f t="shared" si="93"/>
        <v>0</v>
      </c>
      <c r="AL74" s="58">
        <v>0</v>
      </c>
      <c r="AM74" s="25"/>
      <c r="AN74" s="14"/>
      <c r="AO74" s="14"/>
      <c r="AP74" s="11">
        <v>1</v>
      </c>
      <c r="AQ74" s="11">
        <f t="shared" si="94"/>
        <v>1</v>
      </c>
      <c r="AR74" s="14"/>
      <c r="AS74" s="14"/>
      <c r="AT74" s="14"/>
      <c r="AU74" s="14"/>
      <c r="AV74" s="11">
        <f t="shared" si="95"/>
        <v>0</v>
      </c>
      <c r="AW74" s="14"/>
      <c r="AX74" s="25"/>
      <c r="AY74" s="25"/>
      <c r="AZ74" s="25"/>
      <c r="BA74" s="11">
        <f t="shared" si="96"/>
        <v>0</v>
      </c>
      <c r="BB74" s="11"/>
      <c r="BC74" s="11"/>
      <c r="BD74" s="11"/>
      <c r="BE74" s="11"/>
      <c r="BF74" s="11">
        <f t="shared" si="28"/>
        <v>0</v>
      </c>
      <c r="BG74" s="11">
        <v>0</v>
      </c>
      <c r="BH74" s="11"/>
      <c r="BI74" s="11"/>
      <c r="BJ74" s="11"/>
      <c r="BK74" s="11">
        <f t="shared" si="29"/>
        <v>0</v>
      </c>
      <c r="BL74" s="11">
        <v>0</v>
      </c>
      <c r="BM74" s="11">
        <v>0</v>
      </c>
      <c r="BN74" s="11">
        <v>0</v>
      </c>
      <c r="BO74" s="11">
        <v>0</v>
      </c>
      <c r="BP74" s="11">
        <f t="shared" si="30"/>
        <v>0</v>
      </c>
      <c r="BQ74" s="11">
        <v>0</v>
      </c>
      <c r="BR74" s="11">
        <v>0</v>
      </c>
      <c r="BS74" s="11">
        <v>0</v>
      </c>
      <c r="BT74" s="11">
        <v>0</v>
      </c>
      <c r="BU74" s="11">
        <f t="shared" si="97"/>
        <v>0</v>
      </c>
      <c r="BV74" s="11">
        <f t="shared" si="0"/>
        <v>0</v>
      </c>
      <c r="BW74" s="11">
        <f t="shared" si="31"/>
        <v>0</v>
      </c>
      <c r="BX74" s="11">
        <f t="shared" si="98"/>
        <v>0</v>
      </c>
      <c r="BY74" s="11" t="e">
        <f t="shared" si="99"/>
        <v>#DIV/0!</v>
      </c>
      <c r="BZ74" s="68" t="s">
        <v>114</v>
      </c>
      <c r="CA74" s="11">
        <f t="shared" ref="CA74:CA95" si="104">SUM(BQ74:BT74)</f>
        <v>0</v>
      </c>
      <c r="CB74" s="11">
        <v>0</v>
      </c>
      <c r="CC74" s="11">
        <v>0</v>
      </c>
      <c r="CD74" s="11">
        <v>0</v>
      </c>
      <c r="CE74" s="11">
        <v>0</v>
      </c>
      <c r="CF74" s="11">
        <f t="shared" si="32"/>
        <v>0</v>
      </c>
      <c r="CG74" s="11">
        <v>0</v>
      </c>
      <c r="CH74" s="11">
        <v>0</v>
      </c>
      <c r="CI74" s="11">
        <v>0</v>
      </c>
      <c r="CJ74" s="11">
        <v>0</v>
      </c>
      <c r="CK74" s="91">
        <f t="shared" si="103"/>
        <v>0</v>
      </c>
      <c r="CL74" s="91">
        <v>0</v>
      </c>
      <c r="CM74" s="91">
        <v>0</v>
      </c>
      <c r="CN74" s="91"/>
      <c r="CO74" s="91"/>
      <c r="CP74" s="91">
        <v>0</v>
      </c>
      <c r="CQ74" s="91">
        <v>0</v>
      </c>
      <c r="CR74" s="91">
        <f t="shared" si="46"/>
        <v>0</v>
      </c>
      <c r="CS74" s="91">
        <v>0</v>
      </c>
      <c r="CT74" s="91">
        <v>0</v>
      </c>
      <c r="CU74" s="91">
        <v>0</v>
      </c>
      <c r="CV74" s="91">
        <v>0</v>
      </c>
      <c r="CW74" s="78">
        <f t="shared" si="60"/>
        <v>0</v>
      </c>
      <c r="CX74" s="78">
        <f t="shared" si="48"/>
        <v>0</v>
      </c>
      <c r="CY74" s="78"/>
      <c r="CZ74" s="11">
        <f t="shared" si="101"/>
        <v>0</v>
      </c>
      <c r="DA74" s="11"/>
      <c r="DB74" s="3"/>
      <c r="DC74" s="11"/>
      <c r="DD74" s="71"/>
      <c r="DE74" s="11"/>
      <c r="DF74" s="3"/>
      <c r="DG74" s="3"/>
      <c r="DH74" s="3"/>
      <c r="DI74" s="3"/>
    </row>
    <row r="75" spans="1:115" x14ac:dyDescent="0.2">
      <c r="B75" s="77" t="s">
        <v>42</v>
      </c>
      <c r="C75" s="77" t="s">
        <v>43</v>
      </c>
      <c r="D75" s="77"/>
      <c r="E75" s="8"/>
      <c r="F75" s="10">
        <f>F77</f>
        <v>449</v>
      </c>
      <c r="G75" s="20">
        <f t="shared" si="92"/>
        <v>455</v>
      </c>
      <c r="H75" s="20">
        <f>SUM(O75:R75)</f>
        <v>573</v>
      </c>
      <c r="I75" s="20"/>
      <c r="J75" s="10">
        <v>101</v>
      </c>
      <c r="K75" s="20">
        <v>108</v>
      </c>
      <c r="L75" s="20">
        <v>120</v>
      </c>
      <c r="M75" s="20">
        <v>126</v>
      </c>
      <c r="N75" s="8"/>
      <c r="O75" s="20">
        <f>SUM(O77:O77)</f>
        <v>138</v>
      </c>
      <c r="P75" s="20">
        <f>SUM(P77:P77)</f>
        <v>142</v>
      </c>
      <c r="Q75" s="20">
        <v>149</v>
      </c>
      <c r="R75" s="20">
        <v>144</v>
      </c>
      <c r="S75" s="11">
        <f>SUM(S77:S77)</f>
        <v>168.525766</v>
      </c>
      <c r="T75" s="11">
        <f>SUM(T77:T77)</f>
        <v>226.5</v>
      </c>
      <c r="U75" s="11">
        <f>SUM(U77:U77)</f>
        <v>105</v>
      </c>
      <c r="V75" s="11">
        <f>SUM(V77:V77)</f>
        <v>177.8</v>
      </c>
      <c r="W75" s="14"/>
      <c r="X75" s="11">
        <f>IF(O75="","",(S75+T75+U75+V75))</f>
        <v>677.82576599999993</v>
      </c>
      <c r="Y75" s="14"/>
      <c r="Z75" s="24">
        <f>SUM(Z77:Z77)</f>
        <v>174.26570799999999</v>
      </c>
      <c r="AA75" s="11">
        <f>SUM(AA77:AA77)</f>
        <v>172.059121</v>
      </c>
      <c r="AB75" s="11">
        <f>SUM(AB77:AB77)</f>
        <v>181.4</v>
      </c>
      <c r="AC75" s="11">
        <f>SUM(AC77:AC77)</f>
        <v>174.3</v>
      </c>
      <c r="AD75" s="14"/>
      <c r="AE75" s="11">
        <f t="shared" si="100"/>
        <v>702.02482899999995</v>
      </c>
      <c r="AF75" s="14"/>
      <c r="AG75" s="11">
        <f>SUM(AG77:AG77)</f>
        <v>193.7</v>
      </c>
      <c r="AH75" s="11">
        <f>+AH77</f>
        <v>263.7</v>
      </c>
      <c r="AI75" s="11">
        <f>+AI77</f>
        <v>129</v>
      </c>
      <c r="AJ75" s="24">
        <f>+AJ77</f>
        <v>154.19999999999999</v>
      </c>
      <c r="AK75" s="11">
        <f t="shared" si="93"/>
        <v>740.59999999999991</v>
      </c>
      <c r="AL75" s="58">
        <v>740.4</v>
      </c>
      <c r="AM75" s="24">
        <f>+AM77</f>
        <v>188.2</v>
      </c>
      <c r="AN75" s="11">
        <f>+AN77</f>
        <v>181.3</v>
      </c>
      <c r="AO75" s="11">
        <f>+AO77</f>
        <v>188.3</v>
      </c>
      <c r="AP75" s="11">
        <f>+AP77</f>
        <v>191.7</v>
      </c>
      <c r="AQ75" s="11">
        <f t="shared" si="94"/>
        <v>749.5</v>
      </c>
      <c r="AR75" s="11">
        <f>+AR77</f>
        <v>194.6</v>
      </c>
      <c r="AS75" s="11">
        <f>+AS77</f>
        <v>190.9</v>
      </c>
      <c r="AT75" s="11">
        <f>+AT77</f>
        <v>184.703</v>
      </c>
      <c r="AU75" s="11">
        <f>+AU77</f>
        <v>189.4</v>
      </c>
      <c r="AV75" s="11">
        <f t="shared" si="95"/>
        <v>759.60299999999995</v>
      </c>
      <c r="AW75" s="11">
        <f>+AW77</f>
        <v>187.5</v>
      </c>
      <c r="AX75" s="24">
        <f>+AX77</f>
        <v>178.6</v>
      </c>
      <c r="AY75" s="24">
        <f>+AY77</f>
        <v>171.6</v>
      </c>
      <c r="AZ75" s="24">
        <f>+AZ77</f>
        <v>181.1</v>
      </c>
      <c r="BA75" s="11">
        <f t="shared" si="96"/>
        <v>718.80000000000007</v>
      </c>
      <c r="BB75" s="24">
        <f>+BB77</f>
        <v>155.9</v>
      </c>
      <c r="BC75" s="24">
        <f>+BC77</f>
        <v>138.5</v>
      </c>
      <c r="BD75" s="24">
        <f>+BD77</f>
        <v>132.69999999999999</v>
      </c>
      <c r="BE75" s="24">
        <f>+BE77</f>
        <v>150.30000000000001</v>
      </c>
      <c r="BF75" s="24">
        <f t="shared" si="28"/>
        <v>577.4</v>
      </c>
      <c r="BG75" s="24">
        <f>+BG77</f>
        <v>106.5</v>
      </c>
      <c r="BH75" s="24">
        <f>+BH77</f>
        <v>91.2</v>
      </c>
      <c r="BI75" s="24">
        <f>+BI77</f>
        <v>81.099999999999994</v>
      </c>
      <c r="BJ75" s="24">
        <f>+BJ77</f>
        <v>75.400000000000006</v>
      </c>
      <c r="BK75" s="24">
        <f t="shared" si="29"/>
        <v>354.19999999999993</v>
      </c>
      <c r="BL75" s="24">
        <f>+BL77</f>
        <v>64</v>
      </c>
      <c r="BM75" s="24">
        <f>+BM77</f>
        <v>56.4</v>
      </c>
      <c r="BN75" s="24">
        <f>+BN77</f>
        <v>51.2</v>
      </c>
      <c r="BO75" s="24">
        <f>+BO77</f>
        <v>64.2</v>
      </c>
      <c r="BP75" s="24">
        <f t="shared" si="30"/>
        <v>235.8</v>
      </c>
      <c r="BQ75" s="24">
        <f>+BQ77</f>
        <v>50.5</v>
      </c>
      <c r="BR75" s="24">
        <f>+BR77</f>
        <v>42.4</v>
      </c>
      <c r="BS75" s="24">
        <f>+BS77</f>
        <v>38.6</v>
      </c>
      <c r="BT75" s="24">
        <f>+BT77</f>
        <v>37.1</v>
      </c>
      <c r="BU75" s="24">
        <f t="shared" si="97"/>
        <v>-13.5</v>
      </c>
      <c r="BV75" s="24">
        <f t="shared" ref="BV75:BV95" si="105">+BQ75+BR75</f>
        <v>92.9</v>
      </c>
      <c r="BW75" s="24">
        <f t="shared" si="31"/>
        <v>131.5</v>
      </c>
      <c r="BX75" s="24">
        <f t="shared" si="98"/>
        <v>-14</v>
      </c>
      <c r="BY75" s="24">
        <f t="shared" si="99"/>
        <v>-21.09375</v>
      </c>
      <c r="BZ75" s="24">
        <f>+BX75/(BM75)*100</f>
        <v>-24.822695035460992</v>
      </c>
      <c r="CA75" s="24">
        <f t="shared" si="104"/>
        <v>168.6</v>
      </c>
      <c r="CB75" s="24">
        <f>+CB77</f>
        <v>62.4</v>
      </c>
      <c r="CC75" s="24">
        <f>+CC77</f>
        <v>59.9</v>
      </c>
      <c r="CD75" s="24">
        <f>+CD77</f>
        <v>56.8</v>
      </c>
      <c r="CE75" s="24">
        <f>+CE77</f>
        <v>53.9</v>
      </c>
      <c r="CF75" s="24">
        <f t="shared" ref="CF75:CG75" si="106">+CF77+CF76</f>
        <v>233</v>
      </c>
      <c r="CG75" s="24">
        <f t="shared" si="106"/>
        <v>51.9</v>
      </c>
      <c r="CH75" s="24">
        <f>+CH77+CH76</f>
        <v>70.3</v>
      </c>
      <c r="CI75" s="24">
        <f t="shared" ref="CI75:CJ75" si="107">+CI77+CI76</f>
        <v>43.8</v>
      </c>
      <c r="CJ75" s="24">
        <f t="shared" si="107"/>
        <v>52.6</v>
      </c>
      <c r="CK75" s="95">
        <f t="shared" si="103"/>
        <v>218.6</v>
      </c>
      <c r="CL75" s="95">
        <f>+CL77+CL76</f>
        <v>46.2</v>
      </c>
      <c r="CM75" s="95">
        <f>+CM77+CM76</f>
        <v>51.3</v>
      </c>
      <c r="CN75" s="95"/>
      <c r="CO75" s="95"/>
      <c r="CP75" s="95">
        <f>+CP77+CP76</f>
        <v>29.900000000000002</v>
      </c>
      <c r="CQ75" s="95">
        <f>+CQ77+CQ76</f>
        <v>37.799999999999997</v>
      </c>
      <c r="CR75" s="95">
        <f t="shared" si="46"/>
        <v>165.2</v>
      </c>
      <c r="CS75" s="95">
        <f>+CS77+CS76</f>
        <v>35.799999999999997</v>
      </c>
      <c r="CT75" s="95">
        <f>+CT77+CT76</f>
        <v>35.5</v>
      </c>
      <c r="CU75" s="95">
        <f>+CU77+CU76</f>
        <v>33.799999999999997</v>
      </c>
      <c r="CV75" s="95">
        <f>+CV77+CV76</f>
        <v>30.4</v>
      </c>
      <c r="CW75" s="78">
        <f t="shared" si="60"/>
        <v>135.5</v>
      </c>
      <c r="CX75" s="78">
        <f t="shared" si="48"/>
        <v>-7.3999999999999986</v>
      </c>
      <c r="CY75" s="78">
        <f t="shared" si="91"/>
        <v>-19.576719576719576</v>
      </c>
      <c r="CZ75" s="24">
        <f t="shared" si="101"/>
        <v>-53.400000000000013</v>
      </c>
      <c r="DA75" s="24">
        <f t="shared" si="102"/>
        <v>-24.428179322964326</v>
      </c>
      <c r="DB75" s="3"/>
      <c r="DC75" s="11"/>
      <c r="DD75" s="71"/>
      <c r="DE75" s="12"/>
      <c r="DF75" s="3"/>
      <c r="DG75" s="3"/>
    </row>
    <row r="76" spans="1:115" x14ac:dyDescent="0.2">
      <c r="B76" s="77"/>
      <c r="C76" s="77" t="s">
        <v>122</v>
      </c>
      <c r="D76" s="77" t="s">
        <v>123</v>
      </c>
      <c r="E76" s="8"/>
      <c r="F76" s="10"/>
      <c r="G76" s="20"/>
      <c r="H76" s="20"/>
      <c r="I76" s="20"/>
      <c r="J76" s="10"/>
      <c r="K76" s="20"/>
      <c r="L76" s="20"/>
      <c r="M76" s="20"/>
      <c r="N76" s="8"/>
      <c r="O76" s="20"/>
      <c r="P76" s="20"/>
      <c r="Q76" s="20"/>
      <c r="R76" s="20"/>
      <c r="S76" s="11"/>
      <c r="T76" s="11"/>
      <c r="U76" s="11"/>
      <c r="V76" s="11"/>
      <c r="W76" s="14"/>
      <c r="X76" s="11"/>
      <c r="Y76" s="14"/>
      <c r="Z76" s="24"/>
      <c r="AA76" s="11"/>
      <c r="AB76" s="11"/>
      <c r="AC76" s="11"/>
      <c r="AD76" s="14"/>
      <c r="AE76" s="11"/>
      <c r="AF76" s="14"/>
      <c r="AG76" s="11"/>
      <c r="AH76" s="11"/>
      <c r="AI76" s="11"/>
      <c r="AJ76" s="24"/>
      <c r="AK76" s="11"/>
      <c r="AL76" s="58"/>
      <c r="AM76" s="24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24"/>
      <c r="AY76" s="24"/>
      <c r="AZ76" s="24"/>
      <c r="BA76" s="11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>
        <v>1.3</v>
      </c>
      <c r="CG76" s="24">
        <v>0</v>
      </c>
      <c r="CH76" s="24">
        <v>22.8</v>
      </c>
      <c r="CI76" s="24">
        <v>0</v>
      </c>
      <c r="CJ76" s="24">
        <v>11</v>
      </c>
      <c r="CK76" s="95">
        <f t="shared" si="103"/>
        <v>33.799999999999997</v>
      </c>
      <c r="CL76" s="95">
        <v>8.3000000000000007</v>
      </c>
      <c r="CM76" s="95">
        <v>16.100000000000001</v>
      </c>
      <c r="CN76" s="95"/>
      <c r="CO76" s="95"/>
      <c r="CP76" s="95">
        <v>0.3</v>
      </c>
      <c r="CQ76" s="95">
        <v>9.1</v>
      </c>
      <c r="CR76" s="95">
        <f t="shared" si="46"/>
        <v>33.800000000000004</v>
      </c>
      <c r="CS76" s="95">
        <v>9.8000000000000007</v>
      </c>
      <c r="CT76" s="95">
        <f>35.5-25.2</f>
        <v>10.3</v>
      </c>
      <c r="CU76" s="95">
        <v>10.5</v>
      </c>
      <c r="CV76" s="95">
        <v>10</v>
      </c>
      <c r="CW76" s="78">
        <f t="shared" si="60"/>
        <v>40.6</v>
      </c>
      <c r="CX76" s="78">
        <f t="shared" si="48"/>
        <v>0.90000000000000036</v>
      </c>
      <c r="CY76" s="78">
        <f t="shared" si="91"/>
        <v>9.8901098901098941</v>
      </c>
      <c r="CZ76" s="24">
        <f t="shared" si="101"/>
        <v>0</v>
      </c>
      <c r="DA76" s="24">
        <f t="shared" si="102"/>
        <v>0</v>
      </c>
      <c r="DB76" s="3"/>
      <c r="DC76" s="11"/>
      <c r="DD76" s="71"/>
      <c r="DE76" s="12"/>
      <c r="DF76" s="3"/>
      <c r="DG76" s="3"/>
    </row>
    <row r="77" spans="1:115" x14ac:dyDescent="0.2">
      <c r="B77" s="77"/>
      <c r="C77" s="77" t="s">
        <v>44</v>
      </c>
      <c r="D77" s="77" t="s">
        <v>45</v>
      </c>
      <c r="E77" s="8"/>
      <c r="F77" s="10">
        <v>449</v>
      </c>
      <c r="G77" s="20">
        <f t="shared" si="92"/>
        <v>449</v>
      </c>
      <c r="H77" s="20">
        <f>SUM(O77:R77)</f>
        <v>573</v>
      </c>
      <c r="I77" s="20"/>
      <c r="J77" s="14">
        <v>101</v>
      </c>
      <c r="K77" s="25">
        <v>108</v>
      </c>
      <c r="L77" s="25">
        <v>120</v>
      </c>
      <c r="M77" s="25">
        <v>120</v>
      </c>
      <c r="N77" s="8"/>
      <c r="O77" s="25">
        <v>138</v>
      </c>
      <c r="P77" s="25">
        <v>142</v>
      </c>
      <c r="Q77" s="25">
        <v>149</v>
      </c>
      <c r="R77" s="25">
        <v>144</v>
      </c>
      <c r="S77" s="11">
        <v>168.525766</v>
      </c>
      <c r="T77" s="11">
        <v>226.5</v>
      </c>
      <c r="U77" s="11">
        <v>105</v>
      </c>
      <c r="V77" s="11">
        <v>177.8</v>
      </c>
      <c r="W77" s="14"/>
      <c r="X77" s="11">
        <f>IF(O77="","",(S77+T77+U77+V77))</f>
        <v>677.82576599999993</v>
      </c>
      <c r="Y77" s="14"/>
      <c r="Z77" s="24">
        <v>174.26570799999999</v>
      </c>
      <c r="AA77" s="11">
        <v>172.059121</v>
      </c>
      <c r="AB77" s="11">
        <v>181.4</v>
      </c>
      <c r="AC77" s="11">
        <v>174.3</v>
      </c>
      <c r="AD77" s="14"/>
      <c r="AE77" s="11">
        <f t="shared" si="100"/>
        <v>702.02482899999995</v>
      </c>
      <c r="AF77" s="14"/>
      <c r="AG77" s="11">
        <v>193.7</v>
      </c>
      <c r="AH77" s="11">
        <v>263.7</v>
      </c>
      <c r="AI77" s="11">
        <v>129</v>
      </c>
      <c r="AJ77" s="24">
        <v>154.19999999999999</v>
      </c>
      <c r="AK77" s="11">
        <f t="shared" si="93"/>
        <v>740.59999999999991</v>
      </c>
      <c r="AL77" s="58">
        <v>740.4</v>
      </c>
      <c r="AM77" s="24">
        <v>188.2</v>
      </c>
      <c r="AN77" s="11">
        <v>181.3</v>
      </c>
      <c r="AO77" s="11">
        <v>188.3</v>
      </c>
      <c r="AP77" s="11">
        <v>191.7</v>
      </c>
      <c r="AQ77" s="11">
        <f t="shared" si="94"/>
        <v>749.5</v>
      </c>
      <c r="AR77" s="11">
        <v>194.6</v>
      </c>
      <c r="AS77" s="11">
        <v>190.9</v>
      </c>
      <c r="AT77" s="11">
        <v>184.703</v>
      </c>
      <c r="AU77" s="11">
        <v>189.4</v>
      </c>
      <c r="AV77" s="11">
        <f t="shared" si="95"/>
        <v>759.60299999999995</v>
      </c>
      <c r="AW77" s="11">
        <v>187.5</v>
      </c>
      <c r="AX77" s="24">
        <v>178.6</v>
      </c>
      <c r="AY77" s="24">
        <v>171.6</v>
      </c>
      <c r="AZ77" s="24">
        <v>181.1</v>
      </c>
      <c r="BA77" s="11">
        <f t="shared" si="96"/>
        <v>718.80000000000007</v>
      </c>
      <c r="BB77" s="11">
        <v>155.9</v>
      </c>
      <c r="BC77" s="11">
        <v>138.5</v>
      </c>
      <c r="BD77" s="11">
        <v>132.69999999999999</v>
      </c>
      <c r="BE77" s="11">
        <v>150.30000000000001</v>
      </c>
      <c r="BF77" s="11">
        <f t="shared" si="28"/>
        <v>577.4</v>
      </c>
      <c r="BG77" s="11">
        <v>106.5</v>
      </c>
      <c r="BH77" s="11">
        <v>91.2</v>
      </c>
      <c r="BI77" s="11">
        <v>81.099999999999994</v>
      </c>
      <c r="BJ77" s="11">
        <v>75.400000000000006</v>
      </c>
      <c r="BK77" s="11">
        <f t="shared" si="29"/>
        <v>354.19999999999993</v>
      </c>
      <c r="BL77" s="11">
        <v>64</v>
      </c>
      <c r="BM77" s="11">
        <v>56.4</v>
      </c>
      <c r="BN77" s="11">
        <v>51.2</v>
      </c>
      <c r="BO77" s="11">
        <v>64.2</v>
      </c>
      <c r="BP77" s="11">
        <f t="shared" si="30"/>
        <v>235.8</v>
      </c>
      <c r="BQ77" s="11">
        <v>50.5</v>
      </c>
      <c r="BR77" s="11">
        <v>42.4</v>
      </c>
      <c r="BS77" s="11">
        <v>38.6</v>
      </c>
      <c r="BT77" s="11">
        <v>37.1</v>
      </c>
      <c r="BU77" s="11">
        <f t="shared" si="97"/>
        <v>-13.5</v>
      </c>
      <c r="BV77" s="11">
        <f t="shared" si="105"/>
        <v>92.9</v>
      </c>
      <c r="BW77" s="11">
        <f t="shared" si="31"/>
        <v>131.5</v>
      </c>
      <c r="BX77" s="11">
        <f t="shared" si="98"/>
        <v>-14</v>
      </c>
      <c r="BY77" s="11">
        <f t="shared" si="99"/>
        <v>-21.09375</v>
      </c>
      <c r="BZ77" s="11">
        <f>+BX77/(BM77)*100</f>
        <v>-24.822695035460992</v>
      </c>
      <c r="CA77" s="11">
        <f t="shared" si="104"/>
        <v>168.6</v>
      </c>
      <c r="CB77" s="11">
        <v>62.4</v>
      </c>
      <c r="CC77" s="11">
        <v>59.9</v>
      </c>
      <c r="CD77" s="11">
        <v>56.8</v>
      </c>
      <c r="CE77" s="11">
        <v>53.9</v>
      </c>
      <c r="CF77" s="11">
        <f>SUM(CB77:CE77)-1.3</f>
        <v>231.7</v>
      </c>
      <c r="CG77" s="11">
        <v>51.9</v>
      </c>
      <c r="CH77" s="11">
        <f>70.3-22.8</f>
        <v>47.5</v>
      </c>
      <c r="CI77" s="11">
        <v>43.8</v>
      </c>
      <c r="CJ77" s="11">
        <f>52.6-11</f>
        <v>41.6</v>
      </c>
      <c r="CK77" s="91">
        <f t="shared" si="103"/>
        <v>184.79999999999998</v>
      </c>
      <c r="CL77" s="91">
        <f>46.2-8.3</f>
        <v>37.900000000000006</v>
      </c>
      <c r="CM77" s="91">
        <f>51.3-16.1</f>
        <v>35.199999999999996</v>
      </c>
      <c r="CN77" s="91"/>
      <c r="CO77" s="91"/>
      <c r="CP77" s="91">
        <v>29.6</v>
      </c>
      <c r="CQ77" s="91">
        <v>28.7</v>
      </c>
      <c r="CR77" s="91">
        <f t="shared" si="46"/>
        <v>131.39999999999998</v>
      </c>
      <c r="CS77" s="91">
        <v>26</v>
      </c>
      <c r="CT77" s="91">
        <v>25.2</v>
      </c>
      <c r="CU77" s="91">
        <v>23.3</v>
      </c>
      <c r="CV77" s="91">
        <v>20.399999999999999</v>
      </c>
      <c r="CW77" s="78">
        <f t="shared" si="60"/>
        <v>94.9</v>
      </c>
      <c r="CX77" s="78">
        <f t="shared" si="48"/>
        <v>-8.3000000000000007</v>
      </c>
      <c r="CY77" s="78">
        <f t="shared" si="91"/>
        <v>-28.919860627177702</v>
      </c>
      <c r="CZ77" s="11">
        <f t="shared" si="101"/>
        <v>-53.400000000000027</v>
      </c>
      <c r="DA77" s="11">
        <f t="shared" si="102"/>
        <v>-28.896103896103913</v>
      </c>
      <c r="DB77" s="3"/>
      <c r="DC77" s="11"/>
      <c r="DD77" s="71"/>
      <c r="DE77" s="17"/>
      <c r="DF77" s="3"/>
      <c r="DG77" s="3"/>
      <c r="DH77" s="3"/>
      <c r="DI77" s="3"/>
    </row>
    <row r="78" spans="1:115" x14ac:dyDescent="0.2">
      <c r="B78" s="77" t="s">
        <v>59</v>
      </c>
      <c r="C78" s="77" t="s">
        <v>60</v>
      </c>
      <c r="D78" s="77"/>
      <c r="E78" s="8"/>
      <c r="F78" s="10">
        <v>0</v>
      </c>
      <c r="G78" s="20">
        <f t="shared" si="92"/>
        <v>4</v>
      </c>
      <c r="H78" s="20">
        <f>SUM(O78:R78)</f>
        <v>240</v>
      </c>
      <c r="I78" s="20"/>
      <c r="J78" s="14">
        <v>1</v>
      </c>
      <c r="K78" s="25">
        <v>1</v>
      </c>
      <c r="L78" s="25">
        <v>1</v>
      </c>
      <c r="M78" s="25">
        <v>1</v>
      </c>
      <c r="N78" s="8"/>
      <c r="O78" s="25">
        <v>80</v>
      </c>
      <c r="P78" s="25">
        <v>40</v>
      </c>
      <c r="Q78" s="25">
        <v>80</v>
      </c>
      <c r="R78" s="25">
        <v>40</v>
      </c>
      <c r="S78" s="11">
        <v>50.703664000000003</v>
      </c>
      <c r="T78" s="14">
        <v>50.8</v>
      </c>
      <c r="U78" s="14">
        <v>50.7</v>
      </c>
      <c r="V78" s="11">
        <v>50.7</v>
      </c>
      <c r="W78" s="14"/>
      <c r="X78" s="11">
        <f>IF(O78="","",(S78+T78+U78+V78))</f>
        <v>202.90366399999999</v>
      </c>
      <c r="Y78" s="14"/>
      <c r="Z78" s="24">
        <v>23.6</v>
      </c>
      <c r="AA78" s="14">
        <v>23.6</v>
      </c>
      <c r="AB78" s="14">
        <v>23.6</v>
      </c>
      <c r="AC78" s="11">
        <v>23.6</v>
      </c>
      <c r="AD78" s="14"/>
      <c r="AE78" s="11">
        <f t="shared" si="100"/>
        <v>94.4</v>
      </c>
      <c r="AF78" s="14"/>
      <c r="AG78" s="11">
        <v>35</v>
      </c>
      <c r="AH78" s="14">
        <v>35</v>
      </c>
      <c r="AI78" s="14">
        <v>35</v>
      </c>
      <c r="AJ78" s="25">
        <v>35</v>
      </c>
      <c r="AK78" s="11">
        <f t="shared" si="93"/>
        <v>140</v>
      </c>
      <c r="AL78" s="58">
        <v>140</v>
      </c>
      <c r="AM78" s="25">
        <v>37.6</v>
      </c>
      <c r="AN78" s="14">
        <v>37.6</v>
      </c>
      <c r="AO78" s="14">
        <v>37.6</v>
      </c>
      <c r="AP78" s="14">
        <v>37.6</v>
      </c>
      <c r="AQ78" s="11">
        <f t="shared" si="94"/>
        <v>150.4</v>
      </c>
      <c r="AR78" s="14">
        <v>46.4</v>
      </c>
      <c r="AS78" s="14">
        <v>46.4</v>
      </c>
      <c r="AT78" s="14">
        <v>46.39</v>
      </c>
      <c r="AU78" s="14">
        <v>46.4</v>
      </c>
      <c r="AV78" s="11">
        <f t="shared" si="95"/>
        <v>185.59</v>
      </c>
      <c r="AW78" s="14">
        <v>46</v>
      </c>
      <c r="AX78" s="25">
        <v>46.1</v>
      </c>
      <c r="AY78" s="25">
        <v>46.1</v>
      </c>
      <c r="AZ78" s="25">
        <v>235.8</v>
      </c>
      <c r="BA78" s="11">
        <f t="shared" si="96"/>
        <v>374</v>
      </c>
      <c r="BB78" s="11">
        <v>45.8</v>
      </c>
      <c r="BC78" s="11">
        <v>45.8</v>
      </c>
      <c r="BD78" s="11">
        <v>45.8</v>
      </c>
      <c r="BE78" s="11">
        <v>222.5</v>
      </c>
      <c r="BF78" s="11">
        <f t="shared" si="28"/>
        <v>359.9</v>
      </c>
      <c r="BG78" s="11">
        <v>31.3</v>
      </c>
      <c r="BH78" s="11">
        <v>31.3</v>
      </c>
      <c r="BI78" s="11">
        <v>31.3</v>
      </c>
      <c r="BJ78" s="11">
        <v>31.3</v>
      </c>
      <c r="BK78" s="11">
        <f t="shared" si="29"/>
        <v>125.2</v>
      </c>
      <c r="BL78" s="11">
        <v>0</v>
      </c>
      <c r="BM78" s="11">
        <v>0</v>
      </c>
      <c r="BN78" s="11">
        <v>0</v>
      </c>
      <c r="BO78" s="11">
        <v>0</v>
      </c>
      <c r="BP78" s="11">
        <f t="shared" si="30"/>
        <v>0</v>
      </c>
      <c r="BQ78" s="11">
        <v>0</v>
      </c>
      <c r="BR78" s="11">
        <v>0</v>
      </c>
      <c r="BS78" s="11">
        <v>0</v>
      </c>
      <c r="BT78" s="11">
        <v>0</v>
      </c>
      <c r="BU78" s="11">
        <f t="shared" si="97"/>
        <v>0</v>
      </c>
      <c r="BV78" s="11">
        <f t="shared" si="105"/>
        <v>0</v>
      </c>
      <c r="BW78" s="11">
        <f t="shared" si="31"/>
        <v>0</v>
      </c>
      <c r="BX78" s="11">
        <f t="shared" si="98"/>
        <v>0</v>
      </c>
      <c r="BY78" s="11" t="e">
        <f t="shared" si="99"/>
        <v>#DIV/0!</v>
      </c>
      <c r="BZ78" s="68" t="s">
        <v>114</v>
      </c>
      <c r="CA78" s="11">
        <f t="shared" si="104"/>
        <v>0</v>
      </c>
      <c r="CB78" s="11">
        <v>0</v>
      </c>
      <c r="CC78" s="11">
        <v>0</v>
      </c>
      <c r="CD78" s="11">
        <v>0</v>
      </c>
      <c r="CE78" s="11">
        <v>0</v>
      </c>
      <c r="CF78" s="11">
        <f t="shared" si="32"/>
        <v>0</v>
      </c>
      <c r="CG78" s="11">
        <v>0</v>
      </c>
      <c r="CH78" s="11">
        <v>0</v>
      </c>
      <c r="CI78" s="11">
        <v>0</v>
      </c>
      <c r="CJ78" s="11">
        <v>0</v>
      </c>
      <c r="CK78" s="91">
        <f t="shared" si="103"/>
        <v>0</v>
      </c>
      <c r="CL78" s="91">
        <v>0</v>
      </c>
      <c r="CM78" s="91">
        <v>0</v>
      </c>
      <c r="CN78" s="91"/>
      <c r="CO78" s="91"/>
      <c r="CP78" s="91">
        <v>0</v>
      </c>
      <c r="CQ78" s="91">
        <v>0</v>
      </c>
      <c r="CR78" s="91">
        <f t="shared" si="46"/>
        <v>0</v>
      </c>
      <c r="CS78" s="91">
        <v>0</v>
      </c>
      <c r="CT78" s="91">
        <v>0</v>
      </c>
      <c r="CU78" s="91">
        <v>0</v>
      </c>
      <c r="CV78" s="91">
        <v>0</v>
      </c>
      <c r="CW78" s="78">
        <f t="shared" si="60"/>
        <v>0</v>
      </c>
      <c r="CX78" s="78">
        <f t="shared" si="48"/>
        <v>0</v>
      </c>
      <c r="CY78" s="78"/>
      <c r="CZ78" s="11">
        <f t="shared" si="101"/>
        <v>0</v>
      </c>
      <c r="DA78" s="11"/>
      <c r="DB78" s="3"/>
      <c r="DC78" s="11"/>
      <c r="DD78" s="71"/>
      <c r="DE78" s="24"/>
      <c r="DF78" s="3"/>
      <c r="DG78" s="3"/>
      <c r="DH78" s="3"/>
      <c r="DI78" s="3"/>
    </row>
    <row r="79" spans="1:115" s="7" customFormat="1" ht="10.5" customHeight="1" x14ac:dyDescent="0.2">
      <c r="A79" s="36"/>
      <c r="B79" s="76"/>
      <c r="C79" s="76"/>
      <c r="D79" s="76"/>
      <c r="E79" s="39"/>
      <c r="F79" s="8"/>
      <c r="G79" s="39"/>
      <c r="H79" s="39" t="s">
        <v>10</v>
      </c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12" t="str">
        <f>IF(O79="","",(O79+P79+Q79+R79))</f>
        <v/>
      </c>
      <c r="Y79" s="39"/>
      <c r="Z79" s="29"/>
      <c r="AA79" s="39"/>
      <c r="AC79" s="39"/>
      <c r="AD79" s="39"/>
      <c r="AE79" s="12" t="str">
        <f>IF(Y79="","",(Y79+Z79+AA79+AB79))</f>
        <v/>
      </c>
      <c r="AF79" s="39"/>
      <c r="AG79" s="39"/>
      <c r="AH79" s="39"/>
      <c r="AI79" s="39"/>
      <c r="AJ79" s="29"/>
      <c r="AK79" s="12" t="s">
        <v>10</v>
      </c>
      <c r="AL79" s="57" t="s">
        <v>10</v>
      </c>
      <c r="AM79" s="29"/>
      <c r="AN79" s="39"/>
      <c r="AO79" s="39"/>
      <c r="AP79" s="39"/>
      <c r="AQ79" s="12" t="s">
        <v>10</v>
      </c>
      <c r="AR79" s="39"/>
      <c r="AS79" s="39"/>
      <c r="AT79" s="39"/>
      <c r="AU79" s="39"/>
      <c r="AV79" s="12" t="s">
        <v>10</v>
      </c>
      <c r="AW79" s="39"/>
      <c r="AX79" s="29"/>
      <c r="AY79" s="29"/>
      <c r="AZ79" s="29"/>
      <c r="BA79" s="12" t="s">
        <v>10</v>
      </c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>
        <f t="shared" si="97"/>
        <v>0</v>
      </c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91"/>
      <c r="CL79" s="91"/>
      <c r="CM79" s="91"/>
      <c r="CN79" s="91"/>
      <c r="CO79" s="91"/>
      <c r="CP79" s="91"/>
      <c r="CQ79" s="91"/>
      <c r="CR79" s="91"/>
      <c r="CS79" s="91"/>
      <c r="CT79" s="91"/>
      <c r="CU79" s="91"/>
      <c r="CV79" s="91"/>
      <c r="CW79" s="78"/>
      <c r="CX79" s="78"/>
      <c r="CY79" s="78"/>
      <c r="CZ79" s="12"/>
      <c r="DA79" s="12"/>
      <c r="DB79" s="9"/>
      <c r="DC79" s="11"/>
      <c r="DD79" s="71"/>
      <c r="DE79" s="11"/>
      <c r="DF79" s="9"/>
      <c r="DG79" s="9"/>
      <c r="DH79" s="9"/>
      <c r="DI79" s="9"/>
      <c r="DJ79" s="9"/>
      <c r="DK79" s="9"/>
    </row>
    <row r="80" spans="1:115" s="7" customFormat="1" x14ac:dyDescent="0.2">
      <c r="A80" s="92">
        <v>10</v>
      </c>
      <c r="B80" s="92" t="s">
        <v>89</v>
      </c>
      <c r="C80" s="92"/>
      <c r="E80" s="8"/>
      <c r="F80" s="8"/>
      <c r="G80" s="17"/>
      <c r="H80" s="17"/>
      <c r="I80" s="17"/>
      <c r="J80" s="8"/>
      <c r="K80" s="17"/>
      <c r="L80" s="17"/>
      <c r="M80" s="17"/>
      <c r="N80" s="8"/>
      <c r="O80" s="17"/>
      <c r="P80" s="17"/>
      <c r="Q80" s="17"/>
      <c r="R80" s="17"/>
      <c r="S80" s="17">
        <f>S81</f>
        <v>0.6</v>
      </c>
      <c r="T80" s="17">
        <f t="shared" ref="T80:AB80" si="108">T81</f>
        <v>0.1</v>
      </c>
      <c r="U80" s="17">
        <f t="shared" si="108"/>
        <v>0.3</v>
      </c>
      <c r="V80" s="17">
        <f t="shared" si="108"/>
        <v>0.4</v>
      </c>
      <c r="W80" s="17"/>
      <c r="X80" s="17">
        <f t="shared" si="108"/>
        <v>1.4</v>
      </c>
      <c r="Y80" s="17"/>
      <c r="Z80" s="17">
        <f t="shared" si="108"/>
        <v>0.5</v>
      </c>
      <c r="AA80" s="17">
        <f t="shared" si="108"/>
        <v>4.119993</v>
      </c>
      <c r="AB80" s="17">
        <f t="shared" si="108"/>
        <v>0.4</v>
      </c>
      <c r="AC80" s="17">
        <f>AC81</f>
        <v>0.4</v>
      </c>
      <c r="AD80" s="17"/>
      <c r="AE80" s="17">
        <f>AE81</f>
        <v>5.4199930000000007</v>
      </c>
      <c r="AF80" s="17"/>
      <c r="AG80" s="17">
        <f>AG81</f>
        <v>0.28999999999999998</v>
      </c>
      <c r="AH80" s="17">
        <f>+AH81</f>
        <v>0.31</v>
      </c>
      <c r="AI80" s="17">
        <f>+AI81</f>
        <v>0.32</v>
      </c>
      <c r="AJ80" s="17">
        <f>+AJ81</f>
        <v>0.33</v>
      </c>
      <c r="AK80" s="12">
        <f>+AG80+AH80+AI80+AJ80</f>
        <v>1.25</v>
      </c>
      <c r="AL80" s="57">
        <v>1.2</v>
      </c>
      <c r="AM80" s="17">
        <f>+AM81</f>
        <v>0.3</v>
      </c>
      <c r="AN80" s="17">
        <f>+AN81</f>
        <v>0.3</v>
      </c>
      <c r="AO80" s="17">
        <f>+AO81</f>
        <v>0.3</v>
      </c>
      <c r="AP80" s="17">
        <f>+AP81</f>
        <v>0.3</v>
      </c>
      <c r="AQ80" s="12">
        <f>+AM80+AN80+AO80+AP80</f>
        <v>1.2</v>
      </c>
      <c r="AR80" s="17">
        <f>+AR81</f>
        <v>0.3</v>
      </c>
      <c r="AS80" s="17">
        <f>+AS81</f>
        <v>0.4</v>
      </c>
      <c r="AT80" s="17">
        <f>+AT81</f>
        <v>0.05</v>
      </c>
      <c r="AU80" s="17">
        <f>+AU81</f>
        <v>0.3</v>
      </c>
      <c r="AV80" s="12">
        <f>+AR80+AS80+AT80+AU80</f>
        <v>1.05</v>
      </c>
      <c r="AW80" s="17">
        <f>+AW81</f>
        <v>0.3</v>
      </c>
      <c r="AX80" s="17">
        <f>+AX81</f>
        <v>0.3</v>
      </c>
      <c r="AY80" s="17">
        <f>+AY81</f>
        <v>0.3</v>
      </c>
      <c r="AZ80" s="17">
        <f>+AZ81</f>
        <v>0.2</v>
      </c>
      <c r="BA80" s="12">
        <f>+AW80+AX80+AY80+AZ80</f>
        <v>1.0999999999999999</v>
      </c>
      <c r="BB80" s="17">
        <f>+BB81</f>
        <v>0.20799999999999999</v>
      </c>
      <c r="BC80" s="17">
        <f>+BC81</f>
        <v>0.3</v>
      </c>
      <c r="BD80" s="17">
        <f>+BD81</f>
        <v>0.3</v>
      </c>
      <c r="BE80" s="17">
        <f>+BE81</f>
        <v>0.2</v>
      </c>
      <c r="BF80" s="17">
        <f t="shared" si="28"/>
        <v>1.008</v>
      </c>
      <c r="BG80" s="17">
        <f>+BG81</f>
        <v>0.27200000000000002</v>
      </c>
      <c r="BH80" s="17">
        <f>+BH81</f>
        <v>0.19800000000000001</v>
      </c>
      <c r="BI80" s="17">
        <f>+BI81</f>
        <v>0.3</v>
      </c>
      <c r="BJ80" s="17">
        <f>+BJ81</f>
        <v>0.2</v>
      </c>
      <c r="BK80" s="17">
        <f t="shared" si="29"/>
        <v>0.97</v>
      </c>
      <c r="BL80" s="17">
        <f>+BL81</f>
        <v>0.2</v>
      </c>
      <c r="BM80" s="17">
        <f>+BM81</f>
        <v>0.3</v>
      </c>
      <c r="BN80" s="17">
        <f>+BN81</f>
        <v>0.2</v>
      </c>
      <c r="BO80" s="17">
        <f>+BO81</f>
        <v>0.2</v>
      </c>
      <c r="BP80" s="17">
        <f t="shared" si="30"/>
        <v>0.89999999999999991</v>
      </c>
      <c r="BQ80" s="17">
        <f>+BQ81</f>
        <v>0.3</v>
      </c>
      <c r="BR80" s="17">
        <f>+BR81</f>
        <v>0.3</v>
      </c>
      <c r="BS80" s="17">
        <f>+BS81</f>
        <v>0.2</v>
      </c>
      <c r="BT80" s="17">
        <f>+BT81</f>
        <v>0.2</v>
      </c>
      <c r="BU80" s="17">
        <f t="shared" si="97"/>
        <v>9.9999999999999978E-2</v>
      </c>
      <c r="BV80" s="17">
        <f t="shared" si="105"/>
        <v>0.6</v>
      </c>
      <c r="BW80" s="17">
        <f t="shared" si="31"/>
        <v>0.8</v>
      </c>
      <c r="BX80" s="17">
        <f>+BR80-BM80</f>
        <v>0</v>
      </c>
      <c r="BY80" s="17">
        <f>+BU80/(BL80)*100</f>
        <v>49.999999999999986</v>
      </c>
      <c r="BZ80" s="17">
        <f>+BX80/(BM80)*100</f>
        <v>0</v>
      </c>
      <c r="CA80" s="17">
        <f t="shared" si="104"/>
        <v>1</v>
      </c>
      <c r="CB80" s="17">
        <f>+CB81</f>
        <v>0.2</v>
      </c>
      <c r="CC80" s="17">
        <f>+CC81</f>
        <v>0.2</v>
      </c>
      <c r="CD80" s="17">
        <f>+CD81</f>
        <v>0.2</v>
      </c>
      <c r="CE80" s="17">
        <f>+CE81</f>
        <v>0.2</v>
      </c>
      <c r="CF80" s="17">
        <f t="shared" si="32"/>
        <v>0.8</v>
      </c>
      <c r="CG80" s="17">
        <f>+CG81</f>
        <v>0.3</v>
      </c>
      <c r="CH80" s="17">
        <f>+CH81</f>
        <v>0.2</v>
      </c>
      <c r="CI80" s="17">
        <f>+CI81</f>
        <v>0.2</v>
      </c>
      <c r="CJ80" s="17">
        <f>+CJ81</f>
        <v>0.2</v>
      </c>
      <c r="CK80" s="94">
        <f t="shared" si="103"/>
        <v>0.89999999999999991</v>
      </c>
      <c r="CL80" s="94">
        <f>+CL81</f>
        <v>0.2</v>
      </c>
      <c r="CM80" s="94">
        <f>+CM81</f>
        <v>0.2</v>
      </c>
      <c r="CN80" s="94"/>
      <c r="CO80" s="94"/>
      <c r="CP80" s="94">
        <f>+CP81</f>
        <v>0.2</v>
      </c>
      <c r="CQ80" s="94">
        <f>+CQ81</f>
        <v>0.2</v>
      </c>
      <c r="CR80" s="94">
        <f t="shared" si="46"/>
        <v>0.8</v>
      </c>
      <c r="CS80" s="94">
        <f>+CS81</f>
        <v>0.2</v>
      </c>
      <c r="CT80" s="94">
        <f>+CT81</f>
        <v>0.3</v>
      </c>
      <c r="CU80" s="94">
        <f>+CU81</f>
        <v>0.2</v>
      </c>
      <c r="CV80" s="94">
        <f>+CV81</f>
        <v>0.2</v>
      </c>
      <c r="CW80" s="78">
        <f t="shared" si="60"/>
        <v>0.89999999999999991</v>
      </c>
      <c r="CX80" s="78">
        <f t="shared" si="48"/>
        <v>0</v>
      </c>
      <c r="CY80" s="78">
        <f t="shared" si="91"/>
        <v>0</v>
      </c>
      <c r="CZ80" s="17">
        <f t="shared" si="101"/>
        <v>-0.10000000000000003</v>
      </c>
      <c r="DA80" s="17">
        <f t="shared" si="102"/>
        <v>-11.111111111111116</v>
      </c>
      <c r="DB80" s="9"/>
      <c r="DC80" s="11"/>
      <c r="DD80" s="71"/>
      <c r="DE80" s="24"/>
      <c r="DF80" s="9"/>
      <c r="DG80" s="9"/>
    </row>
    <row r="81" spans="1:115" x14ac:dyDescent="0.2">
      <c r="B81" s="77" t="s">
        <v>79</v>
      </c>
      <c r="C81" s="77" t="s">
        <v>102</v>
      </c>
      <c r="D81" s="77"/>
      <c r="E81" s="8"/>
      <c r="F81" s="10"/>
      <c r="G81" s="20"/>
      <c r="H81" s="20"/>
      <c r="I81" s="20"/>
      <c r="J81" s="10"/>
      <c r="K81" s="20"/>
      <c r="L81" s="20"/>
      <c r="N81" s="8"/>
      <c r="O81" s="22"/>
      <c r="P81" s="22"/>
      <c r="Q81" s="20"/>
      <c r="R81" s="20"/>
      <c r="S81" s="11">
        <v>0.6</v>
      </c>
      <c r="T81" s="14">
        <v>0.1</v>
      </c>
      <c r="U81" s="14">
        <v>0.3</v>
      </c>
      <c r="V81" s="11">
        <v>0.4</v>
      </c>
      <c r="W81" s="14"/>
      <c r="X81" s="11">
        <f>+S81+T81+U81+V81</f>
        <v>1.4</v>
      </c>
      <c r="Y81" s="14"/>
      <c r="Z81" s="24">
        <v>0.5</v>
      </c>
      <c r="AA81" s="14">
        <v>4.119993</v>
      </c>
      <c r="AB81" s="14">
        <v>0.4</v>
      </c>
      <c r="AC81" s="11">
        <v>0.4</v>
      </c>
      <c r="AD81" s="14"/>
      <c r="AE81" s="11">
        <f>SUM(Z81:AC81)</f>
        <v>5.4199930000000007</v>
      </c>
      <c r="AF81" s="14"/>
      <c r="AG81" s="11">
        <v>0.28999999999999998</v>
      </c>
      <c r="AH81" s="14">
        <v>0.31</v>
      </c>
      <c r="AI81" s="14">
        <v>0.32</v>
      </c>
      <c r="AJ81" s="25">
        <v>0.33</v>
      </c>
      <c r="AK81" s="11">
        <f>+AG81+AH81+AI81+AJ81</f>
        <v>1.25</v>
      </c>
      <c r="AL81" s="58">
        <v>1.2</v>
      </c>
      <c r="AM81" s="25">
        <v>0.3</v>
      </c>
      <c r="AN81" s="14">
        <v>0.3</v>
      </c>
      <c r="AO81" s="14">
        <v>0.3</v>
      </c>
      <c r="AP81" s="14">
        <v>0.3</v>
      </c>
      <c r="AQ81" s="11">
        <f>+AM81+AN81+AO81+AP81</f>
        <v>1.2</v>
      </c>
      <c r="AR81" s="14">
        <v>0.3</v>
      </c>
      <c r="AS81" s="14">
        <v>0.4</v>
      </c>
      <c r="AT81" s="14">
        <v>0.05</v>
      </c>
      <c r="AU81" s="14">
        <v>0.3</v>
      </c>
      <c r="AV81" s="11">
        <f>+AR81+AS81+AT81+AU81</f>
        <v>1.05</v>
      </c>
      <c r="AW81" s="14">
        <v>0.3</v>
      </c>
      <c r="AX81" s="25">
        <v>0.3</v>
      </c>
      <c r="AY81" s="25">
        <v>0.3</v>
      </c>
      <c r="AZ81" s="25">
        <v>0.2</v>
      </c>
      <c r="BA81" s="11">
        <f>+AW81+AX81+AY81+AZ81</f>
        <v>1.0999999999999999</v>
      </c>
      <c r="BB81" s="11">
        <v>0.20799999999999999</v>
      </c>
      <c r="BC81" s="11">
        <v>0.3</v>
      </c>
      <c r="BD81" s="11">
        <v>0.3</v>
      </c>
      <c r="BE81" s="11">
        <v>0.2</v>
      </c>
      <c r="BF81" s="11">
        <f t="shared" si="28"/>
        <v>1.008</v>
      </c>
      <c r="BG81" s="11">
        <v>0.27200000000000002</v>
      </c>
      <c r="BH81" s="11">
        <v>0.19800000000000001</v>
      </c>
      <c r="BI81" s="11">
        <v>0.3</v>
      </c>
      <c r="BJ81" s="11">
        <v>0.2</v>
      </c>
      <c r="BK81" s="11">
        <f t="shared" si="29"/>
        <v>0.97</v>
      </c>
      <c r="BL81" s="11">
        <v>0.2</v>
      </c>
      <c r="BM81" s="11">
        <v>0.3</v>
      </c>
      <c r="BN81" s="11">
        <v>0.2</v>
      </c>
      <c r="BO81" s="11">
        <v>0.2</v>
      </c>
      <c r="BP81" s="11">
        <f t="shared" si="30"/>
        <v>0.89999999999999991</v>
      </c>
      <c r="BQ81" s="11">
        <v>0.3</v>
      </c>
      <c r="BR81" s="11">
        <v>0.3</v>
      </c>
      <c r="BS81" s="11">
        <v>0.2</v>
      </c>
      <c r="BT81" s="11">
        <v>0.2</v>
      </c>
      <c r="BU81" s="11">
        <f t="shared" si="97"/>
        <v>9.9999999999999978E-2</v>
      </c>
      <c r="BV81" s="11">
        <f t="shared" si="105"/>
        <v>0.6</v>
      </c>
      <c r="BW81" s="11">
        <f t="shared" si="31"/>
        <v>0.8</v>
      </c>
      <c r="BX81" s="11">
        <f>+BR81-BM81</f>
        <v>0</v>
      </c>
      <c r="BY81" s="11">
        <f>+BU81/(BL81)*100</f>
        <v>49.999999999999986</v>
      </c>
      <c r="BZ81" s="11">
        <f>+BX81/(BM81)*100</f>
        <v>0</v>
      </c>
      <c r="CA81" s="11">
        <f t="shared" si="104"/>
        <v>1</v>
      </c>
      <c r="CB81" s="11">
        <v>0.2</v>
      </c>
      <c r="CC81" s="11">
        <v>0.2</v>
      </c>
      <c r="CD81" s="11">
        <v>0.2</v>
      </c>
      <c r="CE81" s="11">
        <v>0.2</v>
      </c>
      <c r="CF81" s="11">
        <f t="shared" si="32"/>
        <v>0.8</v>
      </c>
      <c r="CG81" s="11">
        <v>0.3</v>
      </c>
      <c r="CH81" s="11">
        <v>0.2</v>
      </c>
      <c r="CI81" s="11">
        <v>0.2</v>
      </c>
      <c r="CJ81" s="11">
        <v>0.2</v>
      </c>
      <c r="CK81" s="91">
        <f t="shared" si="103"/>
        <v>0.89999999999999991</v>
      </c>
      <c r="CL81" s="91">
        <v>0.2</v>
      </c>
      <c r="CM81" s="91">
        <v>0.2</v>
      </c>
      <c r="CN81" s="91"/>
      <c r="CO81" s="91"/>
      <c r="CP81" s="91">
        <v>0.2</v>
      </c>
      <c r="CQ81" s="91">
        <v>0.2</v>
      </c>
      <c r="CR81" s="91">
        <f t="shared" si="46"/>
        <v>0.8</v>
      </c>
      <c r="CS81" s="91">
        <v>0.2</v>
      </c>
      <c r="CT81" s="91">
        <v>0.3</v>
      </c>
      <c r="CU81" s="91">
        <v>0.2</v>
      </c>
      <c r="CV81" s="91">
        <v>0.2</v>
      </c>
      <c r="CW81" s="78">
        <f t="shared" si="60"/>
        <v>0.89999999999999991</v>
      </c>
      <c r="CX81" s="78">
        <f t="shared" si="48"/>
        <v>0</v>
      </c>
      <c r="CY81" s="78">
        <f t="shared" si="91"/>
        <v>0</v>
      </c>
      <c r="CZ81" s="11">
        <f t="shared" si="101"/>
        <v>-0.10000000000000003</v>
      </c>
      <c r="DA81" s="11">
        <f t="shared" si="102"/>
        <v>-11.111111111111116</v>
      </c>
      <c r="DB81" s="3"/>
      <c r="DC81" s="11"/>
      <c r="DD81" s="71"/>
      <c r="DE81" s="11"/>
      <c r="DF81" s="3"/>
      <c r="DG81" s="3"/>
      <c r="DH81" s="3"/>
      <c r="DI81" s="3"/>
    </row>
    <row r="82" spans="1:115" x14ac:dyDescent="0.2">
      <c r="E82" s="8"/>
      <c r="F82" s="10"/>
      <c r="G82" s="20"/>
      <c r="H82" s="20"/>
      <c r="I82" s="20"/>
      <c r="J82" s="10"/>
      <c r="K82" s="20"/>
      <c r="L82" s="20"/>
      <c r="N82" s="8"/>
      <c r="O82" s="22"/>
      <c r="P82" s="22"/>
      <c r="Q82" s="20"/>
      <c r="R82" s="20"/>
      <c r="S82" s="11"/>
      <c r="T82" s="14"/>
      <c r="U82" s="14"/>
      <c r="V82" s="11"/>
      <c r="W82" s="14"/>
      <c r="X82" s="11"/>
      <c r="Y82" s="14"/>
      <c r="Z82" s="24"/>
      <c r="AA82" s="14"/>
      <c r="AB82" s="14"/>
      <c r="AC82" s="11"/>
      <c r="AD82" s="14"/>
      <c r="AE82" s="11"/>
      <c r="AF82" s="14"/>
      <c r="AG82" s="11"/>
      <c r="AH82" s="14"/>
      <c r="AI82" s="14"/>
      <c r="AJ82" s="25"/>
      <c r="AK82" s="11"/>
      <c r="AL82" s="58"/>
      <c r="AM82" s="25"/>
      <c r="AN82" s="14"/>
      <c r="AO82" s="14"/>
      <c r="AP82" s="14"/>
      <c r="AQ82" s="11"/>
      <c r="AR82" s="14"/>
      <c r="AS82" s="14"/>
      <c r="AT82" s="14"/>
      <c r="AU82" s="14"/>
      <c r="AV82" s="11"/>
      <c r="AW82" s="14"/>
      <c r="AX82" s="25"/>
      <c r="AY82" s="25"/>
      <c r="AZ82" s="25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91"/>
      <c r="CL82" s="91"/>
      <c r="CM82" s="91"/>
      <c r="CN82" s="91"/>
      <c r="CO82" s="91"/>
      <c r="CP82" s="91"/>
      <c r="CQ82" s="91"/>
      <c r="CR82" s="91"/>
      <c r="CS82" s="91"/>
      <c r="CT82" s="91"/>
      <c r="CU82" s="91"/>
      <c r="CV82" s="91"/>
      <c r="CW82" s="78"/>
      <c r="CX82" s="78"/>
      <c r="CY82" s="78"/>
      <c r="CZ82" s="11"/>
      <c r="DA82" s="11"/>
      <c r="DB82" s="3"/>
      <c r="DC82" s="11"/>
      <c r="DD82" s="71"/>
      <c r="DE82" s="24"/>
      <c r="DF82" s="3"/>
      <c r="DG82" s="3"/>
      <c r="DH82" s="3"/>
      <c r="DI82" s="3"/>
    </row>
    <row r="83" spans="1:115" ht="9" hidden="1" customHeight="1" x14ac:dyDescent="0.2">
      <c r="E83" s="8"/>
      <c r="F83" s="8"/>
      <c r="G83" s="17"/>
      <c r="H83" s="17"/>
      <c r="I83" s="17"/>
      <c r="J83" s="10"/>
      <c r="K83" s="20"/>
      <c r="L83" s="20"/>
      <c r="N83" s="8"/>
      <c r="O83" s="22"/>
      <c r="P83" s="22"/>
      <c r="Q83" s="20"/>
      <c r="R83" s="20"/>
      <c r="S83" s="12"/>
      <c r="T83" s="12"/>
      <c r="U83" s="12"/>
      <c r="V83" s="12"/>
      <c r="W83" s="14"/>
      <c r="X83" s="12"/>
      <c r="Y83" s="14"/>
      <c r="Z83" s="23"/>
      <c r="AA83" s="39"/>
      <c r="AC83" s="12"/>
      <c r="AD83" s="14"/>
      <c r="AE83" s="12"/>
      <c r="AF83" s="14"/>
      <c r="AG83" s="12"/>
      <c r="AH83" s="39"/>
      <c r="AI83" s="39"/>
      <c r="AJ83" s="29"/>
      <c r="AK83" s="12" t="s">
        <v>10</v>
      </c>
      <c r="AL83" s="57" t="s">
        <v>10</v>
      </c>
      <c r="AM83" s="29"/>
      <c r="AN83" s="39"/>
      <c r="AO83" s="39"/>
      <c r="AP83" s="39"/>
      <c r="AQ83" s="12" t="s">
        <v>10</v>
      </c>
      <c r="AR83" s="39"/>
      <c r="AS83" s="39"/>
      <c r="AT83" s="39"/>
      <c r="AU83" s="39"/>
      <c r="AV83" s="12" t="s">
        <v>10</v>
      </c>
      <c r="AW83" s="39"/>
      <c r="AX83" s="29"/>
      <c r="AY83" s="29"/>
      <c r="AZ83" s="29"/>
      <c r="BA83" s="12" t="s">
        <v>10</v>
      </c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91"/>
      <c r="CL83" s="91"/>
      <c r="CM83" s="91"/>
      <c r="CN83" s="91"/>
      <c r="CO83" s="91"/>
      <c r="CP83" s="91"/>
      <c r="CQ83" s="91"/>
      <c r="CR83" s="91"/>
      <c r="CS83" s="91"/>
      <c r="CT83" s="91"/>
      <c r="CU83" s="91"/>
      <c r="CV83" s="91"/>
      <c r="CW83" s="78"/>
      <c r="CX83" s="78"/>
      <c r="CY83" s="78"/>
      <c r="CZ83" s="12"/>
      <c r="DA83" s="12"/>
      <c r="DB83" s="3"/>
      <c r="DC83" s="11"/>
      <c r="DD83" s="71"/>
      <c r="DE83" s="11"/>
      <c r="DF83" s="3"/>
      <c r="DG83" s="3"/>
    </row>
    <row r="84" spans="1:115" hidden="1" x14ac:dyDescent="0.2">
      <c r="C84" s="43" t="s">
        <v>63</v>
      </c>
      <c r="D84" s="43"/>
      <c r="E84" s="17"/>
      <c r="F84" s="40" t="e">
        <f>IF((F66+F70)="","",(F66+F70))</f>
        <v>#REF!</v>
      </c>
      <c r="G84" s="40" t="e">
        <f t="shared" ref="G84:R84" si="109">IF((G66+G70)="","",(G66+G70))</f>
        <v>#REF!</v>
      </c>
      <c r="H84" s="40" t="e">
        <f t="shared" si="109"/>
        <v>#REF!</v>
      </c>
      <c r="I84" s="17"/>
      <c r="J84" s="40" t="e">
        <f t="shared" si="109"/>
        <v>#REF!</v>
      </c>
      <c r="K84" s="40" t="e">
        <f t="shared" si="109"/>
        <v>#REF!</v>
      </c>
      <c r="L84" s="40" t="e">
        <f t="shared" si="109"/>
        <v>#REF!</v>
      </c>
      <c r="M84" s="40" t="e">
        <f t="shared" si="109"/>
        <v>#REF!</v>
      </c>
      <c r="N84" s="17"/>
      <c r="O84" s="40" t="e">
        <f t="shared" si="109"/>
        <v>#REF!</v>
      </c>
      <c r="P84" s="40" t="e">
        <f t="shared" si="109"/>
        <v>#REF!</v>
      </c>
      <c r="Q84" s="40" t="e">
        <f t="shared" si="109"/>
        <v>#REF!</v>
      </c>
      <c r="R84" s="40" t="e">
        <f t="shared" si="109"/>
        <v>#REF!</v>
      </c>
      <c r="S84" s="40">
        <f>S66+S70+S80</f>
        <v>407.04243000000002</v>
      </c>
      <c r="T84" s="40">
        <f t="shared" ref="T84:AB84" si="110">T66+T70+T80</f>
        <v>635.9</v>
      </c>
      <c r="U84" s="40">
        <f t="shared" si="110"/>
        <v>385.00000000000006</v>
      </c>
      <c r="V84" s="40">
        <f t="shared" si="110"/>
        <v>647.6</v>
      </c>
      <c r="W84" s="48"/>
      <c r="X84" s="40">
        <f t="shared" si="110"/>
        <v>2075.54243</v>
      </c>
      <c r="Y84" s="17"/>
      <c r="Z84" s="40">
        <f t="shared" si="110"/>
        <v>393.86570799999998</v>
      </c>
      <c r="AA84" s="40">
        <f t="shared" si="110"/>
        <v>550.45991700000002</v>
      </c>
      <c r="AB84" s="40">
        <f t="shared" si="110"/>
        <v>451.2</v>
      </c>
      <c r="AC84" s="40">
        <f>AC66+AC70+AC80</f>
        <v>547.6</v>
      </c>
      <c r="AD84" s="48"/>
      <c r="AE84" s="40">
        <f>+AE80+AE70+AE66</f>
        <v>1943.1256250000001</v>
      </c>
      <c r="AF84" s="17"/>
      <c r="AG84" s="40">
        <f>AG66+AG70+AG80</f>
        <v>508.09375700000004</v>
      </c>
      <c r="AH84" s="40">
        <f>AH66+AH70+AH80</f>
        <v>730.80624299999999</v>
      </c>
      <c r="AI84" s="40">
        <f>AI66+AI70+AI80</f>
        <v>504.52</v>
      </c>
      <c r="AJ84" s="40">
        <f>AJ66+AJ70+AJ80</f>
        <v>818.73</v>
      </c>
      <c r="AK84" s="44">
        <f>+AG84+AH84+AI84+AJ84</f>
        <v>2562.15</v>
      </c>
      <c r="AL84" s="59">
        <v>2561.9</v>
      </c>
      <c r="AM84" s="40">
        <f>AM66+AM70+AM80</f>
        <v>690.49999999999989</v>
      </c>
      <c r="AN84" s="40">
        <f>AN66+AN70+AN80</f>
        <v>721</v>
      </c>
      <c r="AO84" s="40">
        <f>AO66+AO70+AO80</f>
        <v>652.19999999999993</v>
      </c>
      <c r="AP84" s="40">
        <f>AP66+AP70+AP80</f>
        <v>793.5</v>
      </c>
      <c r="AQ84" s="44">
        <f>+AM84+AN84+AO84+AP84</f>
        <v>2857.2</v>
      </c>
      <c r="AR84" s="40">
        <f>AR66+AR70+AR80</f>
        <v>820.8</v>
      </c>
      <c r="AS84" s="40">
        <f>AS66+AS70+AS80</f>
        <v>798.94899999999996</v>
      </c>
      <c r="AT84" s="40">
        <f>AT66+AT70+AT80</f>
        <v>747.5139999999999</v>
      </c>
      <c r="AU84" s="40">
        <f>AU66+AU70+AU80</f>
        <v>909.5</v>
      </c>
      <c r="AV84" s="44">
        <f>+AR84+AS84+AT84+AU84</f>
        <v>3276.7629999999999</v>
      </c>
      <c r="AW84" s="40">
        <f>AW66+AW70+AW80</f>
        <v>820.8</v>
      </c>
      <c r="AX84" s="40">
        <f>AX66+AX70+AX80</f>
        <v>918.1</v>
      </c>
      <c r="AY84" s="40">
        <f>AY66+AY70+AY80</f>
        <v>720.59999999999991</v>
      </c>
      <c r="AZ84" s="40">
        <f>AZ66+AZ70+AZ80</f>
        <v>1172.1000000000001</v>
      </c>
      <c r="BA84" s="44">
        <f>+AW84+AX84+AY84+AZ84</f>
        <v>3631.6000000000004</v>
      </c>
      <c r="BB84" s="40">
        <f>BB66+BB70+BB80</f>
        <v>577.89</v>
      </c>
      <c r="BC84" s="40">
        <f>BC66+BC70+BC80</f>
        <v>911.09999999999991</v>
      </c>
      <c r="BD84" s="40">
        <f>BD66+BD70+BD80</f>
        <v>721.39999999999986</v>
      </c>
      <c r="BE84" s="40">
        <f>BE66+BE70+BE80</f>
        <v>1173.5</v>
      </c>
      <c r="BF84" s="40">
        <f t="shared" si="28"/>
        <v>3383.8899999999994</v>
      </c>
      <c r="BG84" s="40">
        <f>BG66+BG70+BG80</f>
        <v>642.09400000000005</v>
      </c>
      <c r="BH84" s="40">
        <f>BH66+BH70+BH80</f>
        <v>488.79899999999998</v>
      </c>
      <c r="BI84" s="40">
        <f>BI66+BI70+BI80</f>
        <v>516.4</v>
      </c>
      <c r="BJ84" s="40">
        <f>BJ66+BJ70+BJ80</f>
        <v>829.5</v>
      </c>
      <c r="BK84" s="40">
        <f t="shared" si="29"/>
        <v>2476.7930000000001</v>
      </c>
      <c r="BL84" s="40">
        <f>BL66+BL70+BL80</f>
        <v>381.99999999999994</v>
      </c>
      <c r="BM84" s="40">
        <f>BM66+BM70+BM80</f>
        <v>338.2</v>
      </c>
      <c r="BN84" s="40">
        <f>BN66+BN70+BN80</f>
        <v>230.3</v>
      </c>
      <c r="BO84" s="40">
        <f>BO66+BO70+BO80</f>
        <v>336.59999999999997</v>
      </c>
      <c r="BP84" s="40">
        <f t="shared" si="30"/>
        <v>1287.0999999999999</v>
      </c>
      <c r="BQ84" s="40">
        <f>BQ66+BQ70+BQ80</f>
        <v>248.3</v>
      </c>
      <c r="BR84" s="40">
        <f>BR66+BR70+BR80</f>
        <v>306.40000000000003</v>
      </c>
      <c r="BS84" s="40">
        <f>BS66+BS70+BS80</f>
        <v>244.79999999999998</v>
      </c>
      <c r="BT84" s="40">
        <f>BT66+BT70+BT80</f>
        <v>388.99999999999994</v>
      </c>
      <c r="BU84" s="40">
        <f>+BQ84-BL84</f>
        <v>-133.69999999999993</v>
      </c>
      <c r="BV84" s="40">
        <f t="shared" si="105"/>
        <v>554.70000000000005</v>
      </c>
      <c r="BW84" s="40">
        <f t="shared" si="31"/>
        <v>799.5</v>
      </c>
      <c r="BX84" s="40">
        <f>+BR84-BM84</f>
        <v>-31.799999999999955</v>
      </c>
      <c r="BY84" s="40">
        <f>+BU84/(BL84)*100</f>
        <v>-34.999999999999986</v>
      </c>
      <c r="BZ84" s="40">
        <f>+BX84/(BM84)*100</f>
        <v>-9.4027202838556931</v>
      </c>
      <c r="CA84" s="40">
        <f t="shared" si="104"/>
        <v>1188.5</v>
      </c>
      <c r="CB84" s="40">
        <f>CB66+CB70+CB80</f>
        <v>200.7</v>
      </c>
      <c r="CC84" s="40">
        <f>CC66+CC70+CC80</f>
        <v>338.09999999999997</v>
      </c>
      <c r="CD84" s="40">
        <f>CD66+CD70+CD80</f>
        <v>321.5</v>
      </c>
      <c r="CE84" s="40">
        <f>CE66+CE70+CE80</f>
        <v>403.2</v>
      </c>
      <c r="CF84" s="40">
        <f t="shared" si="32"/>
        <v>1263.5</v>
      </c>
      <c r="CG84" s="40">
        <f>CG66+CG70+CG80</f>
        <v>198.4</v>
      </c>
      <c r="CH84" s="40">
        <f>CH66+CH70+CH80</f>
        <v>249.79999999999998</v>
      </c>
      <c r="CI84" s="40">
        <f>CI66+CI70+CI80</f>
        <v>180.2</v>
      </c>
      <c r="CJ84" s="40">
        <f>CJ66+CJ70+CJ80</f>
        <v>298.7</v>
      </c>
      <c r="CK84" s="96">
        <f t="shared" si="103"/>
        <v>927.09999999999991</v>
      </c>
      <c r="CL84" s="96">
        <f>CL66+CL70+CL80</f>
        <v>197.89999999999998</v>
      </c>
      <c r="CM84" s="96">
        <f>CM66+CM70+CM80</f>
        <v>154.49999999999997</v>
      </c>
      <c r="CN84" s="96"/>
      <c r="CO84" s="96"/>
      <c r="CP84" s="96">
        <f>CP66+CP70+CP80</f>
        <v>98.600000000000009</v>
      </c>
      <c r="CQ84" s="96">
        <f>CQ66+CQ70+CQ80</f>
        <v>197.39999999999998</v>
      </c>
      <c r="CR84" s="96">
        <f t="shared" si="46"/>
        <v>648.4</v>
      </c>
      <c r="CS84" s="96">
        <f>CS66+CS70+CS80</f>
        <v>192.8</v>
      </c>
      <c r="CT84" s="96">
        <f t="shared" ref="CT84:CW84" si="111">CT66+CT70+CT80</f>
        <v>160.80000000000001</v>
      </c>
      <c r="CU84" s="96">
        <f t="shared" si="111"/>
        <v>135.49999999999997</v>
      </c>
      <c r="CV84" s="96">
        <f t="shared" si="111"/>
        <v>296.2</v>
      </c>
      <c r="CW84" s="96">
        <f t="shared" si="111"/>
        <v>785.30000000000007</v>
      </c>
      <c r="CX84" s="96">
        <f>+CV84-CQ84</f>
        <v>98.800000000000011</v>
      </c>
      <c r="CY84" s="96">
        <f>+CX84/CQ84</f>
        <v>0.50050658561296868</v>
      </c>
      <c r="CZ84" s="40">
        <f t="shared" si="101"/>
        <v>-278.69999999999993</v>
      </c>
      <c r="DA84" s="40">
        <f t="shared" si="102"/>
        <v>-30.061482040772297</v>
      </c>
      <c r="DB84" s="3"/>
      <c r="DC84" s="11"/>
      <c r="DD84" s="71"/>
      <c r="DE84" s="11"/>
      <c r="DF84" s="3"/>
      <c r="DG84" s="3"/>
      <c r="DH84" s="3"/>
      <c r="DI84" s="3"/>
      <c r="DJ84" s="3"/>
      <c r="DK84" s="3"/>
    </row>
    <row r="85" spans="1:115" hidden="1" x14ac:dyDescent="0.2">
      <c r="C85" s="7"/>
      <c r="D85" s="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4"/>
      <c r="X85" s="17"/>
      <c r="Y85" s="17"/>
      <c r="Z85" s="17"/>
      <c r="AA85" s="17"/>
      <c r="AB85" s="17"/>
      <c r="AC85" s="17"/>
      <c r="AD85" s="14"/>
      <c r="AE85" s="17"/>
      <c r="AF85" s="17"/>
      <c r="AG85" s="17"/>
      <c r="AH85" s="17"/>
      <c r="AI85" s="17"/>
      <c r="AJ85" s="17"/>
      <c r="AK85" s="39"/>
      <c r="AL85" s="66"/>
      <c r="AM85" s="17"/>
      <c r="AN85" s="17"/>
      <c r="AO85" s="17"/>
      <c r="AP85" s="17"/>
      <c r="AQ85" s="39"/>
      <c r="AR85" s="17"/>
      <c r="AS85" s="17"/>
      <c r="AT85" s="17"/>
      <c r="AU85" s="17"/>
      <c r="AV85" s="39"/>
      <c r="AW85" s="17"/>
      <c r="AX85" s="17"/>
      <c r="AY85" s="17"/>
      <c r="AZ85" s="17"/>
      <c r="BA85" s="39"/>
      <c r="BB85" s="17"/>
      <c r="BC85" s="17"/>
      <c r="BD85" s="17"/>
      <c r="BE85" s="17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7"/>
      <c r="BX85" s="17"/>
      <c r="BY85" s="17"/>
      <c r="BZ85" s="17"/>
      <c r="CA85" s="17"/>
      <c r="CB85" s="17"/>
      <c r="CC85" s="17"/>
      <c r="CD85" s="17"/>
      <c r="CE85" s="17"/>
      <c r="CF85" s="17"/>
      <c r="CG85" s="17"/>
      <c r="CH85" s="17"/>
      <c r="CI85" s="17"/>
      <c r="CJ85" s="17"/>
      <c r="CK85" s="94"/>
      <c r="CL85" s="94"/>
      <c r="CM85" s="94"/>
      <c r="CN85" s="94"/>
      <c r="CO85" s="94"/>
      <c r="CP85" s="94"/>
      <c r="CQ85" s="94"/>
      <c r="CR85" s="94"/>
      <c r="CS85" s="94"/>
      <c r="CT85" s="94"/>
      <c r="CU85" s="94"/>
      <c r="CV85" s="94"/>
      <c r="CW85" s="78"/>
      <c r="CX85" s="78"/>
      <c r="CY85" s="78"/>
      <c r="CZ85" s="17"/>
      <c r="DA85" s="17"/>
      <c r="DB85" s="3"/>
      <c r="DC85" s="11"/>
      <c r="DD85" s="71"/>
      <c r="DE85" s="12"/>
      <c r="DF85" s="3"/>
      <c r="DG85" s="3"/>
      <c r="DH85" s="3"/>
      <c r="DI85" s="3"/>
      <c r="DJ85" s="3"/>
      <c r="DK85" s="3"/>
    </row>
    <row r="86" spans="1:115" x14ac:dyDescent="0.2">
      <c r="A86" s="92">
        <v>11</v>
      </c>
      <c r="B86" s="92" t="s">
        <v>110</v>
      </c>
      <c r="C86" s="92"/>
      <c r="D86" s="7"/>
      <c r="E86" s="17"/>
      <c r="F86" s="8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4"/>
      <c r="X86" s="12" t="str">
        <f>IF(O86="","",(O86+P86+Q86+R86))</f>
        <v/>
      </c>
      <c r="Y86" s="17"/>
      <c r="Z86" s="17"/>
      <c r="AA86" s="39"/>
      <c r="AC86" s="17"/>
      <c r="AD86" s="14"/>
      <c r="AE86" s="12" t="str">
        <f>IF(Y86="","",(Y86+Z86+AA86+AB86))</f>
        <v/>
      </c>
      <c r="AF86" s="17"/>
      <c r="AG86" s="17"/>
      <c r="AH86" s="39"/>
      <c r="AI86" s="39"/>
      <c r="AJ86" s="29"/>
      <c r="AK86" s="12" t="s">
        <v>10</v>
      </c>
      <c r="AL86" s="57" t="s">
        <v>10</v>
      </c>
      <c r="AM86" s="29"/>
      <c r="AN86" s="39"/>
      <c r="AO86" s="39"/>
      <c r="AP86" s="39"/>
      <c r="AQ86" s="12" t="s">
        <v>10</v>
      </c>
      <c r="AR86" s="39"/>
      <c r="AS86" s="39"/>
      <c r="AT86" s="39"/>
      <c r="AU86" s="39"/>
      <c r="AV86" s="12" t="s">
        <v>10</v>
      </c>
      <c r="AW86" s="39"/>
      <c r="AX86" s="29"/>
      <c r="AY86" s="29"/>
      <c r="AZ86" s="29"/>
      <c r="BA86" s="12" t="s">
        <v>10</v>
      </c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>
        <f>+BQ87</f>
        <v>-15.7</v>
      </c>
      <c r="BR86" s="12">
        <f>+BR87</f>
        <v>-33</v>
      </c>
      <c r="BS86" s="12">
        <f>+BS87</f>
        <v>-54.7</v>
      </c>
      <c r="BT86" s="12">
        <f>+BT87</f>
        <v>560.1</v>
      </c>
      <c r="BU86" s="12"/>
      <c r="BV86" s="12">
        <f t="shared" si="105"/>
        <v>-48.7</v>
      </c>
      <c r="BW86" s="12">
        <f t="shared" si="31"/>
        <v>-103.4</v>
      </c>
      <c r="BX86" s="68" t="s">
        <v>114</v>
      </c>
      <c r="BY86" s="68" t="s">
        <v>114</v>
      </c>
      <c r="BZ86" s="68" t="s">
        <v>114</v>
      </c>
      <c r="CA86" s="12">
        <f t="shared" si="104"/>
        <v>456.70000000000005</v>
      </c>
      <c r="CB86" s="12">
        <f>+CB87</f>
        <v>-33.4</v>
      </c>
      <c r="CC86" s="12">
        <f>+CC87</f>
        <v>-142.19999999999999</v>
      </c>
      <c r="CD86" s="12">
        <f>+CD87</f>
        <v>1</v>
      </c>
      <c r="CE86" s="12">
        <f>+CE87</f>
        <v>354.1</v>
      </c>
      <c r="CF86" s="12">
        <f t="shared" si="32"/>
        <v>179.50000000000003</v>
      </c>
      <c r="CG86" s="12">
        <f>+CG87</f>
        <v>-110.4</v>
      </c>
      <c r="CH86" s="12">
        <f>+CH87</f>
        <v>337.2</v>
      </c>
      <c r="CI86" s="12">
        <f>+CI87</f>
        <v>-68.8</v>
      </c>
      <c r="CJ86" s="12">
        <f>+CJ87</f>
        <v>254.9</v>
      </c>
      <c r="CK86" s="91">
        <f>+CG86+CH86+CI86+CJ86+696</f>
        <v>1108.9000000000001</v>
      </c>
      <c r="CL86" s="91">
        <f>+CL87</f>
        <v>557.79999999999995</v>
      </c>
      <c r="CM86" s="91">
        <f>+CM87</f>
        <v>1197</v>
      </c>
      <c r="CN86" s="91"/>
      <c r="CO86" s="91"/>
      <c r="CP86" s="91">
        <f>+CP87</f>
        <v>637.29999999999995</v>
      </c>
      <c r="CQ86" s="91">
        <f>+CQ87</f>
        <v>968.7</v>
      </c>
      <c r="CR86" s="91">
        <f t="shared" si="46"/>
        <v>3360.8</v>
      </c>
      <c r="CS86" s="91">
        <f>+CS87</f>
        <v>-14.6</v>
      </c>
      <c r="CT86" s="91">
        <f>+CT87</f>
        <v>99.5</v>
      </c>
      <c r="CU86" s="91">
        <f>+CU87</f>
        <v>35</v>
      </c>
      <c r="CV86" s="91">
        <f>+CV87</f>
        <v>566.79999999999995</v>
      </c>
      <c r="CW86" s="78">
        <f t="shared" si="60"/>
        <v>686.69999999999993</v>
      </c>
      <c r="CX86" s="78">
        <f t="shared" si="48"/>
        <v>-401.90000000000009</v>
      </c>
      <c r="CY86" s="78">
        <f t="shared" ref="CY86:CY95" si="112">+CX86/CQ86*100</f>
        <v>-41.488592959636634</v>
      </c>
      <c r="CZ86" s="12">
        <f t="shared" si="101"/>
        <v>2947.9000000000005</v>
      </c>
      <c r="DA86" s="12">
        <f t="shared" si="102"/>
        <v>713.95010898522662</v>
      </c>
      <c r="DB86" s="3"/>
      <c r="DC86" s="11"/>
      <c r="DD86" s="71"/>
      <c r="DE86" s="17"/>
      <c r="DF86" s="3"/>
      <c r="DG86" s="3"/>
      <c r="DH86" s="3"/>
      <c r="DI86" s="3"/>
      <c r="DJ86" s="3"/>
      <c r="DK86" s="3"/>
    </row>
    <row r="87" spans="1:115" x14ac:dyDescent="0.2">
      <c r="B87" s="77" t="s">
        <v>109</v>
      </c>
      <c r="C87" s="77" t="s">
        <v>110</v>
      </c>
      <c r="D87" s="77"/>
      <c r="E87" s="17"/>
      <c r="F87" s="8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4"/>
      <c r="X87" s="12"/>
      <c r="Y87" s="17"/>
      <c r="Z87" s="17"/>
      <c r="AA87" s="39"/>
      <c r="AC87" s="17"/>
      <c r="AD87" s="14"/>
      <c r="AE87" s="12"/>
      <c r="AF87" s="17"/>
      <c r="AG87" s="17"/>
      <c r="AH87" s="39"/>
      <c r="AI87" s="39"/>
      <c r="AJ87" s="29"/>
      <c r="AK87" s="12"/>
      <c r="AL87" s="57"/>
      <c r="AM87" s="29"/>
      <c r="AN87" s="39"/>
      <c r="AO87" s="39"/>
      <c r="AP87" s="39"/>
      <c r="AQ87" s="12"/>
      <c r="AR87" s="39"/>
      <c r="AS87" s="39"/>
      <c r="AT87" s="39"/>
      <c r="AU87" s="39"/>
      <c r="AV87" s="12"/>
      <c r="AW87" s="39"/>
      <c r="AX87" s="29"/>
      <c r="AY87" s="29"/>
      <c r="AZ87" s="29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1">
        <v>-15.7</v>
      </c>
      <c r="BR87" s="11">
        <v>-33</v>
      </c>
      <c r="BS87" s="11">
        <v>-54.7</v>
      </c>
      <c r="BT87" s="11">
        <v>560.1</v>
      </c>
      <c r="BU87" s="12"/>
      <c r="BV87" s="11">
        <f t="shared" si="105"/>
        <v>-48.7</v>
      </c>
      <c r="BW87" s="11">
        <f t="shared" si="31"/>
        <v>-103.4</v>
      </c>
      <c r="BX87" s="68" t="s">
        <v>114</v>
      </c>
      <c r="BY87" s="68" t="s">
        <v>114</v>
      </c>
      <c r="BZ87" s="68" t="s">
        <v>114</v>
      </c>
      <c r="CA87" s="11">
        <f t="shared" si="104"/>
        <v>456.70000000000005</v>
      </c>
      <c r="CB87" s="11">
        <v>-33.4</v>
      </c>
      <c r="CC87" s="11">
        <v>-142.19999999999999</v>
      </c>
      <c r="CD87" s="11">
        <v>1</v>
      </c>
      <c r="CE87" s="11">
        <v>354.1</v>
      </c>
      <c r="CF87" s="11">
        <f t="shared" si="32"/>
        <v>179.50000000000003</v>
      </c>
      <c r="CG87" s="11">
        <v>-110.4</v>
      </c>
      <c r="CH87" s="11">
        <v>337.2</v>
      </c>
      <c r="CI87" s="11">
        <v>-68.8</v>
      </c>
      <c r="CJ87" s="11">
        <v>254.9</v>
      </c>
      <c r="CK87" s="91">
        <f>+CG87+CH87+CI87+CJ87+696</f>
        <v>1108.9000000000001</v>
      </c>
      <c r="CL87" s="91">
        <v>557.79999999999995</v>
      </c>
      <c r="CM87" s="91">
        <v>1197</v>
      </c>
      <c r="CN87" s="91"/>
      <c r="CO87" s="91"/>
      <c r="CP87" s="91">
        <v>637.29999999999995</v>
      </c>
      <c r="CQ87" s="91">
        <v>968.7</v>
      </c>
      <c r="CR87" s="91">
        <f t="shared" si="46"/>
        <v>3360.8</v>
      </c>
      <c r="CS87" s="91">
        <v>-14.6</v>
      </c>
      <c r="CT87" s="91">
        <v>99.5</v>
      </c>
      <c r="CU87" s="91">
        <v>35</v>
      </c>
      <c r="CV87" s="91">
        <v>566.79999999999995</v>
      </c>
      <c r="CW87" s="78">
        <f t="shared" si="60"/>
        <v>686.69999999999993</v>
      </c>
      <c r="CX87" s="78">
        <f t="shared" si="48"/>
        <v>-401.90000000000009</v>
      </c>
      <c r="CY87" s="78">
        <f t="shared" si="112"/>
        <v>-41.488592959636634</v>
      </c>
      <c r="CZ87" s="11">
        <f t="shared" si="101"/>
        <v>2947.9000000000005</v>
      </c>
      <c r="DA87" s="11">
        <f t="shared" si="102"/>
        <v>713.95010898522662</v>
      </c>
      <c r="DB87" s="3"/>
      <c r="DC87" s="11"/>
      <c r="DD87" s="71"/>
      <c r="DE87" s="11"/>
      <c r="DF87" s="3"/>
      <c r="DG87" s="3"/>
      <c r="DH87" s="3"/>
      <c r="DI87" s="3"/>
      <c r="DJ87" s="3"/>
      <c r="DK87" s="3"/>
    </row>
    <row r="88" spans="1:115" x14ac:dyDescent="0.2">
      <c r="D88" s="7"/>
      <c r="E88" s="17"/>
      <c r="F88" s="8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4"/>
      <c r="X88" s="12"/>
      <c r="Y88" s="17"/>
      <c r="Z88" s="17"/>
      <c r="AA88" s="39"/>
      <c r="AC88" s="17"/>
      <c r="AD88" s="14"/>
      <c r="AE88" s="12"/>
      <c r="AF88" s="17"/>
      <c r="AG88" s="17"/>
      <c r="AH88" s="39"/>
      <c r="AI88" s="39"/>
      <c r="AJ88" s="29"/>
      <c r="AK88" s="12"/>
      <c r="AL88" s="57"/>
      <c r="AM88" s="29"/>
      <c r="AN88" s="39"/>
      <c r="AO88" s="39"/>
      <c r="AP88" s="39"/>
      <c r="AQ88" s="12"/>
      <c r="AR88" s="39"/>
      <c r="AS88" s="39"/>
      <c r="AT88" s="39"/>
      <c r="AU88" s="39"/>
      <c r="AV88" s="12"/>
      <c r="AW88" s="39"/>
      <c r="AX88" s="29"/>
      <c r="AY88" s="29"/>
      <c r="AZ88" s="29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1"/>
      <c r="BR88" s="11"/>
      <c r="BS88" s="11"/>
      <c r="BT88" s="11"/>
      <c r="BU88" s="12"/>
      <c r="BV88" s="11"/>
      <c r="BW88" s="11"/>
      <c r="BX88" s="12"/>
      <c r="BY88" s="12"/>
      <c r="BZ88" s="12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91"/>
      <c r="CL88" s="91"/>
      <c r="CM88" s="91"/>
      <c r="CN88" s="91"/>
      <c r="CO88" s="91"/>
      <c r="CP88" s="91"/>
      <c r="CQ88" s="91"/>
      <c r="CR88" s="91"/>
      <c r="CS88" s="91"/>
      <c r="CT88" s="91"/>
      <c r="CU88" s="91"/>
      <c r="CV88" s="91"/>
      <c r="CW88" s="78"/>
      <c r="CX88" s="78"/>
      <c r="CY88" s="78"/>
      <c r="CZ88" s="11"/>
      <c r="DA88" s="11"/>
      <c r="DB88" s="3"/>
      <c r="DC88" s="11"/>
      <c r="DD88" s="71"/>
      <c r="DE88" s="12"/>
      <c r="DF88" s="3"/>
      <c r="DG88" s="3"/>
      <c r="DH88" s="3"/>
      <c r="DI88" s="3"/>
      <c r="DJ88" s="3"/>
      <c r="DK88" s="3"/>
    </row>
    <row r="89" spans="1:115" x14ac:dyDescent="0.2">
      <c r="B89" s="92" t="s">
        <v>0</v>
      </c>
      <c r="E89" s="8"/>
      <c r="F89" s="8" t="e">
        <f>F24+F36+F44+F50+F60+F70+F21+F66</f>
        <v>#REF!</v>
      </c>
      <c r="G89" s="17" t="e">
        <f>SUM(J89:M89)</f>
        <v>#REF!</v>
      </c>
      <c r="H89" s="17" t="e">
        <f>SUM(O89:R89)</f>
        <v>#REF!</v>
      </c>
      <c r="I89" s="17"/>
      <c r="J89" s="17" t="e">
        <f>J21+J24+J36+J44+J50+J60+J66+J70</f>
        <v>#REF!</v>
      </c>
      <c r="K89" s="17" t="e">
        <f>K21+K24+K36+K44+K50+K60+K66+K70</f>
        <v>#REF!</v>
      </c>
      <c r="L89" s="17" t="e">
        <f>L21+L24+L36+L44+L50+L60+L66+L70</f>
        <v>#REF!</v>
      </c>
      <c r="M89" s="17" t="e">
        <f>M21+M24+M36+M44+M50+M60+M66+M70</f>
        <v>#REF!</v>
      </c>
      <c r="N89" s="8"/>
      <c r="O89" s="17" t="e">
        <f>O21+O24+O36+O44+O50+O60+O66+O70</f>
        <v>#REF!</v>
      </c>
      <c r="P89" s="17" t="e">
        <f>P21+P24+P36+P44+P50+P60+P66+P70</f>
        <v>#REF!</v>
      </c>
      <c r="Q89" s="17" t="e">
        <f>Q21+Q24+Q36+Q44+Q50+Q60+Q66+Q70</f>
        <v>#REF!</v>
      </c>
      <c r="R89" s="17" t="e">
        <f>R21+R24+R36+R44+R50+R60+R66+R70</f>
        <v>#REF!</v>
      </c>
      <c r="S89" s="17">
        <f>S21+S24+S36+S44+S50+S60+S66+S70+S80</f>
        <v>8787.7294310000016</v>
      </c>
      <c r="T89" s="17">
        <f>T21+T24+T36+T44+T50+T60+T66+T70+T80</f>
        <v>11112.846000000001</v>
      </c>
      <c r="U89" s="17">
        <f>U21+U24+U36+U44+U50+U60+U66+U70+U80</f>
        <v>8400</v>
      </c>
      <c r="V89" s="17">
        <f>V21+V24+V36+V44+V50+V60+V66+V70+V80</f>
        <v>13412.616713999998</v>
      </c>
      <c r="W89" s="14"/>
      <c r="X89" s="12">
        <f>SUM(S89:V89)</f>
        <v>41713.192145000001</v>
      </c>
      <c r="Z89" s="17">
        <f>Z21+Z24+Z36+Z44+Z50+Z60+Z66+Z70+Z80</f>
        <v>8741.231597</v>
      </c>
      <c r="AA89" s="17">
        <f>AA21+AA24+AA36+AA44+AA50+AA60+AA66+AA70+AA80</f>
        <v>10622.548278</v>
      </c>
      <c r="AB89" s="17">
        <f>AB21+AB24+AB36+AB44+AB50+AB60+AB66+AB70+AB80</f>
        <v>8592.4999999999982</v>
      </c>
      <c r="AC89" s="17">
        <f>AC21+AC24+AC36+AC44+AC50+AC60+AC66+AC70+AC80</f>
        <v>12623.3</v>
      </c>
      <c r="AD89" s="14"/>
      <c r="AE89" s="12">
        <f>SUM(Z89:AC89)</f>
        <v>40579.579874999996</v>
      </c>
      <c r="AG89" s="17">
        <f>AG21+AG24+AG36+AG44+AG50+AG60+AG66+AG70+AG80</f>
        <v>9110.9937570000002</v>
      </c>
      <c r="AH89" s="17">
        <f>AH21+AH24+AH36+AH44+AH50+AH60+AH66+AH70+AH80</f>
        <v>10890.471942999999</v>
      </c>
      <c r="AI89" s="17">
        <f>AI21+AI24+AI36+AI44+AI50+AI60+AI66+AI70+AI80</f>
        <v>7478.0117299999993</v>
      </c>
      <c r="AJ89" s="17">
        <f>AJ21+AJ24+AJ36+AJ44+AJ50+AJ60+AJ66+AJ70+AJ80</f>
        <v>11582.2808</v>
      </c>
      <c r="AK89" s="12">
        <f>+AG89+AH89+AI89+AJ89</f>
        <v>39061.758229999999</v>
      </c>
      <c r="AL89" s="55">
        <f>AL21+AL24+AL36+AL44+AL50+AL60+AL66+AL70+AL80</f>
        <v>39062.843700000005</v>
      </c>
      <c r="AM89" s="17">
        <f>AM21+AM24+AM36+AM44+AM50+AM60+AM66+AM70+AM80</f>
        <v>8077.5847949999998</v>
      </c>
      <c r="AN89" s="17">
        <f>AN21+AN24+AN36+AN44+AN50+AN60+AN66+AN70+AN80</f>
        <v>13535.947001999999</v>
      </c>
      <c r="AO89" s="17">
        <f>AO21+AO24+AO36+AO44+AO50+AO60+AO66+AO70+AO80</f>
        <v>7407.8</v>
      </c>
      <c r="AP89" s="17">
        <f>AP21+AP24+AP36+AP44+AP50+AP60+AP66+AP70+AP80</f>
        <v>11991.599999999999</v>
      </c>
      <c r="AQ89" s="12">
        <f>+AM89+AN89+AO89+AP89</f>
        <v>41012.931796999997</v>
      </c>
      <c r="AR89" s="17">
        <f>AR21+AR24+AR36+AR44+AR50+AR60+AR66+AR70+AR80</f>
        <v>8243.6</v>
      </c>
      <c r="AS89" s="17">
        <f>AS21+AS24+AS36+AS44+AS50+AS60+AS66+AS70+AS80</f>
        <v>11041.732</v>
      </c>
      <c r="AT89" s="17">
        <f>AT21+AT24+AT36+AT44+AT50+AT60+AT66+AT70+AT80</f>
        <v>7727.8320000000003</v>
      </c>
      <c r="AU89" s="17">
        <f>AU21+AU24+AU36+AU44+AU50+AU60+AU66+AU70+AU80</f>
        <v>12782.199999999997</v>
      </c>
      <c r="AV89" s="12">
        <f>+AR89+AS89+AT89+AU89</f>
        <v>39795.364000000001</v>
      </c>
      <c r="AW89" s="17">
        <f>AW21+AW24+AW36+AW44+AW50+AW60+AW66+AW70+AW80</f>
        <v>8605.1999999999971</v>
      </c>
      <c r="AX89" s="17">
        <f>AX21+AX24+AX36+AX44+AX50+AX60+AX66+AX70+AX80</f>
        <v>9375.6000000000022</v>
      </c>
      <c r="AY89" s="17">
        <f>AY21+AY24+AY36+AY44+AY50+AY60+AY66+AY70+AY80</f>
        <v>7377.5</v>
      </c>
      <c r="AZ89" s="17">
        <f>AZ21+AZ24+AZ36+AZ44+AZ50+AZ60+AZ66+AZ70+AZ80</f>
        <v>11679.68</v>
      </c>
      <c r="BA89" s="12">
        <f>+AW89+AX89+AY89+AZ89</f>
        <v>37037.979999999996</v>
      </c>
      <c r="BB89" s="17">
        <f>BB21+BB24+BB36+BB44+BB50+BB60+BB66+BB70+BB80</f>
        <v>7577.3899999999994</v>
      </c>
      <c r="BC89" s="17">
        <f>BC21+BC24+BC36+BC44+BC50+BC60+BC66+BC70+BC80</f>
        <v>10083.003000000002</v>
      </c>
      <c r="BD89" s="17">
        <f>BD21+BD24+BD36+BD44+BD50+BD60+BD66+BD70+BD80</f>
        <v>7304.2999999999993</v>
      </c>
      <c r="BE89" s="17">
        <f>BE21+BE24+BE36+BE44+BE50+BE60+BE66+BE70+BE80</f>
        <v>12234.900000000001</v>
      </c>
      <c r="BF89" s="17">
        <f t="shared" si="28"/>
        <v>37199.593000000008</v>
      </c>
      <c r="BG89" s="17">
        <f>BG21+BG24+BG36+BG44+BG50+BG60+BG66+BG70+BG80</f>
        <v>7922.3940000000011</v>
      </c>
      <c r="BH89" s="17">
        <f>BH21+BH24+BH36+BH44+BH50+BH60+BH66+BH70+BH80</f>
        <v>11734.376</v>
      </c>
      <c r="BI89" s="17">
        <f>BI21+BI24+BI36+BI44+BI50+BI60+BI66+BI70+BI80</f>
        <v>8035.8000000000011</v>
      </c>
      <c r="BJ89" s="17">
        <f>BJ21+BJ24+BJ36+BJ44+BJ50+BJ60+BJ66+BJ70+BJ80</f>
        <v>13572.5</v>
      </c>
      <c r="BK89" s="17">
        <f t="shared" si="29"/>
        <v>41265.07</v>
      </c>
      <c r="BL89" s="17">
        <f>BL21+BL24+BL36+BL44+BL50+BL60+BL66+BL70+BL80</f>
        <v>9147.2000000000025</v>
      </c>
      <c r="BM89" s="17">
        <f>BM21+BM24+BM36+BM44+BM50+BM60+BM66+BM70+BM80</f>
        <v>12357.020000000002</v>
      </c>
      <c r="BN89" s="17">
        <f>BN21+BN24+BN36+BN44+BN50+BN60+BN66+BN70+BN80</f>
        <v>8348.9000000000015</v>
      </c>
      <c r="BO89" s="17">
        <f>BO21+BO24+BO36+BO44+BO50+BO60+BO66+BO70+BO80</f>
        <v>13034.5</v>
      </c>
      <c r="BP89" s="17">
        <f t="shared" si="30"/>
        <v>42887.62000000001</v>
      </c>
      <c r="BQ89" s="17">
        <f>BQ21+BQ24+BQ36+BQ44+BQ50+BQ60+BQ66+BQ70+BQ80+BQ86</f>
        <v>8989.1999999999971</v>
      </c>
      <c r="BR89" s="17">
        <f>BR21+BR24+BR36+BR44+BR50+BR60+BR66+BR70+BR80+BR86</f>
        <v>11033.600000000002</v>
      </c>
      <c r="BS89" s="17">
        <f>BS21+BS24+BS36+BS44+BS50+BS60+BS66+BS70+BS80+BS86</f>
        <v>8694.1</v>
      </c>
      <c r="BT89" s="17">
        <f>BT21+BT24+BT36+BT44+BT50+BT60+BT66+BT70+BT80+BT86</f>
        <v>12666.2</v>
      </c>
      <c r="BU89" s="17">
        <f>+BQ89-BL89</f>
        <v>-158.00000000000546</v>
      </c>
      <c r="BV89" s="17">
        <f t="shared" si="105"/>
        <v>20022.8</v>
      </c>
      <c r="BW89" s="17">
        <f t="shared" ref="BW89:BW95" si="113">SUM(BQ89:BS89)</f>
        <v>28716.9</v>
      </c>
      <c r="BX89" s="17">
        <f>+BR89-BM89</f>
        <v>-1323.42</v>
      </c>
      <c r="BY89" s="17">
        <f>+BU89/(BL89)*100</f>
        <v>-1.7273045303481438</v>
      </c>
      <c r="BZ89" s="17">
        <f>+BX89/(BM89)*100</f>
        <v>-10.709863705003308</v>
      </c>
      <c r="CA89" s="17">
        <f t="shared" si="104"/>
        <v>41383.100000000006</v>
      </c>
      <c r="CB89" s="17">
        <f>CB21+CB24+CB36+CB44+CB50+CB60+CB66+CB70+CB80+CB86</f>
        <v>8956.1000000000022</v>
      </c>
      <c r="CC89" s="17">
        <f>CC21+CC24+CC36+CC44+CC50+CC60+CC66+CC70+CC80+CC86</f>
        <v>11563.5</v>
      </c>
      <c r="CD89" s="17">
        <f>CD21+CD24+CD36+CD44+CD50+CD60+CD66+CD70+CD80+CD86</f>
        <v>8766.7000000000007</v>
      </c>
      <c r="CE89" s="17">
        <f>CE21+CE24+CE36+CE44+CE50+CE60+CE66+CE70+CE80+CE86</f>
        <v>15143.3</v>
      </c>
      <c r="CF89" s="17">
        <f t="shared" ref="CF89:CF93" si="114">SUM(CB89:CE89)</f>
        <v>44429.600000000006</v>
      </c>
      <c r="CG89" s="17">
        <f>CG21+CG24+CG36+CG44+CG50+CG60+CG66+CG70+CG80+CG86</f>
        <v>9084.6</v>
      </c>
      <c r="CH89" s="17">
        <f>CH21+CH24+CH36+CH44+CH50+CH60+CH66+CH70+CH80+CH86</f>
        <v>12618.300000000001</v>
      </c>
      <c r="CI89" s="17">
        <f>CI21+CI24+CI36+CI44+CI50+CI60+CI66+CI70+CI80+CI86</f>
        <v>8032.5</v>
      </c>
      <c r="CJ89" s="17">
        <f>CJ21+CJ24+CJ36+CJ44+CJ50+CJ60+CJ66+CJ70+CJ80+CJ86</f>
        <v>12342.800000000001</v>
      </c>
      <c r="CK89" s="78">
        <f t="shared" si="103"/>
        <v>42078.200000000004</v>
      </c>
      <c r="CL89" s="78">
        <f>CL21+CL24+CL36+CL44+CL50+CL60+CL66+CL70+CL80+CL86</f>
        <v>9412.2999999999975</v>
      </c>
      <c r="CM89" s="78">
        <f>CM21+CM24+CM36+CM44+CM50+CM60+CM66+CM70+CM80+CM86</f>
        <v>11890.710000000001</v>
      </c>
      <c r="CN89" s="78"/>
      <c r="CO89" s="78"/>
      <c r="CP89" s="78">
        <f>CP21+CP24+CP36+CP44+CP50+CP60+CP66+CP70+CP80+CP86</f>
        <v>9030.56</v>
      </c>
      <c r="CQ89" s="78">
        <f>CQ21+CQ24+CQ36+CQ44+CQ50+CQ60+CQ66+CQ70+CQ80+CQ86</f>
        <v>11803.7</v>
      </c>
      <c r="CR89" s="78">
        <f t="shared" ref="CR89:CR95" si="115">+CL89+CM89+CP89+CQ89</f>
        <v>42137.270000000004</v>
      </c>
      <c r="CS89" s="78">
        <f>CS21+CS24+CS36+CS44+CS50+CS60+CS66+CS70+CS80+CS86</f>
        <v>9751.0999999999985</v>
      </c>
      <c r="CT89" s="78">
        <f>CT21+CT24+CT36+CT44+CT50+CT60+CT66+CT70+CT80+CT86</f>
        <v>11325.1</v>
      </c>
      <c r="CU89" s="78">
        <f>CU21+CU24+CU36+CU44+CU50+CU60+CU66+CU70+CU80+CU86</f>
        <v>7649.0999999999985</v>
      </c>
      <c r="CV89" s="78">
        <f>CV21+CV24+CV36+CV44+CV50+CV60+CV66+CV70+CV80+CV86</f>
        <v>14732</v>
      </c>
      <c r="CW89" s="78">
        <f t="shared" si="60"/>
        <v>43457.299999999996</v>
      </c>
      <c r="CX89" s="78">
        <f t="shared" ref="CX89:CX95" si="116">+CV89-CQ89</f>
        <v>2928.2999999999993</v>
      </c>
      <c r="CY89" s="78">
        <f t="shared" si="112"/>
        <v>24.808322814032881</v>
      </c>
      <c r="CZ89" s="17">
        <f t="shared" si="101"/>
        <v>59.070000000001528</v>
      </c>
      <c r="DA89" s="17">
        <f t="shared" si="102"/>
        <v>0.14038148019639984</v>
      </c>
      <c r="DB89" s="3"/>
      <c r="DC89" s="11"/>
      <c r="DD89" s="71"/>
      <c r="DE89" s="12"/>
      <c r="DF89" s="3"/>
      <c r="DG89" s="3"/>
    </row>
    <row r="90" spans="1:115" x14ac:dyDescent="0.2">
      <c r="E90" s="8"/>
      <c r="F90" s="8"/>
      <c r="G90" s="17"/>
      <c r="H90" s="17" t="s">
        <v>10</v>
      </c>
      <c r="I90" s="17"/>
      <c r="J90" s="10"/>
      <c r="K90" s="20"/>
      <c r="L90" s="20"/>
      <c r="N90" s="8"/>
      <c r="O90" s="22"/>
      <c r="P90" s="22"/>
      <c r="Q90" s="20"/>
      <c r="R90" s="20"/>
      <c r="S90" s="12"/>
      <c r="T90" s="12"/>
      <c r="U90" s="12"/>
      <c r="V90" s="12"/>
      <c r="W90" s="14"/>
      <c r="X90" s="12" t="str">
        <f>IF(O90="","",(O90+P90+Q90+R90))</f>
        <v/>
      </c>
      <c r="Z90" s="23"/>
      <c r="AA90" s="39"/>
      <c r="AC90" s="12"/>
      <c r="AD90" s="14"/>
      <c r="AE90" s="12" t="str">
        <f>IF(Y90="","",(Y90+Z90+AA90+AB90))</f>
        <v/>
      </c>
      <c r="AG90" s="12"/>
      <c r="AH90" s="39"/>
      <c r="AI90" s="39"/>
      <c r="AJ90" s="29"/>
      <c r="AK90" s="12" t="s">
        <v>10</v>
      </c>
      <c r="AL90" s="57" t="s">
        <v>10</v>
      </c>
      <c r="AM90" s="29"/>
      <c r="AN90" s="39"/>
      <c r="AO90" s="39"/>
      <c r="AP90" s="39"/>
      <c r="AQ90" s="12" t="s">
        <v>10</v>
      </c>
      <c r="AR90" s="39"/>
      <c r="AS90" s="39"/>
      <c r="AT90" s="39"/>
      <c r="AU90" s="39"/>
      <c r="AV90" s="12" t="s">
        <v>10</v>
      </c>
      <c r="AW90" s="39"/>
      <c r="AX90" s="29"/>
      <c r="AY90" s="29"/>
      <c r="AZ90" s="29"/>
      <c r="BA90" s="12" t="s">
        <v>10</v>
      </c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92"/>
      <c r="CL90" s="92"/>
      <c r="CM90" s="92"/>
      <c r="CN90" s="92"/>
      <c r="CO90" s="92"/>
      <c r="CP90" s="92"/>
      <c r="CQ90" s="92"/>
      <c r="CR90" s="92"/>
      <c r="CS90" s="92"/>
      <c r="CT90" s="92"/>
      <c r="CU90" s="92"/>
      <c r="CV90" s="92"/>
      <c r="CW90" s="78"/>
      <c r="CX90" s="78"/>
      <c r="CY90" s="78"/>
      <c r="CZ90" s="12"/>
      <c r="DA90" s="12"/>
      <c r="DB90" s="3"/>
      <c r="DC90" s="11"/>
      <c r="DD90" s="71"/>
      <c r="DE90" s="12"/>
      <c r="DF90" s="3"/>
      <c r="DG90" s="3"/>
    </row>
    <row r="91" spans="1:115" x14ac:dyDescent="0.2">
      <c r="B91" s="92" t="s">
        <v>1</v>
      </c>
      <c r="C91" s="7"/>
      <c r="D91" s="7"/>
      <c r="E91" s="8"/>
      <c r="F91" s="8">
        <f>F9</f>
        <v>25</v>
      </c>
      <c r="G91" s="17">
        <f>SUM(J91:M91)</f>
        <v>30</v>
      </c>
      <c r="H91" s="17">
        <f>SUM(O91:R91)</f>
        <v>43</v>
      </c>
      <c r="I91" s="17"/>
      <c r="J91" s="8">
        <f>J9</f>
        <v>5</v>
      </c>
      <c r="K91" s="8">
        <f>K9</f>
        <v>9</v>
      </c>
      <c r="L91" s="8">
        <f>L9</f>
        <v>7</v>
      </c>
      <c r="M91" s="8">
        <f>M9</f>
        <v>9</v>
      </c>
      <c r="N91" s="8"/>
      <c r="O91" s="17">
        <v>10</v>
      </c>
      <c r="P91" s="17">
        <v>11</v>
      </c>
      <c r="Q91" s="17">
        <v>11</v>
      </c>
      <c r="R91" s="17">
        <v>11</v>
      </c>
      <c r="S91" s="17">
        <f>S9</f>
        <v>2.5684610000000001</v>
      </c>
      <c r="T91" s="17">
        <f>T9</f>
        <v>11.917674</v>
      </c>
      <c r="U91" s="17">
        <f>U9</f>
        <v>2.1182780000000001</v>
      </c>
      <c r="V91" s="17">
        <f>V9</f>
        <v>9.5217369999999999</v>
      </c>
      <c r="W91" s="14"/>
      <c r="X91" s="17">
        <f>X9</f>
        <v>26.126150000000003</v>
      </c>
      <c r="Y91" s="17"/>
      <c r="Z91" s="17">
        <f>Z9</f>
        <v>5.1836869999999999</v>
      </c>
      <c r="AA91" s="17">
        <f>AA9</f>
        <v>2.7778209999999999</v>
      </c>
      <c r="AB91" s="17">
        <f>AB9</f>
        <v>1.5</v>
      </c>
      <c r="AC91" s="17">
        <f>AC9</f>
        <v>3.5</v>
      </c>
      <c r="AD91" s="14"/>
      <c r="AE91" s="17">
        <f>AE9</f>
        <v>12.961508</v>
      </c>
      <c r="AF91" s="17"/>
      <c r="AG91" s="17">
        <f>AG9</f>
        <v>2.2999999999999998</v>
      </c>
      <c r="AH91" s="17">
        <f>AH9</f>
        <v>6.5</v>
      </c>
      <c r="AI91" s="17">
        <f>AI9</f>
        <v>11.3</v>
      </c>
      <c r="AJ91" s="17">
        <f>AJ9</f>
        <v>5</v>
      </c>
      <c r="AK91" s="12">
        <f>+AG91+AH91+AI91+AJ91</f>
        <v>25.1</v>
      </c>
      <c r="AL91" s="57">
        <v>25.1</v>
      </c>
      <c r="AM91" s="17">
        <f>AM9</f>
        <v>6.4</v>
      </c>
      <c r="AN91" s="17">
        <f>AN9</f>
        <v>13.8</v>
      </c>
      <c r="AO91" s="17">
        <f>AO9</f>
        <v>8.8000000000000007</v>
      </c>
      <c r="AP91" s="17">
        <f>AP9</f>
        <v>16.100000000000001</v>
      </c>
      <c r="AQ91" s="12">
        <f>+AM91+AN91+AO91+AP91</f>
        <v>45.100000000000009</v>
      </c>
      <c r="AR91" s="17">
        <f>AR9</f>
        <v>13</v>
      </c>
      <c r="AS91" s="17">
        <f>AS9</f>
        <v>8.0129999999999999</v>
      </c>
      <c r="AT91" s="17">
        <f>AT9</f>
        <v>4.9000000000000004</v>
      </c>
      <c r="AU91" s="17">
        <f>AU9</f>
        <v>11.120000000000001</v>
      </c>
      <c r="AV91" s="12">
        <f>+AR91+AS91+AT91+AU91</f>
        <v>37.033000000000001</v>
      </c>
      <c r="AW91" s="17">
        <f>AW9</f>
        <v>12</v>
      </c>
      <c r="AX91" s="17">
        <f>AX9</f>
        <v>2.1</v>
      </c>
      <c r="AY91" s="17">
        <f>AY9</f>
        <v>14.7</v>
      </c>
      <c r="AZ91" s="17">
        <f>AZ9</f>
        <v>66.900000000000006</v>
      </c>
      <c r="BA91" s="12">
        <f>+AW91+AX91+AY91+AZ91</f>
        <v>95.7</v>
      </c>
      <c r="BB91" s="17">
        <f>BB9</f>
        <v>13</v>
      </c>
      <c r="BC91" s="17">
        <f>BC9</f>
        <v>7.6999999999999993</v>
      </c>
      <c r="BD91" s="17">
        <f>BD9</f>
        <v>0.89999999999999991</v>
      </c>
      <c r="BE91" s="17">
        <f>BE9</f>
        <v>5.2</v>
      </c>
      <c r="BF91" s="17">
        <f t="shared" si="28"/>
        <v>26.799999999999997</v>
      </c>
      <c r="BG91" s="17">
        <f>BG9</f>
        <v>7</v>
      </c>
      <c r="BH91" s="17">
        <f>BH9</f>
        <v>4.2</v>
      </c>
      <c r="BI91" s="17">
        <f>BI9</f>
        <v>3.4</v>
      </c>
      <c r="BJ91" s="17">
        <f>BJ9</f>
        <v>4.3</v>
      </c>
      <c r="BK91" s="17">
        <f t="shared" si="29"/>
        <v>18.899999999999999</v>
      </c>
      <c r="BL91" s="17">
        <f>BL9</f>
        <v>5.8</v>
      </c>
      <c r="BM91" s="17">
        <f>BM9</f>
        <v>1.83</v>
      </c>
      <c r="BN91" s="17">
        <f>BN9</f>
        <v>5</v>
      </c>
      <c r="BO91" s="17">
        <f>BO9</f>
        <v>10.7</v>
      </c>
      <c r="BP91" s="17">
        <f t="shared" si="30"/>
        <v>23.33</v>
      </c>
      <c r="BQ91" s="17">
        <f>BQ9</f>
        <v>6.9</v>
      </c>
      <c r="BR91" s="17">
        <f>BR9</f>
        <v>1.8</v>
      </c>
      <c r="BS91" s="17">
        <f>BS9</f>
        <v>2</v>
      </c>
      <c r="BT91" s="17">
        <f>BT9</f>
        <v>4.2</v>
      </c>
      <c r="BU91" s="17">
        <f>+BQ91-BL91</f>
        <v>1.1000000000000005</v>
      </c>
      <c r="BV91" s="17">
        <f t="shared" si="105"/>
        <v>8.7000000000000011</v>
      </c>
      <c r="BW91" s="17">
        <f t="shared" si="113"/>
        <v>10.700000000000001</v>
      </c>
      <c r="BX91" s="17">
        <f>+BR91-BM91</f>
        <v>-3.0000000000000027E-2</v>
      </c>
      <c r="BY91" s="17">
        <f>+BU91/(BL91)*100</f>
        <v>18.96551724137932</v>
      </c>
      <c r="BZ91" s="17">
        <f>+BX91/(BM91)*100</f>
        <v>-1.6393442622950833</v>
      </c>
      <c r="CA91" s="17">
        <f t="shared" si="104"/>
        <v>14.900000000000002</v>
      </c>
      <c r="CB91" s="17">
        <f>CB9</f>
        <v>16</v>
      </c>
      <c r="CC91" s="17">
        <f>CC9</f>
        <v>5</v>
      </c>
      <c r="CD91" s="17">
        <f>CD9</f>
        <v>4.8</v>
      </c>
      <c r="CE91" s="17">
        <f>CE9</f>
        <v>26.2</v>
      </c>
      <c r="CF91" s="17">
        <f t="shared" si="114"/>
        <v>52</v>
      </c>
      <c r="CG91" s="17">
        <f>CG9</f>
        <v>5.8</v>
      </c>
      <c r="CH91" s="17">
        <f>CH9</f>
        <v>5.8000000000000007</v>
      </c>
      <c r="CI91" s="17">
        <f>CI9</f>
        <v>1.4</v>
      </c>
      <c r="CJ91" s="17">
        <f>CJ9</f>
        <v>8.3000000000000007</v>
      </c>
      <c r="CK91" s="78">
        <f t="shared" si="103"/>
        <v>21.300000000000004</v>
      </c>
      <c r="CL91" s="78">
        <f>CL9</f>
        <v>3.5</v>
      </c>
      <c r="CM91" s="78">
        <f>CM9</f>
        <v>7.1999999999999993</v>
      </c>
      <c r="CN91" s="78"/>
      <c r="CO91" s="78"/>
      <c r="CP91" s="78">
        <f>CP9</f>
        <v>3.9000000000000004</v>
      </c>
      <c r="CQ91" s="78">
        <f>CQ9</f>
        <v>11.8</v>
      </c>
      <c r="CR91" s="78">
        <f t="shared" si="115"/>
        <v>26.4</v>
      </c>
      <c r="CS91" s="78">
        <f>CS9</f>
        <v>4.4000000000000004</v>
      </c>
      <c r="CT91" s="78">
        <f>CT9</f>
        <v>19</v>
      </c>
      <c r="CU91" s="78">
        <f>CU9</f>
        <v>3.3</v>
      </c>
      <c r="CV91" s="78">
        <f>CV9</f>
        <v>23</v>
      </c>
      <c r="CW91" s="78">
        <f t="shared" si="60"/>
        <v>49.7</v>
      </c>
      <c r="CX91" s="78">
        <f t="shared" si="116"/>
        <v>11.2</v>
      </c>
      <c r="CY91" s="78">
        <f t="shared" si="112"/>
        <v>94.915254237288124</v>
      </c>
      <c r="CZ91" s="17">
        <f t="shared" si="101"/>
        <v>5.0999999999999961</v>
      </c>
      <c r="DA91" s="17">
        <f t="shared" si="102"/>
        <v>23.943661971830963</v>
      </c>
      <c r="DC91" s="11"/>
      <c r="DD91" s="71"/>
      <c r="DE91" s="12"/>
    </row>
    <row r="92" spans="1:115" ht="10.5" customHeight="1" x14ac:dyDescent="0.2">
      <c r="E92" s="8"/>
      <c r="F92" s="8"/>
      <c r="G92" s="17"/>
      <c r="H92" s="17" t="s">
        <v>10</v>
      </c>
      <c r="I92" s="17"/>
      <c r="J92" s="10"/>
      <c r="K92" s="20"/>
      <c r="L92" s="20"/>
      <c r="N92" s="8"/>
      <c r="O92" s="22"/>
      <c r="P92" s="22"/>
      <c r="Q92" s="20"/>
      <c r="R92" s="20"/>
      <c r="S92" s="12"/>
      <c r="T92" s="12"/>
      <c r="U92" s="12"/>
      <c r="V92" s="12"/>
      <c r="W92" s="14"/>
      <c r="X92" s="12" t="str">
        <f>IF(O92="","",(O92+P92+Q92+R92))</f>
        <v/>
      </c>
      <c r="Z92" s="23"/>
      <c r="AA92" s="39"/>
      <c r="AC92" s="12"/>
      <c r="AD92" s="14"/>
      <c r="AE92" s="12" t="str">
        <f>IF(Y92="","",(Y92+Z92+AA92+AB92))</f>
        <v/>
      </c>
      <c r="AG92" s="12"/>
      <c r="AH92" s="39"/>
      <c r="AI92" s="39"/>
      <c r="AJ92" s="29"/>
      <c r="AK92" s="12" t="s">
        <v>10</v>
      </c>
      <c r="AL92" s="57" t="s">
        <v>10</v>
      </c>
      <c r="AM92" s="29"/>
      <c r="AN92" s="39"/>
      <c r="AO92" s="39"/>
      <c r="AP92" s="39"/>
      <c r="AQ92" s="12" t="s">
        <v>10</v>
      </c>
      <c r="AR92" s="39"/>
      <c r="AS92" s="39"/>
      <c r="AT92" s="39"/>
      <c r="AU92" s="39"/>
      <c r="AV92" s="12" t="s">
        <v>10</v>
      </c>
      <c r="AW92" s="39"/>
      <c r="AX92" s="29"/>
      <c r="AY92" s="29"/>
      <c r="AZ92" s="29"/>
      <c r="BA92" s="12" t="s">
        <v>10</v>
      </c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92"/>
      <c r="CL92" s="92"/>
      <c r="CM92" s="92"/>
      <c r="CN92" s="92"/>
      <c r="CO92" s="92"/>
      <c r="CP92" s="92"/>
      <c r="CQ92" s="92"/>
      <c r="CR92" s="92"/>
      <c r="CS92" s="92"/>
      <c r="CT92" s="92"/>
      <c r="CU92" s="92"/>
      <c r="CV92" s="92"/>
      <c r="CW92" s="78"/>
      <c r="CX92" s="78"/>
      <c r="CY92" s="78"/>
      <c r="CZ92" s="12"/>
      <c r="DA92" s="12"/>
      <c r="DB92" s="3"/>
      <c r="DC92" s="11"/>
      <c r="DD92" s="71"/>
      <c r="DE92" s="12"/>
      <c r="DF92" s="3"/>
      <c r="DG92" s="3"/>
    </row>
    <row r="93" spans="1:115" ht="13.5" thickBot="1" x14ac:dyDescent="0.25">
      <c r="B93" s="92" t="s">
        <v>2</v>
      </c>
      <c r="C93" s="98"/>
      <c r="D93" s="98"/>
      <c r="E93" s="42"/>
      <c r="F93" s="42" t="e">
        <f>F91-F89</f>
        <v>#REF!</v>
      </c>
      <c r="G93" s="40">
        <v>-43383.017999999996</v>
      </c>
      <c r="H93" s="40" t="e">
        <f>SUM(O93:R93)</f>
        <v>#REF!</v>
      </c>
      <c r="I93" s="40"/>
      <c r="J93" s="42">
        <v>-8432.6759999999995</v>
      </c>
      <c r="K93" s="40">
        <v>-11395.791999999999</v>
      </c>
      <c r="L93" s="40">
        <v>-9570.0329999999994</v>
      </c>
      <c r="M93" s="40">
        <v>-13983.517</v>
      </c>
      <c r="N93" s="42"/>
      <c r="O93" s="40" t="e">
        <f t="shared" ref="O93:U93" si="117">O91-O89</f>
        <v>#REF!</v>
      </c>
      <c r="P93" s="40" t="e">
        <f t="shared" si="117"/>
        <v>#REF!</v>
      </c>
      <c r="Q93" s="40" t="e">
        <f t="shared" si="117"/>
        <v>#REF!</v>
      </c>
      <c r="R93" s="40" t="e">
        <f t="shared" si="117"/>
        <v>#REF!</v>
      </c>
      <c r="S93" s="40">
        <f t="shared" si="117"/>
        <v>-8785.1609700000008</v>
      </c>
      <c r="T93" s="40">
        <f t="shared" si="117"/>
        <v>-11100.928326000001</v>
      </c>
      <c r="U93" s="40">
        <f t="shared" si="117"/>
        <v>-8397.8817220000001</v>
      </c>
      <c r="V93" s="40">
        <f>V91-V89</f>
        <v>-13403.094976999999</v>
      </c>
      <c r="W93" s="48"/>
      <c r="X93" s="40">
        <f>X91-X89</f>
        <v>-41687.065995000004</v>
      </c>
      <c r="Y93" s="40"/>
      <c r="Z93" s="40">
        <f>Z91-Z89</f>
        <v>-8736.0479099999993</v>
      </c>
      <c r="AA93" s="40">
        <f>AA91-AA89</f>
        <v>-10619.770457000001</v>
      </c>
      <c r="AB93" s="40">
        <f>AB91-AB89</f>
        <v>-8590.9999999999982</v>
      </c>
      <c r="AC93" s="40">
        <f>AC91-AC89</f>
        <v>-12619.8</v>
      </c>
      <c r="AD93" s="48"/>
      <c r="AE93" s="40">
        <f>AE91-AE89</f>
        <v>-40566.618366999995</v>
      </c>
      <c r="AF93" s="40"/>
      <c r="AG93" s="40">
        <f>AG91-AG89</f>
        <v>-9108.6937570000009</v>
      </c>
      <c r="AH93" s="40">
        <f>AH91-AH89</f>
        <v>-10883.971942999999</v>
      </c>
      <c r="AI93" s="40">
        <f>AI91-AI89</f>
        <v>-7466.7117299999991</v>
      </c>
      <c r="AJ93" s="40">
        <f>AJ91-AJ89</f>
        <v>-11577.2808</v>
      </c>
      <c r="AK93" s="44">
        <f>+AG93+AH93+AI93+AJ93</f>
        <v>-39036.658230000001</v>
      </c>
      <c r="AL93" s="56">
        <f>AL91-AL89</f>
        <v>-39037.743700000006</v>
      </c>
      <c r="AM93" s="40">
        <f>AM91-AM89</f>
        <v>-8071.1847950000001</v>
      </c>
      <c r="AN93" s="40">
        <f>AN91-AN89</f>
        <v>-13522.147002</v>
      </c>
      <c r="AO93" s="40">
        <f>AO91-AO89</f>
        <v>-7399</v>
      </c>
      <c r="AP93" s="40">
        <f>AP91-AP89</f>
        <v>-11975.499999999998</v>
      </c>
      <c r="AQ93" s="44">
        <f>+AM93+AN93+AO93+AP93</f>
        <v>-40967.831796999999</v>
      </c>
      <c r="AR93" s="40">
        <f>AR91-AR89</f>
        <v>-8230.6</v>
      </c>
      <c r="AS93" s="40">
        <f>AS91-AS89</f>
        <v>-11033.718999999999</v>
      </c>
      <c r="AT93" s="40">
        <f>AT91-AT89</f>
        <v>-7722.9320000000007</v>
      </c>
      <c r="AU93" s="40">
        <f>AU91-AU89</f>
        <v>-12771.079999999996</v>
      </c>
      <c r="AV93" s="44">
        <f>+AR93+AS93+AT93+AU93</f>
        <v>-39758.330999999998</v>
      </c>
      <c r="AW93" s="40">
        <f>AW91-AW89</f>
        <v>-8593.1999999999971</v>
      </c>
      <c r="AX93" s="40">
        <f>AX91-AX89</f>
        <v>-9373.5000000000018</v>
      </c>
      <c r="AY93" s="40">
        <f>AY91-AY89</f>
        <v>-7362.8</v>
      </c>
      <c r="AZ93" s="40">
        <f>AZ91-AZ89</f>
        <v>-11612.78</v>
      </c>
      <c r="BA93" s="44">
        <f>+AW93+AX93+AY93+AZ93</f>
        <v>-36942.28</v>
      </c>
      <c r="BB93" s="40">
        <f>BB91-BB89</f>
        <v>-7564.3899999999994</v>
      </c>
      <c r="BC93" s="40">
        <f>BC91-BC89</f>
        <v>-10075.303000000002</v>
      </c>
      <c r="BD93" s="40">
        <f>BD91-BD89</f>
        <v>-7303.4</v>
      </c>
      <c r="BE93" s="40">
        <f>BE91-BE89</f>
        <v>-12229.7</v>
      </c>
      <c r="BF93" s="40">
        <f>+BB93+BC93+BD93+BE93</f>
        <v>-37172.793000000005</v>
      </c>
      <c r="BG93" s="40">
        <f>BG91-BG89</f>
        <v>-7915.3940000000011</v>
      </c>
      <c r="BH93" s="40">
        <f>BH91-BH89</f>
        <v>-11730.175999999999</v>
      </c>
      <c r="BI93" s="40">
        <f>BI91-BI89</f>
        <v>-8032.4000000000015</v>
      </c>
      <c r="BJ93" s="40">
        <f>BJ91-BJ89</f>
        <v>-13568.2</v>
      </c>
      <c r="BK93" s="40">
        <f t="shared" ref="BK93:BK98" si="118">+BG93+BH93+BI93+BJ93</f>
        <v>-41246.17</v>
      </c>
      <c r="BL93" s="40">
        <f>BL91-BL89</f>
        <v>-9141.4000000000033</v>
      </c>
      <c r="BM93" s="40">
        <f>BM91-BM89</f>
        <v>-12355.190000000002</v>
      </c>
      <c r="BN93" s="40">
        <f>BN91-BN89</f>
        <v>-8343.9000000000015</v>
      </c>
      <c r="BO93" s="40">
        <f>BO91-BO89</f>
        <v>-13023.8</v>
      </c>
      <c r="BP93" s="40">
        <f>+BL93+BM93+BN93+BO93</f>
        <v>-42864.290000000008</v>
      </c>
      <c r="BQ93" s="40">
        <f>BQ91-BQ89</f>
        <v>-8982.2999999999975</v>
      </c>
      <c r="BR93" s="40">
        <f>BR91-BR89</f>
        <v>-11031.800000000003</v>
      </c>
      <c r="BS93" s="40">
        <f>BS91-BS89</f>
        <v>-8692.1</v>
      </c>
      <c r="BT93" s="40">
        <f>BT91-BT89</f>
        <v>-12662</v>
      </c>
      <c r="BU93" s="40">
        <f>+BQ93-BL93</f>
        <v>159.10000000000582</v>
      </c>
      <c r="BV93" s="40">
        <f t="shared" si="105"/>
        <v>-20014.099999999999</v>
      </c>
      <c r="BW93" s="40">
        <f t="shared" si="113"/>
        <v>-28706.199999999997</v>
      </c>
      <c r="BX93" s="40">
        <f>+BR93-BM93</f>
        <v>1323.3899999999994</v>
      </c>
      <c r="BY93" s="40">
        <f>+BU93/(BL93)*100</f>
        <v>-1.740433631610101</v>
      </c>
      <c r="BZ93" s="40">
        <f>+BX93/(BM93)*100</f>
        <v>-10.711207193090507</v>
      </c>
      <c r="CA93" s="40">
        <f t="shared" si="104"/>
        <v>-41368.199999999997</v>
      </c>
      <c r="CB93" s="40">
        <f>CB91-CB89</f>
        <v>-8940.1000000000022</v>
      </c>
      <c r="CC93" s="40">
        <f>CC91-CC89</f>
        <v>-11558.5</v>
      </c>
      <c r="CD93" s="40">
        <f>CD91-CD89</f>
        <v>-8761.9000000000015</v>
      </c>
      <c r="CE93" s="40">
        <f>CE91-CE89</f>
        <v>-15117.099999999999</v>
      </c>
      <c r="CF93" s="40">
        <f t="shared" si="114"/>
        <v>-44377.600000000006</v>
      </c>
      <c r="CG93" s="40">
        <f>CG91-CG89</f>
        <v>-9078.8000000000011</v>
      </c>
      <c r="CH93" s="40">
        <f>CH91-CH89</f>
        <v>-12612.500000000002</v>
      </c>
      <c r="CI93" s="40">
        <f>CI91-CI89</f>
        <v>-8031.1</v>
      </c>
      <c r="CJ93" s="40">
        <f>CJ91-CJ89</f>
        <v>-12334.500000000002</v>
      </c>
      <c r="CK93" s="99">
        <f t="shared" si="103"/>
        <v>-42056.9</v>
      </c>
      <c r="CL93" s="99">
        <f>CL91-CL89</f>
        <v>-9408.7999999999975</v>
      </c>
      <c r="CM93" s="99">
        <f>CM91-CM89</f>
        <v>-11883.51</v>
      </c>
      <c r="CN93" s="99"/>
      <c r="CO93" s="99"/>
      <c r="CP93" s="99">
        <f>CP91-CP89</f>
        <v>-9026.66</v>
      </c>
      <c r="CQ93" s="99">
        <f>CQ91-CQ89</f>
        <v>-11791.900000000001</v>
      </c>
      <c r="CR93" s="99">
        <f t="shared" si="115"/>
        <v>-42110.869999999995</v>
      </c>
      <c r="CS93" s="99">
        <f>CS91-CS89</f>
        <v>-9746.6999999999989</v>
      </c>
      <c r="CT93" s="99">
        <f>CT91-CT89</f>
        <v>-11306.1</v>
      </c>
      <c r="CU93" s="99">
        <f>CU91-CU89</f>
        <v>-7645.7999999999984</v>
      </c>
      <c r="CV93" s="99">
        <f>CV91-CV89</f>
        <v>-14709</v>
      </c>
      <c r="CW93" s="99">
        <f t="shared" si="60"/>
        <v>-43407.6</v>
      </c>
      <c r="CX93" s="99">
        <f t="shared" si="116"/>
        <v>-2917.0999999999985</v>
      </c>
      <c r="CY93" s="99">
        <f t="shared" si="112"/>
        <v>24.738167725302947</v>
      </c>
      <c r="CZ93" s="30">
        <f t="shared" si="101"/>
        <v>-53.96999999999025</v>
      </c>
      <c r="DA93" s="30">
        <f t="shared" si="102"/>
        <v>0.1283261486224383</v>
      </c>
      <c r="DB93" s="3"/>
      <c r="DC93" s="11"/>
      <c r="DD93" s="71"/>
      <c r="DE93" s="11"/>
      <c r="DF93" s="3"/>
      <c r="DG93" s="3"/>
    </row>
    <row r="94" spans="1:115" ht="9.75" customHeight="1" thickTop="1" x14ac:dyDescent="0.2">
      <c r="B94" s="3"/>
      <c r="C94" s="3"/>
      <c r="D94" s="3"/>
      <c r="E94" s="8"/>
      <c r="F94" s="4"/>
      <c r="G94" s="1"/>
      <c r="H94" s="17" t="s">
        <v>10</v>
      </c>
      <c r="I94" s="17"/>
      <c r="J94" s="3"/>
      <c r="K94" s="22"/>
      <c r="L94" s="22"/>
      <c r="N94" s="8"/>
      <c r="O94" s="22"/>
      <c r="P94" s="22"/>
      <c r="Q94" s="22"/>
      <c r="R94" s="22"/>
      <c r="S94" s="9"/>
      <c r="T94" s="9"/>
      <c r="U94" s="9"/>
      <c r="V94" s="9"/>
      <c r="W94" s="14"/>
      <c r="X94" s="12" t="str">
        <f>IF(O94="","",(O94+P94+Q94+R94))</f>
        <v/>
      </c>
      <c r="Z94" s="26"/>
      <c r="AA94" s="39"/>
      <c r="AC94" s="9"/>
      <c r="AD94" s="14"/>
      <c r="AE94" s="12" t="str">
        <f>IF(Y94="","",(Y94+Z94+AA94+AB94))</f>
        <v/>
      </c>
      <c r="AG94" s="9"/>
      <c r="AH94" s="39"/>
      <c r="AI94" s="39"/>
      <c r="AJ94" s="29"/>
      <c r="AK94" s="12" t="s">
        <v>10</v>
      </c>
      <c r="AL94" s="12" t="s">
        <v>10</v>
      </c>
      <c r="AM94" s="29"/>
      <c r="AN94" s="39"/>
      <c r="AO94" s="39"/>
      <c r="AP94" s="39"/>
      <c r="AQ94" s="12" t="s">
        <v>10</v>
      </c>
      <c r="AR94" s="39"/>
      <c r="AS94" s="39"/>
      <c r="AT94" s="39"/>
      <c r="AU94" s="39"/>
      <c r="AV94" s="12" t="s">
        <v>10</v>
      </c>
      <c r="AW94" s="39"/>
      <c r="AX94" s="29"/>
      <c r="AY94" s="29"/>
      <c r="AZ94" s="29"/>
      <c r="BA94" s="12" t="s">
        <v>10</v>
      </c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91"/>
      <c r="CL94" s="91"/>
      <c r="CM94" s="91"/>
      <c r="CN94" s="91"/>
      <c r="CO94" s="91"/>
      <c r="CP94" s="91"/>
      <c r="CQ94" s="91"/>
      <c r="CR94" s="91"/>
      <c r="CS94" s="91"/>
      <c r="CT94" s="91"/>
      <c r="CU94" s="91"/>
      <c r="CV94" s="91"/>
      <c r="CW94" s="78"/>
      <c r="CX94" s="78"/>
      <c r="CY94" s="78"/>
      <c r="CZ94" s="12"/>
      <c r="DA94" s="12"/>
      <c r="DB94" s="3"/>
      <c r="DC94" s="11"/>
      <c r="DD94" s="71"/>
      <c r="DE94" s="11"/>
      <c r="DF94" s="3"/>
      <c r="DG94" s="3"/>
    </row>
    <row r="95" spans="1:115" x14ac:dyDescent="0.2">
      <c r="B95" s="92" t="s">
        <v>100</v>
      </c>
      <c r="C95" s="3"/>
      <c r="D95" s="3"/>
      <c r="E95" s="8"/>
      <c r="F95" s="8">
        <v>41015</v>
      </c>
      <c r="G95" s="17">
        <f>SUM(J95:M95)</f>
        <v>43126</v>
      </c>
      <c r="H95" s="17">
        <f>SUM(O95:R95)</f>
        <v>41934</v>
      </c>
      <c r="I95" s="17"/>
      <c r="J95" s="8">
        <v>7502</v>
      </c>
      <c r="K95" s="17">
        <v>12172</v>
      </c>
      <c r="L95" s="17">
        <v>7232</v>
      </c>
      <c r="M95" s="17">
        <v>16220</v>
      </c>
      <c r="N95" s="8"/>
      <c r="O95" s="17">
        <v>7082</v>
      </c>
      <c r="P95" s="17">
        <v>10071</v>
      </c>
      <c r="Q95" s="17">
        <v>7394</v>
      </c>
      <c r="R95" s="17">
        <v>17387</v>
      </c>
      <c r="S95" s="12">
        <v>6928</v>
      </c>
      <c r="T95" s="39">
        <v>11978</v>
      </c>
      <c r="U95" s="39">
        <v>8419</v>
      </c>
      <c r="V95" s="12">
        <v>14685</v>
      </c>
      <c r="W95" s="14"/>
      <c r="X95" s="12">
        <f>SUM(S95:V95)</f>
        <v>42010</v>
      </c>
      <c r="Z95" s="23">
        <v>8577.7000000000007</v>
      </c>
      <c r="AA95" s="29">
        <v>9333</v>
      </c>
      <c r="AB95" s="39">
        <v>7850</v>
      </c>
      <c r="AC95" s="12">
        <v>14039</v>
      </c>
      <c r="AD95" s="14"/>
      <c r="AE95" s="12">
        <f>SUM(Z95:AC95)</f>
        <v>39799.699999999997</v>
      </c>
      <c r="AG95" s="12">
        <v>9985</v>
      </c>
      <c r="AH95" s="29">
        <v>8811</v>
      </c>
      <c r="AI95" s="29">
        <v>6982.5709999999999</v>
      </c>
      <c r="AJ95" s="29">
        <v>14731.584999999999</v>
      </c>
      <c r="AK95" s="12">
        <f>+AG95+AH95+AI95+AJ95</f>
        <v>40510.156000000003</v>
      </c>
      <c r="AL95" s="12">
        <v>40510.156000000003</v>
      </c>
      <c r="AM95" s="29">
        <v>7086.3</v>
      </c>
      <c r="AN95" s="29">
        <v>12974.2</v>
      </c>
      <c r="AO95" s="29">
        <v>6664.3</v>
      </c>
      <c r="AP95" s="29">
        <f>13657.7</f>
        <v>13657.7</v>
      </c>
      <c r="AQ95" s="12">
        <f>+AM95+AN95+AO95+AP95</f>
        <v>40382.5</v>
      </c>
      <c r="AR95" s="29">
        <v>8285.7999999999993</v>
      </c>
      <c r="AS95" s="29">
        <v>9995.4</v>
      </c>
      <c r="AT95" s="29">
        <v>6087</v>
      </c>
      <c r="AU95" s="29">
        <v>18067</v>
      </c>
      <c r="AV95" s="12">
        <f>+AR95+AS95+AT95+AU95</f>
        <v>42435.199999999997</v>
      </c>
      <c r="AW95" s="29">
        <v>6116</v>
      </c>
      <c r="AX95" s="29">
        <v>9054</v>
      </c>
      <c r="AY95" s="29">
        <v>6191</v>
      </c>
      <c r="AZ95" s="29">
        <v>17572</v>
      </c>
      <c r="BA95" s="12">
        <f>+AW95+AX95+AY95+AZ95</f>
        <v>38933</v>
      </c>
      <c r="BB95" s="12">
        <v>6478</v>
      </c>
      <c r="BC95" s="12">
        <v>8780</v>
      </c>
      <c r="BD95" s="12">
        <v>6283</v>
      </c>
      <c r="BE95" s="12">
        <v>16544</v>
      </c>
      <c r="BF95" s="12">
        <f>+BB95+BC95+BD95+BE95</f>
        <v>38085</v>
      </c>
      <c r="BG95" s="12">
        <v>7338</v>
      </c>
      <c r="BH95" s="12">
        <f>17009.2-BG95</f>
        <v>9671.2000000000007</v>
      </c>
      <c r="BI95" s="12">
        <f>22196-BH95-BG95</f>
        <v>5186.7999999999993</v>
      </c>
      <c r="BJ95" s="12">
        <f>19531+2-4</f>
        <v>19529</v>
      </c>
      <c r="BK95" s="12">
        <f t="shared" si="118"/>
        <v>41725</v>
      </c>
      <c r="BL95" s="12">
        <v>6271.6</v>
      </c>
      <c r="BM95" s="12">
        <v>9280.2000000000007</v>
      </c>
      <c r="BN95" s="12">
        <v>5845</v>
      </c>
      <c r="BO95" s="12">
        <v>18674</v>
      </c>
      <c r="BP95" s="12">
        <f>+BL95+BM95+BN95+BO95</f>
        <v>40070.800000000003</v>
      </c>
      <c r="BQ95" s="12">
        <v>5633</v>
      </c>
      <c r="BR95" s="12">
        <v>10776.8</v>
      </c>
      <c r="BS95" s="12">
        <v>5912.8</v>
      </c>
      <c r="BT95" s="12">
        <v>18960.5</v>
      </c>
      <c r="BU95" s="12">
        <f>+BQ95-BL95</f>
        <v>-638.60000000000036</v>
      </c>
      <c r="BV95" s="12">
        <f t="shared" si="105"/>
        <v>16409.8</v>
      </c>
      <c r="BW95" s="12">
        <f t="shared" si="113"/>
        <v>22322.6</v>
      </c>
      <c r="BX95" s="12">
        <f>+BR95-BM95</f>
        <v>1496.5999999999985</v>
      </c>
      <c r="BY95" s="12">
        <f>+BU95/(BL95)*100</f>
        <v>-10.182409592448503</v>
      </c>
      <c r="BZ95" s="12">
        <f>+BX95/(BM95)*100</f>
        <v>16.126807611904898</v>
      </c>
      <c r="CA95" s="17">
        <f t="shared" si="104"/>
        <v>41283.1</v>
      </c>
      <c r="CB95" s="17">
        <v>6818</v>
      </c>
      <c r="CC95" s="17">
        <v>10796</v>
      </c>
      <c r="CD95" s="17">
        <v>5894</v>
      </c>
      <c r="CE95" s="17">
        <v>17688</v>
      </c>
      <c r="CF95" s="17">
        <f>SUM(CB95:CE95)</f>
        <v>41196</v>
      </c>
      <c r="CG95" s="17">
        <v>8213</v>
      </c>
      <c r="CH95" s="17">
        <v>11387</v>
      </c>
      <c r="CI95" s="17">
        <v>5471</v>
      </c>
      <c r="CJ95" s="17">
        <v>18881.3</v>
      </c>
      <c r="CK95" s="94">
        <f t="shared" si="103"/>
        <v>43952.3</v>
      </c>
      <c r="CL95" s="94">
        <v>7333</v>
      </c>
      <c r="CM95" s="94">
        <v>11534.6</v>
      </c>
      <c r="CN95" s="94"/>
      <c r="CO95" s="94"/>
      <c r="CP95" s="94">
        <v>6356.8</v>
      </c>
      <c r="CQ95" s="94">
        <v>19226.7</v>
      </c>
      <c r="CR95" s="94">
        <f t="shared" si="115"/>
        <v>44451.1</v>
      </c>
      <c r="CS95" s="94">
        <v>7681.6</v>
      </c>
      <c r="CT95" s="94">
        <f>10863-3+0.5</f>
        <v>10860.5</v>
      </c>
      <c r="CU95" s="94">
        <v>6938.2</v>
      </c>
      <c r="CV95" s="94">
        <v>20011.400000000001</v>
      </c>
      <c r="CW95" s="78">
        <f t="shared" si="60"/>
        <v>45491.7</v>
      </c>
      <c r="CX95" s="78">
        <f t="shared" si="116"/>
        <v>784.70000000000073</v>
      </c>
      <c r="CY95" s="78">
        <f t="shared" si="112"/>
        <v>4.081303603842577</v>
      </c>
      <c r="CZ95" s="12">
        <f t="shared" si="101"/>
        <v>498.79999999999927</v>
      </c>
      <c r="DA95" s="12">
        <f t="shared" si="102"/>
        <v>1.1348666622679571</v>
      </c>
      <c r="DB95" s="3"/>
      <c r="DC95" s="11"/>
      <c r="DD95" s="71"/>
      <c r="DE95" s="17"/>
      <c r="DF95" s="3"/>
      <c r="DG95" s="3"/>
    </row>
    <row r="96" spans="1:115" ht="6" customHeight="1" x14ac:dyDescent="0.2">
      <c r="B96" s="9"/>
      <c r="C96" s="3"/>
      <c r="D96" s="3"/>
      <c r="E96" s="8"/>
      <c r="F96" s="8"/>
      <c r="G96" s="17"/>
      <c r="H96" s="17"/>
      <c r="I96" s="17"/>
      <c r="J96" s="8"/>
      <c r="K96" s="17"/>
      <c r="L96" s="17"/>
      <c r="M96" s="17"/>
      <c r="N96" s="8"/>
      <c r="O96" s="17"/>
      <c r="P96" s="17"/>
      <c r="Q96" s="17"/>
      <c r="R96" s="17"/>
      <c r="S96" s="9"/>
      <c r="T96" s="9"/>
      <c r="U96" s="9"/>
      <c r="V96" s="11"/>
      <c r="X96" s="9"/>
      <c r="Z96" s="26"/>
      <c r="AB96" s="11"/>
      <c r="AC96" s="11"/>
      <c r="AE96" s="9"/>
      <c r="AG96" s="9"/>
      <c r="AH96" s="29"/>
      <c r="AI96" s="29"/>
      <c r="AJ96" s="29"/>
      <c r="AK96" s="60"/>
      <c r="AL96" s="25"/>
      <c r="AN96" s="29"/>
      <c r="AP96" s="4"/>
      <c r="AQ96" s="14"/>
      <c r="AR96" s="4"/>
      <c r="AS96" s="4"/>
      <c r="AT96" s="4"/>
      <c r="AU96" s="4"/>
      <c r="AV96" s="4"/>
      <c r="AW96" s="4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2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3"/>
      <c r="DC96" s="3"/>
      <c r="DD96" s="3"/>
      <c r="DE96" s="12"/>
      <c r="DF96" s="3"/>
      <c r="DG96" s="3"/>
    </row>
    <row r="97" spans="1:111" ht="5.25" customHeight="1" x14ac:dyDescent="0.2">
      <c r="B97" s="9"/>
      <c r="C97" s="3"/>
      <c r="D97" s="3"/>
      <c r="E97" s="8"/>
      <c r="F97" s="8"/>
      <c r="G97" s="17"/>
      <c r="H97" s="17"/>
      <c r="I97" s="17"/>
      <c r="J97" s="8"/>
      <c r="K97" s="17"/>
      <c r="L97" s="17"/>
      <c r="M97" s="17"/>
      <c r="N97" s="8"/>
      <c r="O97" s="17"/>
      <c r="P97" s="17"/>
      <c r="Q97" s="17"/>
      <c r="R97" s="17"/>
      <c r="S97" s="9"/>
      <c r="T97" s="9"/>
      <c r="U97" s="9"/>
      <c r="V97" s="9"/>
      <c r="X97" s="9"/>
      <c r="Z97" s="26"/>
      <c r="AC97" s="9"/>
      <c r="AE97" s="9"/>
      <c r="AG97" s="9"/>
      <c r="AK97" s="60"/>
      <c r="AP97" s="4"/>
      <c r="AQ97" s="4"/>
      <c r="AR97" s="4"/>
      <c r="AS97" s="4"/>
      <c r="AT97" s="4"/>
      <c r="AU97" s="4"/>
      <c r="AV97" s="4"/>
      <c r="AW97" s="4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DB97" s="3"/>
      <c r="DC97" s="3"/>
      <c r="DD97" s="3"/>
      <c r="DE97" s="17"/>
      <c r="DF97" s="3"/>
      <c r="DG97" s="3"/>
    </row>
    <row r="98" spans="1:111" ht="0.75" customHeight="1" x14ac:dyDescent="0.2">
      <c r="A98" s="38"/>
      <c r="B98" s="3"/>
      <c r="C98" s="3"/>
      <c r="D98" s="3"/>
      <c r="E98" s="8"/>
      <c r="F98" s="8"/>
      <c r="G98" s="17"/>
      <c r="H98" s="17"/>
      <c r="I98" s="17"/>
      <c r="J98" s="8"/>
      <c r="K98" s="8"/>
      <c r="L98" s="8"/>
      <c r="M98" s="17"/>
      <c r="N98" s="8"/>
      <c r="O98" s="17"/>
      <c r="P98" s="17"/>
      <c r="Q98" s="8"/>
      <c r="R98" s="22"/>
      <c r="S98" s="9"/>
      <c r="T98" s="9"/>
      <c r="U98" s="9"/>
      <c r="V98" s="9"/>
      <c r="X98" s="9"/>
      <c r="Z98" s="26"/>
      <c r="AC98" s="9"/>
      <c r="AE98" s="9"/>
      <c r="AG98" s="9"/>
      <c r="AK98" s="60"/>
      <c r="AP98" s="4"/>
      <c r="AR98" s="13"/>
      <c r="AS98" s="13"/>
      <c r="AT98" s="13"/>
      <c r="AU98" s="13"/>
      <c r="AV98" s="13"/>
      <c r="AW98" s="13"/>
      <c r="BK98" s="12">
        <f t="shared" si="118"/>
        <v>0</v>
      </c>
      <c r="BL98" s="12"/>
      <c r="BM98" s="12"/>
      <c r="BN98" s="12"/>
      <c r="BO98" s="12"/>
      <c r="BP98" s="12"/>
      <c r="BQ98" s="12"/>
      <c r="BR98" s="12"/>
      <c r="BS98" s="12"/>
      <c r="BT98" s="12"/>
      <c r="BV98" s="12"/>
      <c r="BW98" s="12"/>
      <c r="DB98" s="3"/>
      <c r="DC98" s="3"/>
      <c r="DD98" s="3"/>
      <c r="DE98" s="12"/>
      <c r="DF98" s="3"/>
      <c r="DG98" s="3"/>
    </row>
    <row r="99" spans="1:111" ht="12.75" hidden="1" customHeight="1" x14ac:dyDescent="0.2"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4"/>
      <c r="T99" s="34"/>
      <c r="U99" s="34"/>
      <c r="V99" s="34"/>
      <c r="X99" s="34"/>
      <c r="Z99" s="51"/>
      <c r="AA99" s="34"/>
      <c r="AC99" s="34"/>
      <c r="AE99" s="34"/>
      <c r="AG99" s="34"/>
      <c r="AH99" s="34"/>
      <c r="AI99" s="34"/>
      <c r="AJ99" s="34"/>
      <c r="AK99" s="60"/>
      <c r="AN99" s="34"/>
      <c r="AP99" s="4"/>
      <c r="AQ99" s="34"/>
      <c r="AR99" s="54">
        <f>+AR93+AR95</f>
        <v>55.199999999998909</v>
      </c>
      <c r="AS99" s="54">
        <f>+AS93+AS95</f>
        <v>-1038.3189999999995</v>
      </c>
      <c r="AT99" s="54">
        <f>+AT93+AT95</f>
        <v>-1635.9320000000007</v>
      </c>
      <c r="AU99" s="54">
        <f>+AU93+AU95</f>
        <v>5295.9200000000037</v>
      </c>
      <c r="AV99" s="54">
        <f>SUM(AR99:AU99)</f>
        <v>2676.8690000000024</v>
      </c>
      <c r="AW99" s="54">
        <f>+AW93+AW95</f>
        <v>-2477.1999999999971</v>
      </c>
      <c r="AX99" s="54">
        <f>+AX93+AX95</f>
        <v>-319.50000000000182</v>
      </c>
      <c r="AY99" s="54">
        <f>+AY93+AY95</f>
        <v>-1171.8000000000002</v>
      </c>
      <c r="AZ99" s="54">
        <f>+AZ93+AZ95</f>
        <v>5959.2199999999993</v>
      </c>
      <c r="BA99" s="54">
        <f>SUM(AW99:AZ99)</f>
        <v>1990.7200000000003</v>
      </c>
      <c r="BB99" s="54"/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4"/>
      <c r="BR99" s="54"/>
      <c r="BS99" s="54"/>
      <c r="BT99" s="54"/>
      <c r="BU99" s="54"/>
      <c r="BV99" s="54"/>
      <c r="BW99" s="54"/>
      <c r="BX99" s="54"/>
      <c r="BY99" s="54"/>
      <c r="BZ99" s="54"/>
      <c r="CA99" s="54"/>
      <c r="CB99" s="54"/>
      <c r="CC99" s="54"/>
      <c r="CD99" s="54"/>
      <c r="CE99" s="54"/>
      <c r="CF99" s="54"/>
      <c r="CG99" s="54"/>
      <c r="CH99" s="54"/>
      <c r="CI99" s="54"/>
      <c r="CJ99" s="54"/>
      <c r="CK99" s="54"/>
      <c r="CL99" s="54"/>
      <c r="CM99" s="54"/>
      <c r="CN99" s="54"/>
      <c r="CO99" s="54"/>
      <c r="CP99" s="54"/>
      <c r="CQ99" s="54"/>
      <c r="CR99" s="54"/>
      <c r="CS99" s="54"/>
      <c r="CT99" s="54"/>
      <c r="CU99" s="54"/>
      <c r="CV99" s="54"/>
      <c r="CW99" s="54"/>
      <c r="CX99" s="54"/>
      <c r="CY99" s="54"/>
      <c r="CZ99" s="54"/>
      <c r="DA99" s="54"/>
      <c r="DB99" s="3"/>
      <c r="DC99" s="3"/>
      <c r="DD99" s="3"/>
      <c r="DE99" s="30"/>
      <c r="DF99" s="3"/>
      <c r="DG99" s="3"/>
    </row>
    <row r="100" spans="1:111" ht="12.75" customHeight="1" x14ac:dyDescent="0.2">
      <c r="A100" s="16" t="s">
        <v>8</v>
      </c>
      <c r="B100" s="77" t="s">
        <v>106</v>
      </c>
      <c r="C100" s="102"/>
      <c r="D100" s="102"/>
      <c r="E100" s="102"/>
      <c r="F100" s="102"/>
      <c r="G100" s="102"/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3"/>
      <c r="T100" s="103"/>
      <c r="U100" s="103"/>
      <c r="V100" s="103"/>
      <c r="W100" s="77"/>
      <c r="X100" s="103"/>
      <c r="Y100" s="77"/>
      <c r="Z100" s="104"/>
      <c r="AA100" s="103"/>
      <c r="AB100" s="105"/>
      <c r="AC100" s="103"/>
      <c r="AD100" s="77"/>
      <c r="AE100" s="103"/>
      <c r="AF100" s="77"/>
      <c r="AG100" s="103"/>
      <c r="AH100" s="103"/>
      <c r="AI100" s="103"/>
      <c r="AJ100" s="103"/>
      <c r="AK100" s="106"/>
      <c r="AL100" s="107"/>
      <c r="AM100" s="77"/>
      <c r="AN100" s="103"/>
      <c r="AO100" s="77"/>
      <c r="AP100" s="77"/>
      <c r="AQ100" s="103"/>
      <c r="AR100" s="103"/>
      <c r="AS100" s="103"/>
      <c r="AT100" s="103"/>
      <c r="AU100" s="103"/>
      <c r="AV100" s="103"/>
      <c r="AW100" s="103"/>
      <c r="AX100" s="104"/>
      <c r="AY100" s="104"/>
      <c r="AZ100" s="104"/>
      <c r="BA100" s="104"/>
      <c r="BB100" s="104"/>
      <c r="BC100" s="104"/>
      <c r="BD100" s="104"/>
      <c r="BE100" s="104"/>
      <c r="BF100" s="104"/>
      <c r="BG100" s="104"/>
      <c r="BH100" s="104"/>
      <c r="BI100" s="104"/>
      <c r="BJ100" s="104"/>
      <c r="BK100" s="108"/>
      <c r="BL100" s="108"/>
      <c r="BM100" s="108"/>
      <c r="BN100" s="108"/>
      <c r="BO100" s="108"/>
      <c r="BP100" s="108"/>
      <c r="BQ100" s="108"/>
      <c r="BR100" s="108"/>
      <c r="BS100" s="108"/>
      <c r="BT100" s="108"/>
      <c r="BU100" s="104"/>
      <c r="BV100" s="108"/>
      <c r="BW100" s="108"/>
      <c r="BX100" s="104"/>
      <c r="BY100" s="104"/>
      <c r="BZ100" s="104"/>
      <c r="CA100" s="104"/>
      <c r="CB100" s="104"/>
      <c r="CC100" s="104"/>
      <c r="CD100" s="104"/>
      <c r="CE100" s="104"/>
      <c r="CF100" s="104"/>
      <c r="CG100" s="104"/>
      <c r="CH100" s="104"/>
      <c r="CI100" s="104"/>
      <c r="CJ100" s="104"/>
      <c r="CK100" s="104"/>
      <c r="CL100" s="104"/>
      <c r="CM100" s="104"/>
      <c r="CN100" s="104"/>
      <c r="CO100" s="104"/>
      <c r="CP100" s="104"/>
      <c r="CQ100" s="104"/>
      <c r="CR100" s="104"/>
      <c r="CS100" s="104"/>
      <c r="CT100" s="104"/>
      <c r="CU100" s="104"/>
      <c r="CV100" s="104"/>
      <c r="CW100" s="104"/>
      <c r="CX100" s="104"/>
      <c r="CY100" s="104"/>
      <c r="CZ100" s="104"/>
      <c r="DA100" s="104"/>
      <c r="DB100" s="3"/>
      <c r="DC100" s="3"/>
      <c r="DD100" s="3"/>
      <c r="DE100" s="12"/>
      <c r="DF100" s="3"/>
      <c r="DG100" s="3"/>
    </row>
    <row r="101" spans="1:111" ht="12.75" customHeight="1" x14ac:dyDescent="0.2">
      <c r="B101" s="77" t="s">
        <v>101</v>
      </c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3"/>
      <c r="T101" s="103"/>
      <c r="U101" s="103"/>
      <c r="V101" s="103"/>
      <c r="W101" s="77"/>
      <c r="X101" s="103"/>
      <c r="Y101" s="77"/>
      <c r="Z101" s="104"/>
      <c r="AA101" s="103"/>
      <c r="AB101" s="105"/>
      <c r="AC101" s="103"/>
      <c r="AD101" s="77"/>
      <c r="AE101" s="103"/>
      <c r="AF101" s="77"/>
      <c r="AG101" s="103"/>
      <c r="AH101" s="103"/>
      <c r="AI101" s="103"/>
      <c r="AJ101" s="103"/>
      <c r="AK101" s="106"/>
      <c r="AL101" s="107"/>
      <c r="AM101" s="77"/>
      <c r="AN101" s="103"/>
      <c r="AO101" s="77"/>
      <c r="AP101" s="77"/>
      <c r="AQ101" s="103"/>
      <c r="AR101" s="103"/>
      <c r="AS101" s="103"/>
      <c r="AT101" s="103"/>
      <c r="AU101" s="103"/>
      <c r="AV101" s="103"/>
      <c r="AW101" s="103"/>
      <c r="AX101" s="104"/>
      <c r="AY101" s="104"/>
      <c r="AZ101" s="104"/>
      <c r="BA101" s="104"/>
      <c r="BB101" s="104"/>
      <c r="BC101" s="104"/>
      <c r="BD101" s="104"/>
      <c r="BE101" s="104"/>
      <c r="BF101" s="104"/>
      <c r="BG101" s="104"/>
      <c r="BH101" s="104"/>
      <c r="BI101" s="104"/>
      <c r="BJ101" s="104"/>
      <c r="BK101" s="108"/>
      <c r="BL101" s="108"/>
      <c r="BM101" s="108"/>
      <c r="BN101" s="108"/>
      <c r="BO101" s="108"/>
      <c r="BP101" s="108"/>
      <c r="BQ101" s="108"/>
      <c r="BR101" s="108"/>
      <c r="BS101" s="108"/>
      <c r="BT101" s="108"/>
      <c r="BU101" s="104"/>
      <c r="BV101" s="108"/>
      <c r="BW101" s="108"/>
      <c r="BX101" s="104"/>
      <c r="BY101" s="104"/>
      <c r="BZ101" s="104"/>
      <c r="CA101" s="104"/>
      <c r="CB101" s="104"/>
      <c r="CC101" s="104"/>
      <c r="CD101" s="104"/>
      <c r="CE101" s="104"/>
      <c r="CF101" s="104"/>
      <c r="CG101" s="104"/>
      <c r="CH101" s="104"/>
      <c r="CI101" s="104"/>
      <c r="CJ101" s="104"/>
      <c r="CK101" s="104"/>
      <c r="CL101" s="104"/>
      <c r="CM101" s="104"/>
      <c r="CN101" s="104"/>
      <c r="CO101" s="104"/>
      <c r="CP101" s="104"/>
      <c r="CQ101" s="104"/>
      <c r="CR101" s="104"/>
      <c r="CS101" s="104"/>
      <c r="CT101" s="104"/>
      <c r="CU101" s="104"/>
      <c r="CV101" s="104"/>
      <c r="CW101" s="104"/>
      <c r="CX101" s="104"/>
      <c r="CY101" s="104"/>
      <c r="CZ101" s="104"/>
      <c r="DA101" s="104"/>
      <c r="DB101" s="3"/>
      <c r="DC101" s="3"/>
      <c r="DD101" s="3"/>
      <c r="DE101" s="17"/>
      <c r="DF101" s="3"/>
      <c r="DG101" s="3"/>
    </row>
    <row r="102" spans="1:111" ht="9" customHeight="1" x14ac:dyDescent="0.2">
      <c r="B102" s="102"/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3"/>
      <c r="T102" s="103"/>
      <c r="U102" s="103"/>
      <c r="V102" s="103"/>
      <c r="W102" s="77"/>
      <c r="X102" s="103"/>
      <c r="Y102" s="77"/>
      <c r="Z102" s="104"/>
      <c r="AA102" s="103"/>
      <c r="AB102" s="105"/>
      <c r="AC102" s="103"/>
      <c r="AD102" s="77"/>
      <c r="AE102" s="103"/>
      <c r="AF102" s="77"/>
      <c r="AG102" s="103"/>
      <c r="AH102" s="103"/>
      <c r="AI102" s="103"/>
      <c r="AJ102" s="103"/>
      <c r="AK102" s="106"/>
      <c r="AL102" s="107"/>
      <c r="AM102" s="77"/>
      <c r="AN102" s="103"/>
      <c r="AO102" s="77"/>
      <c r="AP102" s="77"/>
      <c r="AQ102" s="103"/>
      <c r="AR102" s="103"/>
      <c r="AS102" s="103"/>
      <c r="AT102" s="103"/>
      <c r="AU102" s="103"/>
      <c r="AV102" s="103"/>
      <c r="AW102" s="103"/>
      <c r="AX102" s="104"/>
      <c r="AY102" s="104"/>
      <c r="AZ102" s="104"/>
      <c r="BA102" s="104"/>
      <c r="BB102" s="104"/>
      <c r="BC102" s="104"/>
      <c r="BD102" s="104"/>
      <c r="BE102" s="104"/>
      <c r="BF102" s="104"/>
      <c r="BG102" s="104"/>
      <c r="BH102" s="104"/>
      <c r="BI102" s="104"/>
      <c r="BJ102" s="104"/>
      <c r="BK102" s="104"/>
      <c r="BL102" s="104"/>
      <c r="BM102" s="104"/>
      <c r="BN102" s="104"/>
      <c r="BO102" s="104"/>
      <c r="BP102" s="104"/>
      <c r="BQ102" s="104"/>
      <c r="BR102" s="104"/>
      <c r="BS102" s="104"/>
      <c r="BT102" s="104"/>
      <c r="BU102" s="104"/>
      <c r="BV102" s="104"/>
      <c r="BW102" s="104"/>
      <c r="BX102" s="104"/>
      <c r="BY102" s="104"/>
      <c r="BZ102" s="104"/>
      <c r="CA102" s="104"/>
      <c r="CB102" s="104"/>
      <c r="CC102" s="104"/>
      <c r="CD102" s="104"/>
      <c r="CE102" s="104"/>
      <c r="CF102" s="104"/>
      <c r="CG102" s="104"/>
      <c r="CH102" s="104"/>
      <c r="CI102" s="104"/>
      <c r="CJ102" s="104"/>
      <c r="CK102" s="104"/>
      <c r="CL102" s="104"/>
      <c r="CM102" s="104"/>
      <c r="CN102" s="104"/>
      <c r="CO102" s="104"/>
      <c r="CP102" s="104"/>
      <c r="CQ102" s="104"/>
      <c r="CR102" s="104"/>
      <c r="CS102" s="104"/>
      <c r="CT102" s="104"/>
      <c r="CU102" s="104"/>
      <c r="CV102" s="104"/>
      <c r="CW102" s="104"/>
      <c r="CX102" s="104"/>
      <c r="CY102" s="104"/>
      <c r="CZ102" s="104"/>
      <c r="DA102" s="104"/>
      <c r="DB102" s="3"/>
      <c r="DC102" s="3"/>
      <c r="DD102" s="3"/>
      <c r="DE102" s="3"/>
      <c r="DF102" s="3"/>
      <c r="DG102" s="3"/>
    </row>
    <row r="103" spans="1:111" x14ac:dyDescent="0.2">
      <c r="A103" s="16" t="s">
        <v>9</v>
      </c>
      <c r="B103" s="77" t="s">
        <v>90</v>
      </c>
      <c r="C103" s="77"/>
      <c r="D103" s="77"/>
      <c r="E103" s="77"/>
      <c r="F103" s="77"/>
      <c r="G103" s="107"/>
      <c r="H103" s="107"/>
      <c r="I103" s="107"/>
      <c r="J103" s="77"/>
      <c r="K103" s="77"/>
      <c r="L103" s="105"/>
      <c r="M103" s="107"/>
      <c r="N103" s="77"/>
      <c r="O103" s="105"/>
      <c r="P103" s="105"/>
      <c r="Q103" s="105"/>
      <c r="R103" s="109"/>
      <c r="S103" s="110"/>
      <c r="T103" s="110"/>
      <c r="U103" s="110"/>
      <c r="V103" s="110"/>
      <c r="W103" s="77"/>
      <c r="X103" s="110"/>
      <c r="Y103" s="77"/>
      <c r="Z103" s="111"/>
      <c r="AA103" s="76"/>
      <c r="AB103" s="105"/>
      <c r="AC103" s="110"/>
      <c r="AD103" s="77"/>
      <c r="AE103" s="110"/>
      <c r="AF103" s="77"/>
      <c r="AG103" s="110"/>
      <c r="AH103" s="76"/>
      <c r="AI103" s="76"/>
      <c r="AJ103" s="76"/>
      <c r="AK103" s="106"/>
      <c r="AL103" s="107"/>
      <c r="AM103" s="77"/>
      <c r="AN103" s="76"/>
      <c r="AO103" s="77"/>
      <c r="AP103" s="77"/>
      <c r="AQ103" s="76"/>
      <c r="AR103" s="76"/>
      <c r="AS103" s="76"/>
      <c r="AT103" s="76"/>
      <c r="AU103" s="76"/>
      <c r="AV103" s="76"/>
      <c r="AW103" s="76"/>
      <c r="AX103" s="108"/>
      <c r="AY103" s="108"/>
      <c r="AZ103" s="108"/>
      <c r="BA103" s="108"/>
      <c r="BB103" s="108"/>
      <c r="BC103" s="108"/>
      <c r="BD103" s="108"/>
      <c r="BE103" s="108"/>
      <c r="BF103" s="108"/>
      <c r="BG103" s="108"/>
      <c r="BH103" s="108"/>
      <c r="BI103" s="108"/>
      <c r="BJ103" s="108"/>
      <c r="BK103" s="108"/>
      <c r="BL103" s="108"/>
      <c r="BM103" s="108"/>
      <c r="BN103" s="108"/>
      <c r="BO103" s="108"/>
      <c r="BP103" s="108"/>
      <c r="BQ103" s="108"/>
      <c r="BR103" s="108"/>
      <c r="BS103" s="108"/>
      <c r="BT103" s="108"/>
      <c r="BU103" s="108"/>
      <c r="BV103" s="108"/>
      <c r="BW103" s="108"/>
      <c r="BX103" s="108"/>
      <c r="BY103" s="108"/>
      <c r="BZ103" s="108"/>
      <c r="CA103" s="108"/>
      <c r="CB103" s="108"/>
      <c r="CC103" s="108"/>
      <c r="CD103" s="108"/>
      <c r="CE103" s="108"/>
      <c r="CF103" s="108"/>
      <c r="CG103" s="108"/>
      <c r="CH103" s="108"/>
      <c r="CI103" s="108"/>
      <c r="CJ103" s="108"/>
      <c r="CK103" s="108"/>
      <c r="CL103" s="108"/>
      <c r="CM103" s="108"/>
      <c r="CN103" s="108"/>
      <c r="CO103" s="108"/>
      <c r="CP103" s="108"/>
      <c r="CQ103" s="108"/>
      <c r="CR103" s="108"/>
      <c r="CS103" s="108"/>
      <c r="CT103" s="108"/>
      <c r="CU103" s="108"/>
      <c r="CV103" s="108"/>
      <c r="CW103" s="108"/>
      <c r="CX103" s="108"/>
      <c r="CY103" s="108"/>
      <c r="CZ103" s="108"/>
      <c r="DA103" s="108"/>
      <c r="DB103" s="3"/>
      <c r="DC103" s="3"/>
      <c r="DD103" s="3"/>
      <c r="DE103" s="3"/>
      <c r="DF103" s="3"/>
      <c r="DG103" s="3"/>
    </row>
    <row r="104" spans="1:111" ht="12.75" customHeight="1" x14ac:dyDescent="0.2">
      <c r="B104" s="77" t="s">
        <v>96</v>
      </c>
      <c r="C104" s="77"/>
      <c r="D104" s="77"/>
      <c r="E104" s="77"/>
      <c r="F104" s="77"/>
      <c r="G104" s="107"/>
      <c r="H104" s="107"/>
      <c r="I104" s="107"/>
      <c r="J104" s="77"/>
      <c r="K104" s="77"/>
      <c r="L104" s="77"/>
      <c r="M104" s="107"/>
      <c r="N104" s="77"/>
      <c r="O104" s="77"/>
      <c r="P104" s="77"/>
      <c r="Q104" s="77"/>
      <c r="R104" s="107"/>
      <c r="S104" s="76"/>
      <c r="T104" s="76"/>
      <c r="U104" s="76"/>
      <c r="V104" s="76"/>
      <c r="W104" s="77"/>
      <c r="X104" s="76"/>
      <c r="Y104" s="77"/>
      <c r="Z104" s="108"/>
      <c r="AA104" s="76"/>
      <c r="AB104" s="105"/>
      <c r="AC104" s="76"/>
      <c r="AD104" s="77"/>
      <c r="AE104" s="76"/>
      <c r="AF104" s="77"/>
      <c r="AG104" s="76"/>
      <c r="AH104" s="76"/>
      <c r="AI104" s="76"/>
      <c r="AJ104" s="76"/>
      <c r="AK104" s="106"/>
      <c r="AL104" s="107"/>
      <c r="AM104" s="77"/>
      <c r="AN104" s="76"/>
      <c r="AO104" s="77"/>
      <c r="AP104" s="77"/>
      <c r="AQ104" s="76"/>
      <c r="AR104" s="76"/>
      <c r="AS104" s="76"/>
      <c r="AT104" s="76"/>
      <c r="AU104" s="76"/>
      <c r="AV104" s="76"/>
      <c r="AW104" s="76"/>
      <c r="AX104" s="108"/>
      <c r="AY104" s="108"/>
      <c r="AZ104" s="108"/>
      <c r="BA104" s="108"/>
      <c r="BB104" s="108"/>
      <c r="BC104" s="108"/>
      <c r="BD104" s="108"/>
      <c r="BE104" s="108"/>
      <c r="BF104" s="108"/>
      <c r="BG104" s="108"/>
      <c r="BH104" s="108"/>
      <c r="BI104" s="108"/>
      <c r="BJ104" s="108"/>
      <c r="BK104" s="108"/>
      <c r="BL104" s="108"/>
      <c r="BM104" s="108"/>
      <c r="BN104" s="108"/>
      <c r="BO104" s="108"/>
      <c r="BP104" s="108"/>
      <c r="BQ104" s="108"/>
      <c r="BR104" s="108"/>
      <c r="BS104" s="108"/>
      <c r="BT104" s="108"/>
      <c r="BU104" s="108"/>
      <c r="BV104" s="108"/>
      <c r="BW104" s="108"/>
      <c r="BX104" s="108"/>
      <c r="BY104" s="108"/>
      <c r="BZ104" s="108"/>
      <c r="CA104" s="108"/>
      <c r="CB104" s="108"/>
      <c r="CC104" s="108"/>
      <c r="CD104" s="108"/>
      <c r="CE104" s="108"/>
      <c r="CF104" s="108"/>
      <c r="CG104" s="108"/>
      <c r="CH104" s="108"/>
      <c r="CI104" s="108"/>
      <c r="CJ104" s="108"/>
      <c r="CK104" s="108"/>
      <c r="CL104" s="108"/>
      <c r="CM104" s="108"/>
      <c r="CN104" s="108"/>
      <c r="CO104" s="108"/>
      <c r="CP104" s="108"/>
      <c r="CQ104" s="108"/>
      <c r="CR104" s="108"/>
      <c r="CS104" s="108"/>
      <c r="CT104" s="108"/>
      <c r="CU104" s="108"/>
      <c r="CV104" s="108"/>
      <c r="CW104" s="108"/>
      <c r="CX104" s="108"/>
      <c r="CY104" s="108"/>
      <c r="CZ104" s="108"/>
      <c r="DA104" s="108"/>
      <c r="DB104" s="3"/>
      <c r="DC104" s="3"/>
      <c r="DD104" s="3"/>
      <c r="DE104" s="3"/>
      <c r="DF104" s="3"/>
      <c r="DG104" s="3"/>
    </row>
    <row r="105" spans="1:111" ht="14.25" customHeight="1" x14ac:dyDescent="0.2">
      <c r="B105" s="77" t="s">
        <v>104</v>
      </c>
      <c r="C105" s="77"/>
      <c r="D105" s="77"/>
      <c r="E105" s="77"/>
      <c r="F105" s="112"/>
      <c r="G105" s="113"/>
      <c r="H105" s="113"/>
      <c r="I105" s="113"/>
      <c r="J105" s="112"/>
      <c r="K105" s="112"/>
      <c r="L105" s="105"/>
      <c r="M105" s="107"/>
      <c r="N105" s="77"/>
      <c r="O105" s="77"/>
      <c r="P105" s="77"/>
      <c r="Q105" s="105"/>
      <c r="R105" s="107"/>
      <c r="S105" s="76"/>
      <c r="T105" s="76"/>
      <c r="U105" s="76"/>
      <c r="V105" s="76"/>
      <c r="W105" s="77"/>
      <c r="X105" s="76"/>
      <c r="Y105" s="77"/>
      <c r="Z105" s="108"/>
      <c r="AA105" s="76"/>
      <c r="AB105" s="105"/>
      <c r="AC105" s="76"/>
      <c r="AD105" s="77"/>
      <c r="AE105" s="76"/>
      <c r="AF105" s="77"/>
      <c r="AG105" s="76"/>
      <c r="AH105" s="76"/>
      <c r="AI105" s="76"/>
      <c r="AJ105" s="76"/>
      <c r="AK105" s="106"/>
      <c r="AL105" s="107"/>
      <c r="AM105" s="77"/>
      <c r="AN105" s="76"/>
      <c r="AO105" s="77"/>
      <c r="AP105" s="77"/>
      <c r="AQ105" s="76"/>
      <c r="AR105" s="76"/>
      <c r="AS105" s="76"/>
      <c r="AT105" s="76"/>
      <c r="AU105" s="76"/>
      <c r="AV105" s="76"/>
      <c r="AW105" s="76"/>
      <c r="AX105" s="108"/>
      <c r="AY105" s="108"/>
      <c r="AZ105" s="108"/>
      <c r="BA105" s="108"/>
      <c r="BB105" s="108"/>
      <c r="BC105" s="108"/>
      <c r="BD105" s="108"/>
      <c r="BE105" s="108"/>
      <c r="BF105" s="108"/>
      <c r="BG105" s="108"/>
      <c r="BH105" s="108"/>
      <c r="BI105" s="108"/>
      <c r="BJ105" s="108"/>
      <c r="BK105" s="108"/>
      <c r="BL105" s="108"/>
      <c r="BM105" s="108"/>
      <c r="BN105" s="108"/>
      <c r="BO105" s="108"/>
      <c r="BP105" s="108"/>
      <c r="BQ105" s="108"/>
      <c r="BR105" s="108"/>
      <c r="BS105" s="108"/>
      <c r="BT105" s="108"/>
      <c r="BU105" s="108"/>
      <c r="BV105" s="108"/>
      <c r="BW105" s="108"/>
      <c r="BX105" s="108"/>
      <c r="BY105" s="108"/>
      <c r="BZ105" s="108"/>
      <c r="CA105" s="108"/>
      <c r="CB105" s="108"/>
      <c r="CC105" s="108"/>
      <c r="CD105" s="108"/>
      <c r="CE105" s="108"/>
      <c r="CF105" s="108"/>
      <c r="CG105" s="108"/>
      <c r="CH105" s="108"/>
      <c r="CI105" s="108"/>
      <c r="CJ105" s="108"/>
      <c r="CK105" s="108"/>
      <c r="CL105" s="108"/>
      <c r="CM105" s="108"/>
      <c r="CN105" s="108"/>
      <c r="CO105" s="108"/>
      <c r="CP105" s="108"/>
      <c r="CQ105" s="108"/>
      <c r="CR105" s="108"/>
      <c r="CS105" s="108"/>
      <c r="CT105" s="108"/>
      <c r="CU105" s="108"/>
      <c r="CV105" s="108"/>
      <c r="CW105" s="108"/>
      <c r="CX105" s="108"/>
      <c r="CY105" s="108"/>
      <c r="CZ105" s="108"/>
      <c r="DA105" s="108"/>
      <c r="DB105" s="3"/>
      <c r="DC105" s="3"/>
      <c r="DD105" s="3"/>
      <c r="DE105" s="3"/>
      <c r="DF105" s="3"/>
      <c r="DG105" s="3"/>
    </row>
    <row r="106" spans="1:111" ht="12.75" hidden="1" customHeight="1" x14ac:dyDescent="0.2">
      <c r="A106" s="16" t="s">
        <v>95</v>
      </c>
      <c r="B106" s="77" t="s">
        <v>97</v>
      </c>
      <c r="C106" s="77"/>
      <c r="D106" s="77"/>
      <c r="E106" s="77"/>
      <c r="F106" s="112"/>
      <c r="G106" s="113"/>
      <c r="H106" s="113"/>
      <c r="I106" s="113"/>
      <c r="J106" s="112"/>
      <c r="K106" s="112"/>
      <c r="L106" s="105"/>
      <c r="M106" s="107"/>
      <c r="N106" s="77"/>
      <c r="O106" s="77"/>
      <c r="P106" s="77"/>
      <c r="Q106" s="105"/>
      <c r="R106" s="107"/>
      <c r="S106" s="76"/>
      <c r="T106" s="76"/>
      <c r="U106" s="76"/>
      <c r="V106" s="76"/>
      <c r="W106" s="77"/>
      <c r="X106" s="76"/>
      <c r="Y106" s="77"/>
      <c r="Z106" s="108"/>
      <c r="AA106" s="76"/>
      <c r="AB106" s="105"/>
      <c r="AC106" s="76"/>
      <c r="AD106" s="77"/>
      <c r="AE106" s="76"/>
      <c r="AF106" s="77"/>
      <c r="AG106" s="76"/>
      <c r="AH106" s="76"/>
      <c r="AI106" s="76"/>
      <c r="AJ106" s="76"/>
      <c r="AK106" s="106"/>
      <c r="AL106" s="107"/>
      <c r="AM106" s="77"/>
      <c r="AN106" s="76"/>
      <c r="AO106" s="77"/>
      <c r="AP106" s="77"/>
      <c r="AQ106" s="76"/>
      <c r="AR106" s="76"/>
      <c r="AS106" s="76"/>
      <c r="AT106" s="76"/>
      <c r="AU106" s="76"/>
      <c r="AV106" s="76"/>
      <c r="AW106" s="76"/>
      <c r="AX106" s="108"/>
      <c r="AY106" s="108"/>
      <c r="AZ106" s="108"/>
      <c r="BA106" s="108"/>
      <c r="BB106" s="108"/>
      <c r="BC106" s="108"/>
      <c r="BD106" s="108"/>
      <c r="BE106" s="108"/>
      <c r="BF106" s="108"/>
      <c r="BG106" s="108"/>
      <c r="BH106" s="108"/>
      <c r="BI106" s="108"/>
      <c r="BJ106" s="108"/>
      <c r="BK106" s="108"/>
      <c r="BL106" s="108"/>
      <c r="BM106" s="108"/>
      <c r="BN106" s="108"/>
      <c r="BO106" s="108"/>
      <c r="BP106" s="108"/>
      <c r="BQ106" s="108"/>
      <c r="BR106" s="108"/>
      <c r="BS106" s="108"/>
      <c r="BT106" s="108"/>
      <c r="BU106" s="108"/>
      <c r="BV106" s="108"/>
      <c r="BW106" s="108"/>
      <c r="BX106" s="108"/>
      <c r="BY106" s="108"/>
      <c r="BZ106" s="108"/>
      <c r="CA106" s="108"/>
      <c r="CB106" s="108"/>
      <c r="CC106" s="108"/>
      <c r="CD106" s="108"/>
      <c r="CE106" s="108"/>
      <c r="CF106" s="108"/>
      <c r="CG106" s="108"/>
      <c r="CH106" s="108"/>
      <c r="CI106" s="108"/>
      <c r="CJ106" s="108"/>
      <c r="CK106" s="108"/>
      <c r="CL106" s="108"/>
      <c r="CM106" s="108"/>
      <c r="CN106" s="108"/>
      <c r="CO106" s="108"/>
      <c r="CP106" s="108"/>
      <c r="CQ106" s="108"/>
      <c r="CR106" s="108"/>
      <c r="CS106" s="108"/>
      <c r="CT106" s="108"/>
      <c r="CU106" s="108"/>
      <c r="CV106" s="108"/>
      <c r="CW106" s="108"/>
      <c r="CX106" s="108"/>
      <c r="CY106" s="108"/>
      <c r="CZ106" s="108"/>
      <c r="DA106" s="108"/>
    </row>
    <row r="107" spans="1:111" ht="12.75" hidden="1" customHeight="1" x14ac:dyDescent="0.2">
      <c r="B107" s="77" t="s">
        <v>98</v>
      </c>
      <c r="C107" s="77"/>
      <c r="D107" s="77"/>
      <c r="E107" s="77"/>
      <c r="F107" s="112"/>
      <c r="G107" s="113"/>
      <c r="H107" s="113"/>
      <c r="I107" s="113"/>
      <c r="J107" s="112"/>
      <c r="K107" s="112"/>
      <c r="L107" s="105"/>
      <c r="M107" s="107"/>
      <c r="N107" s="77"/>
      <c r="O107" s="77"/>
      <c r="P107" s="77"/>
      <c r="Q107" s="105"/>
      <c r="R107" s="107"/>
      <c r="S107" s="76"/>
      <c r="T107" s="76"/>
      <c r="U107" s="76"/>
      <c r="V107" s="76"/>
      <c r="W107" s="77"/>
      <c r="X107" s="76"/>
      <c r="Y107" s="77"/>
      <c r="Z107" s="108"/>
      <c r="AA107" s="76"/>
      <c r="AB107" s="105"/>
      <c r="AC107" s="76"/>
      <c r="AD107" s="77"/>
      <c r="AE107" s="76"/>
      <c r="AF107" s="77"/>
      <c r="AG107" s="76"/>
      <c r="AH107" s="76"/>
      <c r="AI107" s="76"/>
      <c r="AJ107" s="76"/>
      <c r="AK107" s="106"/>
      <c r="AL107" s="107"/>
      <c r="AM107" s="77"/>
      <c r="AN107" s="76"/>
      <c r="AO107" s="77"/>
      <c r="AP107" s="77"/>
      <c r="AQ107" s="76"/>
      <c r="AR107" s="76"/>
      <c r="AS107" s="76"/>
      <c r="AT107" s="76"/>
      <c r="AU107" s="76"/>
      <c r="AV107" s="76"/>
      <c r="AW107" s="76"/>
      <c r="AX107" s="108"/>
      <c r="AY107" s="108"/>
      <c r="AZ107" s="108"/>
      <c r="BA107" s="108"/>
      <c r="BB107" s="108"/>
      <c r="BC107" s="108"/>
      <c r="BD107" s="108"/>
      <c r="BE107" s="108"/>
      <c r="BF107" s="108"/>
      <c r="BG107" s="108"/>
      <c r="BH107" s="108"/>
      <c r="BI107" s="108"/>
      <c r="BJ107" s="108"/>
      <c r="BK107" s="108"/>
      <c r="BL107" s="108"/>
      <c r="BM107" s="108"/>
      <c r="BN107" s="108"/>
      <c r="BO107" s="108"/>
      <c r="BP107" s="108"/>
      <c r="BQ107" s="108"/>
      <c r="BR107" s="108"/>
      <c r="BS107" s="108"/>
      <c r="BT107" s="108"/>
      <c r="BU107" s="108"/>
      <c r="BV107" s="108"/>
      <c r="BW107" s="108"/>
      <c r="BX107" s="108"/>
      <c r="BY107" s="108"/>
      <c r="BZ107" s="108"/>
      <c r="CA107" s="108"/>
      <c r="CB107" s="108"/>
      <c r="CC107" s="108"/>
      <c r="CD107" s="108"/>
      <c r="CE107" s="108"/>
      <c r="CF107" s="108"/>
      <c r="CG107" s="108"/>
      <c r="CH107" s="108"/>
      <c r="CI107" s="108"/>
      <c r="CJ107" s="108"/>
      <c r="CK107" s="108"/>
      <c r="CL107" s="108"/>
      <c r="CM107" s="108"/>
      <c r="CN107" s="108"/>
      <c r="CO107" s="108"/>
      <c r="CP107" s="108"/>
      <c r="CQ107" s="108"/>
      <c r="CR107" s="108"/>
      <c r="CS107" s="108"/>
      <c r="CT107" s="108"/>
      <c r="CU107" s="108"/>
      <c r="CV107" s="108"/>
      <c r="CW107" s="108"/>
      <c r="CX107" s="108"/>
      <c r="CY107" s="108"/>
      <c r="CZ107" s="108"/>
      <c r="DA107" s="108"/>
    </row>
    <row r="108" spans="1:111" ht="12.75" hidden="1" customHeight="1" x14ac:dyDescent="0.2">
      <c r="B108" s="77" t="s">
        <v>99</v>
      </c>
      <c r="C108" s="77"/>
      <c r="D108" s="77"/>
      <c r="E108" s="77"/>
      <c r="F108" s="77"/>
      <c r="G108" s="107"/>
      <c r="H108" s="107"/>
      <c r="I108" s="107"/>
      <c r="J108" s="77"/>
      <c r="K108" s="77"/>
      <c r="L108" s="77"/>
      <c r="M108" s="107"/>
      <c r="N108" s="77"/>
      <c r="O108" s="77"/>
      <c r="P108" s="77"/>
      <c r="Q108" s="77"/>
      <c r="R108" s="107"/>
      <c r="S108" s="76"/>
      <c r="T108" s="76"/>
      <c r="U108" s="76"/>
      <c r="V108" s="76"/>
      <c r="W108" s="77"/>
      <c r="X108" s="76"/>
      <c r="Y108" s="77"/>
      <c r="Z108" s="108"/>
      <c r="AA108" s="76"/>
      <c r="AB108" s="105"/>
      <c r="AC108" s="76"/>
      <c r="AD108" s="77"/>
      <c r="AE108" s="76"/>
      <c r="AF108" s="77"/>
      <c r="AG108" s="76"/>
      <c r="AH108" s="76"/>
      <c r="AI108" s="76"/>
      <c r="AJ108" s="76"/>
      <c r="AK108" s="106"/>
      <c r="AL108" s="107"/>
      <c r="AM108" s="77"/>
      <c r="AN108" s="76"/>
      <c r="AO108" s="77"/>
      <c r="AP108" s="77"/>
      <c r="AQ108" s="76"/>
      <c r="AR108" s="76"/>
      <c r="AS108" s="76"/>
      <c r="AT108" s="76"/>
      <c r="AU108" s="76"/>
      <c r="AV108" s="76"/>
      <c r="AW108" s="76"/>
      <c r="AX108" s="108"/>
      <c r="AY108" s="108"/>
      <c r="AZ108" s="108"/>
      <c r="BA108" s="108"/>
      <c r="BB108" s="108"/>
      <c r="BC108" s="108"/>
      <c r="BD108" s="108"/>
      <c r="BE108" s="108"/>
      <c r="BF108" s="108"/>
      <c r="BG108" s="108"/>
      <c r="BH108" s="108"/>
      <c r="BI108" s="108"/>
      <c r="BJ108" s="108"/>
      <c r="BK108" s="108"/>
      <c r="BL108" s="108"/>
      <c r="BM108" s="108"/>
      <c r="BN108" s="108"/>
      <c r="BO108" s="108"/>
      <c r="BP108" s="108"/>
      <c r="BQ108" s="108"/>
      <c r="BR108" s="108"/>
      <c r="BS108" s="108"/>
      <c r="BT108" s="108"/>
      <c r="BU108" s="108"/>
      <c r="BV108" s="108"/>
      <c r="BW108" s="108"/>
      <c r="BX108" s="108"/>
      <c r="BY108" s="108"/>
      <c r="BZ108" s="108"/>
      <c r="CA108" s="108"/>
      <c r="CB108" s="108"/>
      <c r="CC108" s="108"/>
      <c r="CD108" s="108"/>
      <c r="CE108" s="108"/>
      <c r="CF108" s="108"/>
      <c r="CG108" s="108"/>
      <c r="CH108" s="108"/>
      <c r="CI108" s="108"/>
      <c r="CJ108" s="108"/>
      <c r="CK108" s="108"/>
      <c r="CL108" s="108"/>
      <c r="CM108" s="108"/>
      <c r="CN108" s="108"/>
      <c r="CO108" s="108"/>
      <c r="CP108" s="108"/>
      <c r="CQ108" s="108"/>
      <c r="CR108" s="108"/>
      <c r="CS108" s="108"/>
      <c r="CT108" s="108"/>
      <c r="CU108" s="108"/>
      <c r="CV108" s="108"/>
      <c r="CW108" s="108"/>
      <c r="CX108" s="108"/>
      <c r="CY108" s="108"/>
      <c r="CZ108" s="108"/>
      <c r="DA108" s="108"/>
    </row>
    <row r="109" spans="1:111" ht="8.25" customHeight="1" x14ac:dyDescent="0.2">
      <c r="B109" s="77"/>
      <c r="C109" s="77"/>
      <c r="D109" s="77"/>
      <c r="E109" s="77"/>
      <c r="F109" s="77"/>
      <c r="G109" s="107"/>
      <c r="H109" s="107"/>
      <c r="I109" s="107"/>
      <c r="J109" s="77"/>
      <c r="K109" s="77"/>
      <c r="L109" s="77"/>
      <c r="M109" s="107"/>
      <c r="N109" s="77"/>
      <c r="O109" s="77"/>
      <c r="P109" s="77"/>
      <c r="Q109" s="77"/>
      <c r="R109" s="107"/>
      <c r="S109" s="76"/>
      <c r="T109" s="76"/>
      <c r="U109" s="76"/>
      <c r="V109" s="76"/>
      <c r="W109" s="77"/>
      <c r="X109" s="76"/>
      <c r="Y109" s="77"/>
      <c r="Z109" s="108"/>
      <c r="AA109" s="76"/>
      <c r="AB109" s="105"/>
      <c r="AC109" s="76"/>
      <c r="AD109" s="77"/>
      <c r="AE109" s="76"/>
      <c r="AF109" s="77"/>
      <c r="AG109" s="76"/>
      <c r="AH109" s="76"/>
      <c r="AI109" s="76"/>
      <c r="AJ109" s="76"/>
      <c r="AK109" s="106"/>
      <c r="AL109" s="107"/>
      <c r="AM109" s="77"/>
      <c r="AN109" s="76"/>
      <c r="AO109" s="77"/>
      <c r="AP109" s="77"/>
      <c r="AQ109" s="76"/>
      <c r="AR109" s="76"/>
      <c r="AS109" s="76"/>
      <c r="AT109" s="76"/>
      <c r="AU109" s="76"/>
      <c r="AV109" s="76"/>
      <c r="AW109" s="76"/>
      <c r="AX109" s="108"/>
      <c r="AY109" s="108"/>
      <c r="AZ109" s="108"/>
      <c r="BA109" s="108"/>
      <c r="BB109" s="108"/>
      <c r="BC109" s="108"/>
      <c r="BD109" s="108"/>
      <c r="BE109" s="108"/>
      <c r="BF109" s="108"/>
      <c r="BG109" s="108"/>
      <c r="BH109" s="108"/>
      <c r="BI109" s="108"/>
      <c r="BJ109" s="108"/>
      <c r="BK109" s="108"/>
      <c r="BL109" s="108"/>
      <c r="BM109" s="108"/>
      <c r="BN109" s="108"/>
      <c r="BO109" s="108"/>
      <c r="BP109" s="108"/>
      <c r="BQ109" s="108"/>
      <c r="BR109" s="108"/>
      <c r="BS109" s="108"/>
      <c r="BT109" s="108"/>
      <c r="BU109" s="108"/>
      <c r="BV109" s="108"/>
      <c r="BW109" s="108"/>
      <c r="BX109" s="108"/>
      <c r="BY109" s="108"/>
      <c r="BZ109" s="108"/>
      <c r="CA109" s="108"/>
      <c r="CB109" s="108"/>
      <c r="CC109" s="108"/>
      <c r="CD109" s="108"/>
      <c r="CE109" s="108"/>
      <c r="CF109" s="108"/>
      <c r="CG109" s="108"/>
      <c r="CH109" s="108"/>
      <c r="CI109" s="108"/>
      <c r="CJ109" s="108"/>
      <c r="CK109" s="108"/>
      <c r="CL109" s="108"/>
      <c r="CM109" s="108"/>
      <c r="CN109" s="108"/>
      <c r="CO109" s="108"/>
      <c r="CP109" s="108"/>
      <c r="CQ109" s="108"/>
      <c r="CR109" s="108"/>
      <c r="CS109" s="108"/>
      <c r="CT109" s="108"/>
      <c r="CU109" s="108"/>
      <c r="CV109" s="108"/>
      <c r="CW109" s="108"/>
      <c r="CX109" s="108"/>
      <c r="CY109" s="108"/>
      <c r="CZ109" s="108"/>
      <c r="DA109" s="108"/>
    </row>
    <row r="110" spans="1:111" ht="28.5" customHeight="1" x14ac:dyDescent="0.2">
      <c r="A110" s="61" t="s">
        <v>95</v>
      </c>
      <c r="B110" s="119" t="s">
        <v>131</v>
      </c>
      <c r="C110" s="120"/>
      <c r="D110" s="120"/>
      <c r="E110" s="120"/>
      <c r="F110" s="120"/>
      <c r="G110" s="120"/>
      <c r="H110" s="120"/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120"/>
      <c r="X110" s="120"/>
      <c r="Y110" s="120"/>
      <c r="Z110" s="120"/>
      <c r="AA110" s="120"/>
      <c r="AB110" s="120"/>
      <c r="AC110" s="120"/>
      <c r="AD110" s="120"/>
      <c r="AE110" s="120"/>
      <c r="AF110" s="120"/>
      <c r="AG110" s="120"/>
      <c r="AH110" s="120"/>
      <c r="AI110" s="120"/>
      <c r="AJ110" s="120"/>
      <c r="AK110" s="120"/>
      <c r="AL110" s="120"/>
      <c r="AM110" s="120"/>
      <c r="AN110" s="120"/>
      <c r="AO110" s="120"/>
      <c r="AP110" s="120"/>
      <c r="AQ110" s="120"/>
      <c r="AR110" s="120"/>
      <c r="AS110" s="120"/>
      <c r="AT110" s="120"/>
      <c r="AU110" s="120"/>
      <c r="AV110" s="120"/>
      <c r="AW110" s="120"/>
      <c r="AX110" s="120"/>
      <c r="AY110" s="120"/>
      <c r="AZ110" s="120"/>
      <c r="BA110" s="120"/>
      <c r="BB110" s="120"/>
      <c r="BC110" s="120"/>
      <c r="BD110" s="120"/>
      <c r="BE110" s="120"/>
      <c r="BF110" s="120"/>
      <c r="BG110" s="120"/>
      <c r="BH110" s="120"/>
      <c r="BI110" s="120"/>
      <c r="BJ110" s="120"/>
      <c r="BK110" s="120"/>
      <c r="BL110" s="120"/>
      <c r="BM110" s="120"/>
      <c r="BN110" s="120"/>
      <c r="BO110" s="120"/>
      <c r="BP110" s="120"/>
      <c r="BQ110" s="120"/>
      <c r="BR110" s="120"/>
      <c r="BS110" s="120"/>
      <c r="BT110" s="120"/>
      <c r="BU110" s="120"/>
      <c r="BV110" s="120"/>
      <c r="BW110" s="120"/>
      <c r="BX110" s="120"/>
      <c r="BY110" s="120"/>
      <c r="BZ110" s="120"/>
      <c r="CA110" s="120"/>
      <c r="CB110" s="120"/>
      <c r="CC110" s="120"/>
      <c r="CD110" s="120"/>
      <c r="CE110" s="120"/>
      <c r="CF110" s="120"/>
      <c r="CG110" s="120"/>
      <c r="CH110" s="120"/>
      <c r="CI110" s="120"/>
      <c r="CJ110" s="120"/>
      <c r="CK110" s="120"/>
      <c r="CL110" s="120"/>
      <c r="CM110" s="120"/>
      <c r="CN110" s="120"/>
      <c r="CO110" s="120"/>
      <c r="CP110" s="120"/>
      <c r="CQ110" s="120"/>
      <c r="CR110" s="120"/>
      <c r="CS110" s="120"/>
      <c r="CT110" s="120"/>
      <c r="CU110" s="120"/>
      <c r="CV110" s="120"/>
      <c r="CW110" s="120"/>
      <c r="CX110" s="120"/>
      <c r="CY110" s="120"/>
      <c r="CZ110" s="120"/>
      <c r="DA110" s="120"/>
      <c r="DB110" s="3"/>
      <c r="DC110" s="3"/>
      <c r="DD110" s="3"/>
      <c r="DE110" s="3"/>
      <c r="DF110" s="3"/>
      <c r="DG110" s="3"/>
    </row>
    <row r="111" spans="1:111" x14ac:dyDescent="0.2">
      <c r="F111" s="4"/>
      <c r="G111" s="1"/>
      <c r="H111" s="1"/>
      <c r="I111" s="1"/>
      <c r="J111" s="3"/>
      <c r="K111" s="3"/>
      <c r="O111" s="3"/>
      <c r="P111" s="3"/>
      <c r="R111" s="22"/>
      <c r="S111" s="9"/>
      <c r="T111" s="9"/>
      <c r="U111" s="9"/>
      <c r="V111" s="9"/>
      <c r="X111" s="9"/>
      <c r="Z111" s="26"/>
      <c r="AC111" s="9"/>
      <c r="AE111" s="9"/>
      <c r="AG111" s="9"/>
      <c r="AK111" s="60"/>
      <c r="AP111" s="4"/>
      <c r="DB111" s="3"/>
      <c r="DC111" s="3"/>
      <c r="DD111" s="3"/>
      <c r="DE111" s="3"/>
      <c r="DF111" s="3"/>
      <c r="DG111" s="3"/>
    </row>
    <row r="112" spans="1:111" ht="33" customHeight="1" x14ac:dyDescent="0.2">
      <c r="B112" s="114"/>
      <c r="C112" s="115"/>
      <c r="D112" s="115"/>
      <c r="E112" s="115"/>
      <c r="F112" s="115"/>
      <c r="G112" s="115"/>
      <c r="H112" s="115"/>
      <c r="I112" s="115"/>
      <c r="J112" s="115"/>
      <c r="K112" s="115"/>
      <c r="L112" s="115"/>
      <c r="M112" s="115"/>
      <c r="N112" s="115"/>
      <c r="O112" s="115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  <c r="AB112" s="115"/>
      <c r="AC112" s="115"/>
      <c r="AD112" s="115"/>
      <c r="AE112" s="115"/>
      <c r="AF112" s="115"/>
      <c r="AG112" s="115"/>
      <c r="AH112" s="115"/>
      <c r="AI112" s="115"/>
      <c r="AJ112" s="115"/>
      <c r="AK112" s="115"/>
      <c r="AL112" s="115"/>
      <c r="AM112" s="115"/>
      <c r="AN112" s="115"/>
      <c r="AO112" s="115"/>
      <c r="AP112" s="115"/>
      <c r="AQ112" s="115"/>
      <c r="AR112" s="115"/>
      <c r="AS112" s="115"/>
      <c r="AT112" s="115"/>
      <c r="AU112" s="115"/>
      <c r="AV112" s="115"/>
      <c r="AW112" s="115"/>
      <c r="AX112" s="115"/>
      <c r="AY112" s="115"/>
      <c r="AZ112" s="115"/>
      <c r="BA112" s="115"/>
      <c r="BB112" s="115"/>
      <c r="BC112" s="115"/>
      <c r="BD112" s="115"/>
      <c r="BE112" s="115"/>
      <c r="BF112" s="115"/>
      <c r="BG112" s="115"/>
      <c r="BH112" s="115"/>
      <c r="BI112" s="115"/>
      <c r="BJ112" s="115"/>
      <c r="BK112" s="115"/>
      <c r="BL112" s="115"/>
      <c r="BM112" s="115"/>
      <c r="BN112" s="115"/>
      <c r="BO112" s="115"/>
      <c r="BP112" s="115"/>
      <c r="BQ112" s="115"/>
      <c r="BR112" s="115"/>
      <c r="BS112" s="115"/>
      <c r="BT112" s="115"/>
      <c r="BU112" s="115"/>
      <c r="BV112" s="115"/>
      <c r="BW112" s="115"/>
      <c r="BX112" s="115"/>
      <c r="BY112" s="115"/>
      <c r="BZ112" s="115"/>
      <c r="CA112" s="115"/>
      <c r="CB112" s="115"/>
      <c r="CC112" s="115"/>
      <c r="CD112" s="115"/>
      <c r="CE112" s="115"/>
      <c r="CF112" s="115"/>
      <c r="CG112" s="115"/>
      <c r="CH112" s="115"/>
      <c r="CI112" s="115"/>
      <c r="CJ112" s="115"/>
      <c r="CK112" s="115"/>
      <c r="CL112" s="115"/>
      <c r="CM112" s="115"/>
      <c r="CN112" s="115"/>
      <c r="CO112" s="115"/>
      <c r="CP112" s="115"/>
      <c r="CQ112" s="115"/>
      <c r="CR112" s="115"/>
      <c r="CS112" s="115"/>
      <c r="CT112" s="115"/>
      <c r="CU112" s="115"/>
      <c r="CV112" s="115"/>
      <c r="CW112" s="115"/>
      <c r="CX112" s="115"/>
      <c r="CY112" s="115"/>
      <c r="CZ112" s="115"/>
      <c r="DA112" s="115"/>
      <c r="DB112" s="3"/>
      <c r="DC112" s="3"/>
      <c r="DD112" s="3"/>
      <c r="DE112" s="3"/>
      <c r="DF112" s="3"/>
      <c r="DG112" s="3"/>
    </row>
    <row r="113" spans="1:111" x14ac:dyDescent="0.2">
      <c r="F113" s="4"/>
      <c r="G113" s="1"/>
      <c r="H113" s="1"/>
      <c r="I113" s="1"/>
      <c r="J113" s="3"/>
      <c r="K113" s="3"/>
      <c r="O113" s="3"/>
      <c r="P113" s="3"/>
      <c r="R113" s="22"/>
      <c r="S113" s="9"/>
      <c r="T113" s="9"/>
      <c r="U113" s="9"/>
      <c r="V113" s="9"/>
      <c r="X113" s="9"/>
      <c r="Z113" s="26"/>
      <c r="AC113" s="9"/>
      <c r="AE113" s="9"/>
      <c r="AG113" s="12"/>
      <c r="AK113" s="60"/>
      <c r="AP113" s="4"/>
      <c r="AT113" s="63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/>
      <c r="CC113" s="29"/>
      <c r="CE113" s="29"/>
      <c r="CF113" s="29"/>
      <c r="DB113" s="3"/>
      <c r="DC113" s="3"/>
      <c r="DD113" s="3"/>
      <c r="DE113" s="3"/>
      <c r="DF113" s="3"/>
      <c r="DG113" s="3"/>
    </row>
    <row r="114" spans="1:111" x14ac:dyDescent="0.2">
      <c r="F114" s="4"/>
      <c r="G114" s="1"/>
      <c r="H114" s="1"/>
      <c r="I114" s="1"/>
      <c r="J114" s="3"/>
      <c r="K114" s="3"/>
      <c r="O114" s="3"/>
      <c r="P114" s="3"/>
      <c r="R114" s="22"/>
      <c r="S114" s="9"/>
      <c r="T114" s="9"/>
      <c r="U114" s="9"/>
      <c r="V114" s="9"/>
      <c r="X114" s="9"/>
      <c r="Z114" s="26"/>
      <c r="AC114" s="9"/>
      <c r="AE114" s="9"/>
      <c r="AG114" s="9"/>
      <c r="AK114" s="60"/>
      <c r="AP114" s="4"/>
      <c r="BN114" s="29"/>
      <c r="CK114" s="29"/>
      <c r="CL114" s="67"/>
      <c r="CM114" s="29"/>
      <c r="CR114" s="29"/>
      <c r="CS114" s="29"/>
      <c r="CT114" s="29"/>
      <c r="CU114" s="29"/>
      <c r="CV114" s="29"/>
      <c r="CW114" s="29"/>
      <c r="CX114" s="67"/>
      <c r="CZ114" s="29"/>
      <c r="DA114" s="67"/>
      <c r="DB114" s="3"/>
      <c r="DC114" s="3"/>
      <c r="DD114" s="3"/>
      <c r="DE114" s="3"/>
      <c r="DF114" s="3"/>
      <c r="DG114" s="3"/>
    </row>
    <row r="115" spans="1:111" x14ac:dyDescent="0.2">
      <c r="F115" s="4"/>
      <c r="G115" s="1"/>
      <c r="H115" s="1"/>
      <c r="I115" s="1"/>
      <c r="J115" s="3"/>
      <c r="K115" s="3"/>
      <c r="O115" s="3"/>
      <c r="P115" s="3"/>
      <c r="R115" s="22"/>
      <c r="S115" s="9"/>
      <c r="T115" s="9"/>
      <c r="U115" s="9"/>
      <c r="V115" s="9"/>
      <c r="X115" s="9"/>
      <c r="Z115" s="26"/>
      <c r="AC115" s="9"/>
      <c r="AE115" s="9"/>
      <c r="AG115" s="9"/>
      <c r="AK115" s="60"/>
      <c r="AP115" s="4"/>
      <c r="BD115" s="64"/>
      <c r="BE115" s="64"/>
      <c r="BN115" s="67"/>
      <c r="BP115" s="67"/>
      <c r="CA115" s="29"/>
      <c r="CB115" s="67"/>
      <c r="CD115" s="67"/>
      <c r="CE115" s="67"/>
      <c r="CF115" s="67"/>
      <c r="CH115" s="67"/>
      <c r="CK115" s="29"/>
      <c r="CM115" s="29"/>
      <c r="CR115" s="29"/>
      <c r="CS115" s="29"/>
      <c r="CT115" s="29"/>
      <c r="CU115" s="29"/>
      <c r="CV115" s="29"/>
      <c r="CW115" s="29"/>
      <c r="CX115" s="29"/>
      <c r="DB115" s="3"/>
      <c r="DC115" s="3"/>
      <c r="DD115" s="3"/>
      <c r="DE115" s="3"/>
      <c r="DF115" s="3"/>
      <c r="DG115" s="3"/>
    </row>
    <row r="116" spans="1:111" x14ac:dyDescent="0.2">
      <c r="F116" s="4"/>
      <c r="G116" s="1"/>
      <c r="H116" s="1"/>
      <c r="I116" s="1"/>
      <c r="J116" s="3"/>
      <c r="K116" s="3"/>
      <c r="O116" s="3"/>
      <c r="P116" s="3"/>
      <c r="R116" s="22"/>
      <c r="S116" s="9"/>
      <c r="T116" s="9"/>
      <c r="U116" s="9"/>
      <c r="V116" s="9"/>
      <c r="X116" s="9"/>
      <c r="Z116" s="26"/>
      <c r="AC116" s="9"/>
      <c r="AE116" s="9"/>
      <c r="AG116" s="9"/>
      <c r="AK116" s="60"/>
      <c r="AP116" s="4"/>
      <c r="BM116" s="67"/>
      <c r="BO116" s="29"/>
      <c r="CB116" s="67"/>
      <c r="CD116" s="67"/>
      <c r="CE116" s="67"/>
      <c r="CT116" s="67"/>
      <c r="CX116" s="29"/>
      <c r="DB116" s="3"/>
      <c r="DC116" s="3"/>
      <c r="DD116" s="3"/>
      <c r="DE116" s="3"/>
      <c r="DF116" s="3"/>
      <c r="DG116" s="3"/>
    </row>
    <row r="117" spans="1:111" x14ac:dyDescent="0.2">
      <c r="F117" s="4"/>
      <c r="G117" s="1"/>
      <c r="H117" s="1"/>
      <c r="I117" s="1"/>
      <c r="J117" s="3"/>
      <c r="K117" s="3"/>
      <c r="O117" s="3"/>
      <c r="P117" s="3"/>
      <c r="R117" s="22"/>
      <c r="S117" s="9"/>
      <c r="T117" s="9"/>
      <c r="U117" s="9"/>
      <c r="V117" s="9"/>
      <c r="X117" s="9"/>
      <c r="Z117" s="26"/>
      <c r="AC117" s="9"/>
      <c r="AE117" s="9"/>
      <c r="AG117" s="9"/>
      <c r="AM117"/>
      <c r="CA117" s="67"/>
      <c r="CB117" s="72"/>
      <c r="CD117" s="72"/>
      <c r="CE117" s="72"/>
      <c r="CM117" s="29"/>
      <c r="CR117" s="73"/>
      <c r="CS117" s="73"/>
      <c r="CT117" s="73"/>
      <c r="CU117" s="73"/>
      <c r="CV117" s="73"/>
      <c r="CW117" s="73"/>
      <c r="CX117" s="67"/>
      <c r="DB117" s="3"/>
      <c r="DC117" s="3"/>
      <c r="DD117" s="3"/>
      <c r="DE117" s="3"/>
      <c r="DF117" s="3"/>
      <c r="DG117" s="3"/>
    </row>
    <row r="118" spans="1:111" x14ac:dyDescent="0.2">
      <c r="F118" s="4"/>
      <c r="G118" s="1"/>
      <c r="H118" s="1"/>
      <c r="I118" s="1"/>
      <c r="J118" s="3"/>
      <c r="K118" s="3"/>
      <c r="O118" s="3"/>
      <c r="P118" s="3"/>
      <c r="R118" s="22"/>
      <c r="S118" s="9"/>
      <c r="T118" s="9"/>
      <c r="U118" s="9"/>
      <c r="V118" s="9"/>
      <c r="X118" s="9"/>
      <c r="Z118" s="26"/>
      <c r="AC118" s="9"/>
      <c r="AE118" s="9"/>
      <c r="AG118" s="9"/>
      <c r="AM118"/>
      <c r="BI118" s="29"/>
      <c r="BO118" s="29"/>
      <c r="BY118" s="29"/>
      <c r="BZ118" s="29"/>
      <c r="CA118" s="29"/>
      <c r="CB118" s="29"/>
      <c r="CC118" s="29"/>
      <c r="CD118" s="29"/>
      <c r="CE118" s="29"/>
      <c r="CF118" s="29"/>
      <c r="CG118" s="29"/>
      <c r="CH118" s="29"/>
      <c r="CI118" s="29"/>
      <c r="CJ118" s="29"/>
      <c r="CK118" s="29"/>
      <c r="CL118" s="29"/>
      <c r="CM118" s="29"/>
      <c r="CN118" s="29"/>
      <c r="CO118" s="29"/>
      <c r="CP118" s="29"/>
      <c r="CQ118" s="29"/>
      <c r="CR118" s="29"/>
      <c r="CS118" s="29"/>
      <c r="CT118" s="29"/>
      <c r="CU118" s="29"/>
      <c r="CV118" s="29"/>
      <c r="CW118" s="29"/>
      <c r="CX118" s="29"/>
      <c r="CY118" s="29"/>
      <c r="CZ118" s="29"/>
      <c r="DA118" s="29"/>
      <c r="DB118" s="3"/>
      <c r="DC118" s="3"/>
      <c r="DD118" s="3"/>
      <c r="DE118" s="3"/>
      <c r="DF118" s="3"/>
      <c r="DG118" s="3"/>
    </row>
    <row r="119" spans="1:111" x14ac:dyDescent="0.2">
      <c r="A119" s="37"/>
      <c r="B119" s="3"/>
      <c r="C119" s="3"/>
      <c r="D119" s="3"/>
      <c r="F119" s="4"/>
      <c r="G119" s="1"/>
      <c r="H119" s="1"/>
      <c r="I119" s="1"/>
      <c r="J119" s="3"/>
      <c r="K119" s="3"/>
      <c r="O119" s="3"/>
      <c r="P119" s="3"/>
      <c r="R119" s="22"/>
      <c r="S119" s="9"/>
      <c r="T119" s="9"/>
      <c r="U119" s="9"/>
      <c r="V119" s="9"/>
      <c r="X119" s="9"/>
      <c r="Z119" s="26"/>
      <c r="AC119" s="9"/>
      <c r="AE119" s="9"/>
      <c r="AG119" s="9"/>
      <c r="AM119"/>
      <c r="BI119" s="29"/>
      <c r="BK119" s="51"/>
      <c r="BL119" s="51"/>
      <c r="BM119" s="51"/>
      <c r="BN119" s="51"/>
      <c r="BO119" s="65"/>
      <c r="BP119" s="51"/>
      <c r="BQ119" s="51"/>
      <c r="BR119" s="51"/>
      <c r="BS119" s="51"/>
      <c r="BT119" s="51"/>
      <c r="BY119" s="29"/>
      <c r="BZ119" s="29"/>
      <c r="CA119" s="29"/>
      <c r="CB119" s="29"/>
      <c r="CC119" s="29"/>
      <c r="CD119" s="29"/>
      <c r="CE119" s="29"/>
      <c r="CF119" s="29"/>
      <c r="CG119" s="29"/>
      <c r="CH119" s="29"/>
      <c r="CI119" s="29"/>
      <c r="CJ119" s="29"/>
      <c r="CK119" s="29"/>
      <c r="CL119" s="29"/>
      <c r="CM119" s="29"/>
      <c r="CN119" s="29"/>
      <c r="CO119" s="29"/>
      <c r="CP119" s="29"/>
      <c r="CQ119" s="29"/>
      <c r="CR119" s="29"/>
      <c r="CS119" s="29"/>
      <c r="CT119" s="29"/>
      <c r="CU119" s="29"/>
      <c r="CV119" s="29"/>
      <c r="CW119" s="29"/>
      <c r="CX119" s="29"/>
      <c r="CY119" s="29"/>
      <c r="CZ119" s="29"/>
      <c r="DA119" s="29"/>
      <c r="DB119" s="3"/>
      <c r="DC119" s="3"/>
      <c r="DD119" s="3"/>
      <c r="DE119" s="3"/>
      <c r="DF119" s="3"/>
      <c r="DG119" s="3"/>
    </row>
    <row r="120" spans="1:111" x14ac:dyDescent="0.2">
      <c r="A120" s="37"/>
      <c r="B120" s="3"/>
      <c r="C120" s="3"/>
      <c r="D120" s="3"/>
      <c r="F120" s="4"/>
      <c r="G120" s="1"/>
      <c r="H120" s="1"/>
      <c r="I120" s="1"/>
      <c r="J120" s="3"/>
      <c r="K120" s="3"/>
      <c r="O120" s="3"/>
      <c r="P120" s="3"/>
      <c r="R120" s="22"/>
      <c r="S120" s="9"/>
      <c r="T120" s="9"/>
      <c r="U120" s="9"/>
      <c r="V120" s="9"/>
      <c r="X120" s="9"/>
      <c r="Z120" s="26"/>
      <c r="AC120" s="9"/>
      <c r="AE120" s="9"/>
      <c r="AG120" s="9"/>
      <c r="AN120" s="9"/>
      <c r="BK120" s="65"/>
      <c r="BL120" s="65"/>
      <c r="BM120" s="65"/>
      <c r="BN120" s="65"/>
      <c r="BP120" s="65"/>
      <c r="BQ120" s="65"/>
      <c r="BR120" s="65"/>
      <c r="BS120" s="65"/>
      <c r="BT120" s="65"/>
      <c r="CY120" s="29"/>
      <c r="DB120" s="3"/>
      <c r="DC120" s="3"/>
      <c r="DD120" s="3"/>
      <c r="DE120" s="3"/>
      <c r="DF120" s="3"/>
      <c r="DG120" s="3"/>
    </row>
    <row r="121" spans="1:111" x14ac:dyDescent="0.2">
      <c r="A121" s="37"/>
      <c r="B121" s="3"/>
      <c r="C121" s="3"/>
      <c r="D121" s="3"/>
      <c r="F121" s="4"/>
      <c r="G121" s="1"/>
      <c r="H121" s="1"/>
      <c r="I121" s="1"/>
      <c r="J121" s="3"/>
      <c r="K121" s="3"/>
      <c r="O121" s="3"/>
      <c r="P121" s="3"/>
      <c r="R121" s="22"/>
      <c r="S121" s="9"/>
      <c r="T121" s="9"/>
      <c r="U121" s="9"/>
      <c r="V121" s="9"/>
      <c r="X121" s="9"/>
      <c r="Z121" s="26"/>
      <c r="AC121" s="9"/>
      <c r="AE121" s="9"/>
      <c r="AG121" s="9"/>
      <c r="AN121" s="9"/>
      <c r="CA121" s="67"/>
      <c r="DB121" s="3"/>
      <c r="DC121" s="3"/>
      <c r="DD121" s="3"/>
      <c r="DE121" s="3"/>
      <c r="DF121" s="3"/>
      <c r="DG121" s="3"/>
    </row>
    <row r="122" spans="1:111" x14ac:dyDescent="0.2">
      <c r="A122" s="37"/>
      <c r="B122" s="3"/>
      <c r="C122" s="3"/>
      <c r="D122" s="3"/>
      <c r="F122" s="4"/>
      <c r="G122" s="1"/>
      <c r="H122" s="1"/>
      <c r="I122" s="1"/>
      <c r="J122" s="3"/>
      <c r="K122" s="3"/>
      <c r="O122" s="3"/>
      <c r="P122" s="3"/>
      <c r="R122" s="22"/>
      <c r="S122" s="9"/>
      <c r="T122" s="9"/>
      <c r="U122" s="9"/>
      <c r="V122" s="9"/>
      <c r="X122" s="9"/>
      <c r="Z122" s="26"/>
      <c r="AC122" s="9"/>
      <c r="AE122" s="9"/>
      <c r="AG122" s="9"/>
      <c r="AN122" s="9"/>
      <c r="DB122" s="3"/>
      <c r="DC122" s="3"/>
      <c r="DD122" s="3"/>
      <c r="DE122" s="3"/>
      <c r="DF122" s="3"/>
      <c r="DG122" s="3"/>
    </row>
    <row r="123" spans="1:111" x14ac:dyDescent="0.2">
      <c r="A123" s="37"/>
      <c r="B123" s="3"/>
      <c r="C123" s="3"/>
      <c r="D123" s="3"/>
      <c r="F123" s="4"/>
      <c r="G123" s="1"/>
      <c r="H123" s="1"/>
      <c r="I123" s="1"/>
      <c r="J123" s="3"/>
      <c r="K123" s="3"/>
      <c r="O123" s="3"/>
      <c r="P123" s="3"/>
      <c r="R123" s="22"/>
      <c r="S123" s="9"/>
      <c r="T123" s="9"/>
      <c r="U123" s="9"/>
      <c r="V123" s="9"/>
      <c r="X123" s="9"/>
      <c r="Z123" s="26"/>
      <c r="AC123" s="9"/>
      <c r="AE123" s="9"/>
      <c r="AG123" s="9"/>
      <c r="AN123" s="9"/>
      <c r="BH123" s="29"/>
      <c r="CA123" s="29"/>
      <c r="CS123" s="73"/>
      <c r="CT123" s="73"/>
      <c r="CU123" s="73"/>
      <c r="CV123" s="73"/>
      <c r="CW123" s="73"/>
      <c r="CY123" s="29"/>
      <c r="DB123" s="3"/>
      <c r="DC123" s="3"/>
      <c r="DD123" s="3"/>
      <c r="DE123" s="3"/>
      <c r="DF123" s="3"/>
      <c r="DG123" s="3"/>
    </row>
    <row r="124" spans="1:111" x14ac:dyDescent="0.2">
      <c r="A124" s="37"/>
      <c r="B124" s="3"/>
      <c r="C124" s="3"/>
      <c r="D124" s="3"/>
      <c r="F124" s="4"/>
      <c r="G124" s="1"/>
      <c r="H124" s="1"/>
      <c r="I124" s="1"/>
      <c r="J124" s="3"/>
      <c r="K124" s="3"/>
      <c r="O124" s="3"/>
      <c r="P124" s="3"/>
      <c r="R124" s="22"/>
      <c r="S124" s="9"/>
      <c r="T124" s="9"/>
      <c r="U124" s="9"/>
      <c r="V124" s="9"/>
      <c r="X124" s="9"/>
      <c r="Z124" s="26"/>
      <c r="AC124" s="9"/>
      <c r="AE124" s="9"/>
      <c r="AG124" s="9"/>
      <c r="AN124" s="9"/>
      <c r="DB124" s="3"/>
      <c r="DC124" s="3"/>
      <c r="DD124" s="3"/>
      <c r="DE124" s="3"/>
      <c r="DF124" s="3"/>
      <c r="DG124" s="3"/>
    </row>
    <row r="125" spans="1:111" x14ac:dyDescent="0.2">
      <c r="A125" s="37"/>
      <c r="B125" s="3"/>
      <c r="C125" s="3"/>
      <c r="D125" s="3"/>
      <c r="F125" s="4"/>
      <c r="G125" s="1"/>
      <c r="H125" s="1"/>
      <c r="I125" s="1"/>
      <c r="J125" s="3"/>
      <c r="K125" s="3"/>
      <c r="O125" s="3"/>
      <c r="P125" s="3"/>
      <c r="R125" s="22"/>
      <c r="S125" s="9"/>
      <c r="T125" s="9"/>
      <c r="U125" s="9"/>
      <c r="V125" s="9"/>
      <c r="X125" s="9"/>
      <c r="Z125" s="26"/>
      <c r="AC125" s="9"/>
      <c r="AE125" s="9"/>
      <c r="AG125" s="9"/>
      <c r="AN125" s="9"/>
      <c r="CA125" s="67"/>
      <c r="DB125" s="3"/>
      <c r="DC125" s="3"/>
      <c r="DD125" s="3"/>
      <c r="DE125" s="3"/>
      <c r="DF125" s="3"/>
      <c r="DG125" s="3"/>
    </row>
    <row r="126" spans="1:111" x14ac:dyDescent="0.2">
      <c r="A126" s="37"/>
      <c r="B126" s="3"/>
      <c r="C126" s="3"/>
      <c r="D126" s="3"/>
      <c r="F126" s="4"/>
      <c r="G126" s="1"/>
      <c r="H126" s="1"/>
      <c r="I126" s="1"/>
      <c r="J126" s="3"/>
      <c r="K126" s="3"/>
      <c r="O126" s="3"/>
      <c r="P126" s="3"/>
      <c r="R126" s="22"/>
      <c r="S126" s="9"/>
      <c r="T126" s="9"/>
      <c r="U126" s="9"/>
      <c r="V126" s="9"/>
      <c r="X126" s="9"/>
      <c r="Z126" s="26"/>
      <c r="AC126" s="9"/>
      <c r="AE126" s="9"/>
      <c r="AG126" s="9"/>
      <c r="AN126" s="9"/>
      <c r="DB126" s="3"/>
      <c r="DC126" s="3"/>
      <c r="DD126" s="3"/>
      <c r="DE126" s="3"/>
      <c r="DF126" s="3"/>
      <c r="DG126" s="3"/>
    </row>
    <row r="127" spans="1:111" x14ac:dyDescent="0.2">
      <c r="A127" s="37"/>
      <c r="B127" s="3"/>
      <c r="C127" s="3"/>
      <c r="D127" s="3"/>
      <c r="F127" s="4"/>
      <c r="G127" s="1"/>
      <c r="H127" s="1"/>
      <c r="I127" s="1"/>
      <c r="J127" s="3"/>
      <c r="K127" s="3"/>
      <c r="O127" s="3"/>
      <c r="P127" s="3"/>
      <c r="R127" s="22"/>
      <c r="S127" s="9"/>
      <c r="T127" s="9"/>
      <c r="U127" s="9"/>
      <c r="V127" s="9"/>
      <c r="X127" s="9"/>
      <c r="Z127" s="26"/>
      <c r="AC127" s="9"/>
      <c r="AE127" s="9"/>
      <c r="AG127" s="9"/>
      <c r="AN127" s="9"/>
      <c r="DB127" s="3"/>
      <c r="DC127" s="3"/>
      <c r="DD127" s="3"/>
      <c r="DE127" s="3"/>
      <c r="DF127" s="3"/>
      <c r="DG127" s="3"/>
    </row>
    <row r="128" spans="1:111" x14ac:dyDescent="0.2">
      <c r="A128" s="37"/>
      <c r="B128" s="3"/>
      <c r="C128" s="3"/>
      <c r="D128" s="3"/>
      <c r="F128" s="4"/>
      <c r="G128" s="1"/>
      <c r="H128" s="1"/>
      <c r="I128" s="1"/>
      <c r="J128" s="3"/>
      <c r="K128" s="3"/>
      <c r="O128" s="3"/>
      <c r="P128" s="3"/>
      <c r="R128" s="22"/>
      <c r="S128" s="9"/>
      <c r="T128" s="9"/>
      <c r="U128" s="9"/>
      <c r="V128" s="9"/>
      <c r="X128" s="9"/>
      <c r="Z128" s="26"/>
      <c r="AC128" s="9"/>
      <c r="AE128" s="9"/>
      <c r="AG128" s="9"/>
      <c r="AN128" s="9"/>
      <c r="DB128" s="3"/>
      <c r="DC128" s="3"/>
      <c r="DD128" s="3"/>
      <c r="DE128" s="3"/>
      <c r="DF128" s="3"/>
      <c r="DG128" s="3"/>
    </row>
    <row r="129" spans="1:188" x14ac:dyDescent="0.2">
      <c r="A129" s="37"/>
      <c r="B129" s="3"/>
      <c r="C129" s="3"/>
      <c r="D129" s="3"/>
      <c r="F129" s="4"/>
      <c r="G129" s="1"/>
      <c r="H129" s="1"/>
      <c r="I129" s="1"/>
      <c r="J129" s="3"/>
      <c r="K129" s="3"/>
      <c r="O129" s="3"/>
      <c r="P129" s="3"/>
      <c r="R129" s="22"/>
      <c r="S129" s="9"/>
      <c r="T129" s="9"/>
      <c r="U129" s="9"/>
      <c r="V129" s="9"/>
      <c r="X129" s="9"/>
      <c r="Z129" s="26"/>
      <c r="AC129" s="9"/>
      <c r="AE129" s="9"/>
      <c r="AG129" s="9"/>
      <c r="AN129" s="9"/>
      <c r="CL129" s="114"/>
      <c r="CM129" s="115"/>
      <c r="CN129" s="115"/>
      <c r="CO129" s="115"/>
      <c r="CP129" s="115"/>
      <c r="CQ129" s="115"/>
      <c r="CR129" s="115"/>
      <c r="CS129" s="115"/>
      <c r="CT129" s="115"/>
      <c r="CU129" s="115"/>
      <c r="CV129" s="115"/>
      <c r="CW129" s="115"/>
      <c r="CX129" s="115"/>
      <c r="CY129" s="115"/>
      <c r="CZ129" s="115"/>
      <c r="DA129" s="115"/>
      <c r="DB129" s="115"/>
      <c r="DC129" s="115"/>
      <c r="DD129" s="115"/>
      <c r="DE129" s="115"/>
      <c r="DF129" s="115"/>
      <c r="DG129" s="115"/>
      <c r="DH129" s="115"/>
      <c r="DI129" s="115"/>
      <c r="DJ129" s="115"/>
      <c r="DK129" s="115"/>
      <c r="DL129" s="115"/>
      <c r="DM129" s="115"/>
      <c r="DN129" s="115"/>
      <c r="DO129" s="115"/>
      <c r="DP129" s="115"/>
      <c r="DQ129" s="115"/>
      <c r="DR129" s="115"/>
      <c r="DS129" s="115"/>
      <c r="DT129" s="115"/>
      <c r="DU129" s="115"/>
      <c r="DV129" s="115"/>
      <c r="DW129" s="115"/>
      <c r="DX129" s="115"/>
      <c r="DY129" s="115"/>
      <c r="DZ129" s="115"/>
      <c r="EA129" s="115"/>
      <c r="EB129" s="115"/>
      <c r="EC129" s="115"/>
      <c r="ED129" s="115"/>
      <c r="EE129" s="115"/>
      <c r="EF129" s="115"/>
      <c r="EG129" s="115"/>
      <c r="EH129" s="115"/>
      <c r="EI129" s="115"/>
      <c r="EJ129" s="115"/>
      <c r="EK129" s="115"/>
      <c r="EL129" s="115"/>
      <c r="EM129" s="115"/>
      <c r="EN129" s="115"/>
      <c r="EO129" s="115"/>
      <c r="EP129" s="115"/>
      <c r="EQ129" s="115"/>
      <c r="ER129" s="115"/>
      <c r="ES129" s="115"/>
      <c r="ET129" s="115"/>
      <c r="EU129" s="115"/>
      <c r="EV129" s="115"/>
      <c r="EW129" s="115"/>
      <c r="EX129" s="115"/>
      <c r="EY129" s="115"/>
      <c r="EZ129" s="115"/>
      <c r="FA129" s="115"/>
      <c r="FB129" s="115"/>
      <c r="FC129" s="115"/>
      <c r="FD129" s="115"/>
      <c r="FE129" s="115"/>
      <c r="FF129" s="115"/>
      <c r="FG129" s="115"/>
      <c r="FH129" s="115"/>
      <c r="FI129" s="115"/>
      <c r="FJ129" s="115"/>
      <c r="FK129" s="115"/>
      <c r="FL129" s="115"/>
      <c r="FM129" s="115"/>
      <c r="FN129" s="115"/>
      <c r="FO129" s="115"/>
      <c r="FP129" s="115"/>
      <c r="FQ129" s="115"/>
      <c r="FR129" s="115"/>
      <c r="FS129" s="115"/>
      <c r="FT129" s="115"/>
      <c r="FU129" s="115"/>
      <c r="FV129" s="115"/>
      <c r="FW129" s="115"/>
      <c r="FX129" s="115"/>
      <c r="FY129" s="115"/>
      <c r="FZ129" s="115"/>
      <c r="GA129" s="115"/>
      <c r="GB129" s="115"/>
      <c r="GC129" s="115"/>
      <c r="GD129" s="115"/>
      <c r="GE129" s="115"/>
      <c r="GF129" s="115"/>
    </row>
    <row r="130" spans="1:188" x14ac:dyDescent="0.2">
      <c r="A130" s="37"/>
      <c r="B130" s="3"/>
      <c r="C130" s="3"/>
      <c r="D130" s="3"/>
      <c r="F130" s="4"/>
      <c r="G130" s="1"/>
      <c r="H130" s="1"/>
      <c r="I130" s="1"/>
      <c r="J130" s="3"/>
      <c r="K130" s="3"/>
      <c r="O130" s="3"/>
      <c r="P130" s="3"/>
      <c r="R130" s="22"/>
      <c r="S130" s="9"/>
      <c r="T130" s="9"/>
      <c r="U130" s="9"/>
      <c r="V130" s="9"/>
      <c r="X130" s="9"/>
      <c r="Z130" s="26"/>
      <c r="AC130" s="9"/>
      <c r="AE130" s="9"/>
      <c r="AG130" s="9"/>
      <c r="AN130" s="9"/>
      <c r="DB130" s="3"/>
      <c r="DC130" s="3"/>
      <c r="DD130" s="3"/>
      <c r="DE130" s="3"/>
      <c r="DF130" s="3"/>
      <c r="DG130" s="3"/>
    </row>
    <row r="131" spans="1:188" x14ac:dyDescent="0.2">
      <c r="A131" s="37"/>
      <c r="B131" s="3"/>
      <c r="C131" s="3"/>
      <c r="D131" s="3"/>
      <c r="F131" s="4"/>
      <c r="G131" s="1"/>
      <c r="H131" s="1"/>
      <c r="I131" s="1"/>
      <c r="J131" s="3"/>
      <c r="K131" s="3"/>
      <c r="O131" s="3"/>
      <c r="P131" s="3"/>
      <c r="R131" s="22"/>
      <c r="S131" s="9"/>
      <c r="T131" s="9"/>
      <c r="U131" s="9"/>
      <c r="V131" s="9"/>
      <c r="X131" s="9"/>
      <c r="Z131" s="26"/>
      <c r="AC131" s="9"/>
      <c r="AE131" s="9"/>
      <c r="AG131" s="9"/>
      <c r="AN131" s="9"/>
      <c r="DB131" s="3"/>
      <c r="DC131" s="3"/>
      <c r="DD131" s="3"/>
      <c r="DE131" s="3"/>
      <c r="DF131" s="3"/>
      <c r="DG131" s="3"/>
    </row>
    <row r="132" spans="1:188" x14ac:dyDescent="0.2">
      <c r="A132" s="37"/>
      <c r="B132" s="3"/>
      <c r="C132" s="3"/>
      <c r="D132" s="3"/>
      <c r="F132" s="4"/>
      <c r="G132" s="1"/>
      <c r="H132" s="1"/>
      <c r="I132" s="1"/>
      <c r="J132" s="3"/>
      <c r="K132" s="3"/>
      <c r="O132" s="3"/>
      <c r="P132" s="3"/>
      <c r="R132" s="22"/>
      <c r="S132" s="9"/>
      <c r="T132" s="9"/>
      <c r="U132" s="9"/>
      <c r="V132" s="9"/>
      <c r="X132" s="9"/>
      <c r="Z132" s="26"/>
      <c r="AC132" s="9"/>
      <c r="AE132" s="9"/>
      <c r="AG132" s="9"/>
      <c r="AN132" s="9"/>
      <c r="DB132" s="3"/>
      <c r="DC132" s="3"/>
      <c r="DD132" s="3"/>
      <c r="DE132" s="3"/>
      <c r="DF132" s="3"/>
      <c r="DG132" s="3"/>
    </row>
    <row r="133" spans="1:188" x14ac:dyDescent="0.2">
      <c r="A133" s="37"/>
      <c r="B133" s="3"/>
      <c r="C133" s="3"/>
      <c r="D133" s="3"/>
      <c r="F133" s="4"/>
      <c r="G133" s="1"/>
      <c r="H133" s="1"/>
      <c r="I133" s="1"/>
      <c r="J133" s="3"/>
      <c r="K133" s="3"/>
      <c r="O133" s="3"/>
      <c r="P133" s="3"/>
      <c r="R133" s="22"/>
      <c r="S133" s="9"/>
      <c r="T133" s="9"/>
      <c r="U133" s="9"/>
      <c r="V133" s="9"/>
      <c r="X133" s="9"/>
      <c r="Z133" s="26"/>
      <c r="AC133" s="9"/>
      <c r="AE133" s="9"/>
      <c r="AG133" s="9"/>
      <c r="AN133" s="9"/>
      <c r="DB133" s="3"/>
      <c r="DC133" s="3"/>
      <c r="DD133" s="3"/>
      <c r="DE133" s="3"/>
      <c r="DF133" s="3"/>
      <c r="DG133" s="3"/>
    </row>
    <row r="134" spans="1:188" x14ac:dyDescent="0.2">
      <c r="A134" s="37"/>
      <c r="B134" s="3"/>
      <c r="C134" s="3"/>
      <c r="D134" s="3"/>
      <c r="F134" s="4"/>
      <c r="G134" s="1"/>
      <c r="H134" s="1"/>
      <c r="I134" s="1"/>
      <c r="J134" s="3"/>
      <c r="K134" s="3"/>
      <c r="O134" s="3"/>
      <c r="P134" s="3"/>
      <c r="R134" s="22"/>
      <c r="S134" s="9"/>
      <c r="T134" s="9"/>
      <c r="U134" s="9"/>
      <c r="V134" s="9"/>
      <c r="X134" s="9"/>
      <c r="Z134" s="26"/>
      <c r="AC134" s="9"/>
      <c r="AE134" s="9"/>
      <c r="AG134" s="9"/>
      <c r="AN134" s="9"/>
      <c r="DB134" s="3"/>
      <c r="DC134" s="3"/>
      <c r="DD134" s="3"/>
      <c r="DE134" s="3"/>
      <c r="DF134" s="3"/>
      <c r="DG134" s="3"/>
    </row>
    <row r="135" spans="1:188" x14ac:dyDescent="0.2">
      <c r="A135" s="37"/>
      <c r="B135" s="3"/>
      <c r="C135" s="3"/>
      <c r="D135" s="3"/>
      <c r="F135" s="4"/>
      <c r="G135" s="1"/>
      <c r="H135" s="1"/>
      <c r="I135" s="1"/>
      <c r="J135" s="3"/>
      <c r="K135" s="3"/>
      <c r="O135" s="3"/>
      <c r="P135" s="3"/>
      <c r="R135" s="22"/>
      <c r="S135" s="9"/>
      <c r="T135" s="9"/>
      <c r="U135" s="9"/>
      <c r="V135" s="9"/>
      <c r="X135" s="9"/>
      <c r="Z135" s="26"/>
      <c r="AC135" s="9"/>
      <c r="AE135" s="9"/>
      <c r="AG135" s="9"/>
      <c r="AN135" s="9"/>
      <c r="DB135" s="3"/>
      <c r="DC135" s="3"/>
      <c r="DD135" s="3"/>
      <c r="DE135" s="3"/>
      <c r="DF135" s="3"/>
      <c r="DG135" s="3"/>
    </row>
    <row r="136" spans="1:188" x14ac:dyDescent="0.2">
      <c r="A136" s="37"/>
      <c r="B136" s="3"/>
      <c r="C136" s="3"/>
      <c r="D136" s="3"/>
      <c r="F136" s="4"/>
      <c r="G136" s="1"/>
      <c r="H136" s="1"/>
      <c r="I136" s="1"/>
      <c r="J136" s="3"/>
      <c r="K136" s="3"/>
      <c r="O136" s="3"/>
      <c r="P136" s="3"/>
      <c r="R136" s="22"/>
      <c r="S136" s="9"/>
      <c r="T136" s="9"/>
      <c r="U136" s="9"/>
      <c r="V136" s="9"/>
      <c r="X136" s="9"/>
      <c r="Z136" s="26"/>
      <c r="AC136" s="9"/>
      <c r="AE136" s="9"/>
      <c r="AG136" s="9"/>
      <c r="AN136" s="9"/>
      <c r="DB136" s="3"/>
      <c r="DC136" s="3"/>
      <c r="DD136" s="3"/>
      <c r="DE136" s="3"/>
      <c r="DF136" s="3"/>
      <c r="DG136" s="3"/>
    </row>
    <row r="137" spans="1:188" x14ac:dyDescent="0.2">
      <c r="A137" s="37"/>
      <c r="B137" s="3"/>
      <c r="C137" s="3"/>
      <c r="D137" s="3"/>
      <c r="F137" s="4"/>
      <c r="G137" s="1"/>
      <c r="H137" s="1"/>
      <c r="I137" s="1"/>
      <c r="J137" s="3"/>
      <c r="K137" s="3"/>
      <c r="O137" s="3"/>
      <c r="P137" s="3"/>
      <c r="R137" s="22"/>
      <c r="S137" s="9"/>
      <c r="T137" s="9"/>
      <c r="U137" s="9"/>
      <c r="V137" s="9"/>
      <c r="X137" s="9"/>
      <c r="Z137" s="26"/>
      <c r="AC137" s="9"/>
      <c r="AE137" s="9"/>
      <c r="AG137" s="9"/>
      <c r="AN137" s="9"/>
      <c r="DB137" s="3"/>
      <c r="DC137" s="3"/>
      <c r="DD137" s="3"/>
      <c r="DE137" s="3"/>
      <c r="DF137" s="3"/>
      <c r="DG137" s="3"/>
    </row>
    <row r="138" spans="1:188" x14ac:dyDescent="0.2">
      <c r="A138" s="37"/>
      <c r="B138" s="3"/>
      <c r="C138" s="3"/>
      <c r="D138" s="3"/>
      <c r="F138" s="4"/>
      <c r="G138" s="1"/>
      <c r="H138" s="1"/>
      <c r="I138" s="1"/>
      <c r="J138" s="3"/>
      <c r="K138" s="3"/>
      <c r="O138" s="3"/>
      <c r="P138" s="3"/>
      <c r="R138" s="22"/>
      <c r="S138" s="9"/>
      <c r="T138" s="9"/>
      <c r="U138" s="9"/>
      <c r="V138" s="9"/>
      <c r="X138" s="9"/>
      <c r="Z138" s="26"/>
      <c r="AC138" s="9"/>
      <c r="AE138" s="9"/>
      <c r="AG138" s="9"/>
      <c r="AN138" s="9"/>
      <c r="DB138" s="3"/>
      <c r="DC138" s="3"/>
      <c r="DD138" s="3"/>
      <c r="DE138" s="3"/>
      <c r="DF138" s="3"/>
      <c r="DG138" s="3"/>
    </row>
    <row r="139" spans="1:188" x14ac:dyDescent="0.2">
      <c r="A139" s="37"/>
      <c r="B139" s="3"/>
      <c r="C139" s="3"/>
      <c r="D139" s="3"/>
      <c r="F139" s="4"/>
      <c r="G139" s="1"/>
      <c r="H139" s="1"/>
      <c r="I139" s="1"/>
      <c r="J139" s="3"/>
      <c r="K139" s="3"/>
      <c r="O139" s="3"/>
      <c r="P139" s="3"/>
      <c r="R139" s="22"/>
      <c r="S139" s="9"/>
      <c r="T139" s="9"/>
      <c r="U139" s="9"/>
      <c r="V139" s="9"/>
      <c r="X139" s="9"/>
      <c r="Z139" s="26"/>
      <c r="AC139" s="9"/>
      <c r="AE139" s="9"/>
      <c r="AG139" s="9"/>
      <c r="AN139" s="9"/>
      <c r="DB139" s="3"/>
      <c r="DC139" s="3"/>
      <c r="DD139" s="3"/>
      <c r="DE139" s="3"/>
      <c r="DF139" s="3"/>
      <c r="DG139" s="3"/>
    </row>
    <row r="140" spans="1:188" x14ac:dyDescent="0.2">
      <c r="A140" s="37"/>
      <c r="B140" s="3"/>
      <c r="C140" s="3"/>
      <c r="D140" s="3"/>
      <c r="F140" s="4"/>
      <c r="G140" s="1"/>
      <c r="H140" s="1"/>
      <c r="I140" s="1"/>
      <c r="J140" s="3"/>
      <c r="K140" s="3"/>
      <c r="O140" s="3"/>
      <c r="P140" s="3"/>
      <c r="R140" s="22"/>
      <c r="S140" s="9"/>
      <c r="T140" s="9"/>
      <c r="U140" s="9"/>
      <c r="V140" s="9"/>
      <c r="X140" s="9"/>
      <c r="Z140" s="26"/>
      <c r="AC140" s="9"/>
      <c r="AE140" s="9"/>
      <c r="AG140" s="9"/>
      <c r="AN140" s="9"/>
      <c r="DB140" s="3"/>
      <c r="DC140" s="3"/>
      <c r="DD140" s="3"/>
      <c r="DE140" s="3"/>
      <c r="DF140" s="3"/>
      <c r="DG140" s="3"/>
    </row>
    <row r="141" spans="1:188" x14ac:dyDescent="0.2">
      <c r="A141" s="37"/>
      <c r="B141" s="3"/>
      <c r="C141" s="3"/>
      <c r="D141" s="3"/>
      <c r="F141" s="4"/>
      <c r="G141" s="1"/>
      <c r="H141" s="1"/>
      <c r="I141" s="1"/>
      <c r="J141" s="3"/>
      <c r="K141" s="3"/>
      <c r="O141" s="3"/>
      <c r="P141" s="3"/>
      <c r="R141" s="22"/>
      <c r="S141" s="9"/>
      <c r="T141" s="9"/>
      <c r="U141" s="9"/>
      <c r="V141" s="9"/>
      <c r="X141" s="9"/>
      <c r="Z141" s="26"/>
      <c r="AC141" s="9"/>
      <c r="AE141" s="9"/>
      <c r="AG141" s="9"/>
      <c r="AN141" s="9"/>
      <c r="DB141" s="3"/>
      <c r="DC141" s="3"/>
      <c r="DD141" s="3"/>
      <c r="DE141" s="3"/>
      <c r="DF141" s="3"/>
      <c r="DG141" s="3"/>
    </row>
    <row r="142" spans="1:188" x14ac:dyDescent="0.2">
      <c r="A142" s="37"/>
      <c r="B142" s="3"/>
      <c r="C142" s="3"/>
      <c r="D142" s="3"/>
      <c r="F142" s="4"/>
      <c r="G142" s="1"/>
      <c r="H142" s="1"/>
      <c r="I142" s="1"/>
      <c r="J142" s="3"/>
      <c r="K142" s="3"/>
      <c r="O142" s="3"/>
      <c r="P142" s="3"/>
      <c r="R142" s="22"/>
      <c r="S142" s="9"/>
      <c r="T142" s="9"/>
      <c r="U142" s="9"/>
      <c r="V142" s="9"/>
      <c r="X142" s="9"/>
      <c r="Z142" s="26"/>
      <c r="AC142" s="9"/>
      <c r="AE142" s="9"/>
      <c r="AG142" s="9"/>
      <c r="AN142" s="9"/>
      <c r="DB142" s="3"/>
      <c r="DC142" s="3"/>
      <c r="DD142" s="3"/>
      <c r="DE142" s="3"/>
      <c r="DF142" s="3"/>
      <c r="DG142" s="3"/>
    </row>
    <row r="143" spans="1:188" x14ac:dyDescent="0.2">
      <c r="A143" s="37"/>
      <c r="B143" s="3"/>
      <c r="C143" s="3"/>
      <c r="D143" s="3"/>
      <c r="F143" s="4"/>
      <c r="G143" s="1"/>
      <c r="H143" s="1"/>
      <c r="I143" s="1"/>
      <c r="J143" s="3"/>
      <c r="K143" s="3"/>
      <c r="O143" s="3"/>
      <c r="P143" s="3"/>
      <c r="R143" s="22"/>
      <c r="S143" s="9"/>
      <c r="T143" s="9"/>
      <c r="U143" s="9"/>
      <c r="V143" s="9"/>
      <c r="X143" s="9"/>
      <c r="Z143" s="26"/>
      <c r="AC143" s="9"/>
      <c r="AE143" s="9"/>
      <c r="AG143" s="9"/>
      <c r="AN143" s="9"/>
      <c r="DB143" s="3"/>
      <c r="DC143" s="3"/>
      <c r="DD143" s="3"/>
      <c r="DE143" s="3"/>
      <c r="DF143" s="3"/>
      <c r="DG143" s="3"/>
    </row>
    <row r="144" spans="1:188" x14ac:dyDescent="0.2">
      <c r="A144" s="37"/>
      <c r="B144" s="3"/>
      <c r="C144" s="3"/>
      <c r="D144" s="3"/>
      <c r="F144" s="4"/>
      <c r="G144" s="22"/>
      <c r="H144" s="22"/>
      <c r="I144" s="22"/>
      <c r="J144" s="3"/>
      <c r="K144" s="3"/>
      <c r="O144" s="3"/>
      <c r="P144" s="3"/>
      <c r="R144" s="22"/>
      <c r="S144" s="9"/>
      <c r="T144" s="9"/>
      <c r="U144" s="9"/>
      <c r="V144" s="9"/>
      <c r="X144" s="9"/>
      <c r="Z144" s="26"/>
      <c r="AC144" s="9"/>
      <c r="AE144" s="9"/>
      <c r="AG144" s="9"/>
      <c r="AN144" s="9"/>
      <c r="DB144" s="3"/>
      <c r="DC144" s="3"/>
      <c r="DD144" s="3"/>
      <c r="DE144" s="3"/>
      <c r="DF144" s="3"/>
      <c r="DG144" s="3"/>
    </row>
    <row r="145" spans="1:111" x14ac:dyDescent="0.2">
      <c r="A145" s="37"/>
      <c r="B145" s="3"/>
      <c r="C145" s="3"/>
      <c r="D145" s="3"/>
      <c r="F145" s="4"/>
      <c r="G145" s="22"/>
      <c r="H145" s="22"/>
      <c r="I145" s="22"/>
      <c r="J145" s="3"/>
      <c r="K145" s="3"/>
      <c r="O145" s="3"/>
      <c r="P145" s="3"/>
      <c r="R145" s="22"/>
      <c r="S145" s="9"/>
      <c r="T145" s="9"/>
      <c r="U145" s="9"/>
      <c r="V145" s="9"/>
      <c r="X145" s="9"/>
      <c r="Z145" s="26"/>
      <c r="AC145" s="9"/>
      <c r="AE145" s="9"/>
      <c r="AG145" s="9"/>
      <c r="AN145" s="9"/>
      <c r="DB145" s="3"/>
      <c r="DC145" s="3"/>
      <c r="DD145" s="3"/>
      <c r="DE145" s="3"/>
      <c r="DF145" s="3"/>
      <c r="DG145" s="3"/>
    </row>
    <row r="146" spans="1:111" x14ac:dyDescent="0.2">
      <c r="A146" s="37"/>
      <c r="B146" s="3"/>
      <c r="C146" s="3"/>
      <c r="D146" s="3"/>
      <c r="F146" s="4"/>
      <c r="G146" s="22"/>
      <c r="H146" s="22"/>
      <c r="I146" s="22"/>
      <c r="J146" s="3"/>
      <c r="K146" s="3"/>
      <c r="O146" s="3"/>
      <c r="P146" s="3"/>
      <c r="R146" s="22"/>
      <c r="S146" s="9"/>
      <c r="T146" s="9"/>
      <c r="U146" s="9"/>
      <c r="V146" s="9"/>
      <c r="X146" s="9"/>
      <c r="Z146" s="26"/>
      <c r="AC146" s="9"/>
      <c r="AE146" s="9"/>
      <c r="AG146" s="9"/>
      <c r="AN146" s="9"/>
      <c r="DB146" s="3"/>
      <c r="DC146" s="3"/>
      <c r="DD146" s="3"/>
      <c r="DE146" s="3"/>
      <c r="DF146" s="3"/>
      <c r="DG146" s="3"/>
    </row>
    <row r="147" spans="1:111" x14ac:dyDescent="0.2">
      <c r="A147" s="37"/>
      <c r="B147" s="3"/>
      <c r="C147" s="3"/>
      <c r="D147" s="3"/>
      <c r="F147" s="4"/>
      <c r="G147" s="22"/>
      <c r="H147" s="22"/>
      <c r="I147" s="22"/>
      <c r="J147" s="3"/>
      <c r="K147" s="3"/>
      <c r="O147" s="3"/>
      <c r="P147" s="3"/>
      <c r="R147" s="22"/>
      <c r="S147" s="9"/>
      <c r="T147" s="9"/>
      <c r="U147" s="9"/>
      <c r="V147" s="9"/>
      <c r="X147" s="9"/>
      <c r="Z147" s="26"/>
      <c r="AC147" s="9"/>
      <c r="AE147" s="9"/>
      <c r="AG147" s="9"/>
      <c r="AN147" s="9"/>
      <c r="DB147" s="3"/>
      <c r="DC147" s="3"/>
      <c r="DD147" s="3"/>
      <c r="DE147" s="3"/>
      <c r="DF147" s="3"/>
      <c r="DG147" s="3"/>
    </row>
    <row r="148" spans="1:111" x14ac:dyDescent="0.2">
      <c r="A148" s="37"/>
      <c r="B148" s="3"/>
      <c r="C148" s="3"/>
      <c r="D148" s="3"/>
      <c r="F148" s="4"/>
      <c r="G148" s="22"/>
      <c r="H148" s="22"/>
      <c r="I148" s="22"/>
      <c r="J148" s="3"/>
      <c r="K148" s="3"/>
      <c r="O148" s="3"/>
      <c r="P148" s="3"/>
      <c r="R148" s="22"/>
      <c r="S148" s="9"/>
      <c r="T148" s="9"/>
      <c r="U148" s="9"/>
      <c r="V148" s="9"/>
      <c r="X148" s="9"/>
      <c r="Z148" s="26"/>
      <c r="AC148" s="9"/>
      <c r="AE148" s="9"/>
      <c r="AG148" s="9"/>
      <c r="AN148" s="9"/>
      <c r="DB148" s="3"/>
      <c r="DC148" s="3"/>
      <c r="DD148" s="3"/>
      <c r="DE148" s="3"/>
      <c r="DF148" s="3"/>
      <c r="DG148" s="3"/>
    </row>
    <row r="149" spans="1:111" x14ac:dyDescent="0.2">
      <c r="A149" s="37"/>
      <c r="B149" s="3"/>
      <c r="C149" s="3"/>
      <c r="D149" s="3"/>
      <c r="F149" s="4"/>
      <c r="G149" s="22"/>
      <c r="H149" s="22"/>
      <c r="I149" s="22"/>
      <c r="J149" s="3"/>
      <c r="K149" s="3"/>
      <c r="O149" s="3"/>
      <c r="P149" s="3"/>
      <c r="R149" s="22"/>
      <c r="S149" s="9"/>
      <c r="T149" s="9"/>
      <c r="U149" s="9"/>
      <c r="V149" s="9"/>
      <c r="X149" s="9"/>
      <c r="Z149" s="26"/>
      <c r="AC149" s="9"/>
      <c r="AE149" s="9"/>
      <c r="AG149" s="9"/>
      <c r="AN149" s="9"/>
      <c r="DB149" s="3"/>
      <c r="DC149" s="3"/>
      <c r="DD149" s="3"/>
      <c r="DE149" s="3"/>
      <c r="DF149" s="3"/>
      <c r="DG149" s="3"/>
    </row>
    <row r="150" spans="1:111" x14ac:dyDescent="0.2">
      <c r="A150" s="37"/>
      <c r="B150" s="3"/>
      <c r="C150" s="3"/>
      <c r="D150" s="3"/>
      <c r="F150" s="4"/>
      <c r="G150" s="22"/>
      <c r="H150" s="22"/>
      <c r="I150" s="22"/>
      <c r="J150" s="3"/>
      <c r="K150" s="3"/>
      <c r="O150" s="3"/>
      <c r="P150" s="3"/>
      <c r="R150" s="22"/>
      <c r="S150" s="9"/>
      <c r="T150" s="9"/>
      <c r="U150" s="9"/>
      <c r="V150" s="9"/>
      <c r="X150" s="9"/>
      <c r="Z150" s="26"/>
      <c r="AC150" s="9"/>
      <c r="AE150" s="9"/>
      <c r="AG150" s="9"/>
      <c r="AN150" s="9"/>
      <c r="DB150" s="3"/>
      <c r="DC150" s="3"/>
      <c r="DD150" s="3"/>
      <c r="DE150" s="3"/>
      <c r="DF150" s="3"/>
      <c r="DG150" s="3"/>
    </row>
    <row r="151" spans="1:111" x14ac:dyDescent="0.2">
      <c r="A151" s="37"/>
      <c r="B151" s="3"/>
      <c r="C151" s="3"/>
      <c r="D151" s="3"/>
      <c r="F151" s="4"/>
      <c r="G151" s="22"/>
      <c r="H151" s="22"/>
      <c r="I151" s="22"/>
      <c r="J151" s="3"/>
      <c r="K151" s="3"/>
      <c r="O151" s="3"/>
      <c r="P151" s="3"/>
      <c r="R151" s="22"/>
      <c r="S151" s="9"/>
      <c r="T151" s="9"/>
      <c r="U151" s="9"/>
      <c r="V151" s="9"/>
      <c r="X151" s="9"/>
      <c r="Z151" s="26"/>
      <c r="AC151" s="9"/>
      <c r="AE151" s="9"/>
      <c r="AG151" s="9"/>
      <c r="AN151" s="9"/>
      <c r="DB151" s="3"/>
      <c r="DC151" s="3"/>
      <c r="DD151" s="3"/>
      <c r="DE151" s="3"/>
      <c r="DF151" s="3"/>
      <c r="DG151" s="3"/>
    </row>
    <row r="152" spans="1:111" x14ac:dyDescent="0.2">
      <c r="A152" s="37"/>
      <c r="B152" s="3"/>
      <c r="C152" s="3"/>
      <c r="D152" s="3"/>
      <c r="F152" s="4"/>
      <c r="G152" s="22"/>
      <c r="H152" s="22"/>
      <c r="I152" s="22"/>
      <c r="J152" s="3"/>
      <c r="K152" s="3"/>
      <c r="O152" s="3"/>
      <c r="P152" s="3"/>
      <c r="R152" s="22"/>
      <c r="S152" s="9"/>
      <c r="T152" s="9"/>
      <c r="U152" s="9"/>
      <c r="V152" s="9"/>
      <c r="X152" s="9"/>
      <c r="Z152" s="26"/>
      <c r="AC152" s="9"/>
      <c r="AE152" s="9"/>
      <c r="AG152" s="9"/>
      <c r="AN152" s="9"/>
      <c r="DB152" s="3"/>
      <c r="DC152" s="3"/>
      <c r="DD152" s="3"/>
      <c r="DE152" s="3"/>
      <c r="DF152" s="3"/>
      <c r="DG152" s="3"/>
    </row>
    <row r="153" spans="1:111" x14ac:dyDescent="0.2">
      <c r="A153" s="37"/>
      <c r="B153" s="3"/>
      <c r="C153" s="3"/>
      <c r="D153" s="3"/>
      <c r="F153" s="4"/>
      <c r="G153" s="22"/>
      <c r="H153" s="22"/>
      <c r="I153" s="22"/>
      <c r="J153" s="3"/>
      <c r="K153" s="3"/>
      <c r="O153" s="3"/>
      <c r="P153" s="3"/>
      <c r="R153" s="22"/>
      <c r="S153" s="9"/>
      <c r="T153" s="9"/>
      <c r="U153" s="9"/>
      <c r="V153" s="9"/>
      <c r="X153" s="9"/>
      <c r="Z153" s="26"/>
      <c r="AC153" s="9"/>
      <c r="AE153" s="9"/>
      <c r="AG153" s="9"/>
      <c r="AN153" s="9"/>
      <c r="DB153" s="3"/>
      <c r="DC153" s="3"/>
      <c r="DD153" s="3"/>
      <c r="DE153" s="3"/>
      <c r="DF153" s="3"/>
      <c r="DG153" s="3"/>
    </row>
    <row r="154" spans="1:111" x14ac:dyDescent="0.2">
      <c r="A154" s="37"/>
      <c r="B154" s="3"/>
      <c r="C154" s="3"/>
      <c r="D154" s="3"/>
      <c r="F154" s="4"/>
      <c r="G154" s="22"/>
      <c r="H154" s="22"/>
      <c r="I154" s="22"/>
      <c r="J154" s="3"/>
      <c r="K154" s="3"/>
      <c r="O154" s="3"/>
      <c r="P154" s="3"/>
      <c r="R154" s="22"/>
      <c r="S154" s="9"/>
      <c r="T154" s="9"/>
      <c r="U154" s="9"/>
      <c r="V154" s="9"/>
      <c r="X154" s="9"/>
      <c r="Z154" s="26"/>
      <c r="AC154" s="9"/>
      <c r="AE154" s="9"/>
      <c r="AG154" s="9"/>
      <c r="AN154" s="9"/>
      <c r="DB154" s="3"/>
      <c r="DC154" s="3"/>
      <c r="DD154" s="3"/>
      <c r="DE154" s="3"/>
      <c r="DF154" s="3"/>
      <c r="DG154" s="3"/>
    </row>
    <row r="155" spans="1:111" x14ac:dyDescent="0.2">
      <c r="A155" s="37"/>
      <c r="B155" s="3"/>
      <c r="C155" s="3"/>
      <c r="D155" s="3"/>
      <c r="F155" s="4"/>
      <c r="G155" s="22"/>
      <c r="H155" s="22"/>
      <c r="I155" s="22"/>
      <c r="J155" s="3"/>
      <c r="K155" s="3"/>
      <c r="O155" s="3"/>
      <c r="P155" s="3"/>
      <c r="R155" s="22"/>
      <c r="S155" s="9"/>
      <c r="T155" s="9"/>
      <c r="U155" s="9"/>
      <c r="V155" s="9"/>
      <c r="X155" s="9"/>
      <c r="Z155" s="26"/>
      <c r="AC155" s="9"/>
      <c r="AE155" s="9"/>
      <c r="AG155" s="9"/>
      <c r="AN155" s="9"/>
      <c r="DB155" s="3"/>
      <c r="DC155" s="3"/>
      <c r="DD155" s="3"/>
      <c r="DE155" s="3"/>
      <c r="DF155" s="3"/>
      <c r="DG155" s="3"/>
    </row>
    <row r="156" spans="1:111" x14ac:dyDescent="0.2">
      <c r="A156" s="37"/>
      <c r="B156" s="3"/>
      <c r="C156" s="3"/>
      <c r="D156" s="3"/>
      <c r="F156" s="4"/>
      <c r="G156" s="22"/>
      <c r="H156" s="22"/>
      <c r="I156" s="22"/>
      <c r="J156" s="3"/>
      <c r="K156" s="3"/>
      <c r="O156" s="3"/>
      <c r="P156" s="3"/>
      <c r="R156" s="22"/>
      <c r="S156" s="9"/>
      <c r="T156" s="9"/>
      <c r="U156" s="9"/>
      <c r="V156" s="9"/>
      <c r="X156" s="9"/>
      <c r="Z156" s="26"/>
      <c r="AC156" s="9"/>
      <c r="AE156" s="9"/>
      <c r="AG156" s="9"/>
      <c r="AN156" s="9"/>
      <c r="DB156" s="3"/>
      <c r="DC156" s="3"/>
      <c r="DD156" s="3"/>
      <c r="DE156" s="3"/>
      <c r="DF156" s="3"/>
      <c r="DG156" s="3"/>
    </row>
    <row r="157" spans="1:111" x14ac:dyDescent="0.2">
      <c r="A157" s="37"/>
      <c r="B157" s="3"/>
      <c r="C157" s="3"/>
      <c r="D157" s="3"/>
      <c r="F157" s="4"/>
      <c r="G157" s="22"/>
      <c r="H157" s="22"/>
      <c r="I157" s="22"/>
      <c r="J157" s="3"/>
      <c r="K157" s="3"/>
      <c r="O157" s="3"/>
      <c r="P157" s="3"/>
      <c r="R157" s="22"/>
      <c r="S157" s="9"/>
      <c r="T157" s="9"/>
      <c r="U157" s="9"/>
      <c r="V157" s="9"/>
      <c r="X157" s="9"/>
      <c r="Z157" s="26"/>
      <c r="AC157" s="9"/>
      <c r="AE157" s="9"/>
      <c r="AG157" s="9"/>
      <c r="AN157" s="9"/>
      <c r="DB157" s="3"/>
      <c r="DC157" s="3"/>
      <c r="DD157" s="3"/>
      <c r="DE157" s="3"/>
      <c r="DF157" s="3"/>
      <c r="DG157" s="3"/>
    </row>
    <row r="158" spans="1:111" x14ac:dyDescent="0.2">
      <c r="A158" s="37"/>
      <c r="B158" s="3"/>
      <c r="C158" s="3"/>
      <c r="D158" s="3"/>
      <c r="F158" s="4"/>
      <c r="G158" s="22"/>
      <c r="H158" s="22"/>
      <c r="I158" s="22"/>
      <c r="J158" s="3"/>
      <c r="K158" s="3"/>
      <c r="O158" s="3"/>
      <c r="P158" s="3"/>
      <c r="R158" s="22"/>
      <c r="S158" s="9"/>
      <c r="T158" s="9"/>
      <c r="U158" s="9"/>
      <c r="V158" s="9"/>
      <c r="X158" s="9"/>
      <c r="Z158" s="26"/>
      <c r="AC158" s="9"/>
      <c r="AE158" s="9"/>
      <c r="AG158" s="9"/>
      <c r="AN158" s="9"/>
      <c r="DB158" s="3"/>
      <c r="DC158" s="3"/>
      <c r="DD158" s="3"/>
      <c r="DE158" s="3"/>
      <c r="DF158" s="3"/>
      <c r="DG158" s="3"/>
    </row>
    <row r="159" spans="1:111" x14ac:dyDescent="0.2">
      <c r="A159" s="37"/>
      <c r="B159" s="3"/>
      <c r="C159" s="3"/>
      <c r="D159" s="3"/>
      <c r="F159" s="4"/>
      <c r="G159" s="22"/>
      <c r="H159" s="22"/>
      <c r="I159" s="22"/>
      <c r="J159" s="3"/>
      <c r="K159" s="3"/>
      <c r="O159" s="3"/>
      <c r="P159" s="3"/>
      <c r="R159" s="22"/>
      <c r="S159" s="9"/>
      <c r="T159" s="9"/>
      <c r="U159" s="9"/>
      <c r="V159" s="9"/>
      <c r="X159" s="9"/>
      <c r="Z159" s="26"/>
      <c r="AC159" s="9"/>
      <c r="AE159" s="9"/>
      <c r="AG159" s="9"/>
      <c r="AN159" s="9"/>
      <c r="DB159" s="3"/>
      <c r="DC159" s="3"/>
      <c r="DD159" s="3"/>
      <c r="DE159" s="3"/>
      <c r="DF159" s="3"/>
      <c r="DG159" s="3"/>
    </row>
    <row r="160" spans="1:111" x14ac:dyDescent="0.2">
      <c r="A160" s="37"/>
      <c r="B160" s="3"/>
      <c r="C160" s="3"/>
      <c r="D160" s="3"/>
      <c r="F160" s="4"/>
      <c r="G160" s="22"/>
      <c r="H160" s="22"/>
      <c r="I160" s="22"/>
      <c r="J160" s="3"/>
      <c r="K160" s="3"/>
      <c r="O160" s="3"/>
      <c r="P160" s="3"/>
      <c r="R160" s="22"/>
      <c r="S160" s="9"/>
      <c r="T160" s="9"/>
      <c r="U160" s="9"/>
      <c r="V160" s="9"/>
      <c r="X160" s="9"/>
      <c r="Z160" s="26"/>
      <c r="AC160" s="9"/>
      <c r="AE160" s="9"/>
      <c r="AG160" s="9"/>
      <c r="AN160" s="9"/>
      <c r="DB160" s="3"/>
      <c r="DC160" s="3"/>
      <c r="DD160" s="3"/>
      <c r="DE160" s="3"/>
      <c r="DF160" s="3"/>
      <c r="DG160" s="3"/>
    </row>
    <row r="161" spans="1:111" x14ac:dyDescent="0.2">
      <c r="A161" s="37"/>
      <c r="B161" s="3"/>
      <c r="C161" s="3"/>
      <c r="D161" s="3"/>
      <c r="F161" s="4"/>
      <c r="G161" s="22"/>
      <c r="H161" s="22"/>
      <c r="I161" s="22"/>
      <c r="J161" s="3"/>
      <c r="K161" s="3"/>
      <c r="O161" s="3"/>
      <c r="P161" s="3"/>
      <c r="R161" s="22"/>
      <c r="S161" s="9"/>
      <c r="T161" s="9"/>
      <c r="U161" s="9"/>
      <c r="V161" s="9"/>
      <c r="X161" s="9"/>
      <c r="Z161" s="26"/>
      <c r="AC161" s="9"/>
      <c r="AE161" s="9"/>
      <c r="AG161" s="9"/>
      <c r="AN161" s="9"/>
      <c r="DB161" s="3"/>
      <c r="DC161" s="3"/>
      <c r="DD161" s="3"/>
      <c r="DE161" s="3"/>
      <c r="DF161" s="3"/>
      <c r="DG161" s="3"/>
    </row>
    <row r="162" spans="1:111" x14ac:dyDescent="0.2">
      <c r="A162" s="37"/>
      <c r="B162" s="3"/>
      <c r="C162" s="3"/>
      <c r="D162" s="3"/>
      <c r="F162" s="4"/>
      <c r="G162" s="22"/>
      <c r="H162" s="22"/>
      <c r="I162" s="22"/>
      <c r="J162" s="3"/>
      <c r="K162" s="3"/>
      <c r="O162" s="3"/>
      <c r="P162" s="3"/>
      <c r="R162" s="22"/>
      <c r="S162" s="9"/>
      <c r="T162" s="9"/>
      <c r="U162" s="9"/>
      <c r="V162" s="9"/>
      <c r="X162" s="9"/>
      <c r="Z162" s="26"/>
      <c r="AC162" s="9"/>
      <c r="AE162" s="9"/>
      <c r="AG162" s="9"/>
      <c r="AN162" s="9"/>
      <c r="DB162" s="3"/>
      <c r="DC162" s="3"/>
      <c r="DD162" s="3"/>
      <c r="DE162" s="3"/>
      <c r="DF162" s="3"/>
      <c r="DG162" s="3"/>
    </row>
    <row r="163" spans="1:111" x14ac:dyDescent="0.2">
      <c r="A163" s="37"/>
      <c r="B163" s="3"/>
      <c r="C163" s="3"/>
      <c r="D163" s="3"/>
      <c r="F163" s="4"/>
      <c r="G163" s="22"/>
      <c r="H163" s="22"/>
      <c r="I163" s="22"/>
      <c r="J163" s="3"/>
      <c r="K163" s="3"/>
      <c r="O163" s="3"/>
      <c r="P163" s="3"/>
      <c r="R163" s="22"/>
      <c r="S163" s="9"/>
      <c r="T163" s="9"/>
      <c r="U163" s="9"/>
      <c r="V163" s="9"/>
      <c r="X163" s="9"/>
      <c r="Z163" s="26"/>
      <c r="AC163" s="9"/>
      <c r="AE163" s="9"/>
      <c r="AG163" s="9"/>
      <c r="AN163" s="9"/>
      <c r="DB163" s="3"/>
      <c r="DC163" s="3"/>
      <c r="DD163" s="3"/>
      <c r="DE163" s="3"/>
      <c r="DF163" s="3"/>
      <c r="DG163" s="3"/>
    </row>
    <row r="164" spans="1:111" x14ac:dyDescent="0.2">
      <c r="A164" s="37"/>
      <c r="B164" s="3"/>
      <c r="C164" s="3"/>
      <c r="D164" s="3"/>
      <c r="F164" s="4"/>
      <c r="G164" s="22"/>
      <c r="H164" s="22"/>
      <c r="I164" s="22"/>
      <c r="J164" s="3"/>
      <c r="K164" s="3"/>
      <c r="O164" s="3"/>
      <c r="P164" s="3"/>
      <c r="R164" s="22"/>
      <c r="S164" s="9"/>
      <c r="T164" s="9"/>
      <c r="U164" s="9"/>
      <c r="V164" s="9"/>
      <c r="X164" s="9"/>
      <c r="Z164" s="26"/>
      <c r="AC164" s="9"/>
      <c r="AE164" s="9"/>
      <c r="AG164" s="9"/>
      <c r="AN164" s="9"/>
      <c r="DB164" s="3"/>
      <c r="DC164" s="3"/>
      <c r="DD164" s="3"/>
      <c r="DE164" s="3"/>
      <c r="DF164" s="3"/>
      <c r="DG164" s="3"/>
    </row>
    <row r="165" spans="1:111" x14ac:dyDescent="0.2">
      <c r="A165" s="37"/>
      <c r="B165" s="3"/>
      <c r="C165" s="3"/>
      <c r="D165" s="3"/>
      <c r="F165" s="4"/>
      <c r="G165" s="22"/>
      <c r="H165" s="22"/>
      <c r="I165" s="22"/>
      <c r="J165" s="3"/>
      <c r="K165" s="3"/>
      <c r="O165" s="3"/>
      <c r="P165" s="3"/>
      <c r="R165" s="22"/>
      <c r="S165" s="9"/>
      <c r="T165" s="9"/>
      <c r="U165" s="9"/>
      <c r="V165" s="9"/>
      <c r="X165" s="9"/>
      <c r="Z165" s="26"/>
      <c r="AC165" s="9"/>
      <c r="AE165" s="9"/>
      <c r="AG165" s="9"/>
      <c r="AN165" s="9"/>
      <c r="DB165" s="3"/>
      <c r="DC165" s="3"/>
      <c r="DD165" s="3"/>
      <c r="DE165" s="3"/>
      <c r="DF165" s="3"/>
      <c r="DG165" s="3"/>
    </row>
    <row r="166" spans="1:111" x14ac:dyDescent="0.2">
      <c r="A166" s="37"/>
      <c r="B166" s="3"/>
      <c r="C166" s="3"/>
      <c r="D166" s="3"/>
      <c r="F166" s="4"/>
      <c r="G166" s="22"/>
      <c r="H166" s="22"/>
      <c r="I166" s="22"/>
      <c r="J166" s="3"/>
      <c r="K166" s="3"/>
      <c r="O166" s="3"/>
      <c r="P166" s="3"/>
      <c r="R166" s="22"/>
      <c r="S166" s="9"/>
      <c r="T166" s="9"/>
      <c r="U166" s="9"/>
      <c r="V166" s="9"/>
      <c r="X166" s="9"/>
      <c r="Z166" s="26"/>
      <c r="AC166" s="9"/>
      <c r="AE166" s="9"/>
      <c r="AG166" s="9"/>
      <c r="AN166" s="9"/>
      <c r="DB166" s="3"/>
      <c r="DC166" s="3"/>
      <c r="DD166" s="3"/>
      <c r="DE166" s="3"/>
      <c r="DF166" s="3"/>
      <c r="DG166" s="3"/>
    </row>
    <row r="167" spans="1:111" x14ac:dyDescent="0.2">
      <c r="A167" s="37"/>
      <c r="B167" s="3"/>
      <c r="C167" s="3"/>
      <c r="D167" s="3"/>
      <c r="F167" s="4"/>
      <c r="G167" s="22"/>
      <c r="H167" s="22"/>
      <c r="I167" s="22"/>
      <c r="J167" s="3"/>
      <c r="K167" s="3"/>
      <c r="O167" s="3"/>
      <c r="P167" s="3"/>
      <c r="R167" s="22"/>
      <c r="S167" s="9"/>
      <c r="T167" s="9"/>
      <c r="U167" s="9"/>
      <c r="V167" s="9"/>
      <c r="X167" s="9"/>
      <c r="Z167" s="26"/>
      <c r="AC167" s="9"/>
      <c r="AE167" s="9"/>
      <c r="AG167" s="9"/>
      <c r="AN167" s="9"/>
      <c r="DB167" s="3"/>
      <c r="DC167" s="3"/>
      <c r="DD167" s="3"/>
      <c r="DE167" s="3"/>
      <c r="DF167" s="3"/>
      <c r="DG167" s="3"/>
    </row>
    <row r="168" spans="1:111" x14ac:dyDescent="0.2">
      <c r="A168" s="37"/>
      <c r="B168" s="3"/>
      <c r="C168" s="3"/>
      <c r="D168" s="3"/>
      <c r="F168" s="4"/>
      <c r="G168" s="22"/>
      <c r="H168" s="22"/>
      <c r="I168" s="22"/>
      <c r="J168" s="3"/>
      <c r="K168" s="3"/>
      <c r="O168" s="3"/>
      <c r="P168" s="3"/>
      <c r="R168" s="22"/>
      <c r="S168" s="9"/>
      <c r="T168" s="9"/>
      <c r="U168" s="9"/>
      <c r="V168" s="9"/>
      <c r="X168" s="9"/>
      <c r="Z168" s="26"/>
      <c r="AC168" s="9"/>
      <c r="AE168" s="9"/>
      <c r="AG168" s="9"/>
      <c r="AN168" s="9"/>
      <c r="DB168" s="3"/>
      <c r="DC168" s="3"/>
      <c r="DD168" s="3"/>
      <c r="DE168" s="3"/>
      <c r="DF168" s="3"/>
      <c r="DG168" s="3"/>
    </row>
    <row r="169" spans="1:111" x14ac:dyDescent="0.2">
      <c r="A169" s="37"/>
      <c r="B169" s="3"/>
      <c r="C169" s="3"/>
      <c r="D169" s="3"/>
      <c r="F169" s="4"/>
      <c r="G169" s="22"/>
      <c r="H169" s="22"/>
      <c r="I169" s="22"/>
      <c r="J169" s="3"/>
      <c r="K169" s="3"/>
      <c r="O169" s="3"/>
      <c r="P169" s="3"/>
      <c r="R169" s="22"/>
      <c r="S169" s="9"/>
      <c r="T169" s="9"/>
      <c r="U169" s="9"/>
      <c r="V169" s="9"/>
      <c r="X169" s="9"/>
      <c r="Z169" s="26"/>
      <c r="AC169" s="9"/>
      <c r="AE169" s="9"/>
      <c r="AG169" s="9"/>
      <c r="AN169" s="9"/>
      <c r="DB169" s="3"/>
      <c r="DC169" s="3"/>
      <c r="DD169" s="3"/>
      <c r="DE169" s="3"/>
      <c r="DF169" s="3"/>
      <c r="DG169" s="3"/>
    </row>
    <row r="170" spans="1:111" x14ac:dyDescent="0.2">
      <c r="A170" s="37"/>
      <c r="B170" s="3"/>
      <c r="C170" s="3"/>
      <c r="D170" s="3"/>
      <c r="F170" s="4"/>
      <c r="G170" s="22"/>
      <c r="H170" s="22"/>
      <c r="I170" s="22"/>
      <c r="J170" s="3"/>
      <c r="K170" s="3"/>
      <c r="O170" s="3"/>
      <c r="P170" s="3"/>
      <c r="R170" s="22"/>
      <c r="S170" s="9"/>
      <c r="T170" s="9"/>
      <c r="U170" s="9"/>
      <c r="V170" s="9"/>
      <c r="X170" s="9"/>
      <c r="Z170" s="26"/>
      <c r="AC170" s="9"/>
      <c r="AE170" s="9"/>
      <c r="AG170" s="9"/>
      <c r="AN170" s="9"/>
      <c r="DB170" s="3"/>
      <c r="DC170" s="3"/>
      <c r="DD170" s="3"/>
      <c r="DE170" s="3"/>
      <c r="DF170" s="3"/>
      <c r="DG170" s="3"/>
    </row>
    <row r="171" spans="1:111" x14ac:dyDescent="0.2">
      <c r="A171" s="37"/>
      <c r="B171" s="3"/>
      <c r="C171" s="3"/>
      <c r="D171" s="3"/>
      <c r="F171" s="4"/>
      <c r="G171" s="22"/>
      <c r="H171" s="22"/>
      <c r="I171" s="22"/>
      <c r="J171" s="3"/>
      <c r="K171" s="3"/>
      <c r="O171" s="3"/>
      <c r="P171" s="3"/>
      <c r="R171" s="22"/>
      <c r="S171" s="9"/>
      <c r="T171" s="9"/>
      <c r="U171" s="9"/>
      <c r="V171" s="9"/>
      <c r="X171" s="9"/>
      <c r="Z171" s="26"/>
      <c r="AC171" s="9"/>
      <c r="AE171" s="9"/>
      <c r="AG171" s="9"/>
      <c r="AN171" s="9"/>
      <c r="DB171" s="3"/>
      <c r="DC171" s="3"/>
      <c r="DD171" s="3"/>
      <c r="DE171" s="3"/>
      <c r="DF171" s="3"/>
      <c r="DG171" s="3"/>
    </row>
    <row r="172" spans="1:111" x14ac:dyDescent="0.2">
      <c r="A172" s="37"/>
      <c r="B172" s="3"/>
      <c r="C172" s="3"/>
      <c r="D172" s="3"/>
      <c r="F172" s="4"/>
      <c r="G172" s="22"/>
      <c r="H172" s="22"/>
      <c r="I172" s="22"/>
      <c r="J172" s="3"/>
      <c r="K172" s="3"/>
      <c r="O172" s="3"/>
      <c r="P172" s="3"/>
      <c r="R172" s="22"/>
      <c r="S172" s="9"/>
      <c r="T172" s="9"/>
      <c r="U172" s="9"/>
      <c r="V172" s="9"/>
      <c r="X172" s="9"/>
      <c r="Z172" s="26"/>
      <c r="AC172" s="9"/>
      <c r="AE172" s="9"/>
      <c r="AG172" s="9"/>
      <c r="AN172" s="9"/>
      <c r="DB172" s="3"/>
      <c r="DC172" s="3"/>
      <c r="DD172" s="3"/>
      <c r="DE172" s="3"/>
      <c r="DF172" s="3"/>
      <c r="DG172" s="3"/>
    </row>
    <row r="173" spans="1:111" x14ac:dyDescent="0.2">
      <c r="A173" s="37"/>
      <c r="B173" s="3"/>
      <c r="C173" s="3"/>
      <c r="D173" s="3"/>
      <c r="F173" s="4"/>
      <c r="G173" s="22"/>
      <c r="H173" s="22"/>
      <c r="I173" s="22"/>
      <c r="J173" s="3"/>
      <c r="K173" s="3"/>
      <c r="O173" s="3"/>
      <c r="P173" s="3"/>
      <c r="R173" s="22"/>
      <c r="S173" s="9"/>
      <c r="T173" s="9"/>
      <c r="U173" s="9"/>
      <c r="V173" s="9"/>
      <c r="X173" s="9"/>
      <c r="Z173" s="26"/>
      <c r="AC173" s="9"/>
      <c r="AE173" s="9"/>
      <c r="AG173" s="9"/>
      <c r="AN173" s="9"/>
      <c r="DB173" s="3"/>
      <c r="DC173" s="3"/>
      <c r="DD173" s="3"/>
      <c r="DE173" s="3"/>
      <c r="DF173" s="3"/>
      <c r="DG173" s="3"/>
    </row>
    <row r="174" spans="1:111" x14ac:dyDescent="0.2">
      <c r="A174" s="37"/>
      <c r="B174" s="3"/>
      <c r="C174" s="3"/>
      <c r="D174" s="3"/>
      <c r="F174" s="4"/>
      <c r="G174" s="22"/>
      <c r="H174" s="22"/>
      <c r="I174" s="22"/>
      <c r="J174" s="3"/>
      <c r="K174" s="3"/>
      <c r="O174" s="3"/>
      <c r="P174" s="3"/>
      <c r="R174" s="22"/>
      <c r="S174" s="9"/>
      <c r="T174" s="9"/>
      <c r="U174" s="9"/>
      <c r="V174" s="9"/>
      <c r="X174" s="9"/>
      <c r="Z174" s="26"/>
      <c r="AC174" s="9"/>
      <c r="AE174" s="9"/>
      <c r="AG174" s="9"/>
      <c r="AN174" s="9"/>
      <c r="DB174" s="3"/>
      <c r="DC174" s="3"/>
      <c r="DD174" s="3"/>
      <c r="DE174" s="3"/>
      <c r="DF174" s="3"/>
      <c r="DG174" s="3"/>
    </row>
    <row r="175" spans="1:111" x14ac:dyDescent="0.2">
      <c r="A175" s="37"/>
      <c r="B175" s="3"/>
      <c r="C175" s="3"/>
      <c r="D175" s="3"/>
      <c r="F175" s="4"/>
      <c r="G175" s="22"/>
      <c r="H175" s="22"/>
      <c r="I175" s="22"/>
      <c r="J175" s="3"/>
      <c r="K175" s="3"/>
      <c r="O175" s="3"/>
      <c r="P175" s="3"/>
      <c r="R175" s="22"/>
      <c r="S175" s="9"/>
      <c r="T175" s="9"/>
      <c r="U175" s="9"/>
      <c r="V175" s="9"/>
      <c r="X175" s="9"/>
      <c r="Z175" s="26"/>
      <c r="AC175" s="9"/>
      <c r="AE175" s="9"/>
      <c r="AG175" s="9"/>
      <c r="AN175" s="9"/>
      <c r="DB175" s="3"/>
      <c r="DC175" s="3"/>
      <c r="DD175" s="3"/>
      <c r="DE175" s="3"/>
      <c r="DF175" s="3"/>
      <c r="DG175" s="3"/>
    </row>
    <row r="176" spans="1:111" x14ac:dyDescent="0.2">
      <c r="A176" s="37"/>
      <c r="B176" s="3"/>
      <c r="C176" s="3"/>
      <c r="D176" s="3"/>
      <c r="F176" s="4"/>
      <c r="G176" s="22"/>
      <c r="H176" s="22"/>
      <c r="I176" s="22"/>
      <c r="J176" s="3"/>
      <c r="K176" s="3"/>
      <c r="O176" s="3"/>
      <c r="P176" s="3"/>
      <c r="R176" s="22"/>
      <c r="S176" s="9"/>
      <c r="T176" s="9"/>
      <c r="U176" s="9"/>
      <c r="V176" s="9"/>
      <c r="X176" s="9"/>
      <c r="Z176" s="26"/>
      <c r="AC176" s="9"/>
      <c r="AE176" s="9"/>
      <c r="AG176" s="9"/>
      <c r="AN176" s="9"/>
      <c r="DB176" s="3"/>
      <c r="DC176" s="3"/>
      <c r="DD176" s="3"/>
      <c r="DE176" s="3"/>
      <c r="DF176" s="3"/>
      <c r="DG176" s="3"/>
    </row>
    <row r="177" spans="1:111" x14ac:dyDescent="0.2">
      <c r="A177" s="37"/>
      <c r="B177" s="3"/>
      <c r="C177" s="3"/>
      <c r="D177" s="3"/>
      <c r="F177" s="4"/>
      <c r="G177" s="22"/>
      <c r="H177" s="22"/>
      <c r="I177" s="22"/>
      <c r="J177" s="3"/>
      <c r="K177" s="3"/>
      <c r="O177" s="3"/>
      <c r="P177" s="3"/>
      <c r="R177" s="22"/>
      <c r="S177" s="9"/>
      <c r="T177" s="9"/>
      <c r="U177" s="9"/>
      <c r="V177" s="9"/>
      <c r="X177" s="9"/>
      <c r="Z177" s="26"/>
      <c r="AC177" s="9"/>
      <c r="AE177" s="9"/>
      <c r="AG177" s="9"/>
      <c r="AN177" s="9"/>
      <c r="DB177" s="3"/>
      <c r="DC177" s="3"/>
      <c r="DD177" s="3"/>
      <c r="DE177" s="3"/>
      <c r="DF177" s="3"/>
      <c r="DG177" s="3"/>
    </row>
    <row r="178" spans="1:111" x14ac:dyDescent="0.2">
      <c r="A178" s="37"/>
      <c r="B178" s="3"/>
      <c r="C178" s="3"/>
      <c r="D178" s="3"/>
      <c r="F178" s="4"/>
      <c r="G178" s="22"/>
      <c r="H178" s="22"/>
      <c r="I178" s="22"/>
      <c r="J178" s="3"/>
      <c r="K178" s="3"/>
      <c r="O178" s="3"/>
      <c r="P178" s="3"/>
      <c r="R178" s="22"/>
      <c r="S178" s="9"/>
      <c r="T178" s="9"/>
      <c r="U178" s="9"/>
      <c r="V178" s="9"/>
      <c r="X178" s="9"/>
      <c r="Z178" s="26"/>
      <c r="AC178" s="9"/>
      <c r="AE178" s="9"/>
      <c r="AG178" s="9"/>
      <c r="AN178" s="9"/>
      <c r="DB178" s="3"/>
      <c r="DC178" s="3"/>
      <c r="DD178" s="3"/>
      <c r="DE178" s="3"/>
      <c r="DF178" s="3"/>
      <c r="DG178" s="3"/>
    </row>
    <row r="179" spans="1:111" x14ac:dyDescent="0.2">
      <c r="A179" s="37"/>
      <c r="B179" s="3"/>
      <c r="C179" s="3"/>
      <c r="D179" s="3"/>
      <c r="F179" s="4"/>
      <c r="G179" s="22"/>
      <c r="H179" s="22"/>
      <c r="I179" s="22"/>
      <c r="J179" s="3"/>
      <c r="K179" s="3"/>
      <c r="O179" s="3"/>
      <c r="P179" s="3"/>
      <c r="R179" s="22"/>
      <c r="S179" s="9"/>
      <c r="T179" s="9"/>
      <c r="U179" s="9"/>
      <c r="V179" s="9"/>
      <c r="X179" s="9"/>
      <c r="Z179" s="26"/>
      <c r="AC179" s="9"/>
      <c r="AE179" s="9"/>
      <c r="AG179" s="9"/>
      <c r="AN179" s="9"/>
      <c r="DB179" s="3"/>
      <c r="DC179" s="3"/>
      <c r="DD179" s="3"/>
      <c r="DE179" s="3"/>
      <c r="DF179" s="3"/>
      <c r="DG179" s="3"/>
    </row>
    <row r="180" spans="1:111" x14ac:dyDescent="0.2">
      <c r="A180" s="37"/>
      <c r="B180" s="3"/>
      <c r="C180" s="3"/>
      <c r="D180" s="3"/>
      <c r="F180" s="4"/>
      <c r="G180" s="22"/>
      <c r="H180" s="22"/>
      <c r="I180" s="22"/>
      <c r="J180" s="3"/>
      <c r="K180" s="3"/>
      <c r="O180" s="3"/>
      <c r="P180" s="3"/>
      <c r="R180" s="22"/>
      <c r="S180" s="9"/>
      <c r="T180" s="9"/>
      <c r="U180" s="9"/>
      <c r="V180" s="9"/>
      <c r="X180" s="9"/>
      <c r="Z180" s="26"/>
      <c r="AC180" s="9"/>
      <c r="AE180" s="9"/>
      <c r="AG180" s="9"/>
      <c r="AN180" s="9"/>
      <c r="DB180" s="3"/>
      <c r="DC180" s="3"/>
      <c r="DD180" s="3"/>
      <c r="DE180" s="3"/>
      <c r="DF180" s="3"/>
      <c r="DG180" s="3"/>
    </row>
    <row r="181" spans="1:111" x14ac:dyDescent="0.2">
      <c r="A181" s="37"/>
      <c r="B181" s="3"/>
      <c r="C181" s="3"/>
      <c r="D181" s="3"/>
      <c r="F181" s="4"/>
      <c r="G181" s="22"/>
      <c r="H181" s="22"/>
      <c r="I181" s="22"/>
      <c r="J181" s="3"/>
      <c r="K181" s="3"/>
    </row>
    <row r="182" spans="1:111" x14ac:dyDescent="0.2">
      <c r="A182" s="37"/>
      <c r="B182" s="3"/>
      <c r="C182" s="3"/>
      <c r="D182" s="3"/>
      <c r="F182" s="4"/>
      <c r="G182" s="22"/>
      <c r="H182" s="22"/>
      <c r="I182" s="22"/>
      <c r="J182" s="3"/>
      <c r="K182" s="3"/>
    </row>
    <row r="183" spans="1:111" x14ac:dyDescent="0.2">
      <c r="A183" s="37"/>
      <c r="B183" s="3"/>
      <c r="C183" s="3"/>
      <c r="D183" s="3"/>
      <c r="F183" s="4"/>
      <c r="G183" s="22"/>
      <c r="H183" s="22"/>
      <c r="I183" s="22"/>
      <c r="J183" s="3"/>
      <c r="K183" s="3"/>
    </row>
    <row r="184" spans="1:111" x14ac:dyDescent="0.2">
      <c r="A184" s="37"/>
      <c r="B184" s="3"/>
      <c r="C184" s="3"/>
      <c r="D184" s="3"/>
      <c r="F184" s="4"/>
      <c r="G184" s="22"/>
      <c r="H184" s="22"/>
      <c r="I184" s="22"/>
      <c r="J184" s="3"/>
      <c r="K184" s="3"/>
    </row>
    <row r="185" spans="1:111" x14ac:dyDescent="0.2">
      <c r="A185" s="37"/>
      <c r="B185" s="3"/>
      <c r="C185" s="3"/>
      <c r="D185" s="3"/>
      <c r="F185" s="4"/>
      <c r="G185" s="22"/>
      <c r="H185" s="22"/>
      <c r="I185" s="22"/>
      <c r="J185" s="3"/>
      <c r="K185" s="3"/>
    </row>
    <row r="186" spans="1:111" x14ac:dyDescent="0.2">
      <c r="A186" s="37"/>
      <c r="B186" s="3"/>
      <c r="C186" s="3"/>
      <c r="D186" s="3"/>
      <c r="F186" s="4"/>
      <c r="G186" s="22"/>
      <c r="H186" s="22"/>
      <c r="I186" s="22"/>
      <c r="J186" s="3"/>
      <c r="K186" s="3"/>
    </row>
    <row r="187" spans="1:111" x14ac:dyDescent="0.2">
      <c r="A187" s="37"/>
      <c r="B187" s="3"/>
      <c r="C187" s="3"/>
      <c r="D187" s="3"/>
      <c r="F187" s="4"/>
      <c r="G187" s="22"/>
      <c r="H187" s="22"/>
      <c r="I187" s="22"/>
      <c r="J187" s="3"/>
      <c r="K187" s="3"/>
    </row>
    <row r="188" spans="1:111" x14ac:dyDescent="0.2">
      <c r="A188" s="37"/>
      <c r="B188" s="3"/>
      <c r="C188" s="3"/>
      <c r="D188" s="3"/>
      <c r="F188" s="4"/>
      <c r="G188" s="22"/>
      <c r="H188" s="22"/>
      <c r="I188" s="22"/>
      <c r="J188" s="3"/>
      <c r="K188" s="3"/>
    </row>
    <row r="189" spans="1:111" x14ac:dyDescent="0.2">
      <c r="A189" s="37"/>
      <c r="B189" s="3"/>
      <c r="C189" s="3"/>
      <c r="D189" s="3"/>
      <c r="F189" s="4"/>
      <c r="G189" s="22"/>
      <c r="H189" s="22"/>
      <c r="I189" s="22"/>
      <c r="J189" s="3"/>
      <c r="K189" s="3"/>
    </row>
    <row r="190" spans="1:111" x14ac:dyDescent="0.2">
      <c r="A190" s="37"/>
      <c r="B190" s="3"/>
      <c r="C190" s="3"/>
      <c r="D190" s="3"/>
      <c r="F190" s="4"/>
      <c r="G190" s="22"/>
      <c r="H190" s="22"/>
      <c r="I190" s="22"/>
      <c r="J190" s="3"/>
      <c r="K190" s="3"/>
    </row>
    <row r="191" spans="1:111" x14ac:dyDescent="0.2">
      <c r="A191" s="37"/>
      <c r="B191" s="3"/>
      <c r="C191" s="3"/>
      <c r="D191" s="3"/>
      <c r="F191" s="4"/>
      <c r="G191" s="22"/>
      <c r="H191" s="22"/>
      <c r="I191" s="22"/>
      <c r="J191" s="3"/>
      <c r="K191" s="3"/>
    </row>
    <row r="192" spans="1:111" x14ac:dyDescent="0.2">
      <c r="A192" s="37"/>
      <c r="B192" s="3"/>
      <c r="C192" s="3"/>
      <c r="D192" s="3"/>
      <c r="F192" s="4"/>
      <c r="G192" s="22"/>
      <c r="H192" s="22"/>
      <c r="I192" s="22"/>
      <c r="J192" s="3"/>
      <c r="K192" s="3"/>
    </row>
    <row r="193" spans="1:11" x14ac:dyDescent="0.2">
      <c r="A193" s="37"/>
      <c r="B193" s="3"/>
      <c r="C193" s="3"/>
      <c r="D193" s="3"/>
      <c r="F193" s="4"/>
      <c r="G193" s="22"/>
      <c r="H193" s="22"/>
      <c r="I193" s="22"/>
      <c r="J193" s="3"/>
      <c r="K193" s="3"/>
    </row>
    <row r="194" spans="1:11" x14ac:dyDescent="0.2">
      <c r="A194" s="37"/>
      <c r="B194" s="3"/>
      <c r="C194" s="3"/>
      <c r="D194" s="3"/>
      <c r="F194" s="4"/>
      <c r="G194" s="22"/>
      <c r="H194" s="22"/>
      <c r="I194" s="22"/>
      <c r="J194" s="3"/>
      <c r="K194" s="3"/>
    </row>
    <row r="195" spans="1:11" x14ac:dyDescent="0.2">
      <c r="A195" s="37"/>
      <c r="B195" s="3"/>
      <c r="C195" s="3"/>
      <c r="D195" s="3"/>
      <c r="F195" s="4"/>
      <c r="G195" s="22"/>
      <c r="H195" s="22"/>
      <c r="I195" s="22"/>
      <c r="J195" s="3"/>
      <c r="K195" s="3"/>
    </row>
    <row r="196" spans="1:11" x14ac:dyDescent="0.2">
      <c r="A196" s="37"/>
      <c r="B196" s="3"/>
      <c r="C196" s="3"/>
      <c r="D196" s="3"/>
      <c r="F196" s="4"/>
      <c r="G196" s="22"/>
      <c r="H196" s="22"/>
      <c r="I196" s="22"/>
      <c r="J196" s="3"/>
      <c r="K196" s="3"/>
    </row>
    <row r="197" spans="1:11" x14ac:dyDescent="0.2">
      <c r="A197" s="37"/>
      <c r="B197" s="3"/>
      <c r="C197" s="3"/>
      <c r="D197" s="3"/>
      <c r="F197" s="4"/>
      <c r="G197" s="22"/>
      <c r="H197" s="22"/>
      <c r="I197" s="22"/>
      <c r="J197" s="3"/>
      <c r="K197" s="3"/>
    </row>
    <row r="198" spans="1:11" x14ac:dyDescent="0.2">
      <c r="A198" s="37"/>
      <c r="B198" s="3"/>
      <c r="C198" s="3"/>
      <c r="D198" s="3"/>
      <c r="F198" s="4"/>
      <c r="G198" s="22"/>
      <c r="H198" s="22"/>
      <c r="I198" s="22"/>
      <c r="J198" s="3"/>
      <c r="K198" s="3"/>
    </row>
    <row r="199" spans="1:11" x14ac:dyDescent="0.2">
      <c r="A199" s="37"/>
      <c r="B199" s="3"/>
      <c r="C199" s="3"/>
      <c r="D199" s="3"/>
      <c r="F199" s="4"/>
      <c r="G199" s="22"/>
      <c r="H199" s="22"/>
      <c r="I199" s="22"/>
      <c r="J199" s="3"/>
      <c r="K199" s="3"/>
    </row>
    <row r="200" spans="1:11" x14ac:dyDescent="0.2">
      <c r="A200" s="37"/>
      <c r="B200" s="3"/>
      <c r="C200" s="3"/>
      <c r="D200" s="3"/>
      <c r="F200" s="4"/>
      <c r="G200" s="22"/>
      <c r="H200" s="22"/>
      <c r="I200" s="22"/>
      <c r="J200" s="3"/>
      <c r="K200" s="3"/>
    </row>
    <row r="201" spans="1:11" x14ac:dyDescent="0.2">
      <c r="A201" s="37"/>
      <c r="B201" s="3"/>
      <c r="C201" s="3"/>
      <c r="D201" s="3"/>
      <c r="F201" s="4"/>
      <c r="G201" s="22"/>
      <c r="H201" s="22"/>
      <c r="I201" s="22"/>
      <c r="J201" s="3"/>
      <c r="K201" s="3"/>
    </row>
    <row r="202" spans="1:11" x14ac:dyDescent="0.2">
      <c r="A202" s="37"/>
      <c r="B202" s="3"/>
      <c r="C202" s="3"/>
      <c r="D202" s="3"/>
      <c r="F202" s="4"/>
      <c r="G202" s="22"/>
      <c r="H202" s="22"/>
      <c r="I202" s="22"/>
      <c r="J202" s="3"/>
      <c r="K202" s="3"/>
    </row>
    <row r="203" spans="1:11" x14ac:dyDescent="0.2">
      <c r="A203" s="37"/>
      <c r="B203" s="3"/>
      <c r="C203" s="3"/>
      <c r="D203" s="3"/>
      <c r="F203" s="4"/>
      <c r="G203" s="22"/>
      <c r="H203" s="22"/>
      <c r="I203" s="22"/>
      <c r="J203" s="3"/>
      <c r="K203" s="3"/>
    </row>
    <row r="204" spans="1:11" x14ac:dyDescent="0.2">
      <c r="A204" s="37"/>
      <c r="B204" s="3"/>
      <c r="C204" s="3"/>
      <c r="D204" s="3"/>
      <c r="F204" s="4"/>
      <c r="G204" s="22"/>
      <c r="H204" s="22"/>
      <c r="I204" s="22"/>
      <c r="J204" s="3"/>
      <c r="K204" s="3"/>
    </row>
    <row r="205" spans="1:11" x14ac:dyDescent="0.2">
      <c r="A205" s="37"/>
      <c r="B205" s="3"/>
      <c r="C205" s="3"/>
      <c r="D205" s="3"/>
      <c r="F205" s="4"/>
      <c r="G205" s="22"/>
      <c r="H205" s="22"/>
      <c r="I205" s="22"/>
      <c r="J205" s="3"/>
      <c r="K205" s="3"/>
    </row>
    <row r="206" spans="1:11" x14ac:dyDescent="0.2">
      <c r="A206" s="37"/>
      <c r="B206" s="3"/>
      <c r="C206" s="3"/>
      <c r="D206" s="3"/>
      <c r="F206" s="4"/>
      <c r="G206" s="22"/>
      <c r="H206" s="22"/>
      <c r="I206" s="22"/>
      <c r="J206" s="3"/>
      <c r="K206" s="3"/>
    </row>
    <row r="207" spans="1:11" x14ac:dyDescent="0.2">
      <c r="A207" s="37"/>
      <c r="B207" s="3"/>
      <c r="C207" s="3"/>
      <c r="D207" s="3"/>
      <c r="F207" s="4"/>
      <c r="G207" s="22"/>
      <c r="H207" s="22"/>
      <c r="I207" s="22"/>
      <c r="J207" s="3"/>
      <c r="K207" s="3"/>
    </row>
    <row r="208" spans="1:11" x14ac:dyDescent="0.2">
      <c r="A208" s="37"/>
      <c r="B208" s="3"/>
      <c r="C208" s="3"/>
      <c r="D208" s="3"/>
      <c r="F208" s="4"/>
      <c r="G208" s="22"/>
      <c r="H208" s="22"/>
      <c r="I208" s="22"/>
      <c r="J208" s="3"/>
      <c r="K208" s="3"/>
    </row>
    <row r="209" spans="1:11" x14ac:dyDescent="0.2">
      <c r="A209" s="37"/>
      <c r="B209" s="3"/>
      <c r="C209" s="3"/>
      <c r="D209" s="3"/>
      <c r="F209" s="4"/>
      <c r="G209" s="22"/>
      <c r="H209" s="22"/>
      <c r="I209" s="22"/>
      <c r="J209" s="3"/>
      <c r="K209" s="3"/>
    </row>
    <row r="210" spans="1:11" x14ac:dyDescent="0.2">
      <c r="A210" s="37"/>
      <c r="B210" s="3"/>
      <c r="C210" s="3"/>
      <c r="D210" s="3"/>
      <c r="F210" s="4"/>
      <c r="G210" s="22"/>
      <c r="H210" s="22"/>
      <c r="I210" s="22"/>
      <c r="J210" s="3"/>
      <c r="K210" s="3"/>
    </row>
    <row r="211" spans="1:11" x14ac:dyDescent="0.2">
      <c r="A211" s="37"/>
      <c r="B211" s="3"/>
      <c r="C211" s="3"/>
      <c r="D211" s="3"/>
      <c r="F211" s="4"/>
      <c r="G211" s="22"/>
      <c r="H211" s="22"/>
      <c r="I211" s="22"/>
      <c r="J211" s="3"/>
      <c r="K211" s="3"/>
    </row>
    <row r="212" spans="1:11" x14ac:dyDescent="0.2">
      <c r="A212" s="37"/>
      <c r="B212" s="3"/>
      <c r="C212" s="3"/>
      <c r="D212" s="3"/>
      <c r="F212" s="4"/>
      <c r="G212" s="22"/>
      <c r="H212" s="22"/>
      <c r="I212" s="22"/>
      <c r="J212" s="3"/>
      <c r="K212" s="3"/>
    </row>
    <row r="213" spans="1:11" x14ac:dyDescent="0.2">
      <c r="A213" s="37"/>
      <c r="B213" s="3"/>
      <c r="C213" s="3"/>
      <c r="D213" s="3"/>
      <c r="F213" s="4"/>
      <c r="G213" s="22"/>
      <c r="H213" s="22"/>
      <c r="I213" s="22"/>
      <c r="J213" s="3"/>
      <c r="K213" s="3"/>
    </row>
    <row r="214" spans="1:11" x14ac:dyDescent="0.2">
      <c r="A214" s="37"/>
      <c r="B214" s="3"/>
      <c r="C214" s="3"/>
      <c r="D214" s="3"/>
      <c r="F214" s="4"/>
      <c r="G214" s="22"/>
      <c r="H214" s="22"/>
      <c r="I214" s="22"/>
      <c r="J214" s="3"/>
      <c r="K214" s="3"/>
    </row>
    <row r="215" spans="1:11" x14ac:dyDescent="0.2">
      <c r="A215" s="37"/>
      <c r="B215" s="3"/>
      <c r="C215" s="3"/>
      <c r="D215" s="3"/>
      <c r="F215" s="4"/>
      <c r="G215" s="22"/>
      <c r="H215" s="22"/>
      <c r="I215" s="22"/>
      <c r="J215" s="3"/>
      <c r="K215" s="3"/>
    </row>
    <row r="216" spans="1:11" x14ac:dyDescent="0.2">
      <c r="A216" s="37"/>
      <c r="B216" s="3"/>
      <c r="C216" s="3"/>
      <c r="D216" s="3"/>
      <c r="F216" s="4"/>
      <c r="G216" s="22"/>
      <c r="H216" s="22"/>
      <c r="I216" s="22"/>
      <c r="J216" s="3"/>
      <c r="K216" s="3"/>
    </row>
    <row r="217" spans="1:11" x14ac:dyDescent="0.2">
      <c r="A217" s="37"/>
      <c r="B217" s="3"/>
      <c r="C217" s="3"/>
      <c r="D217" s="3"/>
      <c r="F217" s="4"/>
      <c r="G217" s="22"/>
      <c r="H217" s="22"/>
      <c r="I217" s="22"/>
      <c r="J217" s="3"/>
      <c r="K217" s="3"/>
    </row>
    <row r="218" spans="1:11" x14ac:dyDescent="0.2">
      <c r="A218" s="37"/>
      <c r="B218" s="3"/>
      <c r="C218" s="3"/>
      <c r="D218" s="3"/>
      <c r="F218" s="4"/>
      <c r="G218" s="22"/>
      <c r="H218" s="22"/>
      <c r="I218" s="22"/>
      <c r="J218" s="3"/>
      <c r="K218" s="3"/>
    </row>
    <row r="219" spans="1:11" x14ac:dyDescent="0.2">
      <c r="A219" s="37"/>
      <c r="B219" s="3"/>
      <c r="C219" s="3"/>
      <c r="D219" s="3"/>
      <c r="F219" s="4"/>
      <c r="G219" s="22"/>
      <c r="H219" s="22"/>
      <c r="I219" s="22"/>
      <c r="J219" s="3"/>
      <c r="K219" s="3"/>
    </row>
    <row r="220" spans="1:11" x14ac:dyDescent="0.2">
      <c r="A220" s="37"/>
      <c r="B220" s="3"/>
      <c r="C220" s="3"/>
      <c r="D220" s="3"/>
      <c r="F220" s="4"/>
      <c r="G220" s="22"/>
      <c r="H220" s="22"/>
      <c r="I220" s="22"/>
      <c r="J220" s="3"/>
      <c r="K220" s="3"/>
    </row>
    <row r="221" spans="1:11" x14ac:dyDescent="0.2">
      <c r="A221" s="37"/>
      <c r="B221" s="3"/>
      <c r="C221" s="3"/>
      <c r="D221" s="3"/>
      <c r="F221" s="4"/>
      <c r="G221" s="22"/>
      <c r="H221" s="22"/>
      <c r="I221" s="22"/>
      <c r="J221" s="3"/>
      <c r="K221" s="3"/>
    </row>
    <row r="222" spans="1:11" x14ac:dyDescent="0.2">
      <c r="A222" s="37"/>
      <c r="B222" s="3"/>
      <c r="C222" s="3"/>
      <c r="D222" s="3"/>
      <c r="F222" s="4"/>
      <c r="G222" s="22"/>
      <c r="H222" s="22"/>
      <c r="I222" s="22"/>
      <c r="J222" s="3"/>
      <c r="K222" s="3"/>
    </row>
    <row r="223" spans="1:11" x14ac:dyDescent="0.2">
      <c r="A223" s="37"/>
      <c r="B223" s="3"/>
      <c r="C223" s="3"/>
      <c r="D223" s="3"/>
      <c r="F223" s="4"/>
      <c r="G223" s="22"/>
      <c r="H223" s="22"/>
      <c r="I223" s="22"/>
      <c r="J223" s="3"/>
      <c r="K223" s="3"/>
    </row>
    <row r="224" spans="1:11" x14ac:dyDescent="0.2">
      <c r="A224" s="37"/>
      <c r="B224" s="3"/>
      <c r="C224" s="3"/>
      <c r="D224" s="3"/>
      <c r="F224" s="4"/>
      <c r="G224" s="22"/>
      <c r="H224" s="22"/>
      <c r="I224" s="22"/>
      <c r="J224" s="3"/>
      <c r="K224" s="3"/>
    </row>
    <row r="225" spans="1:11" x14ac:dyDescent="0.2">
      <c r="A225" s="37"/>
      <c r="B225" s="3"/>
      <c r="C225" s="3"/>
      <c r="D225" s="3"/>
      <c r="F225" s="4"/>
      <c r="G225" s="22"/>
      <c r="H225" s="22"/>
      <c r="I225" s="22"/>
      <c r="J225" s="3"/>
      <c r="K225" s="3"/>
    </row>
    <row r="226" spans="1:11" x14ac:dyDescent="0.2">
      <c r="A226" s="37"/>
      <c r="B226" s="3"/>
      <c r="C226" s="3"/>
      <c r="D226" s="3"/>
      <c r="F226" s="4"/>
      <c r="G226" s="22"/>
      <c r="H226" s="22"/>
      <c r="I226" s="22"/>
      <c r="J226" s="3"/>
      <c r="K226" s="3"/>
    </row>
    <row r="227" spans="1:11" x14ac:dyDescent="0.2">
      <c r="A227" s="37"/>
      <c r="B227" s="3"/>
      <c r="C227" s="3"/>
      <c r="D227" s="3"/>
      <c r="F227" s="4"/>
      <c r="G227" s="22"/>
      <c r="H227" s="22"/>
      <c r="I227" s="22"/>
      <c r="J227" s="3"/>
      <c r="K227" s="3"/>
    </row>
    <row r="228" spans="1:11" x14ac:dyDescent="0.2">
      <c r="A228" s="37"/>
      <c r="B228" s="3"/>
      <c r="C228" s="3"/>
      <c r="D228" s="3"/>
      <c r="F228" s="4"/>
      <c r="G228" s="22"/>
      <c r="H228" s="22"/>
      <c r="I228" s="22"/>
      <c r="J228" s="3"/>
      <c r="K228" s="3"/>
    </row>
    <row r="229" spans="1:11" x14ac:dyDescent="0.2">
      <c r="A229" s="37"/>
      <c r="B229" s="3"/>
      <c r="C229" s="3"/>
      <c r="D229" s="3"/>
      <c r="F229" s="4"/>
      <c r="G229" s="22"/>
      <c r="H229" s="22"/>
      <c r="I229" s="22"/>
      <c r="J229" s="3"/>
      <c r="K229" s="3"/>
    </row>
    <row r="230" spans="1:11" x14ac:dyDescent="0.2">
      <c r="A230" s="37"/>
      <c r="B230" s="3"/>
      <c r="C230" s="3"/>
      <c r="D230" s="3"/>
      <c r="F230" s="4"/>
      <c r="G230" s="22"/>
      <c r="H230" s="22"/>
      <c r="I230" s="22"/>
      <c r="J230" s="3"/>
      <c r="K230" s="3"/>
    </row>
    <row r="231" spans="1:11" x14ac:dyDescent="0.2">
      <c r="A231" s="37"/>
      <c r="B231" s="3"/>
      <c r="C231" s="3"/>
      <c r="D231" s="3"/>
      <c r="F231" s="4"/>
      <c r="G231" s="22"/>
      <c r="H231" s="22"/>
      <c r="I231" s="22"/>
      <c r="J231" s="3"/>
      <c r="K231" s="3"/>
    </row>
    <row r="232" spans="1:11" x14ac:dyDescent="0.2">
      <c r="A232" s="37"/>
      <c r="B232" s="3"/>
      <c r="C232" s="3"/>
      <c r="D232" s="3"/>
      <c r="F232" s="4"/>
      <c r="G232" s="22"/>
      <c r="H232" s="22"/>
      <c r="I232" s="22"/>
      <c r="J232" s="3"/>
      <c r="K232" s="3"/>
    </row>
    <row r="233" spans="1:11" x14ac:dyDescent="0.2">
      <c r="A233" s="37"/>
      <c r="B233" s="3"/>
      <c r="C233" s="3"/>
      <c r="D233" s="3"/>
      <c r="F233" s="4"/>
      <c r="G233" s="22"/>
      <c r="H233" s="22"/>
      <c r="I233" s="22"/>
      <c r="J233" s="3"/>
      <c r="K233" s="3"/>
    </row>
    <row r="234" spans="1:11" x14ac:dyDescent="0.2">
      <c r="A234" s="37"/>
      <c r="B234" s="3"/>
      <c r="C234" s="3"/>
      <c r="D234" s="3"/>
      <c r="F234" s="4"/>
      <c r="G234" s="22"/>
      <c r="H234" s="22"/>
      <c r="I234" s="22"/>
      <c r="J234" s="3"/>
      <c r="K234" s="3"/>
    </row>
    <row r="235" spans="1:11" x14ac:dyDescent="0.2">
      <c r="A235" s="37"/>
      <c r="B235" s="3"/>
      <c r="C235" s="3"/>
      <c r="D235" s="3"/>
      <c r="F235" s="4"/>
      <c r="G235" s="22"/>
      <c r="H235" s="22"/>
      <c r="I235" s="22"/>
      <c r="J235" s="3"/>
      <c r="K235" s="3"/>
    </row>
    <row r="236" spans="1:11" x14ac:dyDescent="0.2">
      <c r="A236" s="37"/>
      <c r="B236" s="3"/>
      <c r="C236" s="3"/>
      <c r="D236" s="3"/>
      <c r="F236" s="4"/>
      <c r="G236" s="22"/>
      <c r="H236" s="22"/>
      <c r="I236" s="22"/>
      <c r="J236" s="3"/>
      <c r="K236" s="3"/>
    </row>
    <row r="237" spans="1:11" x14ac:dyDescent="0.2">
      <c r="A237" s="37"/>
      <c r="B237" s="3"/>
      <c r="C237" s="3"/>
      <c r="D237" s="3"/>
      <c r="F237" s="4"/>
      <c r="G237" s="22"/>
      <c r="H237" s="22"/>
      <c r="I237" s="22"/>
      <c r="J237" s="3"/>
      <c r="K237" s="3"/>
    </row>
    <row r="238" spans="1:11" x14ac:dyDescent="0.2">
      <c r="A238" s="37"/>
      <c r="B238" s="3"/>
      <c r="C238" s="3"/>
      <c r="D238" s="3"/>
      <c r="F238" s="4"/>
      <c r="G238" s="22"/>
      <c r="H238" s="22"/>
      <c r="I238" s="22"/>
      <c r="J238" s="3"/>
      <c r="K238" s="3"/>
    </row>
    <row r="239" spans="1:11" x14ac:dyDescent="0.2">
      <c r="A239" s="37"/>
      <c r="B239" s="3"/>
      <c r="C239" s="3"/>
      <c r="D239" s="3"/>
      <c r="F239" s="4"/>
      <c r="G239" s="22"/>
      <c r="H239" s="22"/>
      <c r="I239" s="22"/>
      <c r="J239" s="3"/>
      <c r="K239" s="3"/>
    </row>
    <row r="240" spans="1:11" x14ac:dyDescent="0.2">
      <c r="A240" s="37"/>
      <c r="B240" s="3"/>
      <c r="C240" s="3"/>
      <c r="D240" s="3"/>
      <c r="F240" s="4"/>
      <c r="G240" s="22"/>
      <c r="H240" s="22"/>
      <c r="I240" s="22"/>
      <c r="J240" s="3"/>
      <c r="K240" s="3"/>
    </row>
    <row r="241" spans="1:11" x14ac:dyDescent="0.2">
      <c r="A241" s="37"/>
      <c r="B241" s="3"/>
      <c r="C241" s="3"/>
      <c r="D241" s="3"/>
      <c r="F241" s="4"/>
      <c r="G241" s="22"/>
      <c r="H241" s="22"/>
      <c r="I241" s="22"/>
      <c r="J241" s="3"/>
      <c r="K241" s="3"/>
    </row>
    <row r="242" spans="1:11" x14ac:dyDescent="0.2">
      <c r="A242" s="37"/>
      <c r="B242" s="3"/>
      <c r="C242" s="3"/>
      <c r="D242" s="3"/>
      <c r="F242" s="4"/>
      <c r="G242" s="22"/>
      <c r="H242" s="22"/>
      <c r="I242" s="22"/>
      <c r="J242" s="3"/>
      <c r="K242" s="3"/>
    </row>
    <row r="243" spans="1:11" x14ac:dyDescent="0.2">
      <c r="A243" s="37"/>
      <c r="B243" s="3"/>
      <c r="C243" s="3"/>
      <c r="D243" s="3"/>
      <c r="F243" s="4"/>
      <c r="G243" s="22"/>
      <c r="H243" s="22"/>
      <c r="I243" s="22"/>
      <c r="J243" s="3"/>
      <c r="K243" s="3"/>
    </row>
    <row r="244" spans="1:11" x14ac:dyDescent="0.2">
      <c r="A244" s="37"/>
      <c r="B244" s="3"/>
      <c r="C244" s="3"/>
      <c r="D244" s="3"/>
      <c r="F244" s="4"/>
      <c r="G244" s="22"/>
      <c r="H244" s="22"/>
      <c r="I244" s="22"/>
      <c r="J244" s="3"/>
      <c r="K244" s="3"/>
    </row>
    <row r="245" spans="1:11" x14ac:dyDescent="0.2">
      <c r="A245" s="37"/>
      <c r="B245" s="3"/>
      <c r="C245" s="3"/>
      <c r="D245" s="3"/>
      <c r="F245" s="4"/>
      <c r="G245" s="22"/>
      <c r="H245" s="22"/>
      <c r="I245" s="22"/>
      <c r="J245" s="3"/>
      <c r="K245" s="3"/>
    </row>
    <row r="246" spans="1:11" x14ac:dyDescent="0.2">
      <c r="A246" s="37"/>
      <c r="B246" s="3"/>
      <c r="C246" s="3"/>
      <c r="D246" s="3"/>
      <c r="F246" s="4"/>
      <c r="G246" s="22"/>
      <c r="H246" s="22"/>
      <c r="I246" s="22"/>
      <c r="J246" s="3"/>
      <c r="K246" s="3"/>
    </row>
    <row r="247" spans="1:11" x14ac:dyDescent="0.2">
      <c r="A247" s="37"/>
      <c r="B247" s="3"/>
      <c r="C247" s="3"/>
      <c r="D247" s="3"/>
      <c r="F247" s="4"/>
      <c r="G247" s="22"/>
      <c r="H247" s="22"/>
      <c r="I247" s="22"/>
      <c r="J247" s="3"/>
      <c r="K247" s="3"/>
    </row>
    <row r="248" spans="1:11" x14ac:dyDescent="0.2">
      <c r="A248" s="37"/>
      <c r="B248" s="3"/>
      <c r="C248" s="3"/>
      <c r="D248" s="3"/>
      <c r="F248" s="4"/>
      <c r="G248" s="22"/>
      <c r="H248" s="22"/>
      <c r="I248" s="22"/>
      <c r="J248" s="3"/>
      <c r="K248" s="3"/>
    </row>
    <row r="249" spans="1:11" x14ac:dyDescent="0.2">
      <c r="A249" s="37"/>
      <c r="B249" s="3"/>
      <c r="C249" s="3"/>
      <c r="D249" s="3"/>
      <c r="F249" s="4"/>
      <c r="G249" s="22"/>
      <c r="H249" s="22"/>
      <c r="I249" s="22"/>
      <c r="J249" s="3"/>
      <c r="K249" s="3"/>
    </row>
    <row r="250" spans="1:11" x14ac:dyDescent="0.2">
      <c r="A250" s="37"/>
      <c r="B250" s="3"/>
      <c r="C250" s="3"/>
      <c r="D250" s="3"/>
      <c r="F250" s="4"/>
      <c r="G250" s="22"/>
      <c r="H250" s="22"/>
      <c r="I250" s="22"/>
      <c r="J250" s="3"/>
      <c r="K250" s="3"/>
    </row>
    <row r="251" spans="1:11" x14ac:dyDescent="0.2">
      <c r="A251" s="37"/>
      <c r="B251" s="3"/>
      <c r="C251" s="3"/>
      <c r="D251" s="3"/>
      <c r="F251" s="4"/>
      <c r="G251" s="22"/>
      <c r="H251" s="22"/>
      <c r="I251" s="22"/>
      <c r="J251" s="3"/>
      <c r="K251" s="3"/>
    </row>
    <row r="252" spans="1:11" x14ac:dyDescent="0.2">
      <c r="A252" s="37"/>
      <c r="B252" s="3"/>
      <c r="C252" s="3"/>
      <c r="D252" s="3"/>
      <c r="F252" s="4"/>
      <c r="G252" s="22"/>
      <c r="H252" s="22"/>
      <c r="I252" s="22"/>
      <c r="J252" s="3"/>
      <c r="K252" s="3"/>
    </row>
    <row r="253" spans="1:11" x14ac:dyDescent="0.2">
      <c r="A253" s="37"/>
      <c r="B253" s="3"/>
      <c r="C253" s="3"/>
      <c r="D253" s="3"/>
      <c r="F253" s="4"/>
      <c r="G253" s="22"/>
      <c r="H253" s="22"/>
      <c r="I253" s="22"/>
      <c r="J253" s="3"/>
      <c r="K253" s="3"/>
    </row>
    <row r="254" spans="1:11" x14ac:dyDescent="0.2">
      <c r="A254" s="37"/>
      <c r="B254" s="3"/>
      <c r="C254" s="3"/>
      <c r="D254" s="3"/>
      <c r="F254" s="4"/>
      <c r="G254" s="22"/>
      <c r="H254" s="22"/>
      <c r="I254" s="22"/>
      <c r="J254" s="3"/>
      <c r="K254" s="3"/>
    </row>
    <row r="255" spans="1:11" x14ac:dyDescent="0.2">
      <c r="A255" s="37"/>
      <c r="B255" s="3"/>
      <c r="C255" s="3"/>
      <c r="D255" s="3"/>
      <c r="F255" s="4"/>
      <c r="G255" s="22"/>
      <c r="H255" s="22"/>
      <c r="I255" s="22"/>
      <c r="J255" s="3"/>
      <c r="K255" s="3"/>
    </row>
    <row r="256" spans="1:11" x14ac:dyDescent="0.2">
      <c r="A256" s="37"/>
      <c r="B256" s="3"/>
      <c r="C256" s="3"/>
      <c r="D256" s="3"/>
      <c r="F256" s="4"/>
      <c r="G256" s="22"/>
      <c r="H256" s="22"/>
      <c r="I256" s="22"/>
      <c r="J256" s="3"/>
      <c r="K256" s="3"/>
    </row>
    <row r="257" spans="1:11" x14ac:dyDescent="0.2">
      <c r="A257" s="37"/>
      <c r="B257" s="3"/>
      <c r="C257" s="3"/>
      <c r="D257" s="3"/>
      <c r="F257" s="4"/>
      <c r="G257" s="22"/>
      <c r="H257" s="22"/>
      <c r="I257" s="22"/>
      <c r="J257" s="3"/>
      <c r="K257" s="3"/>
    </row>
    <row r="258" spans="1:11" x14ac:dyDescent="0.2">
      <c r="A258" s="37"/>
      <c r="B258" s="3"/>
      <c r="C258" s="3"/>
      <c r="D258" s="3"/>
      <c r="F258" s="4"/>
      <c r="G258" s="22"/>
      <c r="H258" s="22"/>
      <c r="I258" s="22"/>
      <c r="J258" s="3"/>
      <c r="K258" s="3"/>
    </row>
    <row r="259" spans="1:11" x14ac:dyDescent="0.2">
      <c r="A259" s="37"/>
      <c r="B259" s="3"/>
      <c r="C259" s="3"/>
      <c r="D259" s="3"/>
      <c r="F259" s="4"/>
      <c r="G259" s="22"/>
      <c r="H259" s="22"/>
      <c r="I259" s="22"/>
      <c r="J259" s="3"/>
      <c r="K259" s="3"/>
    </row>
    <row r="260" spans="1:11" x14ac:dyDescent="0.2">
      <c r="A260" s="37"/>
      <c r="B260" s="3"/>
      <c r="C260" s="3"/>
      <c r="D260" s="3"/>
      <c r="F260" s="4"/>
      <c r="G260" s="22"/>
      <c r="H260" s="22"/>
      <c r="I260" s="22"/>
      <c r="J260" s="3"/>
      <c r="K260" s="3"/>
    </row>
    <row r="261" spans="1:11" x14ac:dyDescent="0.2">
      <c r="A261" s="37"/>
      <c r="B261" s="3"/>
      <c r="C261" s="3"/>
      <c r="D261" s="3"/>
      <c r="F261" s="4"/>
      <c r="G261" s="22"/>
      <c r="H261" s="22"/>
      <c r="I261" s="22"/>
      <c r="J261" s="3"/>
      <c r="K261" s="3"/>
    </row>
    <row r="262" spans="1:11" x14ac:dyDescent="0.2">
      <c r="A262" s="37"/>
      <c r="B262" s="3"/>
      <c r="C262" s="3"/>
      <c r="D262" s="3"/>
      <c r="F262" s="4"/>
      <c r="G262" s="22"/>
      <c r="H262" s="22"/>
      <c r="I262" s="22"/>
      <c r="J262" s="3"/>
      <c r="K262" s="3"/>
    </row>
    <row r="263" spans="1:11" x14ac:dyDescent="0.2">
      <c r="A263" s="37"/>
      <c r="B263" s="3"/>
      <c r="C263" s="3"/>
      <c r="D263" s="3"/>
      <c r="F263" s="4"/>
      <c r="G263" s="22"/>
      <c r="H263" s="22"/>
      <c r="I263" s="22"/>
      <c r="J263" s="3"/>
      <c r="K263" s="3"/>
    </row>
    <row r="264" spans="1:11" x14ac:dyDescent="0.2">
      <c r="A264" s="37"/>
      <c r="B264" s="3"/>
      <c r="C264" s="3"/>
      <c r="D264" s="3"/>
      <c r="F264" s="4"/>
      <c r="G264" s="22"/>
      <c r="H264" s="22"/>
      <c r="I264" s="22"/>
      <c r="J264" s="3"/>
      <c r="K264" s="3"/>
    </row>
    <row r="265" spans="1:11" x14ac:dyDescent="0.2">
      <c r="A265" s="37"/>
      <c r="B265" s="3"/>
      <c r="C265" s="3"/>
      <c r="D265" s="3"/>
      <c r="F265" s="4"/>
      <c r="G265" s="22"/>
      <c r="H265" s="22"/>
      <c r="I265" s="22"/>
      <c r="J265" s="3"/>
      <c r="K265" s="3"/>
    </row>
    <row r="266" spans="1:11" x14ac:dyDescent="0.2">
      <c r="A266" s="37"/>
      <c r="B266" s="3"/>
      <c r="C266" s="3"/>
      <c r="D266" s="3"/>
      <c r="F266" s="4"/>
      <c r="G266" s="22"/>
      <c r="H266" s="22"/>
      <c r="I266" s="22"/>
      <c r="J266" s="3"/>
      <c r="K266" s="3"/>
    </row>
    <row r="267" spans="1:11" x14ac:dyDescent="0.2">
      <c r="A267" s="37"/>
      <c r="B267" s="3"/>
      <c r="C267" s="3"/>
      <c r="D267" s="3"/>
      <c r="F267" s="4"/>
      <c r="G267" s="22"/>
      <c r="H267" s="22"/>
      <c r="I267" s="22"/>
      <c r="J267" s="3"/>
      <c r="K267" s="3"/>
    </row>
    <row r="268" spans="1:11" x14ac:dyDescent="0.2">
      <c r="A268" s="37"/>
      <c r="B268" s="3"/>
      <c r="C268" s="3"/>
      <c r="D268" s="3"/>
      <c r="F268" s="4"/>
      <c r="G268" s="22"/>
      <c r="H268" s="22"/>
      <c r="I268" s="22"/>
      <c r="J268" s="3"/>
      <c r="K268" s="3"/>
    </row>
    <row r="269" spans="1:11" x14ac:dyDescent="0.2">
      <c r="A269" s="37"/>
      <c r="B269" s="3"/>
      <c r="C269" s="3"/>
      <c r="D269" s="3"/>
      <c r="F269" s="4"/>
      <c r="G269" s="22"/>
      <c r="H269" s="22"/>
      <c r="I269" s="22"/>
      <c r="J269" s="3"/>
      <c r="K269" s="3"/>
    </row>
    <row r="270" spans="1:11" x14ac:dyDescent="0.2">
      <c r="A270" s="37"/>
      <c r="B270" s="3"/>
      <c r="C270" s="3"/>
      <c r="D270" s="3"/>
      <c r="F270" s="4"/>
      <c r="G270" s="22"/>
      <c r="H270" s="22"/>
      <c r="I270" s="22"/>
      <c r="J270" s="3"/>
      <c r="K270" s="3"/>
    </row>
    <row r="271" spans="1:11" x14ac:dyDescent="0.2">
      <c r="A271" s="37"/>
      <c r="B271" s="3"/>
      <c r="C271" s="3"/>
      <c r="D271" s="3"/>
      <c r="F271" s="4"/>
      <c r="G271" s="22"/>
      <c r="H271" s="22"/>
      <c r="I271" s="22"/>
      <c r="J271" s="3"/>
      <c r="K271" s="3"/>
    </row>
    <row r="272" spans="1:11" x14ac:dyDescent="0.2">
      <c r="A272" s="37"/>
      <c r="B272" s="3"/>
      <c r="C272" s="3"/>
      <c r="D272" s="3"/>
      <c r="F272" s="4"/>
      <c r="G272" s="22"/>
      <c r="H272" s="22"/>
      <c r="I272" s="22"/>
      <c r="J272" s="3"/>
      <c r="K272" s="3"/>
    </row>
    <row r="273" spans="1:11" x14ac:dyDescent="0.2">
      <c r="A273" s="37"/>
      <c r="B273" s="3"/>
      <c r="C273" s="3"/>
      <c r="D273" s="3"/>
      <c r="F273" s="4"/>
      <c r="G273" s="22"/>
      <c r="H273" s="22"/>
      <c r="I273" s="22"/>
      <c r="J273" s="3"/>
      <c r="K273" s="3"/>
    </row>
    <row r="274" spans="1:11" x14ac:dyDescent="0.2">
      <c r="A274" s="37"/>
      <c r="B274" s="3"/>
      <c r="C274" s="3"/>
      <c r="D274" s="3"/>
      <c r="F274" s="4"/>
      <c r="G274" s="22"/>
      <c r="H274" s="22"/>
      <c r="I274" s="22"/>
      <c r="J274" s="3"/>
      <c r="K274" s="3"/>
    </row>
    <row r="275" spans="1:11" x14ac:dyDescent="0.2">
      <c r="A275" s="37"/>
      <c r="B275" s="3"/>
      <c r="C275" s="3"/>
      <c r="D275" s="3"/>
      <c r="F275" s="4"/>
      <c r="G275" s="22"/>
      <c r="H275" s="22"/>
      <c r="I275" s="22"/>
      <c r="J275" s="3"/>
      <c r="K275" s="3"/>
    </row>
    <row r="276" spans="1:11" x14ac:dyDescent="0.2">
      <c r="A276" s="37"/>
      <c r="B276" s="3"/>
      <c r="C276" s="3"/>
      <c r="D276" s="3"/>
      <c r="F276" s="4"/>
      <c r="G276" s="22"/>
      <c r="H276" s="22"/>
      <c r="I276" s="22"/>
      <c r="J276" s="3"/>
      <c r="K276" s="3"/>
    </row>
    <row r="277" spans="1:11" x14ac:dyDescent="0.2">
      <c r="A277" s="37"/>
      <c r="B277" s="3"/>
      <c r="C277" s="3"/>
      <c r="D277" s="3"/>
      <c r="F277" s="4"/>
      <c r="G277" s="22"/>
      <c r="H277" s="22"/>
      <c r="I277" s="22"/>
      <c r="J277" s="3"/>
      <c r="K277" s="3"/>
    </row>
    <row r="278" spans="1:11" x14ac:dyDescent="0.2">
      <c r="A278" s="37"/>
      <c r="B278" s="3"/>
      <c r="C278" s="3"/>
      <c r="D278" s="3"/>
      <c r="F278" s="4"/>
      <c r="G278" s="22"/>
      <c r="H278" s="22"/>
      <c r="I278" s="22"/>
      <c r="J278" s="3"/>
      <c r="K278" s="3"/>
    </row>
    <row r="279" spans="1:11" x14ac:dyDescent="0.2">
      <c r="A279" s="37"/>
      <c r="B279" s="3"/>
      <c r="C279" s="3"/>
      <c r="D279" s="3"/>
      <c r="F279" s="4"/>
      <c r="G279" s="22"/>
      <c r="H279" s="22"/>
      <c r="I279" s="22"/>
      <c r="J279" s="3"/>
      <c r="K279" s="3"/>
    </row>
    <row r="280" spans="1:11" x14ac:dyDescent="0.2">
      <c r="A280" s="37"/>
      <c r="B280" s="3"/>
      <c r="C280" s="3"/>
      <c r="D280" s="3"/>
      <c r="F280" s="4"/>
      <c r="G280" s="22"/>
      <c r="H280" s="22"/>
      <c r="I280" s="22"/>
      <c r="J280" s="3"/>
      <c r="K280" s="3"/>
    </row>
    <row r="281" spans="1:11" x14ac:dyDescent="0.2">
      <c r="A281" s="37"/>
      <c r="B281" s="3"/>
      <c r="C281" s="3"/>
      <c r="D281" s="3"/>
      <c r="F281" s="4"/>
      <c r="G281" s="22"/>
      <c r="H281" s="22"/>
      <c r="I281" s="22"/>
      <c r="J281" s="3"/>
      <c r="K281" s="3"/>
    </row>
    <row r="282" spans="1:11" x14ac:dyDescent="0.2">
      <c r="A282" s="37"/>
      <c r="B282" s="3"/>
      <c r="C282" s="3"/>
      <c r="D282" s="3"/>
      <c r="F282" s="4"/>
      <c r="G282" s="22"/>
      <c r="H282" s="22"/>
      <c r="I282" s="22"/>
      <c r="J282" s="3"/>
      <c r="K282" s="3"/>
    </row>
    <row r="283" spans="1:11" x14ac:dyDescent="0.2">
      <c r="A283" s="37"/>
      <c r="B283" s="3"/>
      <c r="C283" s="3"/>
      <c r="D283" s="3"/>
      <c r="F283" s="4"/>
      <c r="G283" s="22"/>
      <c r="H283" s="22"/>
      <c r="I283" s="22"/>
      <c r="J283" s="3"/>
      <c r="K283" s="3"/>
    </row>
    <row r="284" spans="1:11" x14ac:dyDescent="0.2">
      <c r="A284" s="37"/>
      <c r="B284" s="3"/>
      <c r="C284" s="3"/>
      <c r="D284" s="3"/>
      <c r="F284" s="4"/>
      <c r="G284" s="22"/>
      <c r="H284" s="22"/>
      <c r="I284" s="22"/>
      <c r="J284" s="3"/>
      <c r="K284" s="3"/>
    </row>
    <row r="285" spans="1:11" x14ac:dyDescent="0.2">
      <c r="A285" s="37"/>
      <c r="B285" s="3"/>
      <c r="C285" s="3"/>
      <c r="D285" s="3"/>
      <c r="F285" s="4"/>
      <c r="G285" s="22"/>
      <c r="H285" s="22"/>
      <c r="I285" s="22"/>
      <c r="J285" s="3"/>
      <c r="K285" s="3"/>
    </row>
    <row r="286" spans="1:11" x14ac:dyDescent="0.2">
      <c r="A286" s="37"/>
      <c r="B286" s="3"/>
      <c r="C286" s="3"/>
      <c r="D286" s="3"/>
      <c r="F286" s="4"/>
      <c r="G286" s="22"/>
      <c r="H286" s="22"/>
      <c r="I286" s="22"/>
      <c r="J286" s="3"/>
      <c r="K286" s="3"/>
    </row>
    <row r="287" spans="1:11" x14ac:dyDescent="0.2">
      <c r="A287" s="37"/>
      <c r="B287" s="3"/>
      <c r="C287" s="3"/>
      <c r="D287" s="3"/>
      <c r="F287" s="4"/>
      <c r="G287" s="22"/>
      <c r="H287" s="22"/>
      <c r="I287" s="22"/>
      <c r="J287" s="3"/>
      <c r="K287" s="3"/>
    </row>
    <row r="288" spans="1:11" x14ac:dyDescent="0.2">
      <c r="A288" s="37"/>
      <c r="B288" s="3"/>
      <c r="C288" s="3"/>
      <c r="D288" s="3"/>
      <c r="F288" s="4"/>
      <c r="G288" s="22"/>
      <c r="H288" s="22"/>
      <c r="I288" s="22"/>
      <c r="J288" s="3"/>
      <c r="K288" s="3"/>
    </row>
    <row r="289" spans="1:11" x14ac:dyDescent="0.2">
      <c r="A289" s="37"/>
      <c r="B289" s="3"/>
      <c r="C289" s="3"/>
      <c r="D289" s="3"/>
      <c r="F289" s="4"/>
      <c r="G289" s="22"/>
      <c r="H289" s="22"/>
      <c r="I289" s="22"/>
      <c r="J289" s="3"/>
      <c r="K289" s="3"/>
    </row>
    <row r="290" spans="1:11" x14ac:dyDescent="0.2">
      <c r="A290" s="37"/>
      <c r="B290" s="3"/>
      <c r="C290" s="3"/>
      <c r="D290" s="3"/>
      <c r="F290" s="4"/>
      <c r="G290" s="22"/>
      <c r="H290" s="22"/>
      <c r="I290" s="22"/>
      <c r="J290" s="3"/>
      <c r="K290" s="3"/>
    </row>
    <row r="291" spans="1:11" x14ac:dyDescent="0.2">
      <c r="A291" s="37"/>
      <c r="B291" s="3"/>
      <c r="C291" s="3"/>
      <c r="D291" s="3"/>
      <c r="F291" s="4"/>
      <c r="G291" s="22"/>
      <c r="H291" s="22"/>
      <c r="I291" s="22"/>
      <c r="J291" s="3"/>
      <c r="K291" s="3"/>
    </row>
    <row r="292" spans="1:11" x14ac:dyDescent="0.2">
      <c r="A292" s="37"/>
      <c r="B292" s="3"/>
      <c r="C292" s="3"/>
      <c r="D292" s="3"/>
      <c r="F292" s="4"/>
      <c r="G292" s="22"/>
      <c r="H292" s="22"/>
      <c r="I292" s="22"/>
      <c r="J292" s="3"/>
      <c r="K292" s="3"/>
    </row>
    <row r="293" spans="1:11" x14ac:dyDescent="0.2">
      <c r="A293" s="37"/>
      <c r="B293" s="3"/>
      <c r="C293" s="3"/>
      <c r="D293" s="3"/>
      <c r="F293" s="4"/>
      <c r="G293" s="22"/>
      <c r="H293" s="22"/>
      <c r="I293" s="22"/>
      <c r="J293" s="3"/>
      <c r="K293" s="3"/>
    </row>
    <row r="294" spans="1:11" x14ac:dyDescent="0.2">
      <c r="A294" s="37"/>
      <c r="B294" s="3"/>
      <c r="C294" s="3"/>
      <c r="D294" s="3"/>
      <c r="F294" s="4"/>
      <c r="G294" s="22"/>
      <c r="H294" s="22"/>
      <c r="I294" s="22"/>
      <c r="J294" s="3"/>
      <c r="K294" s="3"/>
    </row>
    <row r="295" spans="1:11" x14ac:dyDescent="0.2">
      <c r="A295" s="37"/>
      <c r="B295" s="3"/>
      <c r="C295" s="3"/>
      <c r="D295" s="3"/>
      <c r="F295" s="4"/>
      <c r="G295" s="22"/>
      <c r="H295" s="22"/>
      <c r="I295" s="22"/>
      <c r="J295" s="3"/>
      <c r="K295" s="3"/>
    </row>
    <row r="296" spans="1:11" x14ac:dyDescent="0.2">
      <c r="A296" s="37"/>
      <c r="B296" s="3"/>
      <c r="C296" s="3"/>
      <c r="D296" s="3"/>
      <c r="F296" s="4"/>
      <c r="G296" s="22"/>
      <c r="H296" s="22"/>
      <c r="I296" s="22"/>
      <c r="J296" s="3"/>
      <c r="K296" s="3"/>
    </row>
    <row r="297" spans="1:11" x14ac:dyDescent="0.2">
      <c r="A297" s="37"/>
      <c r="B297" s="3"/>
      <c r="C297" s="3"/>
      <c r="D297" s="3"/>
      <c r="F297" s="4"/>
      <c r="G297" s="22"/>
      <c r="H297" s="22"/>
      <c r="I297" s="22"/>
      <c r="J297" s="3"/>
      <c r="K297" s="3"/>
    </row>
    <row r="298" spans="1:11" x14ac:dyDescent="0.2">
      <c r="A298" s="37"/>
      <c r="B298" s="3"/>
      <c r="C298" s="3"/>
      <c r="D298" s="3"/>
      <c r="F298" s="4"/>
      <c r="G298" s="22"/>
      <c r="H298" s="22"/>
      <c r="I298" s="22"/>
      <c r="J298" s="3"/>
      <c r="K298" s="3"/>
    </row>
    <row r="299" spans="1:11" x14ac:dyDescent="0.2">
      <c r="A299" s="37"/>
      <c r="B299" s="3"/>
      <c r="C299" s="3"/>
      <c r="D299" s="3"/>
      <c r="F299" s="4"/>
      <c r="G299" s="22"/>
      <c r="H299" s="22"/>
      <c r="I299" s="22"/>
      <c r="J299" s="3"/>
      <c r="K299" s="3"/>
    </row>
    <row r="300" spans="1:11" x14ac:dyDescent="0.2">
      <c r="A300" s="37"/>
      <c r="B300" s="3"/>
      <c r="C300" s="3"/>
      <c r="D300" s="3"/>
      <c r="F300" s="4"/>
      <c r="G300" s="22"/>
      <c r="H300" s="22"/>
      <c r="I300" s="22"/>
      <c r="J300" s="3"/>
      <c r="K300" s="3"/>
    </row>
    <row r="301" spans="1:11" x14ac:dyDescent="0.2">
      <c r="A301" s="37"/>
      <c r="B301" s="3"/>
      <c r="C301" s="3"/>
      <c r="D301" s="3"/>
      <c r="F301" s="4"/>
      <c r="G301" s="22"/>
      <c r="H301" s="22"/>
      <c r="I301" s="22"/>
      <c r="J301" s="3"/>
      <c r="K301" s="3"/>
    </row>
    <row r="302" spans="1:11" x14ac:dyDescent="0.2">
      <c r="A302" s="37"/>
      <c r="B302" s="3"/>
      <c r="C302" s="3"/>
      <c r="D302" s="3"/>
      <c r="F302" s="4"/>
      <c r="G302" s="22"/>
      <c r="H302" s="22"/>
      <c r="I302" s="22"/>
      <c r="J302" s="3"/>
      <c r="K302" s="3"/>
    </row>
    <row r="303" spans="1:11" x14ac:dyDescent="0.2">
      <c r="A303" s="37"/>
      <c r="B303" s="3"/>
      <c r="C303" s="3"/>
      <c r="D303" s="3"/>
      <c r="F303" s="4"/>
      <c r="G303" s="22"/>
      <c r="H303" s="22"/>
      <c r="I303" s="22"/>
      <c r="J303" s="3"/>
      <c r="K303" s="3"/>
    </row>
    <row r="304" spans="1:11" x14ac:dyDescent="0.2">
      <c r="A304" s="37"/>
      <c r="B304" s="3"/>
      <c r="C304" s="3"/>
      <c r="D304" s="3"/>
      <c r="F304" s="4"/>
      <c r="G304" s="22"/>
      <c r="H304" s="22"/>
      <c r="I304" s="22"/>
      <c r="J304" s="3"/>
      <c r="K304" s="3"/>
    </row>
    <row r="305" spans="1:11" x14ac:dyDescent="0.2">
      <c r="A305" s="37"/>
      <c r="B305" s="3"/>
      <c r="C305" s="3"/>
      <c r="D305" s="3"/>
      <c r="F305" s="4"/>
      <c r="G305" s="22"/>
      <c r="H305" s="22"/>
      <c r="I305" s="22"/>
      <c r="J305" s="3"/>
      <c r="K305" s="3"/>
    </row>
    <row r="306" spans="1:11" x14ac:dyDescent="0.2">
      <c r="A306" s="37"/>
      <c r="B306" s="3"/>
      <c r="C306" s="3"/>
      <c r="D306" s="3"/>
      <c r="F306" s="4"/>
      <c r="G306" s="22"/>
      <c r="H306" s="22"/>
      <c r="I306" s="22"/>
      <c r="J306" s="3"/>
      <c r="K306" s="3"/>
    </row>
    <row r="307" spans="1:11" x14ac:dyDescent="0.2">
      <c r="A307" s="37"/>
      <c r="B307" s="3"/>
      <c r="C307" s="3"/>
      <c r="D307" s="3"/>
      <c r="F307" s="4"/>
      <c r="G307" s="22"/>
      <c r="H307" s="22"/>
      <c r="I307" s="22"/>
      <c r="J307" s="3"/>
      <c r="K307" s="3"/>
    </row>
    <row r="308" spans="1:11" x14ac:dyDescent="0.2">
      <c r="A308" s="37"/>
      <c r="B308" s="3"/>
      <c r="C308" s="3"/>
      <c r="D308" s="3"/>
      <c r="F308" s="4"/>
      <c r="G308" s="22"/>
      <c r="H308" s="22"/>
      <c r="I308" s="22"/>
      <c r="J308" s="3"/>
      <c r="K308" s="3"/>
    </row>
    <row r="309" spans="1:11" x14ac:dyDescent="0.2">
      <c r="A309" s="37"/>
      <c r="B309" s="3"/>
      <c r="C309" s="3"/>
      <c r="D309" s="3"/>
      <c r="F309" s="4"/>
      <c r="G309" s="22"/>
      <c r="H309" s="22"/>
      <c r="I309" s="22"/>
      <c r="J309" s="3"/>
      <c r="K309" s="3"/>
    </row>
    <row r="310" spans="1:11" x14ac:dyDescent="0.2">
      <c r="A310" s="37"/>
      <c r="B310" s="3"/>
      <c r="C310" s="3"/>
      <c r="D310" s="3"/>
      <c r="F310" s="4"/>
      <c r="G310" s="22"/>
      <c r="H310" s="22"/>
      <c r="I310" s="22"/>
      <c r="J310" s="3"/>
      <c r="K310" s="3"/>
    </row>
    <row r="311" spans="1:11" x14ac:dyDescent="0.2">
      <c r="A311" s="37"/>
      <c r="B311" s="3"/>
      <c r="C311" s="3"/>
      <c r="D311" s="3"/>
      <c r="F311" s="4"/>
      <c r="G311" s="22"/>
      <c r="H311" s="22"/>
      <c r="I311" s="22"/>
      <c r="J311" s="3"/>
      <c r="K311" s="3"/>
    </row>
    <row r="312" spans="1:11" x14ac:dyDescent="0.2">
      <c r="A312" s="37"/>
      <c r="B312" s="3"/>
      <c r="C312" s="3"/>
      <c r="D312" s="3"/>
      <c r="F312" s="4"/>
      <c r="G312" s="22"/>
      <c r="H312" s="22"/>
      <c r="I312" s="22"/>
      <c r="J312" s="3"/>
      <c r="K312" s="3"/>
    </row>
    <row r="313" spans="1:11" x14ac:dyDescent="0.2">
      <c r="A313" s="37"/>
      <c r="B313" s="3"/>
      <c r="C313" s="3"/>
      <c r="D313" s="3"/>
      <c r="F313" s="4"/>
      <c r="G313" s="22"/>
      <c r="H313" s="22"/>
      <c r="I313" s="22"/>
      <c r="J313" s="3"/>
      <c r="K313" s="3"/>
    </row>
    <row r="314" spans="1:11" x14ac:dyDescent="0.2">
      <c r="A314" s="37"/>
      <c r="B314" s="3"/>
      <c r="C314" s="3"/>
      <c r="D314" s="3"/>
      <c r="F314" s="4"/>
      <c r="G314" s="22"/>
      <c r="H314" s="22"/>
      <c r="I314" s="22"/>
      <c r="J314" s="3"/>
      <c r="K314" s="3"/>
    </row>
    <row r="315" spans="1:11" x14ac:dyDescent="0.2">
      <c r="A315" s="37"/>
      <c r="B315" s="3"/>
      <c r="C315" s="3"/>
      <c r="D315" s="3"/>
      <c r="F315" s="4"/>
      <c r="G315" s="22"/>
      <c r="H315" s="22"/>
      <c r="I315" s="22"/>
      <c r="J315" s="3"/>
      <c r="K315" s="3"/>
    </row>
    <row r="316" spans="1:11" x14ac:dyDescent="0.2">
      <c r="A316" s="37"/>
      <c r="B316" s="3"/>
      <c r="C316" s="3"/>
      <c r="D316" s="3"/>
      <c r="F316" s="4"/>
      <c r="G316" s="22"/>
      <c r="H316" s="22"/>
      <c r="I316" s="22"/>
      <c r="J316" s="3"/>
      <c r="K316" s="3"/>
    </row>
    <row r="317" spans="1:11" x14ac:dyDescent="0.2">
      <c r="A317" s="37"/>
      <c r="B317" s="3"/>
      <c r="C317" s="3"/>
      <c r="D317" s="3"/>
      <c r="F317" s="4"/>
      <c r="G317" s="22"/>
      <c r="H317" s="22"/>
      <c r="I317" s="22"/>
      <c r="J317" s="3"/>
      <c r="K317" s="3"/>
    </row>
    <row r="318" spans="1:11" x14ac:dyDescent="0.2">
      <c r="A318" s="37"/>
      <c r="B318" s="3"/>
      <c r="C318" s="3"/>
      <c r="D318" s="3"/>
      <c r="F318" s="4"/>
      <c r="G318" s="22"/>
      <c r="H318" s="22"/>
      <c r="I318" s="22"/>
      <c r="J318" s="3"/>
      <c r="K318" s="3"/>
    </row>
    <row r="319" spans="1:11" x14ac:dyDescent="0.2">
      <c r="A319" s="37"/>
      <c r="B319" s="3"/>
      <c r="C319" s="3"/>
      <c r="D319" s="3"/>
      <c r="F319" s="4"/>
      <c r="G319" s="22"/>
      <c r="H319" s="22"/>
      <c r="I319" s="22"/>
      <c r="J319" s="3"/>
      <c r="K319" s="3"/>
    </row>
    <row r="320" spans="1:11" x14ac:dyDescent="0.2">
      <c r="A320" s="37"/>
      <c r="B320" s="3"/>
      <c r="C320" s="3"/>
      <c r="D320" s="3"/>
      <c r="F320" s="4"/>
      <c r="G320" s="22"/>
      <c r="H320" s="22"/>
      <c r="I320" s="22"/>
      <c r="J320" s="3"/>
      <c r="K320" s="3"/>
    </row>
    <row r="321" spans="1:11" x14ac:dyDescent="0.2">
      <c r="A321" s="37"/>
      <c r="B321" s="3"/>
      <c r="C321" s="3"/>
      <c r="D321" s="3"/>
      <c r="F321" s="4"/>
      <c r="G321" s="22"/>
      <c r="H321" s="22"/>
      <c r="I321" s="22"/>
      <c r="J321" s="3"/>
      <c r="K321" s="3"/>
    </row>
    <row r="322" spans="1:11" x14ac:dyDescent="0.2">
      <c r="A322" s="37"/>
      <c r="B322" s="3"/>
      <c r="C322" s="3"/>
      <c r="D322" s="3"/>
      <c r="F322" s="4"/>
      <c r="G322" s="22"/>
      <c r="H322" s="22"/>
      <c r="I322" s="22"/>
      <c r="J322" s="3"/>
      <c r="K322" s="3"/>
    </row>
    <row r="323" spans="1:11" x14ac:dyDescent="0.2">
      <c r="A323" s="37"/>
      <c r="B323" s="3"/>
      <c r="C323" s="3"/>
      <c r="D323" s="3"/>
      <c r="F323" s="4"/>
      <c r="G323" s="22"/>
      <c r="H323" s="22"/>
      <c r="I323" s="22"/>
      <c r="J323" s="3"/>
      <c r="K323" s="3"/>
    </row>
    <row r="324" spans="1:11" x14ac:dyDescent="0.2">
      <c r="A324" s="37"/>
      <c r="B324" s="3"/>
      <c r="C324" s="3"/>
      <c r="D324" s="3"/>
      <c r="F324" s="4"/>
      <c r="G324" s="22"/>
      <c r="H324" s="22"/>
      <c r="I324" s="22"/>
      <c r="J324" s="3"/>
      <c r="K324" s="3"/>
    </row>
    <row r="325" spans="1:11" x14ac:dyDescent="0.2">
      <c r="A325" s="37"/>
      <c r="B325" s="3"/>
      <c r="C325" s="3"/>
      <c r="D325" s="3"/>
      <c r="F325" s="4"/>
      <c r="G325" s="22"/>
      <c r="H325" s="22"/>
      <c r="I325" s="22"/>
      <c r="J325" s="3"/>
      <c r="K325" s="3"/>
    </row>
    <row r="326" spans="1:11" x14ac:dyDescent="0.2">
      <c r="A326" s="37"/>
      <c r="B326" s="3"/>
      <c r="C326" s="3"/>
      <c r="D326" s="3"/>
      <c r="F326" s="4"/>
      <c r="G326" s="22"/>
      <c r="H326" s="22"/>
      <c r="I326" s="22"/>
      <c r="J326" s="3"/>
      <c r="K326" s="3"/>
    </row>
    <row r="327" spans="1:11" x14ac:dyDescent="0.2">
      <c r="A327" s="37"/>
      <c r="B327" s="3"/>
      <c r="C327" s="3"/>
      <c r="D327" s="3"/>
      <c r="F327" s="4"/>
      <c r="G327" s="22"/>
      <c r="H327" s="22"/>
      <c r="I327" s="22"/>
      <c r="J327" s="3"/>
      <c r="K327" s="3"/>
    </row>
    <row r="328" spans="1:11" x14ac:dyDescent="0.2">
      <c r="A328" s="37"/>
      <c r="B328" s="3"/>
      <c r="C328" s="3"/>
      <c r="D328" s="3"/>
      <c r="F328" s="4"/>
      <c r="G328" s="22"/>
      <c r="H328" s="22"/>
      <c r="I328" s="22"/>
      <c r="J328" s="3"/>
      <c r="K328" s="3"/>
    </row>
    <row r="329" spans="1:11" x14ac:dyDescent="0.2">
      <c r="A329" s="37"/>
      <c r="B329" s="3"/>
      <c r="C329" s="3"/>
      <c r="D329" s="3"/>
      <c r="F329" s="4"/>
      <c r="G329" s="22"/>
      <c r="H329" s="22"/>
      <c r="I329" s="22"/>
      <c r="J329" s="3"/>
      <c r="K329" s="3"/>
    </row>
    <row r="330" spans="1:11" x14ac:dyDescent="0.2">
      <c r="A330" s="37"/>
      <c r="B330" s="3"/>
      <c r="C330" s="3"/>
      <c r="D330" s="3"/>
      <c r="F330" s="4"/>
      <c r="G330" s="22"/>
      <c r="H330" s="22"/>
      <c r="I330" s="22"/>
      <c r="J330" s="3"/>
      <c r="K330" s="3"/>
    </row>
    <row r="331" spans="1:11" x14ac:dyDescent="0.2">
      <c r="A331" s="37"/>
      <c r="B331" s="3"/>
      <c r="C331" s="3"/>
      <c r="D331" s="3"/>
      <c r="F331" s="4"/>
      <c r="G331" s="22"/>
      <c r="H331" s="22"/>
      <c r="I331" s="22"/>
      <c r="J331" s="3"/>
      <c r="K331" s="3"/>
    </row>
    <row r="332" spans="1:11" x14ac:dyDescent="0.2">
      <c r="A332" s="37"/>
      <c r="B332" s="3"/>
      <c r="C332" s="3"/>
      <c r="D332" s="3"/>
      <c r="F332" s="4"/>
      <c r="G332" s="22"/>
      <c r="H332" s="22"/>
      <c r="I332" s="22"/>
      <c r="J332" s="3"/>
      <c r="K332" s="3"/>
    </row>
    <row r="333" spans="1:11" x14ac:dyDescent="0.2">
      <c r="A333" s="37"/>
      <c r="B333" s="3"/>
      <c r="C333" s="3"/>
      <c r="D333" s="3"/>
      <c r="F333" s="4"/>
      <c r="G333" s="22"/>
      <c r="H333" s="22"/>
      <c r="I333" s="22"/>
      <c r="J333" s="3"/>
      <c r="K333" s="3"/>
    </row>
    <row r="334" spans="1:11" x14ac:dyDescent="0.2">
      <c r="A334" s="37"/>
      <c r="B334" s="3"/>
      <c r="C334" s="3"/>
      <c r="D334" s="3"/>
      <c r="F334" s="4"/>
      <c r="G334" s="22"/>
      <c r="H334" s="22"/>
      <c r="I334" s="22"/>
      <c r="J334" s="3"/>
      <c r="K334" s="3"/>
    </row>
    <row r="335" spans="1:11" x14ac:dyDescent="0.2">
      <c r="A335" s="37"/>
      <c r="B335" s="3"/>
      <c r="C335" s="3"/>
      <c r="D335" s="3"/>
      <c r="F335" s="4"/>
      <c r="G335" s="22"/>
      <c r="H335" s="22"/>
      <c r="I335" s="22"/>
      <c r="J335" s="3"/>
      <c r="K335" s="3"/>
    </row>
    <row r="336" spans="1:11" x14ac:dyDescent="0.2">
      <c r="A336" s="37"/>
      <c r="B336" s="3"/>
      <c r="C336" s="3"/>
      <c r="D336" s="3"/>
      <c r="F336" s="4"/>
      <c r="G336" s="22"/>
      <c r="H336" s="22"/>
      <c r="I336" s="22"/>
      <c r="J336" s="3"/>
      <c r="K336" s="3"/>
    </row>
    <row r="337" spans="1:11" x14ac:dyDescent="0.2">
      <c r="A337" s="37"/>
      <c r="B337" s="3"/>
      <c r="C337" s="3"/>
      <c r="D337" s="3"/>
      <c r="F337" s="4"/>
      <c r="G337" s="22"/>
      <c r="H337" s="22"/>
      <c r="I337" s="22"/>
      <c r="J337" s="3"/>
      <c r="K337" s="3"/>
    </row>
    <row r="338" spans="1:11" x14ac:dyDescent="0.2">
      <c r="A338" s="37"/>
      <c r="B338" s="3"/>
      <c r="C338" s="3"/>
      <c r="D338" s="3"/>
      <c r="F338" s="4"/>
      <c r="G338" s="22"/>
      <c r="H338" s="22"/>
      <c r="I338" s="22"/>
      <c r="J338" s="3"/>
      <c r="K338" s="3"/>
    </row>
    <row r="339" spans="1:11" x14ac:dyDescent="0.2">
      <c r="A339" s="37"/>
      <c r="B339" s="3"/>
      <c r="C339" s="3"/>
      <c r="D339" s="3"/>
      <c r="F339" s="4"/>
      <c r="G339" s="22"/>
      <c r="H339" s="22"/>
      <c r="I339" s="22"/>
      <c r="J339" s="3"/>
      <c r="K339" s="3"/>
    </row>
    <row r="340" spans="1:11" x14ac:dyDescent="0.2">
      <c r="A340" s="37"/>
      <c r="B340" s="3"/>
      <c r="C340" s="3"/>
      <c r="D340" s="3"/>
      <c r="F340" s="4"/>
      <c r="G340" s="22"/>
      <c r="H340" s="22"/>
      <c r="I340" s="22"/>
      <c r="J340" s="3"/>
      <c r="K340" s="3"/>
    </row>
    <row r="341" spans="1:11" x14ac:dyDescent="0.2">
      <c r="A341" s="37"/>
      <c r="B341" s="3"/>
      <c r="C341" s="3"/>
      <c r="D341" s="3"/>
      <c r="F341" s="4"/>
      <c r="G341" s="22"/>
      <c r="H341" s="22"/>
      <c r="I341" s="22"/>
      <c r="J341" s="3"/>
      <c r="K341" s="3"/>
    </row>
    <row r="342" spans="1:11" x14ac:dyDescent="0.2">
      <c r="A342" s="37"/>
      <c r="B342" s="3"/>
      <c r="C342" s="3"/>
      <c r="D342" s="3"/>
      <c r="F342" s="4"/>
      <c r="G342" s="22"/>
      <c r="H342" s="22"/>
      <c r="I342" s="22"/>
      <c r="J342" s="3"/>
      <c r="K342" s="3"/>
    </row>
    <row r="343" spans="1:11" x14ac:dyDescent="0.2">
      <c r="A343" s="37"/>
      <c r="B343" s="3"/>
      <c r="C343" s="3"/>
      <c r="D343" s="3"/>
      <c r="F343" s="4"/>
      <c r="G343" s="22"/>
      <c r="H343" s="22"/>
      <c r="I343" s="22"/>
      <c r="J343" s="3"/>
      <c r="K343" s="3"/>
    </row>
    <row r="344" spans="1:11" x14ac:dyDescent="0.2">
      <c r="A344" s="37"/>
      <c r="B344" s="3"/>
      <c r="C344" s="3"/>
      <c r="D344" s="3"/>
      <c r="F344" s="4"/>
      <c r="G344" s="22"/>
      <c r="H344" s="22"/>
      <c r="I344" s="22"/>
      <c r="J344" s="3"/>
      <c r="K344" s="3"/>
    </row>
    <row r="345" spans="1:11" x14ac:dyDescent="0.2">
      <c r="A345" s="37"/>
      <c r="B345" s="3"/>
      <c r="C345" s="3"/>
      <c r="D345" s="3"/>
      <c r="F345" s="4"/>
      <c r="G345" s="22"/>
      <c r="H345" s="22"/>
      <c r="I345" s="22"/>
      <c r="J345" s="3"/>
      <c r="K345" s="3"/>
    </row>
    <row r="346" spans="1:11" x14ac:dyDescent="0.2">
      <c r="A346" s="37"/>
      <c r="B346" s="3"/>
      <c r="C346" s="3"/>
      <c r="D346" s="3"/>
      <c r="F346" s="4"/>
      <c r="G346" s="22"/>
      <c r="H346" s="22"/>
      <c r="I346" s="22"/>
      <c r="J346" s="3"/>
      <c r="K346" s="3"/>
    </row>
    <row r="347" spans="1:11" x14ac:dyDescent="0.2">
      <c r="A347" s="37"/>
      <c r="B347" s="3"/>
      <c r="C347" s="3"/>
      <c r="D347" s="3"/>
      <c r="F347" s="4"/>
      <c r="G347" s="22"/>
      <c r="H347" s="22"/>
      <c r="I347" s="22"/>
      <c r="J347" s="3"/>
      <c r="K347" s="3"/>
    </row>
    <row r="348" spans="1:11" x14ac:dyDescent="0.2">
      <c r="A348" s="37"/>
      <c r="B348" s="3"/>
      <c r="C348" s="3"/>
      <c r="D348" s="3"/>
      <c r="F348" s="4"/>
      <c r="G348" s="22"/>
      <c r="H348" s="22"/>
      <c r="I348" s="22"/>
      <c r="J348" s="3"/>
      <c r="K348" s="3"/>
    </row>
    <row r="349" spans="1:11" x14ac:dyDescent="0.2">
      <c r="A349" s="37"/>
      <c r="B349" s="3"/>
      <c r="C349" s="3"/>
      <c r="D349" s="3"/>
      <c r="F349" s="4"/>
      <c r="G349" s="22"/>
      <c r="H349" s="22"/>
      <c r="I349" s="22"/>
      <c r="J349" s="3"/>
      <c r="K349" s="3"/>
    </row>
    <row r="350" spans="1:11" x14ac:dyDescent="0.2">
      <c r="A350" s="37"/>
      <c r="B350" s="3"/>
      <c r="C350" s="3"/>
      <c r="D350" s="3"/>
      <c r="F350" s="4"/>
      <c r="G350" s="22"/>
      <c r="H350" s="22"/>
      <c r="I350" s="22"/>
      <c r="J350" s="3"/>
      <c r="K350" s="3"/>
    </row>
    <row r="351" spans="1:11" x14ac:dyDescent="0.2">
      <c r="A351" s="37"/>
      <c r="B351" s="3"/>
      <c r="C351" s="3"/>
      <c r="D351" s="3"/>
      <c r="F351" s="4"/>
      <c r="G351" s="22"/>
      <c r="H351" s="22"/>
      <c r="I351" s="22"/>
      <c r="J351" s="3"/>
      <c r="K351" s="3"/>
    </row>
    <row r="352" spans="1:11" x14ac:dyDescent="0.2">
      <c r="A352" s="37"/>
      <c r="B352" s="3"/>
      <c r="C352" s="3"/>
      <c r="D352" s="3"/>
      <c r="F352" s="4"/>
      <c r="G352" s="22"/>
      <c r="H352" s="22"/>
      <c r="I352" s="22"/>
      <c r="J352" s="3"/>
      <c r="K352" s="3"/>
    </row>
    <row r="353" spans="1:11" x14ac:dyDescent="0.2">
      <c r="A353" s="37"/>
      <c r="B353" s="3"/>
      <c r="C353" s="3"/>
      <c r="D353" s="3"/>
      <c r="F353" s="4"/>
      <c r="G353" s="22"/>
      <c r="H353" s="22"/>
      <c r="I353" s="22"/>
      <c r="J353" s="3"/>
      <c r="K353" s="3"/>
    </row>
    <row r="354" spans="1:11" x14ac:dyDescent="0.2">
      <c r="A354" s="37"/>
      <c r="B354" s="3"/>
      <c r="C354" s="3"/>
      <c r="D354" s="3"/>
      <c r="F354" s="4"/>
      <c r="G354" s="22"/>
      <c r="H354" s="22"/>
      <c r="I354" s="22"/>
      <c r="J354" s="3"/>
      <c r="K354" s="3"/>
    </row>
    <row r="355" spans="1:11" x14ac:dyDescent="0.2">
      <c r="A355" s="37"/>
      <c r="B355" s="3"/>
      <c r="C355" s="3"/>
      <c r="D355" s="3"/>
      <c r="F355" s="4"/>
      <c r="G355" s="22"/>
      <c r="H355" s="22"/>
      <c r="I355" s="22"/>
      <c r="J355" s="3"/>
      <c r="K355" s="3"/>
    </row>
    <row r="356" spans="1:11" x14ac:dyDescent="0.2">
      <c r="A356" s="37"/>
      <c r="B356" s="3"/>
      <c r="C356" s="3"/>
      <c r="D356" s="3"/>
      <c r="F356" s="4"/>
      <c r="G356" s="22"/>
      <c r="H356" s="22"/>
      <c r="I356" s="22"/>
      <c r="J356" s="3"/>
      <c r="K356" s="3"/>
    </row>
    <row r="357" spans="1:11" x14ac:dyDescent="0.2">
      <c r="A357" s="37"/>
      <c r="B357" s="3"/>
      <c r="C357" s="3"/>
      <c r="D357" s="3"/>
      <c r="F357" s="4"/>
      <c r="G357" s="22"/>
      <c r="H357" s="22"/>
      <c r="I357" s="22"/>
      <c r="J357" s="3"/>
      <c r="K357" s="3"/>
    </row>
    <row r="358" spans="1:11" x14ac:dyDescent="0.2">
      <c r="A358" s="37"/>
      <c r="B358" s="3"/>
      <c r="C358" s="3"/>
      <c r="D358" s="3"/>
      <c r="F358" s="4"/>
      <c r="G358" s="22"/>
      <c r="H358" s="22"/>
      <c r="I358" s="22"/>
      <c r="J358" s="3"/>
      <c r="K358" s="3"/>
    </row>
    <row r="359" spans="1:11" x14ac:dyDescent="0.2">
      <c r="A359" s="37"/>
      <c r="B359" s="3"/>
      <c r="C359" s="3"/>
      <c r="D359" s="3"/>
      <c r="F359" s="4"/>
      <c r="G359" s="22"/>
      <c r="H359" s="22"/>
      <c r="I359" s="22"/>
      <c r="J359" s="3"/>
      <c r="K359" s="3"/>
    </row>
    <row r="360" spans="1:11" x14ac:dyDescent="0.2">
      <c r="A360" s="37"/>
      <c r="B360" s="3"/>
      <c r="C360" s="3"/>
      <c r="D360" s="3"/>
      <c r="F360" s="4"/>
      <c r="G360" s="22"/>
      <c r="H360" s="22"/>
      <c r="I360" s="22"/>
      <c r="J360" s="3"/>
      <c r="K360" s="3"/>
    </row>
    <row r="361" spans="1:11" x14ac:dyDescent="0.2">
      <c r="A361" s="37"/>
      <c r="B361" s="3"/>
      <c r="C361" s="3"/>
      <c r="D361" s="3"/>
      <c r="F361" s="4"/>
      <c r="G361" s="22"/>
      <c r="H361" s="22"/>
      <c r="I361" s="22"/>
      <c r="J361" s="3"/>
      <c r="K361" s="3"/>
    </row>
    <row r="362" spans="1:11" x14ac:dyDescent="0.2">
      <c r="A362" s="37"/>
      <c r="B362" s="3"/>
      <c r="C362" s="3"/>
      <c r="D362" s="3"/>
      <c r="F362" s="4"/>
      <c r="G362" s="22"/>
      <c r="H362" s="22"/>
      <c r="I362" s="22"/>
      <c r="J362" s="3"/>
      <c r="K362" s="3"/>
    </row>
    <row r="363" spans="1:11" x14ac:dyDescent="0.2">
      <c r="A363" s="37"/>
      <c r="B363" s="3"/>
      <c r="C363" s="3"/>
      <c r="D363" s="3"/>
      <c r="F363" s="4"/>
      <c r="G363" s="22"/>
      <c r="H363" s="22"/>
      <c r="I363" s="22"/>
      <c r="J363" s="3"/>
      <c r="K363" s="3"/>
    </row>
    <row r="364" spans="1:11" x14ac:dyDescent="0.2">
      <c r="A364" s="37"/>
      <c r="B364" s="3"/>
      <c r="C364" s="3"/>
      <c r="D364" s="3"/>
      <c r="F364" s="4"/>
      <c r="G364" s="22"/>
      <c r="H364" s="22"/>
      <c r="I364" s="22"/>
      <c r="J364" s="3"/>
      <c r="K364" s="3"/>
    </row>
    <row r="365" spans="1:11" x14ac:dyDescent="0.2">
      <c r="A365" s="37"/>
      <c r="B365" s="3"/>
      <c r="C365" s="3"/>
      <c r="D365" s="3"/>
      <c r="F365" s="4"/>
      <c r="G365" s="22"/>
      <c r="H365" s="22"/>
      <c r="I365" s="22"/>
      <c r="J365" s="3"/>
      <c r="K365" s="3"/>
    </row>
    <row r="366" spans="1:11" x14ac:dyDescent="0.2">
      <c r="A366" s="37"/>
      <c r="B366" s="3"/>
      <c r="C366" s="3"/>
      <c r="D366" s="3"/>
      <c r="F366" s="4"/>
      <c r="G366" s="22"/>
      <c r="H366" s="22"/>
      <c r="I366" s="22"/>
      <c r="J366" s="3"/>
      <c r="K366" s="3"/>
    </row>
    <row r="367" spans="1:11" x14ac:dyDescent="0.2">
      <c r="A367" s="37"/>
      <c r="B367" s="3"/>
      <c r="C367" s="3"/>
      <c r="D367" s="3"/>
      <c r="F367" s="4"/>
      <c r="G367" s="22"/>
      <c r="H367" s="22"/>
      <c r="I367" s="22"/>
      <c r="J367" s="3"/>
      <c r="K367" s="3"/>
    </row>
    <row r="368" spans="1:11" x14ac:dyDescent="0.2">
      <c r="A368" s="37"/>
      <c r="B368" s="3"/>
      <c r="C368" s="3"/>
      <c r="D368" s="3"/>
      <c r="F368" s="4"/>
      <c r="G368" s="22"/>
      <c r="H368" s="22"/>
      <c r="I368" s="22"/>
      <c r="J368" s="3"/>
      <c r="K368" s="3"/>
    </row>
    <row r="369" spans="1:11" x14ac:dyDescent="0.2">
      <c r="A369" s="37"/>
      <c r="B369" s="3"/>
      <c r="C369" s="3"/>
      <c r="D369" s="3"/>
      <c r="F369" s="4"/>
      <c r="G369" s="22"/>
      <c r="H369" s="22"/>
      <c r="I369" s="22"/>
      <c r="J369" s="3"/>
      <c r="K369" s="3"/>
    </row>
    <row r="370" spans="1:11" x14ac:dyDescent="0.2">
      <c r="A370" s="37"/>
      <c r="B370" s="3"/>
      <c r="C370" s="3"/>
      <c r="D370" s="3"/>
      <c r="F370" s="4"/>
      <c r="G370" s="22"/>
      <c r="H370" s="22"/>
      <c r="I370" s="22"/>
      <c r="J370" s="3"/>
      <c r="K370" s="3"/>
    </row>
    <row r="371" spans="1:11" x14ac:dyDescent="0.2">
      <c r="A371" s="37"/>
      <c r="B371" s="3"/>
      <c r="C371" s="3"/>
      <c r="D371" s="3"/>
      <c r="F371" s="4"/>
      <c r="G371" s="22"/>
      <c r="H371" s="22"/>
      <c r="I371" s="22"/>
      <c r="J371" s="3"/>
      <c r="K371" s="3"/>
    </row>
    <row r="372" spans="1:11" x14ac:dyDescent="0.2">
      <c r="A372" s="37"/>
      <c r="B372" s="3"/>
      <c r="C372" s="3"/>
      <c r="D372" s="3"/>
      <c r="F372" s="4"/>
      <c r="G372" s="22"/>
      <c r="H372" s="22"/>
      <c r="I372" s="22"/>
      <c r="J372" s="3"/>
      <c r="K372" s="3"/>
    </row>
    <row r="373" spans="1:11" x14ac:dyDescent="0.2">
      <c r="A373" s="37"/>
      <c r="B373" s="3"/>
      <c r="C373" s="3"/>
      <c r="D373" s="3"/>
      <c r="F373" s="4"/>
      <c r="G373" s="22"/>
      <c r="H373" s="22"/>
      <c r="I373" s="22"/>
      <c r="J373" s="3"/>
      <c r="K373" s="3"/>
    </row>
    <row r="374" spans="1:11" x14ac:dyDescent="0.2">
      <c r="A374" s="37"/>
      <c r="B374" s="3"/>
      <c r="C374" s="3"/>
      <c r="D374" s="3"/>
      <c r="F374" s="4"/>
      <c r="G374" s="22"/>
      <c r="H374" s="22"/>
      <c r="I374" s="22"/>
      <c r="J374" s="3"/>
      <c r="K374" s="3"/>
    </row>
    <row r="375" spans="1:11" x14ac:dyDescent="0.2">
      <c r="A375" s="37"/>
      <c r="B375" s="3"/>
      <c r="C375" s="3"/>
      <c r="D375" s="3"/>
      <c r="F375" s="4"/>
      <c r="G375" s="22"/>
      <c r="H375" s="22"/>
      <c r="I375" s="22"/>
      <c r="J375" s="3"/>
      <c r="K375" s="3"/>
    </row>
    <row r="376" spans="1:11" x14ac:dyDescent="0.2">
      <c r="A376" s="37"/>
      <c r="B376" s="3"/>
      <c r="C376" s="3"/>
      <c r="D376" s="3"/>
      <c r="F376" s="4"/>
      <c r="G376" s="22"/>
      <c r="H376" s="22"/>
      <c r="I376" s="22"/>
      <c r="J376" s="3"/>
      <c r="K376" s="3"/>
    </row>
    <row r="377" spans="1:11" x14ac:dyDescent="0.2">
      <c r="A377" s="37"/>
      <c r="B377" s="3"/>
      <c r="C377" s="3"/>
      <c r="D377" s="3"/>
      <c r="F377" s="4"/>
      <c r="G377" s="22"/>
      <c r="H377" s="22"/>
      <c r="I377" s="22"/>
      <c r="J377" s="3"/>
      <c r="K377" s="3"/>
    </row>
    <row r="378" spans="1:11" x14ac:dyDescent="0.2">
      <c r="A378" s="37"/>
      <c r="B378" s="3"/>
      <c r="C378" s="3"/>
      <c r="D378" s="3"/>
      <c r="F378" s="4"/>
      <c r="G378" s="22"/>
      <c r="H378" s="22"/>
      <c r="I378" s="22"/>
      <c r="J378" s="3"/>
      <c r="K378" s="3"/>
    </row>
    <row r="379" spans="1:11" x14ac:dyDescent="0.2">
      <c r="A379" s="37"/>
      <c r="B379" s="3"/>
      <c r="C379" s="3"/>
      <c r="D379" s="3"/>
      <c r="F379" s="4"/>
      <c r="G379" s="22"/>
      <c r="H379" s="22"/>
      <c r="I379" s="22"/>
      <c r="J379" s="3"/>
      <c r="K379" s="3"/>
    </row>
    <row r="380" spans="1:11" x14ac:dyDescent="0.2">
      <c r="A380" s="37"/>
      <c r="B380" s="3"/>
      <c r="C380" s="3"/>
      <c r="D380" s="3"/>
      <c r="F380" s="4"/>
      <c r="G380" s="22"/>
      <c r="H380" s="22"/>
      <c r="I380" s="22"/>
      <c r="J380" s="3"/>
      <c r="K380" s="3"/>
    </row>
    <row r="381" spans="1:11" x14ac:dyDescent="0.2">
      <c r="A381" s="37"/>
      <c r="B381" s="3"/>
      <c r="C381" s="3"/>
      <c r="D381" s="3"/>
      <c r="F381" s="4"/>
      <c r="G381" s="22"/>
      <c r="H381" s="22"/>
      <c r="I381" s="22"/>
      <c r="J381" s="3"/>
      <c r="K381" s="3"/>
    </row>
    <row r="382" spans="1:11" x14ac:dyDescent="0.2">
      <c r="A382" s="37"/>
      <c r="B382" s="3"/>
      <c r="C382" s="3"/>
      <c r="D382" s="3"/>
      <c r="F382" s="4"/>
      <c r="G382" s="22"/>
      <c r="H382" s="22"/>
      <c r="I382" s="22"/>
      <c r="J382" s="3"/>
      <c r="K382" s="3"/>
    </row>
    <row r="383" spans="1:11" x14ac:dyDescent="0.2">
      <c r="A383" s="37"/>
      <c r="B383" s="3"/>
      <c r="C383" s="3"/>
      <c r="D383" s="3"/>
      <c r="F383" s="4"/>
      <c r="G383" s="22"/>
      <c r="H383" s="22"/>
      <c r="I383" s="22"/>
      <c r="J383" s="3"/>
      <c r="K383" s="3"/>
    </row>
    <row r="384" spans="1:11" x14ac:dyDescent="0.2">
      <c r="A384" s="37"/>
      <c r="B384" s="3"/>
      <c r="C384" s="3"/>
      <c r="D384" s="3"/>
      <c r="F384" s="4"/>
      <c r="G384" s="22"/>
      <c r="H384" s="22"/>
      <c r="I384" s="22"/>
      <c r="J384" s="3"/>
      <c r="K384" s="3"/>
    </row>
    <row r="385" spans="1:11" x14ac:dyDescent="0.2">
      <c r="A385" s="37"/>
      <c r="B385" s="3"/>
      <c r="C385" s="3"/>
      <c r="D385" s="3"/>
      <c r="F385" s="4"/>
      <c r="G385" s="22"/>
      <c r="H385" s="22"/>
      <c r="I385" s="22"/>
      <c r="J385" s="3"/>
      <c r="K385" s="3"/>
    </row>
    <row r="386" spans="1:11" x14ac:dyDescent="0.2">
      <c r="A386" s="37"/>
      <c r="B386" s="3"/>
      <c r="C386" s="3"/>
      <c r="D386" s="3"/>
      <c r="F386" s="4"/>
      <c r="G386" s="22"/>
      <c r="H386" s="22"/>
      <c r="I386" s="22"/>
      <c r="J386" s="3"/>
      <c r="K386" s="3"/>
    </row>
    <row r="387" spans="1:11" x14ac:dyDescent="0.2">
      <c r="A387" s="37"/>
      <c r="B387" s="3"/>
      <c r="C387" s="3"/>
      <c r="D387" s="3"/>
      <c r="F387" s="4"/>
      <c r="G387" s="22"/>
      <c r="H387" s="22"/>
      <c r="I387" s="22"/>
      <c r="J387" s="3"/>
      <c r="K387" s="3"/>
    </row>
    <row r="388" spans="1:11" x14ac:dyDescent="0.2">
      <c r="A388" s="37"/>
      <c r="B388" s="3"/>
      <c r="C388" s="3"/>
      <c r="D388" s="3"/>
      <c r="F388" s="4"/>
      <c r="G388" s="22"/>
      <c r="H388" s="22"/>
      <c r="I388" s="22"/>
      <c r="J388" s="3"/>
      <c r="K388" s="3"/>
    </row>
    <row r="389" spans="1:11" x14ac:dyDescent="0.2">
      <c r="A389" s="37"/>
      <c r="B389" s="3"/>
      <c r="C389" s="3"/>
      <c r="D389" s="3"/>
      <c r="F389" s="4"/>
      <c r="G389" s="22"/>
      <c r="H389" s="22"/>
      <c r="I389" s="22"/>
      <c r="J389" s="3"/>
      <c r="K389" s="3"/>
    </row>
    <row r="390" spans="1:11" x14ac:dyDescent="0.2">
      <c r="A390" s="37"/>
      <c r="B390" s="3"/>
      <c r="C390" s="3"/>
      <c r="D390" s="3"/>
      <c r="F390" s="4"/>
      <c r="G390" s="22"/>
      <c r="H390" s="22"/>
      <c r="I390" s="22"/>
      <c r="J390" s="3"/>
      <c r="K390" s="3"/>
    </row>
    <row r="391" spans="1:11" x14ac:dyDescent="0.2">
      <c r="A391" s="37"/>
      <c r="B391" s="3"/>
      <c r="C391" s="3"/>
      <c r="D391" s="3"/>
      <c r="F391" s="4"/>
      <c r="G391" s="22"/>
      <c r="H391" s="22"/>
      <c r="I391" s="22"/>
      <c r="J391" s="3"/>
      <c r="K391" s="3"/>
    </row>
    <row r="392" spans="1:11" x14ac:dyDescent="0.2">
      <c r="A392" s="37"/>
      <c r="B392" s="3"/>
      <c r="C392" s="3"/>
      <c r="D392" s="3"/>
      <c r="F392" s="4"/>
      <c r="G392" s="22"/>
      <c r="H392" s="22"/>
      <c r="I392" s="22"/>
      <c r="J392" s="3"/>
      <c r="K392" s="3"/>
    </row>
    <row r="393" spans="1:11" x14ac:dyDescent="0.2">
      <c r="A393" s="37"/>
      <c r="B393" s="3"/>
      <c r="C393" s="3"/>
      <c r="D393" s="3"/>
      <c r="F393" s="4"/>
      <c r="G393" s="22"/>
      <c r="H393" s="22"/>
      <c r="I393" s="22"/>
      <c r="J393" s="3"/>
      <c r="K393" s="3"/>
    </row>
    <row r="394" spans="1:11" x14ac:dyDescent="0.2">
      <c r="A394" s="37"/>
      <c r="B394" s="3"/>
      <c r="C394" s="3"/>
      <c r="D394" s="3"/>
      <c r="F394" s="4"/>
      <c r="G394" s="22"/>
      <c r="H394" s="22"/>
      <c r="I394" s="22"/>
      <c r="J394" s="3"/>
      <c r="K394" s="3"/>
    </row>
    <row r="395" spans="1:11" x14ac:dyDescent="0.2">
      <c r="A395" s="37"/>
      <c r="B395" s="3"/>
      <c r="C395" s="3"/>
      <c r="D395" s="3"/>
      <c r="F395" s="4"/>
      <c r="G395" s="22"/>
      <c r="H395" s="22"/>
      <c r="I395" s="22"/>
      <c r="J395" s="3"/>
      <c r="K395" s="3"/>
    </row>
    <row r="396" spans="1:11" x14ac:dyDescent="0.2">
      <c r="A396" s="37"/>
      <c r="B396" s="3"/>
      <c r="C396" s="3"/>
      <c r="D396" s="3"/>
      <c r="F396" s="4"/>
      <c r="G396" s="22"/>
      <c r="H396" s="22"/>
      <c r="I396" s="22"/>
      <c r="J396" s="3"/>
      <c r="K396" s="3"/>
    </row>
    <row r="397" spans="1:11" x14ac:dyDescent="0.2">
      <c r="A397" s="37"/>
      <c r="B397" s="3"/>
      <c r="C397" s="3"/>
      <c r="D397" s="3"/>
      <c r="F397" s="4"/>
      <c r="G397" s="22"/>
      <c r="H397" s="22"/>
      <c r="I397" s="22"/>
      <c r="J397" s="3"/>
      <c r="K397" s="3"/>
    </row>
    <row r="398" spans="1:11" x14ac:dyDescent="0.2">
      <c r="A398" s="37"/>
      <c r="B398" s="3"/>
      <c r="C398" s="3"/>
      <c r="D398" s="3"/>
      <c r="F398" s="4"/>
      <c r="G398" s="22"/>
      <c r="H398" s="22"/>
      <c r="I398" s="22"/>
      <c r="J398" s="3"/>
      <c r="K398" s="3"/>
    </row>
    <row r="399" spans="1:11" x14ac:dyDescent="0.2">
      <c r="A399" s="37"/>
      <c r="B399" s="3"/>
      <c r="C399" s="3"/>
      <c r="D399" s="3"/>
      <c r="F399" s="4"/>
      <c r="G399" s="22"/>
      <c r="H399" s="22"/>
      <c r="I399" s="22"/>
      <c r="J399" s="3"/>
      <c r="K399" s="3"/>
    </row>
    <row r="400" spans="1:11" x14ac:dyDescent="0.2">
      <c r="A400" s="37"/>
      <c r="B400" s="3"/>
      <c r="C400" s="3"/>
      <c r="D400" s="3"/>
      <c r="F400" s="4"/>
      <c r="G400" s="22"/>
      <c r="H400" s="22"/>
      <c r="I400" s="22"/>
      <c r="J400" s="3"/>
      <c r="K400" s="3"/>
    </row>
    <row r="401" spans="1:11" x14ac:dyDescent="0.2">
      <c r="A401" s="37"/>
      <c r="B401" s="3"/>
      <c r="C401" s="3"/>
      <c r="D401" s="3"/>
      <c r="F401" s="4"/>
      <c r="G401" s="22"/>
      <c r="H401" s="22"/>
      <c r="I401" s="22"/>
      <c r="J401" s="3"/>
      <c r="K401" s="3"/>
    </row>
    <row r="402" spans="1:11" x14ac:dyDescent="0.2">
      <c r="A402" s="37"/>
      <c r="B402" s="3"/>
      <c r="C402" s="3"/>
      <c r="D402" s="3"/>
      <c r="F402" s="4"/>
      <c r="G402" s="22"/>
      <c r="H402" s="22"/>
      <c r="I402" s="22"/>
      <c r="J402" s="3"/>
      <c r="K402" s="3"/>
    </row>
    <row r="403" spans="1:11" x14ac:dyDescent="0.2">
      <c r="A403" s="37"/>
      <c r="B403" s="3"/>
      <c r="C403" s="3"/>
      <c r="D403" s="3"/>
      <c r="F403" s="4"/>
      <c r="G403" s="22"/>
      <c r="H403" s="22"/>
      <c r="I403" s="22"/>
      <c r="J403" s="3"/>
      <c r="K403" s="3"/>
    </row>
    <row r="404" spans="1:11" x14ac:dyDescent="0.2">
      <c r="A404" s="37"/>
      <c r="B404" s="3"/>
      <c r="C404" s="3"/>
      <c r="D404" s="3"/>
      <c r="F404" s="4"/>
      <c r="G404" s="22"/>
      <c r="H404" s="22"/>
      <c r="I404" s="22"/>
      <c r="J404" s="3"/>
      <c r="K404" s="3"/>
    </row>
    <row r="405" spans="1:11" x14ac:dyDescent="0.2">
      <c r="A405" s="37"/>
      <c r="B405" s="3"/>
      <c r="C405" s="3"/>
      <c r="D405" s="3"/>
      <c r="F405" s="4"/>
      <c r="G405" s="22"/>
      <c r="H405" s="22"/>
      <c r="I405" s="22"/>
      <c r="J405" s="3"/>
      <c r="K405" s="3"/>
    </row>
    <row r="406" spans="1:11" x14ac:dyDescent="0.2">
      <c r="A406" s="37"/>
      <c r="B406" s="3"/>
      <c r="C406" s="3"/>
      <c r="D406" s="3"/>
      <c r="F406" s="4"/>
      <c r="G406" s="22"/>
      <c r="H406" s="22"/>
      <c r="I406" s="22"/>
      <c r="J406" s="3"/>
      <c r="K406" s="3"/>
    </row>
    <row r="407" spans="1:11" x14ac:dyDescent="0.2">
      <c r="A407" s="37"/>
      <c r="B407" s="3"/>
      <c r="C407" s="3"/>
      <c r="D407" s="3"/>
      <c r="F407" s="4"/>
      <c r="G407" s="22"/>
      <c r="H407" s="22"/>
      <c r="I407" s="22"/>
      <c r="J407" s="3"/>
      <c r="K407" s="3"/>
    </row>
    <row r="408" spans="1:11" x14ac:dyDescent="0.2">
      <c r="A408" s="37"/>
      <c r="B408" s="3"/>
      <c r="C408" s="3"/>
      <c r="D408" s="3"/>
      <c r="F408" s="4"/>
      <c r="G408" s="22"/>
      <c r="H408" s="22"/>
      <c r="I408" s="22"/>
      <c r="J408" s="3"/>
      <c r="K408" s="3"/>
    </row>
    <row r="409" spans="1:11" x14ac:dyDescent="0.2">
      <c r="A409" s="37"/>
      <c r="B409" s="3"/>
      <c r="C409" s="3"/>
      <c r="D409" s="3"/>
      <c r="F409" s="4"/>
      <c r="G409" s="22"/>
      <c r="H409" s="22"/>
      <c r="I409" s="22"/>
      <c r="J409" s="3"/>
      <c r="K409" s="3"/>
    </row>
    <row r="410" spans="1:11" x14ac:dyDescent="0.2">
      <c r="A410" s="37"/>
      <c r="B410" s="3"/>
      <c r="C410" s="3"/>
      <c r="D410" s="3"/>
      <c r="F410" s="4"/>
      <c r="G410" s="22"/>
      <c r="H410" s="22"/>
      <c r="I410" s="22"/>
      <c r="J410" s="3"/>
      <c r="K410" s="3"/>
    </row>
    <row r="411" spans="1:11" x14ac:dyDescent="0.2">
      <c r="A411" s="37"/>
      <c r="B411" s="3"/>
      <c r="C411" s="3"/>
      <c r="D411" s="3"/>
      <c r="F411" s="4"/>
      <c r="G411" s="22"/>
      <c r="H411" s="22"/>
      <c r="I411" s="22"/>
      <c r="J411" s="3"/>
      <c r="K411" s="3"/>
    </row>
    <row r="412" spans="1:11" x14ac:dyDescent="0.2">
      <c r="A412" s="37"/>
      <c r="B412" s="3"/>
      <c r="C412" s="3"/>
      <c r="D412" s="3"/>
      <c r="F412" s="4"/>
      <c r="G412" s="22"/>
      <c r="H412" s="22"/>
      <c r="I412" s="22"/>
      <c r="J412" s="3"/>
      <c r="K412" s="3"/>
    </row>
    <row r="413" spans="1:11" x14ac:dyDescent="0.2">
      <c r="A413" s="37"/>
      <c r="B413" s="3"/>
      <c r="C413" s="3"/>
      <c r="D413" s="3"/>
      <c r="F413" s="4"/>
      <c r="G413" s="22"/>
      <c r="H413" s="22"/>
      <c r="I413" s="22"/>
      <c r="J413" s="3"/>
      <c r="K413" s="3"/>
    </row>
    <row r="414" spans="1:11" x14ac:dyDescent="0.2">
      <c r="A414" s="37"/>
      <c r="B414" s="3"/>
      <c r="C414" s="3"/>
      <c r="D414" s="3"/>
      <c r="F414" s="4"/>
      <c r="G414" s="22"/>
      <c r="H414" s="22"/>
      <c r="I414" s="22"/>
      <c r="J414" s="3"/>
      <c r="K414" s="3"/>
    </row>
    <row r="415" spans="1:11" x14ac:dyDescent="0.2">
      <c r="A415" s="37"/>
      <c r="B415" s="3"/>
      <c r="C415" s="3"/>
      <c r="D415" s="3"/>
      <c r="F415" s="4"/>
      <c r="G415" s="22"/>
      <c r="H415" s="22"/>
      <c r="I415" s="22"/>
      <c r="J415" s="3"/>
      <c r="K415" s="3"/>
    </row>
    <row r="416" spans="1:11" x14ac:dyDescent="0.2">
      <c r="A416" s="37"/>
      <c r="B416" s="3"/>
      <c r="C416" s="3"/>
      <c r="D416" s="3"/>
      <c r="F416" s="4"/>
      <c r="G416" s="22"/>
      <c r="H416" s="22"/>
      <c r="I416" s="22"/>
      <c r="J416" s="3"/>
      <c r="K416" s="3"/>
    </row>
    <row r="417" spans="1:11" x14ac:dyDescent="0.2">
      <c r="A417" s="37"/>
      <c r="B417" s="3"/>
      <c r="C417" s="3"/>
      <c r="D417" s="3"/>
      <c r="F417" s="4"/>
      <c r="G417" s="22"/>
      <c r="H417" s="22"/>
      <c r="I417" s="22"/>
      <c r="J417" s="3"/>
      <c r="K417" s="3"/>
    </row>
    <row r="418" spans="1:11" x14ac:dyDescent="0.2">
      <c r="A418" s="37"/>
      <c r="B418" s="3"/>
      <c r="C418" s="3"/>
      <c r="D418" s="3"/>
      <c r="F418" s="4"/>
      <c r="G418" s="22"/>
      <c r="H418" s="22"/>
      <c r="I418" s="22"/>
      <c r="J418" s="3"/>
      <c r="K418" s="3"/>
    </row>
    <row r="419" spans="1:11" x14ac:dyDescent="0.2">
      <c r="A419" s="37"/>
      <c r="B419" s="3"/>
      <c r="C419" s="3"/>
      <c r="D419" s="3"/>
      <c r="F419" s="4"/>
      <c r="G419" s="22"/>
      <c r="H419" s="22"/>
      <c r="I419" s="22"/>
      <c r="J419" s="3"/>
      <c r="K419" s="3"/>
    </row>
    <row r="420" spans="1:11" x14ac:dyDescent="0.2">
      <c r="A420" s="37"/>
      <c r="B420" s="3"/>
      <c r="C420" s="3"/>
      <c r="D420" s="3"/>
      <c r="F420" s="4"/>
      <c r="G420" s="22"/>
      <c r="H420" s="22"/>
      <c r="I420" s="22"/>
      <c r="J420" s="3"/>
      <c r="K420" s="3"/>
    </row>
    <row r="421" spans="1:11" x14ac:dyDescent="0.2">
      <c r="A421" s="37"/>
      <c r="B421" s="3"/>
      <c r="C421" s="3"/>
      <c r="D421" s="3"/>
      <c r="F421" s="4"/>
      <c r="G421" s="22"/>
      <c r="H421" s="22"/>
      <c r="I421" s="22"/>
      <c r="J421" s="3"/>
      <c r="K421" s="3"/>
    </row>
    <row r="422" spans="1:11" x14ac:dyDescent="0.2">
      <c r="A422" s="37"/>
      <c r="B422" s="3"/>
      <c r="C422" s="3"/>
      <c r="D422" s="3"/>
      <c r="F422" s="4"/>
      <c r="G422" s="22"/>
      <c r="H422" s="22"/>
      <c r="I422" s="22"/>
      <c r="J422" s="3"/>
      <c r="K422" s="3"/>
    </row>
    <row r="423" spans="1:11" x14ac:dyDescent="0.2">
      <c r="A423" s="37"/>
      <c r="B423" s="3"/>
      <c r="C423" s="3"/>
      <c r="D423" s="3"/>
      <c r="F423" s="4"/>
      <c r="G423" s="22"/>
      <c r="H423" s="22"/>
      <c r="I423" s="22"/>
      <c r="J423" s="3"/>
      <c r="K423" s="3"/>
    </row>
    <row r="424" spans="1:11" x14ac:dyDescent="0.2">
      <c r="A424" s="37"/>
      <c r="B424" s="3"/>
      <c r="C424" s="3"/>
      <c r="D424" s="3"/>
      <c r="F424" s="4"/>
      <c r="G424" s="22"/>
      <c r="H424" s="22"/>
      <c r="I424" s="22"/>
      <c r="J424" s="3"/>
      <c r="K424" s="3"/>
    </row>
    <row r="425" spans="1:11" x14ac:dyDescent="0.2">
      <c r="A425" s="37"/>
      <c r="B425" s="3"/>
      <c r="C425" s="3"/>
      <c r="D425" s="3"/>
      <c r="F425" s="4"/>
      <c r="G425" s="22"/>
      <c r="H425" s="22"/>
      <c r="I425" s="22"/>
      <c r="J425" s="3"/>
      <c r="K425" s="3"/>
    </row>
    <row r="426" spans="1:11" x14ac:dyDescent="0.2">
      <c r="A426" s="37"/>
      <c r="B426" s="3"/>
      <c r="C426" s="3"/>
      <c r="D426" s="3"/>
      <c r="F426" s="4"/>
      <c r="G426" s="22"/>
      <c r="H426" s="22"/>
      <c r="I426" s="22"/>
      <c r="J426" s="3"/>
      <c r="K426" s="3"/>
    </row>
    <row r="427" spans="1:11" x14ac:dyDescent="0.2">
      <c r="A427" s="37"/>
      <c r="B427" s="3"/>
      <c r="C427" s="3"/>
      <c r="D427" s="3"/>
      <c r="F427" s="4"/>
      <c r="G427" s="22"/>
      <c r="H427" s="22"/>
      <c r="I427" s="22"/>
      <c r="J427" s="3"/>
      <c r="K427" s="3"/>
    </row>
    <row r="428" spans="1:11" x14ac:dyDescent="0.2">
      <c r="A428" s="37"/>
      <c r="B428" s="3"/>
      <c r="C428" s="3"/>
      <c r="D428" s="3"/>
      <c r="F428" s="4"/>
      <c r="G428" s="22"/>
      <c r="H428" s="22"/>
      <c r="I428" s="22"/>
      <c r="J428" s="3"/>
      <c r="K428" s="3"/>
    </row>
    <row r="429" spans="1:11" x14ac:dyDescent="0.2">
      <c r="A429" s="37"/>
      <c r="B429" s="3"/>
      <c r="C429" s="3"/>
      <c r="D429" s="3"/>
      <c r="F429" s="4"/>
      <c r="G429" s="22"/>
      <c r="H429" s="22"/>
      <c r="I429" s="22"/>
      <c r="J429" s="3"/>
      <c r="K429" s="3"/>
    </row>
    <row r="430" spans="1:11" x14ac:dyDescent="0.2">
      <c r="A430" s="37"/>
      <c r="B430" s="3"/>
      <c r="C430" s="3"/>
      <c r="D430" s="3"/>
      <c r="F430" s="4"/>
      <c r="G430" s="22"/>
      <c r="H430" s="22"/>
      <c r="I430" s="22"/>
      <c r="J430" s="3"/>
      <c r="K430" s="3"/>
    </row>
    <row r="431" spans="1:11" x14ac:dyDescent="0.2">
      <c r="A431" s="37"/>
      <c r="B431" s="3"/>
      <c r="C431" s="3"/>
      <c r="D431" s="3"/>
      <c r="F431" s="4"/>
      <c r="G431" s="22"/>
      <c r="H431" s="22"/>
      <c r="I431" s="22"/>
      <c r="J431" s="3"/>
      <c r="K431" s="3"/>
    </row>
    <row r="432" spans="1:11" x14ac:dyDescent="0.2">
      <c r="A432" s="37"/>
      <c r="B432" s="3"/>
      <c r="C432" s="3"/>
      <c r="D432" s="3"/>
      <c r="F432" s="4"/>
      <c r="G432" s="22"/>
      <c r="H432" s="22"/>
      <c r="I432" s="22"/>
      <c r="J432" s="3"/>
      <c r="K432" s="3"/>
    </row>
    <row r="433" spans="1:11" x14ac:dyDescent="0.2">
      <c r="A433" s="37"/>
      <c r="B433" s="3"/>
      <c r="C433" s="3"/>
      <c r="D433" s="3"/>
      <c r="F433" s="4"/>
      <c r="G433" s="22"/>
      <c r="H433" s="22"/>
      <c r="I433" s="22"/>
      <c r="J433" s="3"/>
      <c r="K433" s="3"/>
    </row>
    <row r="434" spans="1:11" x14ac:dyDescent="0.2">
      <c r="A434" s="37"/>
      <c r="B434" s="3"/>
      <c r="C434" s="3"/>
      <c r="D434" s="3"/>
      <c r="F434" s="4"/>
      <c r="G434" s="22"/>
      <c r="H434" s="22"/>
      <c r="I434" s="22"/>
      <c r="J434" s="3"/>
      <c r="K434" s="3"/>
    </row>
    <row r="435" spans="1:11" x14ac:dyDescent="0.2">
      <c r="A435" s="37"/>
      <c r="B435" s="3"/>
      <c r="C435" s="3"/>
      <c r="D435" s="3"/>
      <c r="F435" s="4"/>
      <c r="G435" s="22"/>
      <c r="H435" s="22"/>
      <c r="I435" s="22"/>
      <c r="J435" s="3"/>
      <c r="K435" s="3"/>
    </row>
    <row r="436" spans="1:11" x14ac:dyDescent="0.2">
      <c r="A436" s="37"/>
      <c r="B436" s="3"/>
      <c r="C436" s="3"/>
      <c r="D436" s="3"/>
      <c r="F436" s="4"/>
      <c r="G436" s="22"/>
      <c r="H436" s="22"/>
      <c r="I436" s="22"/>
      <c r="J436" s="3"/>
      <c r="K436" s="3"/>
    </row>
    <row r="437" spans="1:11" x14ac:dyDescent="0.2">
      <c r="A437" s="37"/>
      <c r="B437" s="3"/>
      <c r="C437" s="3"/>
      <c r="D437" s="3"/>
      <c r="F437" s="4"/>
      <c r="G437" s="22"/>
      <c r="H437" s="22"/>
      <c r="I437" s="22"/>
      <c r="J437" s="3"/>
      <c r="K437" s="3"/>
    </row>
    <row r="438" spans="1:11" x14ac:dyDescent="0.2">
      <c r="A438" s="37"/>
      <c r="B438" s="3"/>
      <c r="C438" s="3"/>
      <c r="D438" s="3"/>
      <c r="F438" s="4"/>
      <c r="G438" s="22"/>
      <c r="H438" s="22"/>
      <c r="I438" s="22"/>
      <c r="J438" s="3"/>
      <c r="K438" s="3"/>
    </row>
    <row r="439" spans="1:11" x14ac:dyDescent="0.2">
      <c r="A439" s="37"/>
      <c r="B439" s="3"/>
      <c r="C439" s="3"/>
      <c r="D439" s="3"/>
      <c r="F439" s="4"/>
      <c r="G439" s="22"/>
      <c r="H439" s="22"/>
      <c r="I439" s="22"/>
      <c r="J439" s="3"/>
      <c r="K439" s="3"/>
    </row>
    <row r="440" spans="1:11" x14ac:dyDescent="0.2">
      <c r="A440" s="37"/>
      <c r="B440" s="3"/>
      <c r="C440" s="3"/>
      <c r="D440" s="3"/>
      <c r="F440" s="4"/>
      <c r="G440" s="22"/>
      <c r="H440" s="22"/>
      <c r="I440" s="22"/>
      <c r="J440" s="3"/>
      <c r="K440" s="3"/>
    </row>
    <row r="441" spans="1:11" x14ac:dyDescent="0.2">
      <c r="A441" s="37"/>
      <c r="B441" s="3"/>
      <c r="C441" s="3"/>
      <c r="D441" s="3"/>
      <c r="F441" s="4"/>
      <c r="G441" s="22"/>
      <c r="H441" s="22"/>
      <c r="I441" s="22"/>
      <c r="J441" s="3"/>
      <c r="K441" s="3"/>
    </row>
    <row r="442" spans="1:11" x14ac:dyDescent="0.2">
      <c r="A442" s="37"/>
      <c r="B442" s="3"/>
      <c r="C442" s="3"/>
      <c r="D442" s="3"/>
      <c r="F442" s="4"/>
      <c r="G442" s="22"/>
      <c r="H442" s="22"/>
      <c r="I442" s="22"/>
      <c r="J442" s="3"/>
      <c r="K442" s="3"/>
    </row>
    <row r="443" spans="1:11" x14ac:dyDescent="0.2">
      <c r="A443" s="37"/>
      <c r="B443" s="3"/>
      <c r="C443" s="3"/>
      <c r="D443" s="3"/>
      <c r="F443" s="4"/>
      <c r="G443" s="22"/>
      <c r="H443" s="22"/>
      <c r="I443" s="22"/>
      <c r="J443" s="3"/>
      <c r="K443" s="3"/>
    </row>
    <row r="444" spans="1:11" x14ac:dyDescent="0.2">
      <c r="A444" s="37"/>
      <c r="B444" s="3"/>
      <c r="C444" s="3"/>
      <c r="D444" s="3"/>
      <c r="F444" s="4"/>
      <c r="G444" s="22"/>
      <c r="H444" s="22"/>
      <c r="I444" s="22"/>
      <c r="J444" s="3"/>
      <c r="K444" s="3"/>
    </row>
    <row r="445" spans="1:11" x14ac:dyDescent="0.2">
      <c r="A445" s="37"/>
      <c r="B445" s="3"/>
      <c r="C445" s="3"/>
      <c r="D445" s="3"/>
      <c r="F445" s="4"/>
      <c r="G445" s="22"/>
      <c r="H445" s="22"/>
      <c r="I445" s="22"/>
      <c r="J445" s="3"/>
      <c r="K445" s="3"/>
    </row>
    <row r="446" spans="1:11" x14ac:dyDescent="0.2">
      <c r="A446" s="37"/>
      <c r="B446" s="3"/>
      <c r="C446" s="3"/>
      <c r="D446" s="3"/>
      <c r="F446" s="4"/>
      <c r="G446" s="22"/>
      <c r="H446" s="22"/>
      <c r="I446" s="22"/>
      <c r="J446" s="3"/>
      <c r="K446" s="3"/>
    </row>
    <row r="447" spans="1:11" x14ac:dyDescent="0.2">
      <c r="A447" s="37"/>
      <c r="B447" s="3"/>
      <c r="C447" s="3"/>
      <c r="D447" s="3"/>
      <c r="F447" s="4"/>
      <c r="G447" s="22"/>
      <c r="H447" s="22"/>
      <c r="I447" s="22"/>
      <c r="J447" s="3"/>
      <c r="K447" s="3"/>
    </row>
    <row r="448" spans="1:11" x14ac:dyDescent="0.2">
      <c r="A448" s="37"/>
      <c r="B448" s="3"/>
      <c r="C448" s="3"/>
      <c r="D448" s="3"/>
      <c r="F448" s="4"/>
      <c r="G448" s="22"/>
      <c r="H448" s="22"/>
      <c r="I448" s="22"/>
      <c r="J448" s="3"/>
      <c r="K448" s="3"/>
    </row>
    <row r="449" spans="1:11" x14ac:dyDescent="0.2">
      <c r="A449" s="37"/>
      <c r="B449" s="3"/>
      <c r="C449" s="3"/>
      <c r="D449" s="3"/>
      <c r="F449" s="4"/>
      <c r="G449" s="22"/>
      <c r="H449" s="22"/>
      <c r="I449" s="22"/>
      <c r="J449" s="3"/>
      <c r="K449" s="3"/>
    </row>
    <row r="450" spans="1:11" x14ac:dyDescent="0.2">
      <c r="A450" s="37"/>
      <c r="B450" s="3"/>
      <c r="C450" s="3"/>
      <c r="D450" s="3"/>
      <c r="F450" s="4"/>
      <c r="G450" s="22"/>
      <c r="H450" s="22"/>
      <c r="I450" s="22"/>
      <c r="J450" s="3"/>
      <c r="K450" s="3"/>
    </row>
    <row r="451" spans="1:11" x14ac:dyDescent="0.2">
      <c r="A451" s="37"/>
      <c r="B451" s="3"/>
      <c r="C451" s="3"/>
      <c r="D451" s="3"/>
      <c r="F451" s="4"/>
      <c r="G451" s="22"/>
      <c r="H451" s="22"/>
      <c r="I451" s="22"/>
      <c r="J451" s="3"/>
      <c r="K451" s="3"/>
    </row>
    <row r="452" spans="1:11" x14ac:dyDescent="0.2">
      <c r="A452" s="37"/>
      <c r="B452" s="3"/>
      <c r="C452" s="3"/>
      <c r="D452" s="3"/>
      <c r="F452" s="4"/>
      <c r="G452" s="22"/>
      <c r="H452" s="22"/>
      <c r="I452" s="22"/>
      <c r="J452" s="3"/>
      <c r="K452" s="3"/>
    </row>
    <row r="453" spans="1:11" x14ac:dyDescent="0.2">
      <c r="A453" s="37"/>
      <c r="B453" s="3"/>
      <c r="C453" s="3"/>
      <c r="D453" s="3"/>
      <c r="F453" s="4"/>
      <c r="G453" s="22"/>
      <c r="H453" s="22"/>
      <c r="I453" s="22"/>
      <c r="J453" s="3"/>
      <c r="K453" s="3"/>
    </row>
    <row r="454" spans="1:11" x14ac:dyDescent="0.2">
      <c r="A454" s="37"/>
      <c r="B454" s="3"/>
      <c r="C454" s="3"/>
      <c r="D454" s="3"/>
      <c r="F454" s="4"/>
      <c r="G454" s="22"/>
      <c r="H454" s="22"/>
      <c r="I454" s="22"/>
      <c r="J454" s="3"/>
      <c r="K454" s="3"/>
    </row>
    <row r="455" spans="1:11" x14ac:dyDescent="0.2">
      <c r="A455" s="37"/>
      <c r="B455" s="3"/>
      <c r="C455" s="3"/>
      <c r="D455" s="3"/>
      <c r="F455" s="4"/>
      <c r="G455" s="22"/>
      <c r="H455" s="22"/>
      <c r="I455" s="22"/>
      <c r="J455" s="3"/>
      <c r="K455" s="3"/>
    </row>
    <row r="456" spans="1:11" x14ac:dyDescent="0.2">
      <c r="A456" s="37"/>
      <c r="B456" s="3"/>
      <c r="C456" s="3"/>
      <c r="D456" s="3"/>
      <c r="F456" s="4"/>
      <c r="G456" s="22"/>
      <c r="H456" s="22"/>
      <c r="I456" s="22"/>
      <c r="J456" s="3"/>
      <c r="K456" s="3"/>
    </row>
    <row r="457" spans="1:11" x14ac:dyDescent="0.2">
      <c r="A457" s="37"/>
      <c r="B457" s="3"/>
      <c r="C457" s="3"/>
      <c r="D457" s="3"/>
      <c r="F457" s="4"/>
      <c r="G457" s="22"/>
      <c r="H457" s="22"/>
      <c r="I457" s="22"/>
      <c r="J457" s="3"/>
      <c r="K457" s="3"/>
    </row>
    <row r="458" spans="1:11" x14ac:dyDescent="0.2">
      <c r="A458" s="37"/>
      <c r="B458" s="3"/>
      <c r="C458" s="3"/>
      <c r="D458" s="3"/>
      <c r="F458" s="4"/>
      <c r="G458" s="22"/>
      <c r="H458" s="22"/>
      <c r="I458" s="22"/>
      <c r="J458" s="3"/>
      <c r="K458" s="3"/>
    </row>
    <row r="459" spans="1:11" x14ac:dyDescent="0.2">
      <c r="A459" s="37"/>
      <c r="B459" s="3"/>
      <c r="C459" s="3"/>
      <c r="D459" s="3"/>
      <c r="F459" s="4"/>
      <c r="G459" s="22"/>
      <c r="H459" s="22"/>
      <c r="I459" s="22"/>
      <c r="J459" s="3"/>
      <c r="K459" s="3"/>
    </row>
    <row r="460" spans="1:11" x14ac:dyDescent="0.2">
      <c r="A460" s="37"/>
      <c r="B460" s="3"/>
      <c r="C460" s="3"/>
      <c r="D460" s="3"/>
      <c r="F460" s="4"/>
      <c r="G460" s="22"/>
      <c r="H460" s="22"/>
      <c r="I460" s="22"/>
      <c r="J460" s="3"/>
      <c r="K460" s="3"/>
    </row>
  </sheetData>
  <mergeCells count="16">
    <mergeCell ref="CL129:GF129"/>
    <mergeCell ref="B112:DA112"/>
    <mergeCell ref="G3:H3"/>
    <mergeCell ref="S4:V4"/>
    <mergeCell ref="Z4:AC4"/>
    <mergeCell ref="B110:DA110"/>
    <mergeCell ref="C52:D52"/>
    <mergeCell ref="BL4:BP4"/>
    <mergeCell ref="AM4:AQ4"/>
    <mergeCell ref="AW4:AZ4"/>
    <mergeCell ref="AG4:AK4"/>
    <mergeCell ref="DC4:DN4"/>
    <mergeCell ref="BQ4:CA4"/>
    <mergeCell ref="BU3:DA3"/>
    <mergeCell ref="BB4:BF4"/>
    <mergeCell ref="CB4:CF4"/>
  </mergeCells>
  <phoneticPr fontId="0" type="noConversion"/>
  <printOptions horizontalCentered="1"/>
  <pageMargins left="0.35433070866141736" right="0.62992125984251968" top="1.1023622047244095" bottom="0.31496062992125984" header="0.6692913385826772" footer="0.31496062992125984"/>
  <pageSetup paperSize="9" scale="92" fitToHeight="3" orientation="landscape" r:id="rId1"/>
  <headerFooter alignWithMargins="0"/>
  <rowBreaks count="2" manualBreakCount="2">
    <brk id="34" max="16383" man="1"/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2</vt:i4>
      </vt:variant>
    </vt:vector>
  </HeadingPairs>
  <TitlesOfParts>
    <vt:vector size="3" baseType="lpstr">
      <vt:lpstr>Försvaret</vt:lpstr>
      <vt:lpstr>Försvaret!Utskriftsområde</vt:lpstr>
      <vt:lpstr>Försvaret!Utskriftsrubriker</vt:lpstr>
    </vt:vector>
  </TitlesOfParts>
  <Company>Ekonomistyrningsverket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Marelius</dc:creator>
  <cp:lastModifiedBy>Lars Nordkvist</cp:lastModifiedBy>
  <cp:lastPrinted>2017-02-15T12:39:46Z</cp:lastPrinted>
  <dcterms:created xsi:type="dcterms:W3CDTF">2000-11-22T09:20:07Z</dcterms:created>
  <dcterms:modified xsi:type="dcterms:W3CDTF">2017-02-15T12:43:09Z</dcterms:modified>
</cp:coreProperties>
</file>