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5/RBÄ 250619/"/>
    </mc:Choice>
  </mc:AlternateContent>
  <xr:revisionPtr revIDLastSave="0" documentId="13_ncr:1_{269C053B-B465-4145-AA33-433F9C24C155}" xr6:coauthVersionLast="47" xr6:coauthVersionMax="47" xr10:uidLastSave="{00000000-0000-0000-0000-000000000000}"/>
  <bookViews>
    <workbookView xWindow="-120" yWindow="-120" windowWidth="29040" windowHeight="15720" tabRatio="694" activeTab="1" xr2:uid="{44832A45-09D4-4A9E-8824-1CD092936FBF}"/>
  </bookViews>
  <sheets>
    <sheet name="Översikt fördelning" sheetId="4" r:id="rId1"/>
    <sheet name="Riktade medel och parametrar" sheetId="2" r:id="rId2"/>
    <sheet name="Omdisponering av anslag" sheetId="6" state="hidden" r:id="rId3"/>
    <sheet name="Fördelning av anslaget" sheetId="5" state="hidden" r:id="rId4"/>
  </sheets>
  <definedNames>
    <definedName name="_xlnm.Print_Area" localSheetId="1">'Riktade medel och parametrar'!$A$1:$AV$30</definedName>
    <definedName name="_xlnm.Print_Area" localSheetId="0">'Översikt fördelning'!$A$1:$F$37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20" i="2" l="1"/>
  <c r="AR26" i="2"/>
  <c r="AR22" i="2"/>
  <c r="AR18" i="2"/>
  <c r="AR16" i="2"/>
  <c r="AR7" i="2"/>
  <c r="B20" i="2" l="1"/>
  <c r="S20" i="2" s="1"/>
  <c r="S8" i="2"/>
  <c r="S9" i="2"/>
  <c r="S10" i="2"/>
  <c r="S11" i="2"/>
  <c r="S12" i="2"/>
  <c r="S13" i="2"/>
  <c r="S14" i="2"/>
  <c r="S15" i="2"/>
  <c r="S16" i="2"/>
  <c r="S17" i="2"/>
  <c r="S18" i="2"/>
  <c r="S19" i="2"/>
  <c r="S21" i="2"/>
  <c r="S22" i="2"/>
  <c r="S23" i="2"/>
  <c r="S24" i="2"/>
  <c r="S25" i="2"/>
  <c r="S26" i="2"/>
  <c r="S27" i="2"/>
  <c r="S7" i="2"/>
  <c r="Y7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7" i="2"/>
  <c r="AQ8" i="2"/>
  <c r="AQ9" i="2"/>
  <c r="AQ10" i="2"/>
  <c r="W7" i="2"/>
  <c r="S28" i="2" l="1"/>
  <c r="C5" i="4" s="1"/>
  <c r="C24" i="4" s="1"/>
  <c r="AR27" i="2"/>
  <c r="AR25" i="2"/>
  <c r="AR24" i="2"/>
  <c r="AR23" i="2"/>
  <c r="AR21" i="2"/>
  <c r="AR17" i="2"/>
  <c r="AR13" i="2"/>
  <c r="AR10" i="2"/>
  <c r="AR8" i="2"/>
  <c r="R28" i="2" l="1"/>
  <c r="Y28" i="2"/>
  <c r="I28" i="2"/>
  <c r="R27" i="2"/>
  <c r="R26" i="2"/>
  <c r="R25" i="2"/>
  <c r="R20" i="2"/>
  <c r="R18" i="2"/>
  <c r="R16" i="2"/>
  <c r="R15" i="2"/>
  <c r="R14" i="2"/>
  <c r="R10" i="2"/>
  <c r="R7" i="2"/>
  <c r="AR28" i="2" l="1"/>
  <c r="B18" i="2"/>
  <c r="X28" i="2"/>
  <c r="Y8" i="2"/>
  <c r="Y15" i="2"/>
  <c r="Y22" i="2"/>
  <c r="Y23" i="2"/>
  <c r="Y24" i="2"/>
  <c r="C14" i="4"/>
  <c r="B23" i="2"/>
  <c r="W27" i="2"/>
  <c r="Y27" i="2" s="1"/>
  <c r="W26" i="2"/>
  <c r="W25" i="2"/>
  <c r="W24" i="2"/>
  <c r="W23" i="2"/>
  <c r="W22" i="2"/>
  <c r="W21" i="2"/>
  <c r="W20" i="2"/>
  <c r="W19" i="2"/>
  <c r="Y19" i="2" s="1"/>
  <c r="W18" i="2"/>
  <c r="W17" i="2"/>
  <c r="W16" i="2"/>
  <c r="W15" i="2"/>
  <c r="W14" i="2"/>
  <c r="W13" i="2"/>
  <c r="W12" i="2"/>
  <c r="W11" i="2"/>
  <c r="W10" i="2"/>
  <c r="W9" i="2"/>
  <c r="W8" i="2"/>
  <c r="V27" i="2"/>
  <c r="P27" i="2"/>
  <c r="M27" i="2"/>
  <c r="L27" i="2"/>
  <c r="K27" i="2"/>
  <c r="J27" i="2"/>
  <c r="I27" i="2"/>
  <c r="F27" i="2"/>
  <c r="E27" i="2"/>
  <c r="D27" i="2"/>
  <c r="V26" i="2"/>
  <c r="Y26" i="2" s="1"/>
  <c r="K26" i="2"/>
  <c r="I26" i="2"/>
  <c r="F26" i="2"/>
  <c r="E26" i="2"/>
  <c r="D26" i="2"/>
  <c r="V25" i="2"/>
  <c r="U25" i="2"/>
  <c r="Y25" i="2" s="1"/>
  <c r="K25" i="2"/>
  <c r="F25" i="2"/>
  <c r="E25" i="2"/>
  <c r="D25" i="2"/>
  <c r="V24" i="2"/>
  <c r="U24" i="2"/>
  <c r="K24" i="2"/>
  <c r="J24" i="2"/>
  <c r="I24" i="2"/>
  <c r="E24" i="2"/>
  <c r="V23" i="2"/>
  <c r="U23" i="2"/>
  <c r="L23" i="2"/>
  <c r="K23" i="2"/>
  <c r="I23" i="2"/>
  <c r="E23" i="2"/>
  <c r="V22" i="2"/>
  <c r="U22" i="2"/>
  <c r="K22" i="2"/>
  <c r="E22" i="2"/>
  <c r="V21" i="2"/>
  <c r="U21" i="2"/>
  <c r="Y21" i="2" s="1"/>
  <c r="K21" i="2"/>
  <c r="E21" i="2"/>
  <c r="V20" i="2"/>
  <c r="U20" i="2"/>
  <c r="Y20" i="2" s="1"/>
  <c r="P20" i="2"/>
  <c r="K20" i="2"/>
  <c r="E20" i="2"/>
  <c r="V19" i="2"/>
  <c r="U19" i="2"/>
  <c r="K19" i="2"/>
  <c r="E19" i="2"/>
  <c r="V18" i="2"/>
  <c r="Y18" i="2" s="1"/>
  <c r="P18" i="2"/>
  <c r="M18" i="2"/>
  <c r="L18" i="2"/>
  <c r="K18" i="2"/>
  <c r="J18" i="2"/>
  <c r="I18" i="2"/>
  <c r="G18" i="2"/>
  <c r="E18" i="2"/>
  <c r="V17" i="2"/>
  <c r="Y17" i="2" s="1"/>
  <c r="K17" i="2"/>
  <c r="I17" i="2"/>
  <c r="V16" i="2"/>
  <c r="U16" i="2"/>
  <c r="Y16" i="2" s="1"/>
  <c r="P16" i="2"/>
  <c r="M16" i="2"/>
  <c r="L16" i="2"/>
  <c r="K16" i="2"/>
  <c r="I16" i="2"/>
  <c r="H16" i="2"/>
  <c r="G16" i="2"/>
  <c r="V15" i="2"/>
  <c r="U15" i="2"/>
  <c r="K15" i="2"/>
  <c r="I15" i="2"/>
  <c r="H15" i="2"/>
  <c r="V14" i="2"/>
  <c r="U14" i="2"/>
  <c r="Y14" i="2" s="1"/>
  <c r="P14" i="2"/>
  <c r="K14" i="2"/>
  <c r="I14" i="2"/>
  <c r="V13" i="2"/>
  <c r="U13" i="2"/>
  <c r="Y13" i="2" s="1"/>
  <c r="K13" i="2"/>
  <c r="I13" i="2"/>
  <c r="V12" i="2"/>
  <c r="U12" i="2"/>
  <c r="Y12" i="2" s="1"/>
  <c r="K12" i="2"/>
  <c r="V11" i="2"/>
  <c r="U11" i="2"/>
  <c r="Y11" i="2" s="1"/>
  <c r="K11" i="2"/>
  <c r="V10" i="2"/>
  <c r="U10" i="2"/>
  <c r="Y10" i="2" s="1"/>
  <c r="P10" i="2"/>
  <c r="K10" i="2"/>
  <c r="I10" i="2"/>
  <c r="V9" i="2"/>
  <c r="U9" i="2"/>
  <c r="Y9" i="2" s="1"/>
  <c r="K9" i="2"/>
  <c r="I9" i="2"/>
  <c r="V8" i="2"/>
  <c r="U8" i="2"/>
  <c r="K8" i="2"/>
  <c r="I8" i="2"/>
  <c r="E8" i="2"/>
  <c r="V7" i="2"/>
  <c r="U7" i="2"/>
  <c r="P7" i="2"/>
  <c r="M7" i="2"/>
  <c r="L7" i="2"/>
  <c r="K7" i="2"/>
  <c r="I7" i="2"/>
  <c r="G7" i="2"/>
  <c r="B7" i="2"/>
  <c r="B14" i="2" l="1"/>
  <c r="B10" i="2"/>
  <c r="R13" i="5" l="1"/>
  <c r="W28" i="2" l="1"/>
  <c r="N9" i="5"/>
  <c r="N8" i="5"/>
  <c r="M9" i="5"/>
  <c r="M8" i="5"/>
  <c r="N18" i="5"/>
  <c r="L9" i="5"/>
  <c r="O22" i="5"/>
  <c r="O19" i="5"/>
  <c r="O20" i="5"/>
  <c r="O21" i="5"/>
  <c r="O18" i="5"/>
  <c r="I23" i="5"/>
  <c r="H23" i="5"/>
  <c r="M22" i="5" l="1"/>
  <c r="N22" i="5"/>
  <c r="N19" i="5"/>
  <c r="N20" i="5"/>
  <c r="N21" i="5"/>
  <c r="M21" i="5"/>
  <c r="M19" i="5"/>
  <c r="D30" i="6" l="1"/>
  <c r="C30" i="6"/>
  <c r="E7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8" i="6"/>
  <c r="AQ28" i="2" l="1"/>
  <c r="D28" i="2" l="1"/>
  <c r="B28" i="2"/>
  <c r="H27" i="5" l="1"/>
  <c r="I27" i="5" s="1"/>
  <c r="H28" i="5"/>
  <c r="I28" i="5" s="1"/>
  <c r="H26" i="5"/>
  <c r="I26" i="5" s="1"/>
  <c r="G24" i="5"/>
  <c r="H24" i="5" s="1"/>
  <c r="I24" i="5" s="1"/>
  <c r="P28" i="2" l="1"/>
  <c r="H25" i="5"/>
  <c r="I25" i="5" s="1"/>
  <c r="D6" i="5" l="1"/>
  <c r="D9" i="5" l="1"/>
  <c r="D5" i="5"/>
  <c r="D3" i="5"/>
  <c r="E6" i="5" s="1"/>
  <c r="E5" i="5" l="1"/>
  <c r="E9" i="5"/>
  <c r="K29" i="5" l="1"/>
  <c r="O28" i="2"/>
  <c r="AP25" i="2" l="1"/>
  <c r="AP11" i="2"/>
  <c r="C18" i="2"/>
  <c r="C16" i="2"/>
  <c r="C28" i="2" l="1"/>
  <c r="AP14" i="2"/>
  <c r="AP20" i="2"/>
  <c r="AP27" i="2"/>
  <c r="AP26" i="2"/>
  <c r="AP24" i="2"/>
  <c r="AP10" i="2"/>
  <c r="AP13" i="2"/>
  <c r="AP19" i="2"/>
  <c r="AP8" i="2"/>
  <c r="AP16" i="2"/>
  <c r="AP22" i="2"/>
  <c r="AP9" i="2"/>
  <c r="AP17" i="2"/>
  <c r="AP23" i="2"/>
  <c r="AP12" i="2"/>
  <c r="AP7" i="2"/>
  <c r="AP15" i="2"/>
  <c r="AP18" i="2"/>
  <c r="AP21" i="2"/>
  <c r="U28" i="2"/>
  <c r="V28" i="2"/>
  <c r="AP28" i="2" l="1"/>
  <c r="N28" i="2"/>
  <c r="AO10" i="2" l="1"/>
  <c r="AO21" i="2" l="1"/>
  <c r="AO8" i="2"/>
  <c r="AO11" i="2"/>
  <c r="M28" i="2" l="1"/>
  <c r="B30" i="4" l="1"/>
  <c r="AF28" i="2"/>
  <c r="AE28" i="2"/>
  <c r="AD28" i="2"/>
  <c r="AC28" i="2"/>
  <c r="AB28" i="2"/>
  <c r="H28" i="2" l="1"/>
  <c r="F28" i="2"/>
  <c r="G28" i="2"/>
  <c r="J28" i="2"/>
  <c r="E28" i="2"/>
  <c r="K28" i="2"/>
  <c r="L28" i="2"/>
  <c r="AO25" i="2" l="1"/>
  <c r="AO9" i="2"/>
  <c r="AO20" i="2"/>
  <c r="AO13" i="2"/>
  <c r="AO12" i="2"/>
  <c r="AO23" i="2"/>
  <c r="AO16" i="2"/>
  <c r="AO17" i="2"/>
  <c r="AO15" i="2"/>
  <c r="AO27" i="2"/>
  <c r="AO19" i="2"/>
  <c r="AO22" i="2"/>
  <c r="AO14" i="2"/>
  <c r="AO26" i="2"/>
  <c r="AO24" i="2"/>
  <c r="AO18" i="2"/>
  <c r="Q28" i="2"/>
  <c r="AO7" i="2"/>
  <c r="AO28" i="2" l="1"/>
  <c r="D8" i="5" l="1"/>
  <c r="E8" i="5" s="1"/>
  <c r="C31" i="4"/>
  <c r="AG7" i="2" s="1"/>
  <c r="C34" i="4"/>
  <c r="C35" i="4"/>
  <c r="D7" i="5"/>
  <c r="E7" i="5" s="1"/>
  <c r="C33" i="4"/>
  <c r="C32" i="4"/>
  <c r="AI19" i="2" l="1"/>
  <c r="AI26" i="2"/>
  <c r="AI20" i="2"/>
  <c r="AI8" i="2"/>
  <c r="AI18" i="2"/>
  <c r="AI21" i="2"/>
  <c r="AI22" i="2"/>
  <c r="AI15" i="2"/>
  <c r="AI27" i="2"/>
  <c r="AI23" i="2"/>
  <c r="AI17" i="2"/>
  <c r="AI7" i="2"/>
  <c r="AI11" i="2"/>
  <c r="AI25" i="2"/>
  <c r="AI12" i="2"/>
  <c r="AI13" i="2"/>
  <c r="AI10" i="2"/>
  <c r="AI24" i="2"/>
  <c r="AI9" i="2"/>
  <c r="AI16" i="2"/>
  <c r="AI14" i="2"/>
  <c r="AH11" i="2"/>
  <c r="AH27" i="2"/>
  <c r="AH21" i="2"/>
  <c r="AH9" i="2"/>
  <c r="AH7" i="2"/>
  <c r="AH24" i="2"/>
  <c r="AH18" i="2"/>
  <c r="AH12" i="2"/>
  <c r="AH10" i="2"/>
  <c r="AH23" i="2"/>
  <c r="AH26" i="2"/>
  <c r="AH13" i="2"/>
  <c r="AH15" i="2"/>
  <c r="AH14" i="2"/>
  <c r="AH19" i="2"/>
  <c r="AH25" i="2"/>
  <c r="AH20" i="2"/>
  <c r="AH22" i="2"/>
  <c r="AH16" i="2"/>
  <c r="AH8" i="2"/>
  <c r="AH17" i="2"/>
  <c r="AK14" i="2"/>
  <c r="AK24" i="2"/>
  <c r="AK22" i="2"/>
  <c r="AK8" i="2"/>
  <c r="AK27" i="2"/>
  <c r="AK15" i="2"/>
  <c r="AK26" i="2"/>
  <c r="AK17" i="2"/>
  <c r="AK16" i="2"/>
  <c r="AK23" i="2"/>
  <c r="AK18" i="2"/>
  <c r="AK21" i="2"/>
  <c r="AK10" i="2"/>
  <c r="AK7" i="2"/>
  <c r="AK11" i="2"/>
  <c r="AK25" i="2"/>
  <c r="AK9" i="2"/>
  <c r="AK20" i="2"/>
  <c r="AK19" i="2"/>
  <c r="AK13" i="2"/>
  <c r="AK12" i="2"/>
  <c r="AJ12" i="2"/>
  <c r="AJ10" i="2"/>
  <c r="AJ13" i="2"/>
  <c r="AJ27" i="2"/>
  <c r="AJ26" i="2"/>
  <c r="AJ22" i="2"/>
  <c r="AJ20" i="2"/>
  <c r="AJ16" i="2"/>
  <c r="AJ15" i="2"/>
  <c r="AJ8" i="2"/>
  <c r="AJ14" i="2"/>
  <c r="AJ25" i="2"/>
  <c r="AJ9" i="2"/>
  <c r="AJ21" i="2"/>
  <c r="AJ7" i="2"/>
  <c r="AJ17" i="2"/>
  <c r="AJ23" i="2"/>
  <c r="AJ19" i="2"/>
  <c r="AJ11" i="2"/>
  <c r="AJ18" i="2"/>
  <c r="AJ24" i="2"/>
  <c r="AG18" i="2"/>
  <c r="AG20" i="2"/>
  <c r="AL20" i="2" s="1"/>
  <c r="AG14" i="2"/>
  <c r="AG16" i="2"/>
  <c r="AG23" i="2"/>
  <c r="AG19" i="2"/>
  <c r="AG12" i="2"/>
  <c r="AG11" i="2"/>
  <c r="AG9" i="2"/>
  <c r="C30" i="4"/>
  <c r="AG21" i="2"/>
  <c r="AG10" i="2"/>
  <c r="AG26" i="2"/>
  <c r="AG25" i="2"/>
  <c r="AG13" i="2"/>
  <c r="AG17" i="2"/>
  <c r="AG15" i="2"/>
  <c r="AG22" i="2"/>
  <c r="AG8" i="2"/>
  <c r="AG27" i="2"/>
  <c r="AG24" i="2"/>
  <c r="AL14" i="2" l="1"/>
  <c r="AL9" i="2"/>
  <c r="AS9" i="2" s="1"/>
  <c r="AT9" i="2" s="1"/>
  <c r="AL27" i="2"/>
  <c r="AL10" i="2"/>
  <c r="AL16" i="2"/>
  <c r="AS16" i="2" s="1"/>
  <c r="AT16" i="2" s="1"/>
  <c r="AL17" i="2"/>
  <c r="AL22" i="2"/>
  <c r="AL24" i="2"/>
  <c r="AS24" i="2" s="1"/>
  <c r="AL8" i="2"/>
  <c r="AS8" i="2" s="1"/>
  <c r="AT8" i="2" s="1"/>
  <c r="AL21" i="2"/>
  <c r="AS21" i="2" s="1"/>
  <c r="AL18" i="2"/>
  <c r="AS18" i="2" s="1"/>
  <c r="AT18" i="2" s="1"/>
  <c r="AL11" i="2"/>
  <c r="AL15" i="2"/>
  <c r="AS15" i="2" s="1"/>
  <c r="AL12" i="2"/>
  <c r="AS12" i="2" s="1"/>
  <c r="AL25" i="2"/>
  <c r="AL19" i="2"/>
  <c r="AS19" i="2" s="1"/>
  <c r="AL13" i="2"/>
  <c r="AL26" i="2"/>
  <c r="AS26" i="2" s="1"/>
  <c r="AL23" i="2"/>
  <c r="AS23" i="2" s="1"/>
  <c r="AL7" i="2"/>
  <c r="AS7" i="2" s="1"/>
  <c r="AT7" i="2" s="1"/>
  <c r="AK28" i="2"/>
  <c r="AS10" i="2"/>
  <c r="AT10" i="2" s="1"/>
  <c r="AS11" i="2"/>
  <c r="AS22" i="2"/>
  <c r="AT22" i="2" s="1"/>
  <c r="AS13" i="2"/>
  <c r="AS20" i="2"/>
  <c r="AT20" i="2" s="1"/>
  <c r="AS17" i="2"/>
  <c r="AS25" i="2"/>
  <c r="AT25" i="2" s="1"/>
  <c r="AS27" i="2"/>
  <c r="AT27" i="2" s="1"/>
  <c r="AS14" i="2"/>
  <c r="AT14" i="2" s="1"/>
  <c r="AJ28" i="2"/>
  <c r="AI28" i="2"/>
  <c r="AG28" i="2"/>
  <c r="AH28" i="2"/>
  <c r="AL28" i="2" l="1"/>
  <c r="AT24" i="2"/>
  <c r="AT13" i="2"/>
  <c r="AT11" i="2"/>
  <c r="AT15" i="2"/>
  <c r="AT21" i="2"/>
  <c r="AT12" i="2"/>
  <c r="AT17" i="2"/>
  <c r="AS28" i="2"/>
  <c r="AT19" i="2"/>
  <c r="AT23" i="2"/>
  <c r="AT26" i="2"/>
  <c r="AT28" i="2" l="1"/>
  <c r="AV7" i="2"/>
  <c r="AV22" i="2" l="1"/>
  <c r="AV14" i="2"/>
  <c r="AV20" i="2"/>
  <c r="AV16" i="2"/>
  <c r="AV10" i="2"/>
  <c r="AV18" i="2"/>
  <c r="AV9" i="2"/>
  <c r="AV8" i="2"/>
  <c r="AV27" i="2"/>
  <c r="AV25" i="2"/>
  <c r="AV15" i="2"/>
  <c r="AV17" i="2"/>
  <c r="AV13" i="2"/>
  <c r="AV19" i="2"/>
  <c r="AV21" i="2"/>
  <c r="AV26" i="2"/>
  <c r="AV23" i="2"/>
  <c r="AV24" i="2"/>
  <c r="AV12" i="2"/>
  <c r="AV11" i="2"/>
  <c r="AV28" i="2" l="1"/>
  <c r="AU27" i="2"/>
  <c r="AU16" i="2"/>
  <c r="AU20" i="2"/>
  <c r="AU18" i="2"/>
  <c r="AU10" i="2"/>
  <c r="AU14" i="2"/>
  <c r="AU8" i="2"/>
  <c r="AU9" i="2"/>
  <c r="AU22" i="2"/>
  <c r="AU13" i="2"/>
  <c r="AU26" i="2"/>
  <c r="AU23" i="2"/>
  <c r="AU17" i="2"/>
  <c r="AU15" i="2"/>
  <c r="AU12" i="2"/>
  <c r="AU19" i="2"/>
  <c r="AU21" i="2"/>
  <c r="AU11" i="2"/>
  <c r="AU24" i="2"/>
  <c r="AU25" i="2"/>
  <c r="AU7" i="2"/>
  <c r="AU2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tc={B342BD65-7832-419E-B647-28D5A3CD7320}</author>
    <author>tc={61FC3867-CB8F-4482-B196-DB29AC526E2F}</author>
    <author>tc={69406FF6-6E6D-4287-9C5F-2ABAEC765FC0}</author>
    <author>tc={33DB3FF4-C86D-4845-AD1B-8AB89311CC36}</author>
    <author>tc={A7E2805D-136C-4E15-BD75-61FA81B677BB}</author>
    <author>tc={4A21A4B5-2701-4F4E-A85F-12019558D2C3}</author>
    <author>tc={93361EE0-AF32-4976-B862-9855EE446018}</author>
  </authors>
  <commentList>
    <comment ref="B7" authorId="0" shapeId="0" xr:uid="{B342BD65-7832-419E-B647-28D5A3CD7320}">
      <text>
        <t>[Trådad kommentar]
I din version av Excel kan du läsa den här trådade kommentaren, men eventuella ändringar i den tas bort om filen öppnas i en senare version av Excel. Läs mer: https://go.microsoft.com/fwlink/?linkid=870924
Kommentar:
    Central mynd. intern delg. 2014 (PLO)</t>
      </text>
    </comment>
    <comment ref="B10" authorId="1" shapeId="0" xr:uid="{61FC3867-CB8F-4482-B196-DB29AC526E2F}">
      <text>
        <t>[Trådad kommentar]
I din version av Excel kan du läsa den här trådade kommentaren, men eventuella ändringar i den tas bort om filen öppnas i en senare version av Excel. Läs mer: https://go.microsoft.com/fwlink/?linkid=870924
Kommentar:
    Hedersrelaterat våld, kompetensteamet HRV (PLO)</t>
      </text>
    </comment>
    <comment ref="B14" authorId="2" shapeId="0" xr:uid="{69406FF6-6E6D-4287-9C5F-2ABAEC765FC0}">
      <text>
        <t>[Trådad kommentar]
I din version av Excel kan du läsa den här trådade kommentaren, men eventuella ändringar i den tas bort om filen öppnas i en senare version av Excel. Läs mer: https://go.microsoft.com/fwlink/?linkid=870924
Kommentar:
    Totalförsvarsuppbyggnad Gotland (PLO)</t>
      </text>
    </comment>
    <comment ref="B18" authorId="3" shapeId="0" xr:uid="{33DB3FF4-C86D-4845-AD1B-8AB89311CC36}">
      <text>
        <t>[Trådad kommentar]
I din version av Excel kan du läsa den här trådade kommentaren, men eventuella ändringar i den tas bort om filen öppnas i en senare version av Excel. Läs mer: https://go.microsoft.com/fwlink/?linkid=870924
Kommentar:
    GIS (PLO) + Miljösamverkan Sverige (ej PLO) + Information Sverige (PLO) + Cybersäkerhet BP23 (PLO)</t>
      </text>
    </comment>
    <comment ref="B20" authorId="4" shapeId="0" xr:uid="{A7E2805D-136C-4E15-BD75-61FA81B677BB}">
      <text>
        <t>[Trådad kommentar]
I din version av Excel kan du läsa den här trådade kommentaren, men eventuella ändringar i den tas bort om filen öppnas i en senare version av Excel. Läs mer: https://go.microsoft.com/fwlink/?linkid=870924
Kommentar:
    Kampsport 2010 (PLO) + Djufrågor BP18 (PLO) + SEVESO-verksamheten (PLO) + Avloppsrening BP23 (PLO) + Beredskap livsmedelsförsörjning BP25 (PLO)</t>
      </text>
    </comment>
    <comment ref="B23" authorId="5" shapeId="0" xr:uid="{4A21A4B5-2701-4F4E-A85F-12019558D2C3}">
      <text>
        <t>[Trådad kommentar]
I din version av Excel kan du läsa den här trådade kommentaren, men eventuella ändringar i den tas bort om filen öppnas i en senare version av Excel. Läs mer: https://go.microsoft.com/fwlink/?linkid=870924
Kommentar:
    Mygg BP24 (PLO) + Mygg BP25 (PLO)</t>
      </text>
    </comment>
    <comment ref="B24" authorId="6" shapeId="0" xr:uid="{93361EE0-AF32-4976-B862-9855EE446018}">
      <text>
        <t>[Trådad kommentar]
I din version av Excel kan du läsa den här trådade kommentaren, men eventuella ändringar i den tas bort om filen öppnas i en senare version av Excel. Läs mer: https://go.microsoft.com/fwlink/?linkid=870924
Kommentar:
    Samordning flyktingmott./etabl. (Ej PLO)</t>
      </text>
    </comment>
  </commentList>
</comments>
</file>

<file path=xl/sharedStrings.xml><?xml version="1.0" encoding="utf-8"?>
<sst xmlns="http://schemas.openxmlformats.org/spreadsheetml/2006/main" count="259" uniqueCount="138">
  <si>
    <t xml:space="preserve">Avgår särskilda medel </t>
  </si>
  <si>
    <t>Riktade medel</t>
  </si>
  <si>
    <t>Grundbelopp</t>
  </si>
  <si>
    <t>Utvecklingsmedel, Västmanland</t>
  </si>
  <si>
    <t>Dispositionsrätt, Örebro</t>
  </si>
  <si>
    <t>Fördelning genom fem parametrar</t>
  </si>
  <si>
    <t>(Tusental kronor)</t>
  </si>
  <si>
    <t>PARAMETER</t>
  </si>
  <si>
    <t>VIKT</t>
  </si>
  <si>
    <t>FÖRDELNING</t>
  </si>
  <si>
    <t>Totalt</t>
  </si>
  <si>
    <t xml:space="preserve">Folkmängd </t>
  </si>
  <si>
    <t>Areal</t>
  </si>
  <si>
    <t>Antal kommuner, dubbel vikt landsbygdskommuner</t>
  </si>
  <si>
    <t>Miljöavgifter</t>
  </si>
  <si>
    <t>Jordbruksföretag</t>
  </si>
  <si>
    <t>Fördelning Anslag 5:1 Länsstyrelserna m.m. per länsstyrelse - Samlad fördelning</t>
  </si>
  <si>
    <t>RIKTADE MEDEL</t>
  </si>
  <si>
    <t>DE FEM PARAMETRARNA</t>
  </si>
  <si>
    <t>RESULTAT PER PARAMETER</t>
  </si>
  <si>
    <t>DEN SAMLADE FÖRDELNINGEN</t>
  </si>
  <si>
    <t>Ren-näring</t>
  </si>
  <si>
    <t>Rovdjurs-förvaltning 2007</t>
  </si>
  <si>
    <t xml:space="preserve">EU:s territoriella program </t>
  </si>
  <si>
    <t>Penning-tvätt 2009, 2012, 2020</t>
  </si>
  <si>
    <t>Överf. jordbruks-stöd</t>
  </si>
  <si>
    <t>Havsplan-ering 2012</t>
  </si>
  <si>
    <t>Uppgift från FiskV</t>
  </si>
  <si>
    <t>Civilt försvar BP18</t>
  </si>
  <si>
    <t>GRÖT BP18, avfallstransporter</t>
  </si>
  <si>
    <t>Summa</t>
  </si>
  <si>
    <t xml:space="preserve">Areal </t>
  </si>
  <si>
    <t>Kommun-antal</t>
  </si>
  <si>
    <t>Jordbruks-företag</t>
  </si>
  <si>
    <t>Kommunantal</t>
  </si>
  <si>
    <t>Miljö-avgifter</t>
  </si>
  <si>
    <t>SUMMA 5 parametrar</t>
  </si>
  <si>
    <t>Extra orter</t>
  </si>
  <si>
    <t>Konc. av MPD</t>
  </si>
  <si>
    <t>Konc. av stiftelser</t>
  </si>
  <si>
    <t xml:space="preserve">Konc. av div. </t>
  </si>
  <si>
    <t>Fem parametrar</t>
  </si>
  <si>
    <t>Summa/ länsstyrelse</t>
  </si>
  <si>
    <t>Andel</t>
  </si>
  <si>
    <t>PLO/Ej PLO</t>
  </si>
  <si>
    <t>PLO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</si>
  <si>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</si>
  <si>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</si>
  <si>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</si>
  <si>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</si>
  <si>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</si>
  <si>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</si>
  <si>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</si>
  <si>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</si>
  <si>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</si>
  <si>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</si>
  <si>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</si>
  <si>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</si>
  <si>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</si>
  <si>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</si>
  <si>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</si>
  <si>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</si>
  <si>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</si>
  <si>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</si>
  <si>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</si>
  <si>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</si>
  <si>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</si>
  <si>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 totalt</t>
  </si>
  <si>
    <t>Anmärkning</t>
  </si>
  <si>
    <t>Tillsyn maa säk.skydds-lagen</t>
  </si>
  <si>
    <t>Överföring  regionalt utvecklingsansvar</t>
  </si>
  <si>
    <t>Riktade medel till en länsstyrelse</t>
  </si>
  <si>
    <t>KONCENTRATION</t>
  </si>
  <si>
    <t>Motv. penningtvätt och fin. av terrorism</t>
  </si>
  <si>
    <t>Ap 26 Utvecklingsinsatser m.m., Örebro</t>
  </si>
  <si>
    <t>Koncentration</t>
  </si>
  <si>
    <t xml:space="preserve">Anslaget </t>
  </si>
  <si>
    <t xml:space="preserve">Enskilda belopp </t>
  </si>
  <si>
    <t xml:space="preserve">Parametrarna </t>
  </si>
  <si>
    <t xml:space="preserve">Övriga medel </t>
  </si>
  <si>
    <t>Totalt anslag</t>
  </si>
  <si>
    <t>Andel av totala anslag</t>
  </si>
  <si>
    <t>Utvecklingsinsatser</t>
  </si>
  <si>
    <t>Djur</t>
  </si>
  <si>
    <t>Översikt Anslag</t>
  </si>
  <si>
    <t>Namn</t>
  </si>
  <si>
    <t>Diff</t>
  </si>
  <si>
    <t>Länsstyrelserna m.m.</t>
  </si>
  <si>
    <t>Ofördelad anslagsdel</t>
  </si>
  <si>
    <t>RK:s disp</t>
  </si>
  <si>
    <t>A-kredit Örebro</t>
  </si>
  <si>
    <t>Summa a-kredit</t>
  </si>
  <si>
    <t>Vissa PLO</t>
  </si>
  <si>
    <t xml:space="preserve">Belopp i modell </t>
  </si>
  <si>
    <t xml:space="preserve">Belopp i Hermes </t>
  </si>
  <si>
    <t xml:space="preserve">Effektiv tillsyn och prövning, Västernorrland </t>
  </si>
  <si>
    <t>Ny struktur civilt försvar BP23</t>
  </si>
  <si>
    <t>x</t>
  </si>
  <si>
    <t>Andel fem parametrar</t>
  </si>
  <si>
    <t>Vindkraft</t>
  </si>
  <si>
    <t>Havsmiljöprop</t>
  </si>
  <si>
    <t>Lägesbilder</t>
  </si>
  <si>
    <t>Avlopp</t>
  </si>
  <si>
    <t>=</t>
  </si>
  <si>
    <t>BP23</t>
  </si>
  <si>
    <t>BP22</t>
  </si>
  <si>
    <t>Prövning havsbaserad vindkraft, Örebro</t>
  </si>
  <si>
    <t>Åtgärder översvämningsmyggor, Gävleborg</t>
  </si>
  <si>
    <t>Fördelning Anslag 5:1 Länsstyrelserna m.m. per länsstyrelse - Riktade medel</t>
  </si>
  <si>
    <t>Fördelning Anslag 5:1 Länsstyrelserna m.m. per länsstyrelse - Koncentration och parametrar</t>
  </si>
  <si>
    <t>Samordning mäns våld mot kvinnor, Östergötland</t>
  </si>
  <si>
    <t>Miljöavgift</t>
  </si>
  <si>
    <t>Folkmängd</t>
  </si>
  <si>
    <t>Slutlig omfördelning RB24</t>
  </si>
  <si>
    <t>Tillfälliga riktade medel</t>
  </si>
  <si>
    <t>Justering maa slopad avgift för årlig revision BP24</t>
  </si>
  <si>
    <t>Satsning norra Sverige, Norrbotten och Västerbotten</t>
  </si>
  <si>
    <t>BP24</t>
  </si>
  <si>
    <t>Samordning uppdrag prövning enligt miljöbalken, Västra Götaland</t>
  </si>
  <si>
    <t>Samordning uppdrag tillsyn enligt miljöbalken, Västernorrland</t>
  </si>
  <si>
    <t>Prövning A-ärenden, Västerbotten</t>
  </si>
  <si>
    <t>totalt örebro</t>
  </si>
  <si>
    <t>*</t>
  </si>
  <si>
    <t>totalt</t>
  </si>
  <si>
    <t>digital infra</t>
  </si>
  <si>
    <t>Fördelning anslag 5:1 Länsstyrelserna m.m. för 2025 - Översikt</t>
  </si>
  <si>
    <t>Anslag 5:1 Länsstyrelserna m.m., 2025</t>
  </si>
  <si>
    <t>BP25</t>
  </si>
  <si>
    <t>RB25</t>
  </si>
  <si>
    <t>Fördelning civilt försvar BP25</t>
  </si>
  <si>
    <t>46,20 mnkr/länsstyrelse</t>
  </si>
  <si>
    <t>Digitalisering strandskydd FO, Västmanland</t>
  </si>
  <si>
    <t>Omförd. ändrad struktur konc.</t>
  </si>
  <si>
    <t>Effektivare tillståndsprocesser, länsstyrelser med MPD</t>
  </si>
  <si>
    <t>Del av förstärkning civilt försvar, kärnkraftslän 2025</t>
  </si>
  <si>
    <t>NAP, särskild nyckel</t>
  </si>
  <si>
    <t>NIS2-dirketivet</t>
  </si>
  <si>
    <t>Kontaktpunkter (dir NZIA och CRMA), medel fördelas till sex län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</si>
</sst>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%"/>
    <numFmt numFmtId="165" formatCode="0.0000"/>
    <numFmt numFmtId="166" formatCode="###\ ###\ ###\ ##0"/>
    <numFmt numFmtId="167" formatCode="#,##0.000"/>
    <numFmt numFmtId="168" formatCode="#,##0.00000"/>
    <numFmt numFmtId="169" formatCode="#,##0.0000000"/>
    <numFmt numFmtId="170" formatCode="0.000000"/>
    <numFmt numFmtId="171" formatCode="0.0000000"/>
    <numFmt numFmtId="172" formatCode="#,##0.00000000000000000000000"/>
    <numFmt numFmtId="173" formatCode="#,##0.000000"/>
    <numFmt numFmtId="174" formatCode="#,##0.000000000"/>
    <numFmt numFmtId="175" formatCode="#,##0.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8"/>
      <name val="Arial"/>
      <family val="2"/>
    </font>
    <font>
      <sz val="8"/>
      <name val="OrigGarmnd BT"/>
      <family val="1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trike/>
      <sz val="8"/>
      <name val="OrigGarmnd BT"/>
      <family val="1"/>
    </font>
    <font>
      <b/>
      <sz val="8"/>
      <name val="OrigGarmnd BT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name val="Trade Gothic LT Std Cn"/>
      <family val="3"/>
    </font>
    <font>
      <i/>
      <sz val="9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3.3"/>
      <color rgb="FFFFFFFF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41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24" fillId="0" borderId="0"/>
    <xf numFmtId="0" fontId="30" fillId="0" borderId="0"/>
    <xf numFmtId="0" fontId="22" fillId="0" borderId="0"/>
    <xf numFmtId="0" fontId="31" fillId="0" borderId="0"/>
  </cellStyleXfs>
  <cellXfs count="263">
    <xf numFmtId="0" fontId="0" fillId="0" borderId="0" xfId="0"/>
    <xf numFmtId="0" fontId="2" fillId="2" borderId="0" xfId="2" applyFill="1" applyAlignment="1">
      <alignment horizontal="left" vertical="top"/>
    </xf>
    <xf numFmtId="0" fontId="2" fillId="2" borderId="0" xfId="2" applyFill="1" applyAlignment="1">
      <alignment horizontal="right"/>
    </xf>
    <xf numFmtId="0" fontId="8" fillId="3" borderId="6" xfId="2" applyFont="1" applyFill="1" applyBorder="1"/>
    <xf numFmtId="3" fontId="3" fillId="3" borderId="0" xfId="2" applyNumberFormat="1" applyFont="1" applyFill="1" applyAlignment="1">
      <alignment horizontal="right"/>
    </xf>
    <xf numFmtId="3" fontId="3" fillId="2" borderId="0" xfId="2" applyNumberFormat="1" applyFont="1" applyFill="1"/>
    <xf numFmtId="3" fontId="11" fillId="2" borderId="11" xfId="2" applyNumberFormat="1" applyFont="1" applyFill="1" applyBorder="1" applyAlignment="1">
      <alignment horizontal="right"/>
    </xf>
    <xf numFmtId="0" fontId="8" fillId="2" borderId="0" xfId="2" applyFont="1" applyFill="1"/>
    <xf numFmtId="0" fontId="3" fillId="2" borderId="0" xfId="2" applyFont="1" applyFill="1"/>
    <xf numFmtId="0" fontId="13" fillId="2" borderId="0" xfId="2" applyFont="1" applyFill="1"/>
    <xf numFmtId="164" fontId="14" fillId="2" borderId="0" xfId="1" applyNumberFormat="1" applyFont="1" applyFill="1"/>
    <xf numFmtId="0" fontId="10" fillId="2" borderId="0" xfId="2" applyFont="1" applyFill="1"/>
    <xf numFmtId="0" fontId="15" fillId="2" borderId="0" xfId="2" applyFont="1" applyFill="1"/>
    <xf numFmtId="0" fontId="12" fillId="2" borderId="0" xfId="2" applyFont="1" applyFill="1"/>
    <xf numFmtId="0" fontId="16" fillId="2" borderId="0" xfId="2" applyFont="1" applyFill="1"/>
    <xf numFmtId="0" fontId="3" fillId="2" borderId="11" xfId="2" applyFont="1" applyFill="1" applyBorder="1" applyAlignment="1">
      <alignment horizontal="right"/>
    </xf>
    <xf numFmtId="3" fontId="3" fillId="2" borderId="11" xfId="2" applyNumberFormat="1" applyFont="1" applyFill="1" applyBorder="1" applyAlignment="1">
      <alignment horizontal="right"/>
    </xf>
    <xf numFmtId="3" fontId="3" fillId="2" borderId="0" xfId="2" applyNumberFormat="1" applyFont="1" applyFill="1" applyAlignment="1">
      <alignment horizontal="right"/>
    </xf>
    <xf numFmtId="3" fontId="10" fillId="2" borderId="0" xfId="2" applyNumberFormat="1" applyFont="1" applyFill="1"/>
    <xf numFmtId="0" fontId="11" fillId="2" borderId="0" xfId="2" applyFont="1" applyFill="1"/>
    <xf numFmtId="3" fontId="11" fillId="2" borderId="0" xfId="2" applyNumberFormat="1" applyFont="1" applyFill="1"/>
    <xf numFmtId="0" fontId="3" fillId="2" borderId="0" xfId="2" applyFont="1" applyFill="1" applyAlignment="1">
      <alignment horizontal="right"/>
    </xf>
    <xf numFmtId="0" fontId="19" fillId="2" borderId="0" xfId="2" applyFont="1" applyFill="1"/>
    <xf numFmtId="0" fontId="2" fillId="2" borderId="0" xfId="2" applyFill="1"/>
    <xf numFmtId="0" fontId="0" fillId="2" borderId="0" xfId="0" applyFill="1"/>
    <xf numFmtId="0" fontId="5" fillId="2" borderId="13" xfId="2" applyFont="1" applyFill="1" applyBorder="1"/>
    <xf numFmtId="3" fontId="2" fillId="2" borderId="0" xfId="2" applyNumberFormat="1" applyFill="1" applyAlignment="1">
      <alignment horizontal="right"/>
    </xf>
    <xf numFmtId="0" fontId="17" fillId="2" borderId="14" xfId="2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2" fillId="2" borderId="9" xfId="2" applyFill="1" applyBorder="1" applyAlignment="1">
      <alignment horizontal="right"/>
    </xf>
    <xf numFmtId="2" fontId="2" fillId="2" borderId="0" xfId="2" applyNumberFormat="1" applyFill="1" applyAlignment="1">
      <alignment horizontal="right"/>
    </xf>
    <xf numFmtId="0" fontId="5" fillId="2" borderId="0" xfId="2" applyFont="1" applyFill="1"/>
    <xf numFmtId="3" fontId="5" fillId="2" borderId="0" xfId="2" applyNumberFormat="1" applyFont="1" applyFill="1"/>
    <xf numFmtId="0" fontId="2" fillId="2" borderId="13" xfId="2" applyFill="1" applyBorder="1"/>
    <xf numFmtId="3" fontId="2" fillId="2" borderId="14" xfId="2" applyNumberFormat="1" applyFill="1" applyBorder="1"/>
    <xf numFmtId="0" fontId="2" fillId="2" borderId="17" xfId="2" applyFill="1" applyBorder="1"/>
    <xf numFmtId="164" fontId="2" fillId="2" borderId="18" xfId="3" applyNumberFormat="1" applyFill="1" applyBorder="1"/>
    <xf numFmtId="3" fontId="2" fillId="2" borderId="19" xfId="2" applyNumberFormat="1" applyFill="1" applyBorder="1"/>
    <xf numFmtId="0" fontId="18" fillId="2" borderId="0" xfId="0" applyFont="1" applyFill="1"/>
    <xf numFmtId="0" fontId="20" fillId="2" borderId="9" xfId="2" applyFont="1" applyFill="1" applyBorder="1"/>
    <xf numFmtId="0" fontId="20" fillId="2" borderId="0" xfId="2" applyFont="1" applyFill="1"/>
    <xf numFmtId="0" fontId="4" fillId="2" borderId="0" xfId="2" applyFont="1" applyFill="1" applyAlignment="1">
      <alignment horizontal="right"/>
    </xf>
    <xf numFmtId="164" fontId="3" fillId="2" borderId="0" xfId="2" applyNumberFormat="1" applyFont="1" applyFill="1" applyAlignment="1">
      <alignment horizontal="right"/>
    </xf>
    <xf numFmtId="3" fontId="5" fillId="2" borderId="0" xfId="2" applyNumberFormat="1" applyFont="1" applyFill="1" applyAlignment="1">
      <alignment horizontal="right"/>
    </xf>
    <xf numFmtId="0" fontId="8" fillId="2" borderId="5" xfId="2" applyFont="1" applyFill="1" applyBorder="1"/>
    <xf numFmtId="0" fontId="8" fillId="2" borderId="0" xfId="2" applyFont="1" applyFill="1" applyAlignment="1">
      <alignment horizontal="center" wrapText="1"/>
    </xf>
    <xf numFmtId="0" fontId="8" fillId="2" borderId="15" xfId="2" applyFont="1" applyFill="1" applyBorder="1" applyAlignment="1">
      <alignment horizontal="center" wrapText="1"/>
    </xf>
    <xf numFmtId="3" fontId="8" fillId="2" borderId="6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8" fillId="2" borderId="1" xfId="2" applyFont="1" applyFill="1" applyBorder="1"/>
    <xf numFmtId="0" fontId="8" fillId="2" borderId="4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right"/>
    </xf>
    <xf numFmtId="0" fontId="8" fillId="2" borderId="0" xfId="2" applyFont="1" applyFill="1" applyAlignment="1">
      <alignment horizontal="left" vertical="top"/>
    </xf>
    <xf numFmtId="3" fontId="8" fillId="2" borderId="6" xfId="2" applyNumberFormat="1" applyFont="1" applyFill="1" applyBorder="1"/>
    <xf numFmtId="0" fontId="8" fillId="2" borderId="15" xfId="2" applyFont="1" applyFill="1" applyBorder="1" applyAlignment="1">
      <alignment horizontal="right"/>
    </xf>
    <xf numFmtId="3" fontId="8" fillId="2" borderId="15" xfId="2" applyNumberFormat="1" applyFont="1" applyFill="1" applyBorder="1" applyAlignment="1">
      <alignment horizontal="right"/>
    </xf>
    <xf numFmtId="0" fontId="8" fillId="2" borderId="3" xfId="2" applyFont="1" applyFill="1" applyBorder="1"/>
    <xf numFmtId="3" fontId="3" fillId="2" borderId="10" xfId="2" applyNumberFormat="1" applyFont="1" applyFill="1" applyBorder="1"/>
    <xf numFmtId="3" fontId="3" fillId="2" borderId="11" xfId="2" applyNumberFormat="1" applyFont="1" applyFill="1" applyBorder="1"/>
    <xf numFmtId="3" fontId="8" fillId="2" borderId="12" xfId="2" applyNumberFormat="1" applyFont="1" applyFill="1" applyBorder="1"/>
    <xf numFmtId="3" fontId="3" fillId="2" borderId="6" xfId="2" applyNumberFormat="1" applyFont="1" applyFill="1" applyBorder="1"/>
    <xf numFmtId="3" fontId="8" fillId="2" borderId="15" xfId="2" applyNumberFormat="1" applyFont="1" applyFill="1" applyBorder="1"/>
    <xf numFmtId="0" fontId="8" fillId="2" borderId="6" xfId="2" applyFont="1" applyFill="1" applyBorder="1"/>
    <xf numFmtId="3" fontId="8" fillId="2" borderId="1" xfId="2" applyNumberFormat="1" applyFont="1" applyFill="1" applyBorder="1" applyAlignment="1">
      <alignment horizontal="right"/>
    </xf>
    <xf numFmtId="3" fontId="8" fillId="2" borderId="20" xfId="2" applyNumberFormat="1" applyFont="1" applyFill="1" applyBorder="1" applyAlignment="1">
      <alignment horizontal="right"/>
    </xf>
    <xf numFmtId="3" fontId="8" fillId="2" borderId="2" xfId="2" applyNumberFormat="1" applyFont="1" applyFill="1" applyBorder="1"/>
    <xf numFmtId="3" fontId="8" fillId="2" borderId="20" xfId="2" applyNumberFormat="1" applyFont="1" applyFill="1" applyBorder="1"/>
    <xf numFmtId="3" fontId="8" fillId="2" borderId="4" xfId="2" applyNumberFormat="1" applyFont="1" applyFill="1" applyBorder="1"/>
    <xf numFmtId="0" fontId="8" fillId="2" borderId="2" xfId="2" applyFont="1" applyFill="1" applyBorder="1"/>
    <xf numFmtId="9" fontId="3" fillId="2" borderId="0" xfId="3" applyFont="1" applyFill="1"/>
    <xf numFmtId="0" fontId="3" fillId="3" borderId="10" xfId="2" applyFont="1" applyFill="1" applyBorder="1" applyAlignment="1">
      <alignment horizontal="center" wrapText="1"/>
    </xf>
    <xf numFmtId="0" fontId="3" fillId="3" borderId="8" xfId="2" applyFont="1" applyFill="1" applyBorder="1"/>
    <xf numFmtId="0" fontId="8" fillId="2" borderId="1" xfId="2" applyFont="1" applyFill="1" applyBorder="1" applyAlignment="1">
      <alignment horizontal="right"/>
    </xf>
    <xf numFmtId="3" fontId="20" fillId="2" borderId="11" xfId="2" applyNumberFormat="1" applyFont="1" applyFill="1" applyBorder="1" applyAlignment="1">
      <alignment horizontal="left"/>
    </xf>
    <xf numFmtId="0" fontId="2" fillId="2" borderId="0" xfId="2" applyFill="1" applyAlignment="1">
      <alignment horizontal="right"/>
    </xf>
    <xf numFmtId="0" fontId="6" fillId="5" borderId="11" xfId="2" applyFont="1" applyFill="1" applyBorder="1" applyAlignment="1">
      <alignment horizontal="center" vertical="center"/>
    </xf>
    <xf numFmtId="0" fontId="6" fillId="5" borderId="16" xfId="2" applyFont="1" applyFill="1" applyBorder="1" applyAlignment="1">
      <alignment horizontal="center" vertical="center"/>
    </xf>
    <xf numFmtId="0" fontId="2" fillId="2" borderId="0" xfId="2" applyFill="1" applyBorder="1" applyAlignment="1">
      <alignment horizontal="right"/>
    </xf>
    <xf numFmtId="3" fontId="0" fillId="2" borderId="0" xfId="0" applyNumberFormat="1" applyFill="1"/>
    <xf numFmtId="0" fontId="17" fillId="2" borderId="0" xfId="2" applyFont="1" applyFill="1" applyBorder="1" applyAlignment="1">
      <alignment horizontal="right"/>
    </xf>
    <xf numFmtId="0" fontId="9" fillId="2" borderId="0" xfId="2" applyFont="1" applyFill="1" applyBorder="1" applyAlignment="1">
      <alignment horizontal="right"/>
    </xf>
    <xf numFmtId="0" fontId="2" fillId="2" borderId="0" xfId="2" applyFill="1" applyBorder="1" applyAlignment="1">
      <alignment horizontal="left"/>
    </xf>
    <xf numFmtId="0" fontId="5" fillId="2" borderId="0" xfId="2" applyFont="1" applyFill="1" applyBorder="1" applyAlignment="1">
      <alignment horizontal="right"/>
    </xf>
    <xf numFmtId="165" fontId="3" fillId="2" borderId="0" xfId="2" applyNumberFormat="1" applyFont="1" applyFill="1"/>
    <xf numFmtId="3" fontId="8" fillId="0" borderId="20" xfId="2" applyNumberFormat="1" applyFont="1" applyFill="1" applyBorder="1" applyAlignment="1">
      <alignment horizontal="right"/>
    </xf>
    <xf numFmtId="0" fontId="8" fillId="0" borderId="0" xfId="2" applyFont="1" applyFill="1" applyAlignment="1">
      <alignment horizontal="center" wrapText="1"/>
    </xf>
    <xf numFmtId="1" fontId="3" fillId="2" borderId="0" xfId="2" applyNumberFormat="1" applyFont="1" applyFill="1" applyAlignment="1">
      <alignment horizontal="right"/>
    </xf>
    <xf numFmtId="0" fontId="3" fillId="2" borderId="0" xfId="2" applyFont="1" applyFill="1" applyAlignment="1">
      <alignment horizontal="left"/>
    </xf>
    <xf numFmtId="10" fontId="3" fillId="0" borderId="0" xfId="3" applyNumberFormat="1" applyFont="1" applyFill="1" applyBorder="1" applyAlignment="1">
      <alignment horizontal="right"/>
    </xf>
    <xf numFmtId="0" fontId="23" fillId="0" borderId="0" xfId="0" applyFont="1" applyAlignment="1">
      <alignment horizontal="center" vertical="center"/>
    </xf>
    <xf numFmtId="0" fontId="2" fillId="2" borderId="0" xfId="2" applyFill="1" applyAlignment="1">
      <alignment horizontal="right"/>
    </xf>
    <xf numFmtId="0" fontId="2" fillId="2" borderId="0" xfId="2" applyFill="1" applyAlignment="1">
      <alignment horizontal="right"/>
    </xf>
    <xf numFmtId="0" fontId="8" fillId="2" borderId="0" xfId="2" applyFont="1" applyFill="1" applyBorder="1"/>
    <xf numFmtId="0" fontId="8" fillId="2" borderId="0" xfId="2" applyFont="1" applyFill="1" applyBorder="1" applyAlignment="1">
      <alignment horizontal="center" wrapText="1"/>
    </xf>
    <xf numFmtId="0" fontId="8" fillId="2" borderId="0" xfId="2" applyFont="1" applyFill="1" applyBorder="1" applyAlignment="1">
      <alignment horizontal="center"/>
    </xf>
    <xf numFmtId="3" fontId="8" fillId="2" borderId="0" xfId="2" applyNumberFormat="1" applyFont="1" applyFill="1" applyBorder="1" applyAlignment="1">
      <alignment horizontal="right"/>
    </xf>
    <xf numFmtId="3" fontId="11" fillId="2" borderId="0" xfId="2" applyNumberFormat="1" applyFont="1" applyFill="1" applyBorder="1" applyAlignment="1">
      <alignment horizontal="right"/>
    </xf>
    <xf numFmtId="0" fontId="4" fillId="2" borderId="0" xfId="2" applyFont="1" applyFill="1" applyAlignment="1">
      <alignment horizontal="center"/>
    </xf>
    <xf numFmtId="0" fontId="8" fillId="3" borderId="16" xfId="2" applyFont="1" applyFill="1" applyBorder="1" applyAlignment="1">
      <alignment horizontal="center" wrapText="1"/>
    </xf>
    <xf numFmtId="0" fontId="0" fillId="2" borderId="0" xfId="0" applyFill="1" applyBorder="1"/>
    <xf numFmtId="0" fontId="7" fillId="4" borderId="22" xfId="2" applyFont="1" applyFill="1" applyBorder="1"/>
    <xf numFmtId="0" fontId="7" fillId="4" borderId="9" xfId="2" applyFont="1" applyFill="1" applyBorder="1" applyAlignment="1">
      <alignment horizontal="center"/>
    </xf>
    <xf numFmtId="3" fontId="7" fillId="4" borderId="23" xfId="2" applyNumberFormat="1" applyFont="1" applyFill="1" applyBorder="1" applyAlignment="1">
      <alignment horizontal="right"/>
    </xf>
    <xf numFmtId="164" fontId="5" fillId="2" borderId="0" xfId="2" applyNumberFormat="1" applyFont="1" applyFill="1" applyBorder="1"/>
    <xf numFmtId="164" fontId="2" fillId="2" borderId="0" xfId="3" applyNumberFormat="1" applyFill="1" applyBorder="1"/>
    <xf numFmtId="164" fontId="2" fillId="2" borderId="0" xfId="3" quotePrefix="1" applyNumberFormat="1" applyFill="1" applyBorder="1"/>
    <xf numFmtId="166" fontId="3" fillId="2" borderId="0" xfId="2" applyNumberFormat="1" applyFont="1" applyFill="1"/>
    <xf numFmtId="3" fontId="3" fillId="2" borderId="0" xfId="2" applyNumberFormat="1" applyFont="1" applyFill="1" applyBorder="1"/>
    <xf numFmtId="0" fontId="3" fillId="2" borderId="0" xfId="2" applyFont="1" applyFill="1" applyBorder="1" applyAlignment="1">
      <alignment horizontal="right"/>
    </xf>
    <xf numFmtId="0" fontId="3" fillId="2" borderId="15" xfId="2" applyFont="1" applyFill="1" applyBorder="1" applyAlignment="1">
      <alignment horizontal="right"/>
    </xf>
    <xf numFmtId="0" fontId="2" fillId="2" borderId="0" xfId="2" applyFill="1" applyAlignment="1">
      <alignment horizontal="right"/>
    </xf>
    <xf numFmtId="3" fontId="0" fillId="0" borderId="0" xfId="0" applyNumberFormat="1"/>
    <xf numFmtId="9" fontId="0" fillId="0" borderId="0" xfId="1" applyFont="1"/>
    <xf numFmtId="10" fontId="0" fillId="0" borderId="0" xfId="1" applyNumberFormat="1" applyFont="1"/>
    <xf numFmtId="0" fontId="26" fillId="2" borderId="2" xfId="4" applyFont="1" applyFill="1" applyBorder="1"/>
    <xf numFmtId="0" fontId="22" fillId="2" borderId="1" xfId="4" applyFill="1" applyBorder="1" applyAlignment="1">
      <alignment wrapText="1"/>
    </xf>
    <xf numFmtId="0" fontId="22" fillId="2" borderId="1" xfId="4" applyFill="1" applyBorder="1"/>
    <xf numFmtId="0" fontId="22" fillId="2" borderId="0" xfId="4" applyFill="1"/>
    <xf numFmtId="4" fontId="22" fillId="2" borderId="3" xfId="4" applyNumberFormat="1" applyFill="1" applyBorder="1"/>
    <xf numFmtId="4" fontId="22" fillId="2" borderId="5" xfId="4" applyNumberFormat="1" applyFill="1" applyBorder="1"/>
    <xf numFmtId="4" fontId="22" fillId="2" borderId="0" xfId="4" applyNumberFormat="1" applyFill="1"/>
    <xf numFmtId="4" fontId="22" fillId="2" borderId="1" xfId="4" applyNumberFormat="1" applyFill="1" applyBorder="1"/>
    <xf numFmtId="3" fontId="22" fillId="2" borderId="15" xfId="4" applyNumberFormat="1" applyFill="1" applyBorder="1"/>
    <xf numFmtId="3" fontId="2" fillId="2" borderId="0" xfId="2" applyNumberFormat="1" applyFill="1"/>
    <xf numFmtId="0" fontId="28" fillId="2" borderId="0" xfId="2" applyFont="1" applyFill="1" applyAlignment="1">
      <alignment horizontal="left"/>
    </xf>
    <xf numFmtId="0" fontId="8" fillId="0" borderId="10" xfId="2" applyFont="1" applyFill="1" applyBorder="1" applyAlignment="1">
      <alignment horizontal="center" wrapText="1"/>
    </xf>
    <xf numFmtId="0" fontId="8" fillId="0" borderId="11" xfId="2" applyFont="1" applyFill="1" applyBorder="1" applyAlignment="1">
      <alignment horizontal="center" wrapText="1"/>
    </xf>
    <xf numFmtId="0" fontId="8" fillId="0" borderId="12" xfId="2" applyFont="1" applyFill="1" applyBorder="1" applyAlignment="1">
      <alignment horizontal="center" wrapText="1"/>
    </xf>
    <xf numFmtId="0" fontId="8" fillId="0" borderId="4" xfId="2" applyFont="1" applyFill="1" applyBorder="1" applyAlignment="1">
      <alignment horizontal="left" vertical="top"/>
    </xf>
    <xf numFmtId="3" fontId="3" fillId="0" borderId="12" xfId="2" applyNumberFormat="1" applyFont="1" applyFill="1" applyBorder="1" applyAlignment="1">
      <alignment horizontal="right"/>
    </xf>
    <xf numFmtId="3" fontId="3" fillId="0" borderId="15" xfId="2" applyNumberFormat="1" applyFont="1" applyFill="1" applyBorder="1" applyAlignment="1">
      <alignment horizontal="right"/>
    </xf>
    <xf numFmtId="3" fontId="8" fillId="0" borderId="20" xfId="2" applyNumberFormat="1" applyFont="1" applyFill="1" applyBorder="1"/>
    <xf numFmtId="3" fontId="3" fillId="0" borderId="0" xfId="2" applyNumberFormat="1" applyFont="1" applyFill="1" applyAlignment="1">
      <alignment horizontal="right"/>
    </xf>
    <xf numFmtId="0" fontId="2" fillId="2" borderId="0" xfId="2" applyFill="1" applyBorder="1"/>
    <xf numFmtId="3" fontId="27" fillId="2" borderId="0" xfId="2" applyNumberFormat="1" applyFont="1" applyFill="1" applyBorder="1"/>
    <xf numFmtId="0" fontId="3" fillId="2" borderId="0" xfId="2" applyFont="1" applyFill="1" applyBorder="1"/>
    <xf numFmtId="0" fontId="2" fillId="2" borderId="0" xfId="2" applyFill="1" applyAlignment="1">
      <alignment horizontal="right"/>
    </xf>
    <xf numFmtId="0" fontId="8" fillId="2" borderId="11" xfId="2" applyFont="1" applyFill="1" applyBorder="1" applyAlignment="1">
      <alignment horizontal="center" wrapText="1"/>
    </xf>
    <xf numFmtId="0" fontId="8" fillId="2" borderId="16" xfId="2" applyFont="1" applyFill="1" applyBorder="1" applyAlignment="1">
      <alignment horizontal="left" vertical="top"/>
    </xf>
    <xf numFmtId="0" fontId="25" fillId="2" borderId="0" xfId="4" applyFont="1" applyFill="1"/>
    <xf numFmtId="0" fontId="26" fillId="2" borderId="0" xfId="4" applyFont="1" applyFill="1"/>
    <xf numFmtId="0" fontId="26" fillId="2" borderId="0" xfId="4" applyFont="1" applyFill="1" applyAlignment="1">
      <alignment horizontal="center" wrapText="1"/>
    </xf>
    <xf numFmtId="4" fontId="22" fillId="2" borderId="12" xfId="4" applyNumberFormat="1" applyFill="1" applyBorder="1"/>
    <xf numFmtId="4" fontId="22" fillId="2" borderId="21" xfId="4" applyNumberFormat="1" applyFill="1" applyBorder="1"/>
    <xf numFmtId="0" fontId="26" fillId="2" borderId="3" xfId="4" applyFont="1" applyFill="1" applyBorder="1"/>
    <xf numFmtId="0" fontId="26" fillId="2" borderId="5" xfId="4" applyFont="1" applyFill="1" applyBorder="1"/>
    <xf numFmtId="0" fontId="26" fillId="2" borderId="7" xfId="4" applyFont="1" applyFill="1" applyBorder="1"/>
    <xf numFmtId="0" fontId="0" fillId="2" borderId="0" xfId="0" applyFill="1" applyAlignment="1"/>
    <xf numFmtId="3" fontId="3" fillId="2" borderId="6" xfId="2" applyNumberFormat="1" applyFont="1" applyFill="1" applyBorder="1" applyAlignment="1">
      <alignment horizontal="right"/>
    </xf>
    <xf numFmtId="0" fontId="6" fillId="4" borderId="22" xfId="2" applyFont="1" applyFill="1" applyBorder="1"/>
    <xf numFmtId="0" fontId="6" fillId="4" borderId="9" xfId="2" applyFont="1" applyFill="1" applyBorder="1"/>
    <xf numFmtId="0" fontId="7" fillId="4" borderId="23" xfId="2" applyFont="1" applyFill="1" applyBorder="1" applyAlignment="1">
      <alignment horizontal="right"/>
    </xf>
    <xf numFmtId="3" fontId="2" fillId="2" borderId="0" xfId="2" applyNumberFormat="1" applyFill="1" applyBorder="1" applyAlignment="1">
      <alignment horizontal="right"/>
    </xf>
    <xf numFmtId="0" fontId="2" fillId="2" borderId="14" xfId="2" applyFont="1" applyFill="1" applyBorder="1" applyAlignment="1">
      <alignment horizontal="right"/>
    </xf>
    <xf numFmtId="0" fontId="2" fillId="2" borderId="14" xfId="2" applyFill="1" applyBorder="1" applyAlignment="1">
      <alignment horizontal="right"/>
    </xf>
    <xf numFmtId="0" fontId="6" fillId="5" borderId="12" xfId="2" applyFont="1" applyFill="1" applyBorder="1" applyAlignment="1">
      <alignment horizontal="center" vertical="center"/>
    </xf>
    <xf numFmtId="0" fontId="6" fillId="5" borderId="21" xfId="2" applyFont="1" applyFill="1" applyBorder="1" applyAlignment="1">
      <alignment horizontal="center" vertical="center"/>
    </xf>
    <xf numFmtId="166" fontId="24" fillId="2" borderId="0" xfId="5" applyNumberFormat="1" applyFont="1" applyFill="1" applyAlignment="1">
      <alignment horizontal="right"/>
    </xf>
    <xf numFmtId="0" fontId="22" fillId="2" borderId="5" xfId="4" applyFill="1" applyBorder="1"/>
    <xf numFmtId="3" fontId="22" fillId="2" borderId="0" xfId="4" applyNumberFormat="1" applyFill="1"/>
    <xf numFmtId="0" fontId="0" fillId="0" borderId="0" xfId="0" applyFill="1"/>
    <xf numFmtId="0" fontId="8" fillId="2" borderId="3" xfId="2" applyFont="1" applyFill="1" applyBorder="1" applyAlignment="1">
      <alignment horizontal="center" wrapText="1"/>
    </xf>
    <xf numFmtId="0" fontId="3" fillId="2" borderId="7" xfId="2" applyFont="1" applyFill="1" applyBorder="1" applyAlignment="1">
      <alignment horizontal="right"/>
    </xf>
    <xf numFmtId="10" fontId="3" fillId="2" borderId="5" xfId="2" applyNumberFormat="1" applyFont="1" applyFill="1" applyBorder="1" applyAlignment="1">
      <alignment horizontal="right"/>
    </xf>
    <xf numFmtId="3" fontId="3" fillId="2" borderId="0" xfId="2" applyNumberFormat="1" applyFont="1" applyFill="1"/>
    <xf numFmtId="0" fontId="8" fillId="0" borderId="8" xfId="2" applyFont="1" applyFill="1" applyBorder="1" applyAlignment="1">
      <alignment horizontal="right"/>
    </xf>
    <xf numFmtId="0" fontId="22" fillId="2" borderId="0" xfId="4" applyFill="1" applyBorder="1"/>
    <xf numFmtId="166" fontId="0" fillId="2" borderId="0" xfId="0" applyNumberFormat="1" applyFill="1" applyBorder="1" applyAlignment="1">
      <alignment horizontal="right"/>
    </xf>
    <xf numFmtId="166" fontId="22" fillId="2" borderId="0" xfId="4" applyNumberFormat="1" applyFill="1" applyBorder="1"/>
    <xf numFmtId="3" fontId="22" fillId="2" borderId="0" xfId="4" applyNumberFormat="1" applyFill="1" applyBorder="1"/>
    <xf numFmtId="4" fontId="22" fillId="2" borderId="0" xfId="4" applyNumberFormat="1" applyFill="1" applyBorder="1"/>
    <xf numFmtId="167" fontId="3" fillId="2" borderId="0" xfId="2" applyNumberFormat="1" applyFont="1" applyFill="1" applyAlignment="1">
      <alignment horizontal="right"/>
    </xf>
    <xf numFmtId="168" fontId="3" fillId="2" borderId="0" xfId="2" applyNumberFormat="1" applyFont="1" applyFill="1" applyAlignment="1">
      <alignment horizontal="right"/>
    </xf>
    <xf numFmtId="169" fontId="3" fillId="2" borderId="0" xfId="2" applyNumberFormat="1" applyFont="1" applyFill="1" applyAlignment="1">
      <alignment horizontal="right"/>
    </xf>
    <xf numFmtId="170" fontId="3" fillId="2" borderId="0" xfId="2" applyNumberFormat="1" applyFont="1" applyFill="1"/>
    <xf numFmtId="171" fontId="3" fillId="2" borderId="0" xfId="2" applyNumberFormat="1" applyFont="1" applyFill="1"/>
    <xf numFmtId="3" fontId="3" fillId="0" borderId="0" xfId="2" applyNumberFormat="1" applyFont="1" applyFill="1" applyBorder="1" applyAlignment="1">
      <alignment horizontal="right"/>
    </xf>
    <xf numFmtId="170" fontId="3" fillId="2" borderId="0" xfId="2" applyNumberFormat="1" applyFont="1" applyFill="1" applyAlignment="1">
      <alignment horizontal="left" vertical="top"/>
    </xf>
    <xf numFmtId="0" fontId="18" fillId="2" borderId="14" xfId="0" applyFont="1" applyFill="1" applyBorder="1" applyAlignment="1">
      <alignment horizontal="right"/>
    </xf>
    <xf numFmtId="3" fontId="18" fillId="2" borderId="0" xfId="0" applyNumberFormat="1" applyFont="1" applyFill="1" applyBorder="1"/>
    <xf numFmtId="9" fontId="3" fillId="2" borderId="20" xfId="3" applyFont="1" applyFill="1" applyBorder="1"/>
    <xf numFmtId="9" fontId="3" fillId="2" borderId="4" xfId="3" applyFont="1" applyFill="1" applyBorder="1"/>
    <xf numFmtId="0" fontId="8" fillId="3" borderId="11" xfId="2" applyFont="1" applyFill="1" applyBorder="1" applyAlignment="1">
      <alignment horizontal="center" wrapText="1"/>
    </xf>
    <xf numFmtId="0" fontId="8" fillId="3" borderId="16" xfId="2" applyFont="1" applyFill="1" applyBorder="1" applyAlignment="1">
      <alignment horizontal="left" vertical="top"/>
    </xf>
    <xf numFmtId="10" fontId="3" fillId="0" borderId="6" xfId="1" applyNumberFormat="1" applyFont="1" applyFill="1" applyBorder="1" applyAlignment="1">
      <alignment horizontal="right"/>
    </xf>
    <xf numFmtId="9" fontId="8" fillId="0" borderId="2" xfId="1" applyFont="1" applyFill="1" applyBorder="1"/>
    <xf numFmtId="9" fontId="8" fillId="0" borderId="1" xfId="1" applyFont="1" applyFill="1" applyBorder="1"/>
    <xf numFmtId="3" fontId="22" fillId="2" borderId="1" xfId="4" applyNumberFormat="1" applyFill="1" applyBorder="1"/>
    <xf numFmtId="1" fontId="0" fillId="0" borderId="0" xfId="0" applyNumberFormat="1"/>
    <xf numFmtId="167" fontId="22" fillId="2" borderId="1" xfId="4" applyNumberFormat="1" applyFill="1" applyBorder="1"/>
    <xf numFmtId="3" fontId="3" fillId="2" borderId="0" xfId="2" applyNumberFormat="1" applyFont="1" applyFill="1" applyBorder="1" applyAlignment="1">
      <alignment horizontal="left"/>
    </xf>
    <xf numFmtId="3" fontId="3" fillId="2" borderId="0" xfId="2" applyNumberFormat="1" applyFont="1" applyFill="1" applyAlignment="1">
      <alignment horizontal="left" indent="5"/>
    </xf>
    <xf numFmtId="173" fontId="3" fillId="2" borderId="0" xfId="2" applyNumberFormat="1" applyFont="1" applyFill="1" applyAlignment="1">
      <alignment horizontal="right"/>
    </xf>
    <xf numFmtId="1" fontId="3" fillId="2" borderId="0" xfId="2" applyNumberFormat="1" applyFont="1" applyFill="1" applyAlignment="1">
      <alignment horizontal="left"/>
    </xf>
    <xf numFmtId="1" fontId="2" fillId="2" borderId="0" xfId="2" applyNumberFormat="1" applyFill="1" applyAlignment="1">
      <alignment horizontal="left"/>
    </xf>
    <xf numFmtId="174" fontId="3" fillId="2" borderId="0" xfId="2" applyNumberFormat="1" applyFont="1" applyFill="1" applyAlignment="1">
      <alignment horizontal="right"/>
    </xf>
    <xf numFmtId="173" fontId="3" fillId="2" borderId="0" xfId="2" applyNumberFormat="1" applyFont="1" applyFill="1" applyBorder="1"/>
    <xf numFmtId="0" fontId="8" fillId="0" borderId="20" xfId="2" applyFont="1" applyFill="1" applyBorder="1" applyAlignment="1">
      <alignment horizontal="center" vertical="center"/>
    </xf>
    <xf numFmtId="0" fontId="2" fillId="0" borderId="0" xfId="2" applyFill="1" applyBorder="1" applyAlignment="1">
      <alignment horizontal="left"/>
    </xf>
    <xf numFmtId="0" fontId="2" fillId="0" borderId="14" xfId="2" applyFill="1" applyBorder="1" applyAlignment="1">
      <alignment horizontal="right"/>
    </xf>
    <xf numFmtId="3" fontId="2" fillId="0" borderId="0" xfId="2" applyNumberFormat="1" applyFill="1" applyBorder="1" applyAlignment="1">
      <alignment horizontal="right"/>
    </xf>
    <xf numFmtId="3" fontId="21" fillId="2" borderId="0" xfId="2" applyNumberFormat="1" applyFont="1" applyFill="1" applyBorder="1" applyAlignment="1">
      <alignment horizontal="right"/>
    </xf>
    <xf numFmtId="3" fontId="2" fillId="2" borderId="0" xfId="2" applyNumberFormat="1" applyFont="1" applyFill="1" applyBorder="1" applyAlignment="1">
      <alignment horizontal="right"/>
    </xf>
    <xf numFmtId="2" fontId="18" fillId="0" borderId="0" xfId="0" applyNumberFormat="1" applyFont="1"/>
    <xf numFmtId="175" fontId="3" fillId="2" borderId="0" xfId="2" applyNumberFormat="1" applyFont="1" applyFill="1" applyAlignment="1">
      <alignment horizontal="right"/>
    </xf>
    <xf numFmtId="0" fontId="8" fillId="2" borderId="20" xfId="2" applyFont="1" applyFill="1" applyBorder="1"/>
    <xf numFmtId="175" fontId="11" fillId="2" borderId="11" xfId="2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10" fontId="3" fillId="0" borderId="0" xfId="3" applyNumberFormat="1" applyFont="1" applyFill="1" applyAlignment="1">
      <alignment horizontal="right"/>
    </xf>
    <xf numFmtId="0" fontId="8" fillId="2" borderId="10" xfId="2" applyFont="1" applyFill="1" applyBorder="1" applyAlignment="1">
      <alignment horizontal="center" wrapText="1"/>
    </xf>
    <xf numFmtId="0" fontId="8" fillId="2" borderId="12" xfId="2" applyFont="1" applyFill="1" applyBorder="1" applyAlignment="1">
      <alignment horizontal="center" wrapText="1"/>
    </xf>
    <xf numFmtId="0" fontId="8" fillId="2" borderId="8" xfId="2" applyFont="1" applyFill="1" applyBorder="1" applyAlignment="1">
      <alignment horizontal="right"/>
    </xf>
    <xf numFmtId="0" fontId="8" fillId="2" borderId="16" xfId="2" applyFont="1" applyFill="1" applyBorder="1" applyAlignment="1">
      <alignment vertical="top"/>
    </xf>
    <xf numFmtId="0" fontId="8" fillId="2" borderId="21" xfId="2" applyFont="1" applyFill="1" applyBorder="1" applyAlignment="1">
      <alignment horizontal="left" vertical="top"/>
    </xf>
    <xf numFmtId="0" fontId="8" fillId="0" borderId="2" xfId="2" applyFont="1" applyFill="1" applyBorder="1" applyAlignment="1">
      <alignment horizontal="center" vertical="top"/>
    </xf>
    <xf numFmtId="0" fontId="8" fillId="0" borderId="20" xfId="2" applyFont="1" applyFill="1" applyBorder="1" applyAlignment="1">
      <alignment horizontal="center" vertical="top"/>
    </xf>
    <xf numFmtId="3" fontId="8" fillId="0" borderId="21" xfId="2" applyNumberFormat="1" applyFont="1" applyFill="1" applyBorder="1" applyAlignment="1">
      <alignment horizontal="right"/>
    </xf>
    <xf numFmtId="3" fontId="3" fillId="0" borderId="21" xfId="2" applyNumberFormat="1" applyFont="1" applyFill="1" applyBorder="1" applyAlignment="1">
      <alignment horizontal="right"/>
    </xf>
    <xf numFmtId="0" fontId="8" fillId="2" borderId="20" xfId="2" applyFont="1" applyFill="1" applyBorder="1" applyAlignment="1">
      <alignment horizontal="center" vertical="top"/>
    </xf>
    <xf numFmtId="0" fontId="8" fillId="0" borderId="16" xfId="2" applyFont="1" applyFill="1" applyBorder="1" applyAlignment="1">
      <alignment horizontal="center" vertical="top"/>
    </xf>
    <xf numFmtId="3" fontId="11" fillId="0" borderId="11" xfId="2" applyNumberFormat="1" applyFont="1" applyFill="1" applyBorder="1" applyAlignment="1">
      <alignment horizontal="right"/>
    </xf>
    <xf numFmtId="0" fontId="18" fillId="2" borderId="13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right"/>
    </xf>
    <xf numFmtId="3" fontId="8" fillId="2" borderId="21" xfId="2" applyNumberFormat="1" applyFont="1" applyFill="1" applyBorder="1" applyAlignment="1">
      <alignment horizontal="right"/>
    </xf>
    <xf numFmtId="0" fontId="18" fillId="2" borderId="13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right"/>
    </xf>
    <xf numFmtId="0" fontId="18" fillId="2" borderId="13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right"/>
    </xf>
    <xf numFmtId="0" fontId="22" fillId="0" borderId="0" xfId="4"/>
    <xf numFmtId="0" fontId="18" fillId="2" borderId="13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right"/>
    </xf>
    <xf numFmtId="0" fontId="18" fillId="2" borderId="13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right"/>
    </xf>
    <xf numFmtId="0" fontId="5" fillId="2" borderId="17" xfId="2" applyFont="1" applyFill="1" applyBorder="1" applyAlignment="1">
      <alignment horizontal="right"/>
    </xf>
    <xf numFmtId="0" fontId="5" fillId="2" borderId="18" xfId="2" applyFont="1" applyFill="1" applyBorder="1" applyAlignment="1">
      <alignment horizontal="right"/>
    </xf>
    <xf numFmtId="0" fontId="2" fillId="2" borderId="13" xfId="2" applyFont="1" applyFill="1" applyBorder="1" applyAlignment="1">
      <alignment horizontal="right"/>
    </xf>
    <xf numFmtId="0" fontId="2" fillId="2" borderId="0" xfId="2" applyFont="1" applyFill="1" applyBorder="1" applyAlignment="1">
      <alignment horizontal="right"/>
    </xf>
    <xf numFmtId="0" fontId="2" fillId="2" borderId="13" xfId="2" applyFill="1" applyBorder="1" applyAlignment="1">
      <alignment horizontal="right"/>
    </xf>
    <xf numFmtId="0" fontId="2" fillId="2" borderId="0" xfId="2" applyFill="1" applyBorder="1" applyAlignment="1">
      <alignment horizontal="right"/>
    </xf>
    <xf numFmtId="0" fontId="18" fillId="2" borderId="13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right"/>
    </xf>
    <xf numFmtId="172" fontId="3" fillId="2" borderId="0" xfId="2" applyNumberFormat="1" applyFont="1" applyFill="1" applyBorder="1" applyAlignment="1">
      <alignment horizontal="center"/>
    </xf>
    <xf numFmtId="0" fontId="3" fillId="4" borderId="3" xfId="2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/>
    </xf>
    <xf numFmtId="0" fontId="6" fillId="4" borderId="10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6" fillId="4" borderId="16" xfId="2" applyFont="1" applyFill="1" applyBorder="1" applyAlignment="1">
      <alignment horizontal="center" vertical="center"/>
    </xf>
    <xf numFmtId="0" fontId="6" fillId="4" borderId="21" xfId="2" applyFont="1" applyFill="1" applyBorder="1" applyAlignment="1">
      <alignment horizontal="center" vertical="center"/>
    </xf>
    <xf numFmtId="0" fontId="6" fillId="5" borderId="10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/>
    <xf numFmtId="0" fontId="0" fillId="0" borderId="16" xfId="0" applyBorder="1" applyAlignment="1"/>
    <xf numFmtId="0" fontId="0" fillId="0" borderId="21" xfId="0" applyBorder="1" applyAlignment="1"/>
    <xf numFmtId="0" fontId="26" fillId="2" borderId="10" xfId="4" applyFont="1" applyFill="1" applyBorder="1" applyAlignment="1">
      <alignment horizontal="center" wrapText="1"/>
    </xf>
    <xf numFmtId="0" fontId="26" fillId="2" borderId="11" xfId="4" applyFont="1" applyFill="1" applyBorder="1" applyAlignment="1">
      <alignment horizontal="center" wrapText="1"/>
    </xf>
    <xf numFmtId="0" fontId="26" fillId="2" borderId="12" xfId="4" applyFont="1" applyFill="1" applyBorder="1" applyAlignment="1">
      <alignment horizontal="center" wrapText="1"/>
    </xf>
    <xf numFmtId="3" fontId="6" fillId="4" borderId="9" xfId="2" applyNumberFormat="1" applyFont="1" applyFill="1" applyBorder="1" applyAlignment="1">
      <alignment horizontal="right"/>
    </xf>
    <xf numFmtId="3" fontId="5" fillId="2" borderId="18" xfId="2" applyNumberFormat="1" applyFont="1" applyFill="1" applyBorder="1" applyAlignment="1">
      <alignment horizontal="right"/>
    </xf>
    <xf numFmtId="3" fontId="5" fillId="2" borderId="14" xfId="2" applyNumberFormat="1" applyFont="1" applyFill="1" applyBorder="1"/>
    <xf numFmtId="3" fontId="8" fillId="2" borderId="6" xfId="2" applyNumberFormat="1" applyFont="1" applyFill="1" applyBorder="1" applyAlignment="1">
      <alignment horizontal="right"/>
    </xf>
  </cellXfs>
  <cellStyles count="9">
    <cellStyle name="Normal" xfId="0" builtinId="0"/>
    <cellStyle name="Normal 2" xfId="2" xr:uid="{8095BE92-064A-4E70-BB39-EE03F8FFC801}"/>
    <cellStyle name="Normal 3" xfId="4" xr:uid="{181151B1-CA27-4EAF-B243-7F7C2FC9406C}"/>
    <cellStyle name="Normal 4" xfId="5" xr:uid="{08B2A7D5-4C42-43DB-A61B-ACF377129EFF}"/>
    <cellStyle name="Normal 4 2" xfId="6" xr:uid="{718FA7EF-FAE7-47A4-97B7-8D5237811EB3}"/>
    <cellStyle name="Normal 4 3" xfId="7" xr:uid="{809E7899-7F83-4C79-B615-364397FC5796}"/>
    <cellStyle name="Normal 5" xfId="8" xr:uid="{9AFF6762-CD72-4FE9-903A-059CF9357E09}"/>
    <cellStyle name="Procent" xfId="1" builtinId="5"/>
    <cellStyle name="Procent 2" xfId="3" xr:uid="{C1D67AC2-77C7-40CA-B221-0083E462A2F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deleine.ehlin@regeringskansliet.se" id="{3ACF1590-AB17-44F5-B6D4-3ABE2C93D5AA}" userId="madeleine.ehlin@regeringskansliet.se" providerId="None"/>
  <person displayName="Madeleine Ehlin" id="{131F505E-CB42-42A9-98DA-D4330F73F898}" userId="S::madeleine.ehlin@regeringskansliet.se::a4feec7f-7d13-45ce-83df-4c874ececa38" providerId="AD"/>
</personList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1-11-04T12:15:28.13" personId="{3ACF1590-AB17-44F5-B6D4-3ABE2C93D5AA}" id="{B342BD65-7832-419E-B647-28D5A3CD7320}">
    <text>Central mynd. intern delg. 2014 (PLO)</text>
  </threadedComment>
  <threadedComment ref="B10" dT="2021-11-04T12:37:25.98" personId="{3ACF1590-AB17-44F5-B6D4-3ABE2C93D5AA}" id="{61FC3867-CB8F-4482-B196-DB29AC526E2F}">
    <text>Hedersrelaterat våld, kompetensteamet HRV (PLO)</text>
  </threadedComment>
  <threadedComment ref="B14" dT="2021-11-04T12:38:12.07" personId="{3ACF1590-AB17-44F5-B6D4-3ABE2C93D5AA}" id="{69406FF6-6E6D-4287-9C5F-2ABAEC765FC0}">
    <text>Totalförsvarsuppbyggnad Gotland (PLO)</text>
  </threadedComment>
  <threadedComment ref="B18" dT="2021-11-04T12:12:26.22" personId="{3ACF1590-AB17-44F5-B6D4-3ABE2C93D5AA}" id="{33DB3FF4-C86D-4845-AD1B-8AB89311CC36}">
    <text>GIS (PLO) + Miljösamverkan Sverige (ej PLO) + Information Sverige (PLO) + Cybersäkerhet BP23 (PLO)</text>
  </threadedComment>
  <threadedComment ref="B20" dT="2021-11-04T12:14:15.34" personId="{3ACF1590-AB17-44F5-B6D4-3ABE2C93D5AA}" id="{A7E2805D-136C-4E15-BD75-61FA81B677BB}">
    <text>Kampsport 2010 (PLO) + Djufrågor BP18 (PLO) + SEVESO-verksamheten (PLO) + Avloppsrening BP23 (PLO) + Beredskap livsmedelsförsörjning BP25 (PLO)</text>
  </threadedComment>
  <threadedComment ref="B23" dT="2024-11-08T13:21:36.06" personId="{131F505E-CB42-42A9-98DA-D4330F73F898}" id="{4A21A4B5-2701-4F4E-A85F-12019558D2C3}">
    <text>Mygg BP24 (PLO) + Mygg BP25 (PLO)</text>
  </threadedComment>
  <threadedComment ref="B24" dT="2021-11-04T12:14:51.03" personId="{3ACF1590-AB17-44F5-B6D4-3ABE2C93D5AA}" id="{93361EE0-AF32-4976-B862-9855EE446018}">
    <text>Samordning flyktingmott./etabl. (Ej PLO)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3009-48C4-4E7C-AF85-DA70885CD8A9}">
  <sheetPr codeName="Blad1"/>
  <dimension ref="A1:I51"/>
  <sheetViews>
    <sheetView topLeftCell="A3" zoomScaleNormal="100" workbookViewId="0">
      <selection activeCell="C30" sqref="C30"/>
    </sheetView>
  </sheetViews>
  <sheetFormatPr defaultColWidth="9.140625" defaultRowHeight="15" x14ac:dyDescent="0.25"/>
  <cols>
    <col min="1" max="1" width="51.28515625" style="24" customWidth="1"/>
    <col min="2" max="2" width="13.7109375" style="24" customWidth="1"/>
    <col min="3" max="3" width="19.5703125" style="24" customWidth="1"/>
    <col min="4" max="4" width="24.140625" style="24" customWidth="1"/>
    <col min="5" max="5" width="16.28515625" style="24" customWidth="1"/>
    <col min="6" max="6" width="9.140625" style="24" customWidth="1"/>
    <col min="7" max="7" width="9.28515625" style="24" bestFit="1" customWidth="1"/>
    <col min="8" max="8" width="12" style="24" bestFit="1" customWidth="1"/>
    <col min="9" max="16384" width="9.140625" style="24"/>
  </cols>
  <sheetData>
    <row r="1" spans="1:9" ht="23.25" x14ac:dyDescent="0.35">
      <c r="A1" s="22" t="s">
        <v>125</v>
      </c>
      <c r="B1" s="23"/>
      <c r="C1" s="23"/>
      <c r="D1" s="23"/>
      <c r="E1" s="23"/>
    </row>
    <row r="2" spans="1:9" ht="15.75" thickBot="1" x14ac:dyDescent="0.3">
      <c r="A2" s="23"/>
      <c r="B2" s="23"/>
      <c r="C2" s="23"/>
      <c r="D2" s="23"/>
      <c r="E2" s="23"/>
    </row>
    <row r="3" spans="1:9" ht="15.75" x14ac:dyDescent="0.25">
      <c r="A3" s="149" t="s">
        <v>126</v>
      </c>
      <c r="B3" s="150"/>
      <c r="C3" s="259">
        <v>4196845</v>
      </c>
      <c r="D3" s="151" t="s">
        <v>68</v>
      </c>
      <c r="E3" s="124"/>
    </row>
    <row r="4" spans="1:9" x14ac:dyDescent="0.25">
      <c r="A4" s="25" t="s">
        <v>0</v>
      </c>
      <c r="B4" s="133"/>
      <c r="C4" s="133"/>
      <c r="D4" s="27"/>
      <c r="E4" s="79"/>
    </row>
    <row r="5" spans="1:9" x14ac:dyDescent="0.25">
      <c r="A5" s="237" t="s">
        <v>1</v>
      </c>
      <c r="B5" s="238"/>
      <c r="C5" s="152">
        <f>-'Riktade medel och parametrar'!S28</f>
        <v>-465264.65857239184</v>
      </c>
      <c r="D5" s="153"/>
      <c r="E5" s="80"/>
    </row>
    <row r="6" spans="1:9" x14ac:dyDescent="0.25">
      <c r="A6" s="237" t="s">
        <v>2</v>
      </c>
      <c r="B6" s="238"/>
      <c r="C6" s="200">
        <v>-970211.67788618302</v>
      </c>
      <c r="D6" s="154" t="s">
        <v>130</v>
      </c>
      <c r="E6" s="81"/>
    </row>
    <row r="7" spans="1:9" x14ac:dyDescent="0.25">
      <c r="A7" s="237" t="s">
        <v>74</v>
      </c>
      <c r="B7" s="238"/>
      <c r="C7" s="152">
        <v>-600</v>
      </c>
      <c r="D7" s="199" t="s">
        <v>128</v>
      </c>
      <c r="E7" s="198"/>
    </row>
    <row r="8" spans="1:9" x14ac:dyDescent="0.25">
      <c r="A8" s="237" t="s">
        <v>3</v>
      </c>
      <c r="B8" s="238"/>
      <c r="C8" s="201">
        <v>-30000</v>
      </c>
      <c r="D8" s="154" t="s">
        <v>128</v>
      </c>
      <c r="E8" s="81"/>
    </row>
    <row r="9" spans="1:9" ht="15.75" customHeight="1" x14ac:dyDescent="0.25">
      <c r="A9" s="237" t="s">
        <v>4</v>
      </c>
      <c r="B9" s="238"/>
      <c r="C9" s="152">
        <v>-1000</v>
      </c>
      <c r="D9" s="154" t="s">
        <v>128</v>
      </c>
      <c r="E9" s="81"/>
    </row>
    <row r="10" spans="1:9" x14ac:dyDescent="0.25">
      <c r="A10" s="235" t="s">
        <v>110</v>
      </c>
      <c r="B10" s="236"/>
      <c r="C10" s="202">
        <v>-2600</v>
      </c>
      <c r="D10" s="199" t="s">
        <v>128</v>
      </c>
      <c r="E10" s="81"/>
      <c r="G10" s="78"/>
    </row>
    <row r="11" spans="1:9" x14ac:dyDescent="0.25">
      <c r="A11" s="235" t="s">
        <v>95</v>
      </c>
      <c r="B11" s="236"/>
      <c r="C11" s="202">
        <v>-400</v>
      </c>
      <c r="D11" s="154" t="s">
        <v>128</v>
      </c>
      <c r="E11" s="81"/>
      <c r="F11" s="147"/>
    </row>
    <row r="12" spans="1:9" x14ac:dyDescent="0.25">
      <c r="A12" s="235" t="s">
        <v>106</v>
      </c>
      <c r="B12" s="236"/>
      <c r="C12" s="202">
        <v>-15000</v>
      </c>
      <c r="D12" s="154" t="s">
        <v>127</v>
      </c>
      <c r="E12" s="81"/>
    </row>
    <row r="13" spans="1:9" x14ac:dyDescent="0.25">
      <c r="A13" s="235" t="s">
        <v>131</v>
      </c>
      <c r="B13" s="236"/>
      <c r="C13" s="202">
        <v>-1200</v>
      </c>
      <c r="D13" s="154" t="s">
        <v>105</v>
      </c>
      <c r="E13" s="81"/>
    </row>
    <row r="14" spans="1:9" x14ac:dyDescent="0.25">
      <c r="A14" s="235" t="s">
        <v>107</v>
      </c>
      <c r="B14" s="236"/>
      <c r="C14" s="202">
        <f>-3000</f>
        <v>-3000</v>
      </c>
      <c r="D14" s="154" t="s">
        <v>104</v>
      </c>
      <c r="E14" s="81"/>
    </row>
    <row r="15" spans="1:9" ht="15.75" customHeight="1" x14ac:dyDescent="0.25">
      <c r="A15" s="237" t="s">
        <v>118</v>
      </c>
      <c r="B15" s="238"/>
      <c r="C15" s="152">
        <v>-1000</v>
      </c>
      <c r="D15" s="154" t="s">
        <v>128</v>
      </c>
      <c r="E15" s="81"/>
    </row>
    <row r="16" spans="1:9" ht="15.75" customHeight="1" x14ac:dyDescent="0.25">
      <c r="A16" s="239" t="s">
        <v>119</v>
      </c>
      <c r="B16" s="240"/>
      <c r="C16" s="152">
        <v>-1000</v>
      </c>
      <c r="D16" s="154" t="s">
        <v>128</v>
      </c>
      <c r="E16" s="81"/>
      <c r="I16" s="78"/>
    </row>
    <row r="17" spans="1:6" ht="15.75" customHeight="1" x14ac:dyDescent="0.25">
      <c r="A17" s="239" t="s">
        <v>116</v>
      </c>
      <c r="B17" s="240"/>
      <c r="C17" s="179">
        <v>-5000</v>
      </c>
      <c r="D17" s="178" t="s">
        <v>117</v>
      </c>
    </row>
    <row r="18" spans="1:6" ht="15.75" customHeight="1" x14ac:dyDescent="0.25">
      <c r="A18" s="239" t="s">
        <v>120</v>
      </c>
      <c r="B18" s="240"/>
      <c r="C18" s="179">
        <v>-10000</v>
      </c>
      <c r="D18" s="178" t="s">
        <v>128</v>
      </c>
      <c r="F18" s="78"/>
    </row>
    <row r="19" spans="1:6" ht="15.75" customHeight="1" x14ac:dyDescent="0.25">
      <c r="A19" s="221"/>
      <c r="B19" s="222" t="s">
        <v>133</v>
      </c>
      <c r="C19" s="179">
        <v>-30000</v>
      </c>
      <c r="D19" s="178" t="s">
        <v>127</v>
      </c>
      <c r="F19" s="78"/>
    </row>
    <row r="20" spans="1:6" ht="15.75" customHeight="1" x14ac:dyDescent="0.25">
      <c r="A20" s="224"/>
      <c r="B20" s="225" t="s">
        <v>134</v>
      </c>
      <c r="C20" s="179">
        <v>-3000</v>
      </c>
      <c r="D20" s="178" t="s">
        <v>104</v>
      </c>
      <c r="F20" s="78"/>
    </row>
    <row r="21" spans="1:6" ht="15.75" customHeight="1" x14ac:dyDescent="0.25">
      <c r="A21" s="226"/>
      <c r="B21" s="227" t="s">
        <v>135</v>
      </c>
      <c r="C21" s="179">
        <v>-55000</v>
      </c>
      <c r="D21" s="178" t="s">
        <v>127</v>
      </c>
      <c r="F21" s="78"/>
    </row>
    <row r="22" spans="1:6" ht="15.75" customHeight="1" x14ac:dyDescent="0.25">
      <c r="A22" s="229"/>
      <c r="B22" s="230" t="s">
        <v>137</v>
      </c>
      <c r="C22" s="179">
        <v>-20000</v>
      </c>
      <c r="D22" s="178" t="s">
        <v>127</v>
      </c>
      <c r="F22" s="78"/>
    </row>
    <row r="23" spans="1:6" ht="15.75" customHeight="1" x14ac:dyDescent="0.25">
      <c r="A23" s="231"/>
      <c r="B23" s="232" t="s">
        <v>136</v>
      </c>
      <c r="C23" s="179">
        <v>-8000</v>
      </c>
      <c r="D23" s="178" t="s">
        <v>127</v>
      </c>
      <c r="F23" s="78"/>
    </row>
    <row r="24" spans="1:6" ht="15.75" thickBot="1" x14ac:dyDescent="0.3">
      <c r="A24" s="233" t="s">
        <v>5</v>
      </c>
      <c r="B24" s="234"/>
      <c r="C24" s="260">
        <f>SUM(C3:C23)</f>
        <v>2574568.6635414255</v>
      </c>
      <c r="D24" s="28"/>
      <c r="E24" s="81"/>
    </row>
    <row r="25" spans="1:6" x14ac:dyDescent="0.25">
      <c r="A25" s="39" t="s">
        <v>6</v>
      </c>
      <c r="B25" s="29"/>
      <c r="C25" s="29"/>
      <c r="D25" s="29"/>
      <c r="E25" s="82"/>
    </row>
    <row r="26" spans="1:6" x14ac:dyDescent="0.25">
      <c r="A26" s="40"/>
      <c r="B26" s="2"/>
      <c r="C26" s="2"/>
      <c r="D26" s="26"/>
      <c r="E26" s="77"/>
    </row>
    <row r="27" spans="1:6" x14ac:dyDescent="0.25">
      <c r="A27" s="23"/>
      <c r="B27" s="2"/>
      <c r="C27" s="26"/>
      <c r="D27" s="30"/>
      <c r="E27" s="26"/>
    </row>
    <row r="28" spans="1:6" ht="24" thickBot="1" x14ac:dyDescent="0.4">
      <c r="A28" s="22" t="s">
        <v>5</v>
      </c>
      <c r="B28" s="31"/>
      <c r="C28" s="32"/>
      <c r="E28" s="30"/>
    </row>
    <row r="29" spans="1:6" x14ac:dyDescent="0.25">
      <c r="A29" s="100" t="s">
        <v>7</v>
      </c>
      <c r="B29" s="101" t="s">
        <v>8</v>
      </c>
      <c r="C29" s="102" t="s">
        <v>9</v>
      </c>
    </row>
    <row r="30" spans="1:6" x14ac:dyDescent="0.25">
      <c r="A30" s="25" t="s">
        <v>10</v>
      </c>
      <c r="B30" s="103">
        <f>SUM(B31:B35)</f>
        <v>0.99999999999999989</v>
      </c>
      <c r="C30" s="261">
        <f>SUM(C31:C35)</f>
        <v>2574568.6635414255</v>
      </c>
    </row>
    <row r="31" spans="1:6" x14ac:dyDescent="0.25">
      <c r="A31" s="33" t="s">
        <v>11</v>
      </c>
      <c r="B31" s="104">
        <v>0.57499999999999996</v>
      </c>
      <c r="C31" s="34">
        <f>B31*$C$24</f>
        <v>1480376.9815363195</v>
      </c>
      <c r="E31" s="17"/>
    </row>
    <row r="32" spans="1:6" x14ac:dyDescent="0.25">
      <c r="A32" s="33" t="s">
        <v>12</v>
      </c>
      <c r="B32" s="104">
        <v>0.1</v>
      </c>
      <c r="C32" s="34">
        <f>B32*$C$24</f>
        <v>257456.86635414255</v>
      </c>
      <c r="E32" s="17"/>
    </row>
    <row r="33" spans="1:6" x14ac:dyDescent="0.25">
      <c r="A33" s="33" t="s">
        <v>13</v>
      </c>
      <c r="B33" s="105">
        <v>0.08</v>
      </c>
      <c r="C33" s="34">
        <f>B33*$C$24</f>
        <v>205965.49308331404</v>
      </c>
      <c r="E33" s="17"/>
    </row>
    <row r="34" spans="1:6" x14ac:dyDescent="0.25">
      <c r="A34" s="33" t="s">
        <v>14</v>
      </c>
      <c r="B34" s="104">
        <v>0.13</v>
      </c>
      <c r="C34" s="34">
        <f>B34*$C$24</f>
        <v>334693.92626038531</v>
      </c>
      <c r="E34" s="17"/>
    </row>
    <row r="35" spans="1:6" x14ac:dyDescent="0.25">
      <c r="A35" s="35" t="s">
        <v>15</v>
      </c>
      <c r="B35" s="36">
        <v>0.115</v>
      </c>
      <c r="C35" s="37">
        <f>B35*$C$24</f>
        <v>296075.39630726393</v>
      </c>
      <c r="E35" s="17"/>
    </row>
    <row r="36" spans="1:6" x14ac:dyDescent="0.25">
      <c r="A36" s="40" t="s">
        <v>6</v>
      </c>
      <c r="B36" s="38"/>
      <c r="C36" s="38"/>
      <c r="E36" s="17"/>
    </row>
    <row r="37" spans="1:6" x14ac:dyDescent="0.25">
      <c r="E37" s="17"/>
    </row>
    <row r="38" spans="1:6" x14ac:dyDescent="0.25">
      <c r="E38" s="17"/>
    </row>
    <row r="39" spans="1:6" x14ac:dyDescent="0.25">
      <c r="E39" s="17"/>
    </row>
    <row r="40" spans="1:6" x14ac:dyDescent="0.25">
      <c r="E40" s="17"/>
    </row>
    <row r="41" spans="1:6" x14ac:dyDescent="0.25">
      <c r="E41" s="17"/>
      <c r="F41" s="78"/>
    </row>
    <row r="42" spans="1:6" x14ac:dyDescent="0.25">
      <c r="E42" s="17"/>
    </row>
    <row r="43" spans="1:6" x14ac:dyDescent="0.25">
      <c r="E43" s="17"/>
      <c r="F43" s="78"/>
    </row>
    <row r="44" spans="1:6" x14ac:dyDescent="0.25">
      <c r="E44" s="17"/>
    </row>
    <row r="45" spans="1:6" x14ac:dyDescent="0.25">
      <c r="E45" s="17"/>
    </row>
    <row r="46" spans="1:6" x14ac:dyDescent="0.25">
      <c r="E46" s="17"/>
    </row>
    <row r="47" spans="1:6" x14ac:dyDescent="0.25">
      <c r="D47" s="92"/>
      <c r="E47" s="17"/>
    </row>
    <row r="48" spans="1:6" x14ac:dyDescent="0.25">
      <c r="D48" s="92"/>
      <c r="E48" s="17"/>
    </row>
    <row r="49" spans="4:5" x14ac:dyDescent="0.25">
      <c r="D49" s="92"/>
      <c r="E49" s="17"/>
    </row>
    <row r="50" spans="4:5" x14ac:dyDescent="0.25">
      <c r="D50" s="92"/>
      <c r="E50" s="17"/>
    </row>
    <row r="51" spans="4:5" x14ac:dyDescent="0.25">
      <c r="D51" s="99"/>
      <c r="E51" s="17"/>
    </row>
  </sheetData>
  <mergeCells count="15">
    <mergeCell ref="A9:B9"/>
    <mergeCell ref="A10:B10"/>
    <mergeCell ref="A5:B5"/>
    <mergeCell ref="A6:B6"/>
    <mergeCell ref="A8:B8"/>
    <mergeCell ref="A7:B7"/>
    <mergeCell ref="A24:B24"/>
    <mergeCell ref="A12:B12"/>
    <mergeCell ref="A11:B11"/>
    <mergeCell ref="A14:B14"/>
    <mergeCell ref="A13:B13"/>
    <mergeCell ref="A15:B15"/>
    <mergeCell ref="A16:B16"/>
    <mergeCell ref="A17:B17"/>
    <mergeCell ref="A18:B18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Header>&amp;LBilaga 3 till regleringsbrev för budgetåret 2025 avseende länsstyrelserna</oddHeader>
    <oddFooter>&amp;RSida 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9809-E339-4E6B-9116-D1ADE0B8E089}">
  <sheetPr codeName="Blad2"/>
  <dimension ref="A1:AX69"/>
  <sheetViews>
    <sheetView showGridLines="0" tabSelected="1" topLeftCell="AB1" zoomScale="110" zoomScaleNormal="110" zoomScaleSheetLayoutView="73" zoomScalePageLayoutView="90" workbookViewId="0">
      <selection activeCell="AI32" sqref="AI32"/>
    </sheetView>
  </sheetViews>
  <sheetFormatPr defaultColWidth="9.140625" defaultRowHeight="12.75" x14ac:dyDescent="0.2"/>
  <cols>
    <col min="1" max="1" width="15.7109375" style="21" customWidth="1"/>
    <col min="2" max="2" width="13.5703125" style="21" customWidth="1"/>
    <col min="3" max="3" width="7.140625" style="8" customWidth="1"/>
    <col min="4" max="4" width="7.7109375" style="21" customWidth="1"/>
    <col min="5" max="5" width="9.5703125" style="21" customWidth="1"/>
    <col min="6" max="6" width="9.5703125" style="1" customWidth="1"/>
    <col min="7" max="7" width="11" style="23" customWidth="1"/>
    <col min="8" max="8" width="11.5703125" style="23" customWidth="1"/>
    <col min="9" max="9" width="10.42578125" style="23" customWidth="1"/>
    <col min="10" max="12" width="9.5703125" style="23" customWidth="1"/>
    <col min="13" max="15" width="10.42578125" style="23" customWidth="1"/>
    <col min="16" max="16" width="9.85546875" style="23" customWidth="1"/>
    <col min="17" max="17" width="11.5703125" style="23" customWidth="1"/>
    <col min="18" max="18" width="9.85546875" style="23" customWidth="1"/>
    <col min="19" max="19" width="13.42578125" style="23" customWidth="1"/>
    <col min="20" max="20" width="1.42578125" style="23" customWidth="1"/>
    <col min="21" max="23" width="9.5703125" style="23" customWidth="1"/>
    <col min="24" max="24" width="10" style="23" customWidth="1"/>
    <col min="25" max="25" width="10.7109375" style="23" customWidth="1"/>
    <col min="26" max="26" width="1.42578125" style="8" customWidth="1"/>
    <col min="27" max="27" width="15.7109375" style="8" customWidth="1"/>
    <col min="28" max="28" width="9.85546875" style="8" customWidth="1"/>
    <col min="29" max="29" width="10.42578125" style="8" customWidth="1"/>
    <col min="30" max="30" width="9.5703125" style="8" customWidth="1"/>
    <col min="31" max="31" width="8.7109375" style="8" customWidth="1"/>
    <col min="32" max="32" width="10.85546875" style="8" customWidth="1"/>
    <col min="33" max="33" width="9.7109375" style="8" customWidth="1"/>
    <col min="34" max="34" width="8.5703125" style="8" customWidth="1"/>
    <col min="35" max="35" width="8.7109375" style="8" customWidth="1"/>
    <col min="36" max="36" width="9.28515625" style="8" customWidth="1"/>
    <col min="37" max="37" width="10.7109375" style="8" customWidth="1"/>
    <col min="38" max="38" width="10.85546875" style="8" customWidth="1"/>
    <col min="39" max="39" width="2" style="8" customWidth="1"/>
    <col min="40" max="40" width="12.5703125" style="8" customWidth="1"/>
    <col min="41" max="42" width="12.85546875" style="8" customWidth="1"/>
    <col min="43" max="43" width="11.5703125" style="8" customWidth="1"/>
    <col min="44" max="44" width="12.28515625" style="8" customWidth="1"/>
    <col min="45" max="45" width="11" style="8" customWidth="1"/>
    <col min="46" max="46" width="12.42578125" style="8" customWidth="1"/>
    <col min="47" max="47" width="9.7109375" style="8" customWidth="1"/>
    <col min="48" max="48" width="9.85546875" style="8" customWidth="1"/>
    <col min="49" max="49" width="13" style="8" customWidth="1"/>
    <col min="50" max="16384" width="9.140625" style="8"/>
  </cols>
  <sheetData>
    <row r="1" spans="1:50" ht="23.25" x14ac:dyDescent="0.35">
      <c r="A1" s="22" t="s">
        <v>108</v>
      </c>
      <c r="B1" s="22"/>
      <c r="C1" s="5"/>
      <c r="D1" s="41"/>
      <c r="E1" s="41"/>
      <c r="G1" s="9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22" t="s">
        <v>109</v>
      </c>
      <c r="V1" s="97"/>
      <c r="W1" s="97"/>
      <c r="X1" s="97"/>
      <c r="Y1" s="97"/>
      <c r="Z1" s="21"/>
      <c r="AB1" s="42"/>
      <c r="AC1" s="21"/>
      <c r="AI1" s="5"/>
      <c r="AJ1" s="17"/>
      <c r="AK1" s="17"/>
      <c r="AL1" s="43"/>
      <c r="AM1" s="5"/>
      <c r="AN1" s="22" t="s">
        <v>16</v>
      </c>
      <c r="AO1" s="17"/>
      <c r="AP1" s="17"/>
      <c r="AQ1" s="21"/>
      <c r="AR1" s="21"/>
    </row>
    <row r="2" spans="1:50" x14ac:dyDescent="0.2">
      <c r="C2" s="5"/>
      <c r="G2" s="2"/>
      <c r="H2" s="2"/>
      <c r="I2" s="2"/>
      <c r="J2" s="2"/>
      <c r="K2" s="2"/>
      <c r="L2" s="2"/>
      <c r="M2" s="74"/>
      <c r="N2" s="90"/>
      <c r="O2" s="91"/>
      <c r="P2" s="136"/>
      <c r="Q2" s="136"/>
      <c r="R2" s="136"/>
      <c r="S2" s="2"/>
      <c r="T2" s="91"/>
      <c r="U2" s="91"/>
      <c r="V2" s="91"/>
      <c r="W2" s="91"/>
      <c r="X2" s="136"/>
      <c r="Y2" s="110"/>
      <c r="Z2" s="21"/>
      <c r="AA2" s="21"/>
      <c r="AB2" s="42"/>
      <c r="AC2" s="21"/>
      <c r="AI2" s="5"/>
      <c r="AJ2" s="17"/>
      <c r="AK2" s="17"/>
      <c r="AL2" s="43"/>
      <c r="AM2" s="5"/>
      <c r="AN2" s="5"/>
      <c r="AO2" s="17"/>
      <c r="AP2" s="17"/>
      <c r="AQ2" s="21"/>
      <c r="AR2" s="21"/>
    </row>
    <row r="3" spans="1:50" ht="15.75" x14ac:dyDescent="0.2">
      <c r="A3" s="242"/>
      <c r="B3" s="244" t="s">
        <v>17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6"/>
      <c r="U3" s="244" t="s">
        <v>72</v>
      </c>
      <c r="V3" s="245"/>
      <c r="W3" s="245"/>
      <c r="X3" s="245"/>
      <c r="Y3" s="246"/>
      <c r="Z3" s="21"/>
      <c r="AA3" s="244" t="s">
        <v>18</v>
      </c>
      <c r="AB3" s="245"/>
      <c r="AC3" s="245"/>
      <c r="AD3" s="245"/>
      <c r="AE3" s="245"/>
      <c r="AF3" s="246"/>
      <c r="AG3" s="244" t="s">
        <v>19</v>
      </c>
      <c r="AH3" s="245"/>
      <c r="AI3" s="245"/>
      <c r="AJ3" s="245"/>
      <c r="AK3" s="245"/>
      <c r="AL3" s="246"/>
      <c r="AN3" s="250" t="s">
        <v>20</v>
      </c>
      <c r="AO3" s="251"/>
      <c r="AP3" s="251"/>
      <c r="AQ3" s="251"/>
      <c r="AR3" s="251"/>
      <c r="AS3" s="252"/>
      <c r="AT3" s="75"/>
      <c r="AU3" s="75"/>
      <c r="AV3" s="155"/>
    </row>
    <row r="4" spans="1:50" ht="12.75" customHeight="1" x14ac:dyDescent="0.2">
      <c r="A4" s="243"/>
      <c r="B4" s="247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9"/>
      <c r="U4" s="247"/>
      <c r="V4" s="248"/>
      <c r="W4" s="248"/>
      <c r="X4" s="248"/>
      <c r="Y4" s="249"/>
      <c r="Z4" s="21"/>
      <c r="AA4" s="247"/>
      <c r="AB4" s="248"/>
      <c r="AC4" s="248"/>
      <c r="AD4" s="248"/>
      <c r="AE4" s="248"/>
      <c r="AF4" s="249"/>
      <c r="AG4" s="247"/>
      <c r="AH4" s="248"/>
      <c r="AI4" s="248"/>
      <c r="AJ4" s="248"/>
      <c r="AK4" s="248"/>
      <c r="AL4" s="249"/>
      <c r="AN4" s="253"/>
      <c r="AO4" s="254"/>
      <c r="AP4" s="254"/>
      <c r="AQ4" s="254"/>
      <c r="AR4" s="254"/>
      <c r="AS4" s="255"/>
      <c r="AT4" s="76"/>
      <c r="AU4" s="76"/>
      <c r="AV4" s="156"/>
    </row>
    <row r="5" spans="1:50" ht="58.5" customHeight="1" x14ac:dyDescent="0.2">
      <c r="A5" s="44"/>
      <c r="B5" s="93" t="s">
        <v>71</v>
      </c>
      <c r="C5" s="98" t="s">
        <v>37</v>
      </c>
      <c r="D5" s="45" t="s">
        <v>21</v>
      </c>
      <c r="E5" s="45" t="s">
        <v>22</v>
      </c>
      <c r="F5" s="45" t="s">
        <v>23</v>
      </c>
      <c r="G5" s="45" t="s">
        <v>24</v>
      </c>
      <c r="H5" s="45" t="s">
        <v>25</v>
      </c>
      <c r="I5" s="45" t="s">
        <v>26</v>
      </c>
      <c r="J5" s="45" t="s">
        <v>27</v>
      </c>
      <c r="K5" s="45" t="s">
        <v>28</v>
      </c>
      <c r="L5" s="45" t="s">
        <v>29</v>
      </c>
      <c r="M5" s="45" t="s">
        <v>69</v>
      </c>
      <c r="N5" s="85" t="s">
        <v>70</v>
      </c>
      <c r="O5" s="45" t="s">
        <v>73</v>
      </c>
      <c r="P5" s="85" t="s">
        <v>96</v>
      </c>
      <c r="Q5" s="45" t="s">
        <v>115</v>
      </c>
      <c r="R5" s="85" t="s">
        <v>129</v>
      </c>
      <c r="S5" s="46" t="s">
        <v>30</v>
      </c>
      <c r="T5" s="93"/>
      <c r="U5" s="125" t="s">
        <v>38</v>
      </c>
      <c r="V5" s="126" t="s">
        <v>39</v>
      </c>
      <c r="W5" s="126" t="s">
        <v>40</v>
      </c>
      <c r="X5" s="137" t="s">
        <v>132</v>
      </c>
      <c r="Y5" s="127" t="s">
        <v>30</v>
      </c>
      <c r="Z5" s="21"/>
      <c r="AA5" s="51"/>
      <c r="AB5" s="209" t="s">
        <v>112</v>
      </c>
      <c r="AC5" s="137" t="s">
        <v>31</v>
      </c>
      <c r="AD5" s="137" t="s">
        <v>32</v>
      </c>
      <c r="AE5" s="137" t="s">
        <v>111</v>
      </c>
      <c r="AF5" s="210" t="s">
        <v>33</v>
      </c>
      <c r="AG5" s="47" t="s">
        <v>112</v>
      </c>
      <c r="AH5" s="45" t="s">
        <v>31</v>
      </c>
      <c r="AI5" s="45" t="s">
        <v>34</v>
      </c>
      <c r="AJ5" s="45" t="s">
        <v>35</v>
      </c>
      <c r="AK5" s="45" t="s">
        <v>33</v>
      </c>
      <c r="AL5" s="46" t="s">
        <v>36</v>
      </c>
      <c r="AM5" s="48"/>
      <c r="AN5" s="70"/>
      <c r="AO5" s="182" t="s">
        <v>1</v>
      </c>
      <c r="AP5" s="137" t="s">
        <v>75</v>
      </c>
      <c r="AQ5" s="137" t="s">
        <v>2</v>
      </c>
      <c r="AR5" s="137" t="s">
        <v>114</v>
      </c>
      <c r="AS5" s="137" t="s">
        <v>41</v>
      </c>
      <c r="AT5" s="125" t="s">
        <v>42</v>
      </c>
      <c r="AU5" s="125" t="s">
        <v>43</v>
      </c>
      <c r="AV5" s="161" t="s">
        <v>98</v>
      </c>
    </row>
    <row r="6" spans="1:50" ht="11.25" x14ac:dyDescent="0.2">
      <c r="A6" s="49" t="s">
        <v>44</v>
      </c>
      <c r="B6" s="205" t="s">
        <v>92</v>
      </c>
      <c r="C6" s="183"/>
      <c r="D6" s="197" t="s">
        <v>45</v>
      </c>
      <c r="E6" s="197" t="s">
        <v>45</v>
      </c>
      <c r="F6" s="197" t="s">
        <v>45</v>
      </c>
      <c r="G6" s="197" t="s">
        <v>45</v>
      </c>
      <c r="H6" s="197" t="s">
        <v>45</v>
      </c>
      <c r="I6" s="197" t="s">
        <v>45</v>
      </c>
      <c r="J6" s="197" t="s">
        <v>45</v>
      </c>
      <c r="K6" s="197" t="s">
        <v>45</v>
      </c>
      <c r="L6" s="197" t="s">
        <v>45</v>
      </c>
      <c r="M6" s="197" t="s">
        <v>45</v>
      </c>
      <c r="N6" s="197"/>
      <c r="O6" s="197"/>
      <c r="P6" s="197" t="s">
        <v>45</v>
      </c>
      <c r="Q6" s="197"/>
      <c r="R6" s="197" t="s">
        <v>45</v>
      </c>
      <c r="S6" s="50"/>
      <c r="T6" s="94"/>
      <c r="U6" s="214" t="s">
        <v>45</v>
      </c>
      <c r="V6" s="215" t="s">
        <v>45</v>
      </c>
      <c r="W6" s="215" t="s">
        <v>45</v>
      </c>
      <c r="X6" s="218" t="s">
        <v>45</v>
      </c>
      <c r="Y6" s="128"/>
      <c r="Z6" s="109"/>
      <c r="AA6" s="54"/>
      <c r="AB6" s="211"/>
      <c r="AC6" s="138"/>
      <c r="AD6" s="212"/>
      <c r="AE6" s="212"/>
      <c r="AF6" s="213"/>
      <c r="AG6" s="53"/>
      <c r="AH6" s="52"/>
      <c r="AI6" s="52"/>
      <c r="AJ6" s="52"/>
      <c r="AK6" s="52"/>
      <c r="AL6" s="54"/>
      <c r="AN6" s="71"/>
      <c r="AO6" s="183"/>
      <c r="AP6" s="138"/>
      <c r="AQ6" s="219" t="s">
        <v>45</v>
      </c>
      <c r="AR6" s="138"/>
      <c r="AS6" s="138"/>
      <c r="AT6" s="165"/>
      <c r="AU6" s="165"/>
      <c r="AV6" s="162"/>
    </row>
    <row r="7" spans="1:50" ht="15" customHeight="1" x14ac:dyDescent="0.2">
      <c r="A7" s="44" t="s">
        <v>46</v>
      </c>
      <c r="B7" s="17">
        <f>1996.88832626746*1.032443</f>
        <v>2061.673374236555</v>
      </c>
      <c r="C7" s="4"/>
      <c r="D7" s="17"/>
      <c r="E7" s="17"/>
      <c r="F7" s="17"/>
      <c r="G7" s="17">
        <f>7048.9404617*1.032443</f>
        <v>7277.6292370989331</v>
      </c>
      <c r="H7" s="17"/>
      <c r="I7" s="17">
        <f>1013.9306*1.032443</f>
        <v>1046.8255504558001</v>
      </c>
      <c r="J7" s="17"/>
      <c r="K7" s="17">
        <f>2653.0808*1.032443</f>
        <v>2739.1547003944002</v>
      </c>
      <c r="L7" s="17">
        <f>4667.54165*1.032443</f>
        <v>4818.9707037509497</v>
      </c>
      <c r="M7" s="17">
        <f>5213.0193*1.032443</f>
        <v>5382.1452851498998</v>
      </c>
      <c r="N7" s="17">
        <v>-5114.5822239268009</v>
      </c>
      <c r="O7" s="17">
        <v>500</v>
      </c>
      <c r="P7" s="132">
        <f>21351.1599*1.032443</f>
        <v>22043.8555806357</v>
      </c>
      <c r="Q7" s="17">
        <v>-926</v>
      </c>
      <c r="R7" s="132">
        <f>2000+1000</f>
        <v>3000</v>
      </c>
      <c r="S7" s="55">
        <f>SUM(B7:R7)</f>
        <v>42829.672207795433</v>
      </c>
      <c r="T7" s="95"/>
      <c r="U7" s="148">
        <f>1052.5565*1.032443</f>
        <v>1086.7045905294999</v>
      </c>
      <c r="V7" s="176">
        <f>1991.06235692288*1.032443</f>
        <v>2055.6583929685289</v>
      </c>
      <c r="W7" s="176">
        <f>(2412.91346217695*1.032443)</f>
        <v>2491.1956136303565</v>
      </c>
      <c r="X7" s="207">
        <v>-2625</v>
      </c>
      <c r="Y7" s="129">
        <f>SUM(U7:X7)</f>
        <v>3008.5585971283854</v>
      </c>
      <c r="Z7" s="108"/>
      <c r="AA7" s="56" t="s">
        <v>46</v>
      </c>
      <c r="AB7" s="88">
        <v>0.23264681250152228</v>
      </c>
      <c r="AC7" s="88">
        <v>1.5965338247464329E-2</v>
      </c>
      <c r="AD7" s="88">
        <v>6.6210045662100453E-2</v>
      </c>
      <c r="AE7" s="88">
        <v>6.118331193856863E-2</v>
      </c>
      <c r="AF7" s="208">
        <v>3.2650299976856388E-2</v>
      </c>
      <c r="AG7" s="57">
        <f>SUM(AB7*'Översikt fördelning'!$C$31)</f>
        <v>344404.98605504964</v>
      </c>
      <c r="AH7" s="58">
        <f>SUM(AC7*'Översikt fördelning'!$C$32)</f>
        <v>4110.3859554761038</v>
      </c>
      <c r="AI7" s="58">
        <f>SUM(AD7*'Översikt fördelning'!$C$33)</f>
        <v>13636.984701863257</v>
      </c>
      <c r="AJ7" s="58">
        <f>SUM(AE7*'Översikt fördelning'!$C$34)</f>
        <v>20477.68289433344</v>
      </c>
      <c r="AK7" s="58">
        <f>SUM(AF7*'Översikt fördelning'!$C$35)</f>
        <v>9666.9505051988053</v>
      </c>
      <c r="AL7" s="59">
        <f>SUM(AG7:AK7)</f>
        <v>392296.99011192122</v>
      </c>
      <c r="AN7" s="3" t="s">
        <v>46</v>
      </c>
      <c r="AO7" s="4">
        <f>SUM(S7)</f>
        <v>42829.672207795433</v>
      </c>
      <c r="AP7" s="17">
        <f>SUM(Y7)</f>
        <v>3008.5585971283854</v>
      </c>
      <c r="AQ7" s="17">
        <f t="shared" ref="AQ7:AQ9" si="0">44748.7293554634*1.03244397674004</f>
        <v>46200.556089818398</v>
      </c>
      <c r="AR7" s="132">
        <f>1500+931+3333</f>
        <v>5764</v>
      </c>
      <c r="AS7" s="17">
        <f>AL7</f>
        <v>392296.99011192122</v>
      </c>
      <c r="AT7" s="262">
        <f>SUM(AO7:AS7)</f>
        <v>490099.77700666344</v>
      </c>
      <c r="AU7" s="184">
        <f>AT7/$AT$28</f>
        <v>0.11677814572961839</v>
      </c>
      <c r="AV7" s="163">
        <f t="shared" ref="AV7:AV27" si="1">AS7/$AS$28</f>
        <v>0.15237386971544217</v>
      </c>
      <c r="AW7" s="191"/>
      <c r="AX7" s="196"/>
    </row>
    <row r="8" spans="1:50" ht="11.25" x14ac:dyDescent="0.2">
      <c r="A8" s="44" t="s">
        <v>47</v>
      </c>
      <c r="B8" s="92"/>
      <c r="C8" s="4"/>
      <c r="D8" s="17"/>
      <c r="E8" s="17">
        <f>1029.154944*1.032443</f>
        <v>1062.5438178481918</v>
      </c>
      <c r="F8" s="17"/>
      <c r="G8" s="17"/>
      <c r="H8" s="17"/>
      <c r="I8" s="17">
        <f>1013.9306*1.032443</f>
        <v>1046.8255504558001</v>
      </c>
      <c r="J8" s="17"/>
      <c r="K8" s="17">
        <f t="shared" ref="K8:K15" si="2">1768.7205*1.032443</f>
        <v>1826.1030991814998</v>
      </c>
      <c r="L8" s="17"/>
      <c r="M8" s="17"/>
      <c r="N8" s="17">
        <v>-2187.4137313660426</v>
      </c>
      <c r="O8" s="17"/>
      <c r="P8" s="132"/>
      <c r="Q8" s="17">
        <v>-500</v>
      </c>
      <c r="R8" s="132"/>
      <c r="S8" s="55">
        <f t="shared" ref="S8:S27" si="3">SUM(B8:R8)</f>
        <v>1248.0587361194489</v>
      </c>
      <c r="T8" s="95"/>
      <c r="U8" s="148">
        <f>3753.9574*1.032443</f>
        <v>3875.7470399281997</v>
      </c>
      <c r="V8" s="176">
        <f>-479.284193593743*1.032443</f>
        <v>-494.83361068650481</v>
      </c>
      <c r="W8" s="176">
        <f>-543.177117548589*1.032443</f>
        <v>-560.7994127732178</v>
      </c>
      <c r="X8" s="207"/>
      <c r="Y8" s="130">
        <f t="shared" ref="Y8:Y27" si="4">SUM(U8:X8)</f>
        <v>2820.1140164684771</v>
      </c>
      <c r="Z8" s="21"/>
      <c r="AA8" s="44" t="s">
        <v>47</v>
      </c>
      <c r="AB8" s="208">
        <v>3.8343464237587339E-2</v>
      </c>
      <c r="AC8" s="208">
        <v>1.9240501779906327E-2</v>
      </c>
      <c r="AD8" s="208">
        <v>2.7397260273972601E-2</v>
      </c>
      <c r="AE8" s="208">
        <v>2.2909526873717855E-2</v>
      </c>
      <c r="AF8" s="208">
        <v>4.4773993697815602E-2</v>
      </c>
      <c r="AG8" s="60">
        <f>SUM(AB8*'Översikt fördelning'!$C$31)</f>
        <v>56762.781849685358</v>
      </c>
      <c r="AH8" s="5">
        <f>SUM(AC8*'Översikt fördelning'!$C$32)</f>
        <v>4953.5992953359855</v>
      </c>
      <c r="AI8" s="5">
        <f>SUM(AD8*'Översikt fördelning'!$C$33)</f>
        <v>5642.8902214606587</v>
      </c>
      <c r="AJ8" s="5">
        <f>SUM(AE8*'Översikt fördelning'!$C$34)</f>
        <v>7667.6794981324392</v>
      </c>
      <c r="AK8" s="5">
        <f>SUM(AF8*'Översikt fördelning'!$C$35)</f>
        <v>13256.477928339693</v>
      </c>
      <c r="AL8" s="61">
        <f t="shared" ref="AL8:AL27" si="5">SUM(AG8:AK8)</f>
        <v>88283.428792954131</v>
      </c>
      <c r="AN8" s="3" t="s">
        <v>47</v>
      </c>
      <c r="AO8" s="4">
        <f>SUM(S8)</f>
        <v>1248.0587361194489</v>
      </c>
      <c r="AP8" s="17">
        <f t="shared" ref="AP8:AP27" si="6">SUM(Y8)</f>
        <v>2820.1140164684771</v>
      </c>
      <c r="AQ8" s="17">
        <f t="shared" si="0"/>
        <v>46200.556089818398</v>
      </c>
      <c r="AR8" s="132">
        <f>1500+1000+1194</f>
        <v>3694</v>
      </c>
      <c r="AS8" s="17">
        <f>AL8</f>
        <v>88283.428792954131</v>
      </c>
      <c r="AT8" s="262">
        <f t="shared" ref="AT8:AT27" si="7">SUM(AO8:AS8)</f>
        <v>142246.15763536046</v>
      </c>
      <c r="AU8" s="184">
        <f t="shared" ref="AU8:AU27" si="8">AT8/$AT$28</f>
        <v>3.3893593315376155E-2</v>
      </c>
      <c r="AV8" s="163">
        <f t="shared" si="1"/>
        <v>3.4290570705353275E-2</v>
      </c>
      <c r="AW8" s="191"/>
      <c r="AX8" s="196"/>
    </row>
    <row r="9" spans="1:50" ht="11.25" x14ac:dyDescent="0.2">
      <c r="A9" s="44" t="s">
        <v>48</v>
      </c>
      <c r="B9" s="92"/>
      <c r="C9" s="4"/>
      <c r="D9" s="17"/>
      <c r="E9" s="17"/>
      <c r="F9" s="17"/>
      <c r="G9" s="17"/>
      <c r="H9" s="17"/>
      <c r="I9" s="17">
        <f>1013.9306*1.032443</f>
        <v>1046.8255504558001</v>
      </c>
      <c r="J9" s="17"/>
      <c r="K9" s="17">
        <f t="shared" si="2"/>
        <v>1826.1030991814998</v>
      </c>
      <c r="L9" s="17"/>
      <c r="M9" s="17"/>
      <c r="N9" s="17">
        <v>-3794.3254626278981</v>
      </c>
      <c r="O9" s="17"/>
      <c r="P9" s="132"/>
      <c r="Q9" s="17">
        <v>-594</v>
      </c>
      <c r="R9" s="132"/>
      <c r="S9" s="55">
        <f t="shared" si="3"/>
        <v>-1515.3968129905984</v>
      </c>
      <c r="T9" s="95"/>
      <c r="U9" s="148">
        <f>-2247.54621*1.032443</f>
        <v>-2320.4633516910299</v>
      </c>
      <c r="V9" s="176">
        <f>-338.825586726924*1.032443</f>
        <v>-349.81810523710556</v>
      </c>
      <c r="W9" s="176">
        <f>-983.754112893556*1.032443</f>
        <v>-1015.6700475781616</v>
      </c>
      <c r="X9" s="207"/>
      <c r="Y9" s="130">
        <f t="shared" si="4"/>
        <v>-3685.9515045062972</v>
      </c>
      <c r="Z9" s="21"/>
      <c r="AA9" s="44" t="s">
        <v>48</v>
      </c>
      <c r="AB9" s="208">
        <v>2.8615654320196724E-2</v>
      </c>
      <c r="AC9" s="208">
        <v>1.5698680842622201E-2</v>
      </c>
      <c r="AD9" s="208">
        <v>2.7397260273972601E-2</v>
      </c>
      <c r="AE9" s="208">
        <v>2.6423687976549835E-2</v>
      </c>
      <c r="AF9" s="208">
        <v>3.3967705755639031E-2</v>
      </c>
      <c r="AG9" s="60">
        <f>SUM(AB9*'Översikt fördelning'!$C$31)</f>
        <v>42361.955967219568</v>
      </c>
      <c r="AH9" s="5">
        <f>SUM(AC9*'Översikt fördelning'!$C$32)</f>
        <v>4041.7331756353219</v>
      </c>
      <c r="AI9" s="5">
        <f>SUM(AD9*'Översikt fördelning'!$C$33)</f>
        <v>5642.8902214606587</v>
      </c>
      <c r="AJ9" s="5">
        <f>SUM(AE9*'Översikt fördelning'!$C$34)</f>
        <v>8843.847875150801</v>
      </c>
      <c r="AK9" s="5">
        <f>SUM(AF9*'Översikt fördelning'!$C$35)</f>
        <v>10057.001943249355</v>
      </c>
      <c r="AL9" s="61">
        <f>SUM(AG9:AK9)</f>
        <v>70947.429182715699</v>
      </c>
      <c r="AN9" s="3" t="s">
        <v>48</v>
      </c>
      <c r="AO9" s="4">
        <f t="shared" ref="AO9:AO27" si="9">SUM(S9)</f>
        <v>-1515.3968129905984</v>
      </c>
      <c r="AP9" s="17">
        <f t="shared" si="6"/>
        <v>-3685.9515045062972</v>
      </c>
      <c r="AQ9" s="17">
        <f t="shared" si="0"/>
        <v>46200.556089818398</v>
      </c>
      <c r="AR9" s="132">
        <v>1284</v>
      </c>
      <c r="AS9" s="17">
        <f t="shared" ref="AS9:AS27" si="10">AL9</f>
        <v>70947.429182715699</v>
      </c>
      <c r="AT9" s="262">
        <f t="shared" si="7"/>
        <v>113230.6369550372</v>
      </c>
      <c r="AU9" s="184">
        <f t="shared" si="8"/>
        <v>2.6979942541808317E-2</v>
      </c>
      <c r="AV9" s="163">
        <f t="shared" si="1"/>
        <v>2.7557015739143109E-2</v>
      </c>
      <c r="AW9" s="191"/>
      <c r="AX9" s="196"/>
    </row>
    <row r="10" spans="1:50" ht="11.25" x14ac:dyDescent="0.2">
      <c r="A10" s="44" t="s">
        <v>49</v>
      </c>
      <c r="B10" s="107">
        <f>32316.8*1.032443</f>
        <v>33365.253942399999</v>
      </c>
      <c r="C10" s="4"/>
      <c r="D10" s="17"/>
      <c r="E10" s="17"/>
      <c r="F10" s="17"/>
      <c r="G10" s="17"/>
      <c r="H10" s="17"/>
      <c r="I10" s="17">
        <f>1013.9306*1.032443</f>
        <v>1046.8255504558001</v>
      </c>
      <c r="J10" s="17"/>
      <c r="K10" s="17">
        <f t="shared" si="2"/>
        <v>1826.1030991814998</v>
      </c>
      <c r="L10" s="17"/>
      <c r="M10" s="17"/>
      <c r="N10" s="17">
        <v>-2660.0348287959996</v>
      </c>
      <c r="O10" s="17"/>
      <c r="P10" s="132">
        <f>21351.1599*1.032443</f>
        <v>22043.8555806357</v>
      </c>
      <c r="Q10" s="17">
        <v>-581</v>
      </c>
      <c r="R10" s="132">
        <f>2000</f>
        <v>2000</v>
      </c>
      <c r="S10" s="55">
        <f t="shared" si="3"/>
        <v>57041.003343877004</v>
      </c>
      <c r="T10" s="95"/>
      <c r="U10" s="148">
        <f>1379.6698*1.032443</f>
        <v>1424.4304273214</v>
      </c>
      <c r="V10" s="176">
        <f>710.917685608143*1.032443</f>
        <v>733.98198808232792</v>
      </c>
      <c r="W10" s="176">
        <f>1658.50079891502*1.032443</f>
        <v>1712.30754033422</v>
      </c>
      <c r="X10" s="207"/>
      <c r="Y10" s="130">
        <f t="shared" si="4"/>
        <v>3870.7199557379481</v>
      </c>
      <c r="Z10" s="21"/>
      <c r="AA10" s="44" t="s">
        <v>49</v>
      </c>
      <c r="AB10" s="208">
        <v>4.4760340672840897E-2</v>
      </c>
      <c r="AC10" s="208">
        <v>2.7321220189955014E-2</v>
      </c>
      <c r="AD10" s="208">
        <v>4.5662100456621002E-2</v>
      </c>
      <c r="AE10" s="208">
        <v>5.3839723987175812E-2</v>
      </c>
      <c r="AF10" s="208">
        <v>5.2945470082426872E-2</v>
      </c>
      <c r="AG10" s="60">
        <f>SUM(AB10*'Översikt fördelning'!$C$31)</f>
        <v>66262.17801779756</v>
      </c>
      <c r="AH10" s="5">
        <f>SUM(AC10*'Översikt fördelning'!$C$32)</f>
        <v>7034.0357350773493</v>
      </c>
      <c r="AI10" s="5">
        <f>SUM(AD10*'Översikt fördelning'!$C$33)</f>
        <v>9404.8170357677645</v>
      </c>
      <c r="AJ10" s="5">
        <f>SUM(AE10*'Översikt fördelning'!$C$34)</f>
        <v>18019.828610043318</v>
      </c>
      <c r="AK10" s="5">
        <f>SUM(AF10*'Översikt fördelning'!$C$35)</f>
        <v>15675.851037328923</v>
      </c>
      <c r="AL10" s="61">
        <f t="shared" si="5"/>
        <v>116396.71043601491</v>
      </c>
      <c r="AN10" s="3" t="s">
        <v>49</v>
      </c>
      <c r="AO10" s="4">
        <f>SUM(S10)</f>
        <v>57041.003343877004</v>
      </c>
      <c r="AP10" s="17">
        <f t="shared" si="6"/>
        <v>3870.7199557379481</v>
      </c>
      <c r="AQ10" s="17">
        <f>44748.7293554634*1.03244397674004</f>
        <v>46200.556089818398</v>
      </c>
      <c r="AR10" s="132">
        <f>2600+3500+2393</f>
        <v>8493</v>
      </c>
      <c r="AS10" s="17">
        <f t="shared" si="10"/>
        <v>116396.71043601491</v>
      </c>
      <c r="AT10" s="262">
        <f t="shared" si="7"/>
        <v>232001.98982544825</v>
      </c>
      <c r="AU10" s="184">
        <f t="shared" si="8"/>
        <v>5.5280094887758507E-2</v>
      </c>
      <c r="AV10" s="163">
        <f t="shared" si="1"/>
        <v>4.5210179120220642E-2</v>
      </c>
      <c r="AW10" s="191"/>
      <c r="AX10" s="196"/>
    </row>
    <row r="11" spans="1:50" ht="11.25" x14ac:dyDescent="0.2">
      <c r="A11" s="44" t="s">
        <v>50</v>
      </c>
      <c r="B11" s="92"/>
      <c r="C11" s="4"/>
      <c r="D11" s="17"/>
      <c r="E11" s="17"/>
      <c r="F11" s="17"/>
      <c r="G11" s="17"/>
      <c r="H11" s="17"/>
      <c r="I11" s="17"/>
      <c r="J11" s="17"/>
      <c r="K11" s="17">
        <f t="shared" si="2"/>
        <v>1826.1030991814998</v>
      </c>
      <c r="L11" s="17"/>
      <c r="M11" s="17"/>
      <c r="N11" s="17">
        <v>-2124.7400640981564</v>
      </c>
      <c r="O11" s="17"/>
      <c r="P11" s="132"/>
      <c r="Q11" s="17">
        <v>-489</v>
      </c>
      <c r="R11" s="132"/>
      <c r="S11" s="55">
        <f t="shared" si="3"/>
        <v>-787.63696491665655</v>
      </c>
      <c r="T11" s="95"/>
      <c r="U11" s="148">
        <f>-1379.6698*1.032443</f>
        <v>-1424.4304273214</v>
      </c>
      <c r="V11" s="176">
        <f>-1182.80932094194*1.032443</f>
        <v>-1221.1832037412594</v>
      </c>
      <c r="W11" s="176">
        <f>-965.64820897527*1.032443</f>
        <v>-996.97673381905463</v>
      </c>
      <c r="X11" s="207"/>
      <c r="Y11" s="130">
        <f t="shared" si="4"/>
        <v>-3642.5903648817139</v>
      </c>
      <c r="Z11" s="21"/>
      <c r="AA11" s="44" t="s">
        <v>50</v>
      </c>
      <c r="AB11" s="208">
        <v>3.4956997953032622E-2</v>
      </c>
      <c r="AC11" s="208">
        <v>2.6133029123521178E-2</v>
      </c>
      <c r="AD11" s="208">
        <v>4.3378995433789952E-2</v>
      </c>
      <c r="AE11" s="208">
        <v>5.8815259731589589E-2</v>
      </c>
      <c r="AF11" s="208">
        <v>5.3354934040697154E-2</v>
      </c>
      <c r="AG11" s="60">
        <f>SUM(AB11*'Översikt fördelning'!$C$31)</f>
        <v>51749.53511328173</v>
      </c>
      <c r="AH11" s="5">
        <f>SUM(AC11*'Översikt fördelning'!$C$32)</f>
        <v>6728.1277864833073</v>
      </c>
      <c r="AI11" s="5">
        <f>SUM(AD11*'Översikt fördelning'!$C$33)</f>
        <v>8934.5761839793759</v>
      </c>
      <c r="AJ11" s="5">
        <f>SUM(AE11*'Översikt fördelning'!$C$34)</f>
        <v>19685.110203590055</v>
      </c>
      <c r="AK11" s="5">
        <f>SUM(AF11*'Översikt fördelning'!$C$35)</f>
        <v>15797.083241047336</v>
      </c>
      <c r="AL11" s="61">
        <f t="shared" si="5"/>
        <v>102894.4325283818</v>
      </c>
      <c r="AN11" s="3" t="s">
        <v>50</v>
      </c>
      <c r="AO11" s="4">
        <f t="shared" si="9"/>
        <v>-787.63696491665655</v>
      </c>
      <c r="AP11" s="17">
        <f t="shared" si="6"/>
        <v>-3642.5903648817139</v>
      </c>
      <c r="AQ11" s="17">
        <f t="shared" ref="AQ11:AQ27" si="11">44748.7293554634*1.03244397674004</f>
        <v>46200.556089818398</v>
      </c>
      <c r="AR11" s="132">
        <v>3358</v>
      </c>
      <c r="AS11" s="17">
        <f t="shared" si="10"/>
        <v>102894.4325283818</v>
      </c>
      <c r="AT11" s="262">
        <f t="shared" si="7"/>
        <v>148022.76128840185</v>
      </c>
      <c r="AU11" s="184">
        <f t="shared" si="8"/>
        <v>3.5270009087970851E-2</v>
      </c>
      <c r="AV11" s="163">
        <f t="shared" si="1"/>
        <v>3.9965697549835887E-2</v>
      </c>
      <c r="AW11" s="191"/>
      <c r="AX11" s="196"/>
    </row>
    <row r="12" spans="1:50" ht="11.25" x14ac:dyDescent="0.2">
      <c r="A12" s="44" t="s">
        <v>51</v>
      </c>
      <c r="B12" s="92"/>
      <c r="C12" s="4"/>
      <c r="D12" s="17"/>
      <c r="E12" s="17"/>
      <c r="F12" s="17"/>
      <c r="G12" s="17"/>
      <c r="H12" s="17"/>
      <c r="I12" s="17"/>
      <c r="J12" s="17"/>
      <c r="K12" s="17">
        <f t="shared" si="2"/>
        <v>1826.1030991814998</v>
      </c>
      <c r="L12" s="17"/>
      <c r="M12" s="17"/>
      <c r="N12" s="17">
        <v>-2674.4189491525635</v>
      </c>
      <c r="O12" s="17"/>
      <c r="P12" s="132"/>
      <c r="Q12" s="17">
        <v>-476</v>
      </c>
      <c r="R12" s="132"/>
      <c r="S12" s="55">
        <f t="shared" si="3"/>
        <v>-1324.3158499710637</v>
      </c>
      <c r="T12" s="95"/>
      <c r="U12" s="148">
        <f>-1535.3806*1.032443</f>
        <v>-1585.1929528057999</v>
      </c>
      <c r="V12" s="176">
        <f>-120.745118177061*1.032443</f>
        <v>-124.66245204607939</v>
      </c>
      <c r="W12" s="176">
        <f>-665.090203931717*1.032443</f>
        <v>-686.66772541787373</v>
      </c>
      <c r="X12" s="207"/>
      <c r="Y12" s="130">
        <f t="shared" si="4"/>
        <v>-2396.523130269753</v>
      </c>
      <c r="Z12" s="21"/>
      <c r="AA12" s="44" t="s">
        <v>51</v>
      </c>
      <c r="AB12" s="208">
        <v>1.9303606515988361E-2</v>
      </c>
      <c r="AC12" s="208">
        <v>2.097568583319007E-2</v>
      </c>
      <c r="AD12" s="208">
        <v>2.9680365296803651E-2</v>
      </c>
      <c r="AE12" s="208">
        <v>2.3461176075988299E-2</v>
      </c>
      <c r="AF12" s="208">
        <v>3.5107083726478076E-2</v>
      </c>
      <c r="AG12" s="60">
        <f>SUM(AB12*'Översikt fördelning'!$C$31)</f>
        <v>28576.614746903677</v>
      </c>
      <c r="AH12" s="5">
        <f>SUM(AC12*'Översikt fördelning'!$C$32)</f>
        <v>5400.3343442420974</v>
      </c>
      <c r="AI12" s="5">
        <f>SUM(AD12*'Översikt fördelning'!$C$33)</f>
        <v>6113.1310732490465</v>
      </c>
      <c r="AJ12" s="5">
        <f>SUM(AE12*'Översikt fördelning'!$C$34)</f>
        <v>7852.3131355587439</v>
      </c>
      <c r="AK12" s="5">
        <f>SUM(AF12*'Översikt fördelning'!$C$35)</f>
        <v>10394.343727509293</v>
      </c>
      <c r="AL12" s="61">
        <f>SUM(AG12:AK12)</f>
        <v>58336.737027462863</v>
      </c>
      <c r="AN12" s="3" t="s">
        <v>51</v>
      </c>
      <c r="AO12" s="4">
        <f t="shared" si="9"/>
        <v>-1324.3158499710637</v>
      </c>
      <c r="AP12" s="17">
        <f t="shared" si="6"/>
        <v>-2396.523130269753</v>
      </c>
      <c r="AQ12" s="17">
        <f t="shared" si="11"/>
        <v>46200.556089818398</v>
      </c>
      <c r="AR12" s="132">
        <v>2546</v>
      </c>
      <c r="AS12" s="17">
        <f t="shared" si="10"/>
        <v>58336.737027462863</v>
      </c>
      <c r="AT12" s="262">
        <f t="shared" si="7"/>
        <v>103362.45413704045</v>
      </c>
      <c r="AU12" s="184">
        <f t="shared" si="8"/>
        <v>2.4628608904717367E-2</v>
      </c>
      <c r="AV12" s="163">
        <f t="shared" si="1"/>
        <v>2.2658839072180064E-2</v>
      </c>
      <c r="AW12" s="191"/>
      <c r="AX12" s="196"/>
    </row>
    <row r="13" spans="1:50" ht="11.25" x14ac:dyDescent="0.2">
      <c r="A13" s="44" t="s">
        <v>52</v>
      </c>
      <c r="B13" s="92"/>
      <c r="C13" s="4"/>
      <c r="D13" s="17"/>
      <c r="E13" s="17"/>
      <c r="F13" s="17"/>
      <c r="G13" s="17"/>
      <c r="H13" s="17"/>
      <c r="I13" s="17">
        <f>2027.8612*1.032443</f>
        <v>2093.6511009116002</v>
      </c>
      <c r="J13" s="17"/>
      <c r="K13" s="17">
        <f t="shared" si="2"/>
        <v>1826.1030991814998</v>
      </c>
      <c r="L13" s="17"/>
      <c r="M13" s="17"/>
      <c r="N13" s="17">
        <v>-6425.5920507107703</v>
      </c>
      <c r="O13" s="17"/>
      <c r="P13" s="132"/>
      <c r="Q13" s="17">
        <v>-483</v>
      </c>
      <c r="R13" s="132"/>
      <c r="S13" s="55">
        <f t="shared" si="3"/>
        <v>-2988.8378506176705</v>
      </c>
      <c r="T13" s="95"/>
      <c r="U13" s="148">
        <f>1535.3806*1.032443</f>
        <v>1585.1929528057999</v>
      </c>
      <c r="V13" s="176">
        <f>-316.647911957393*1.032443</f>
        <v>-326.9209201650267</v>
      </c>
      <c r="W13" s="176">
        <f>-692.852589939757*1.032443</f>
        <v>-715.33080651517253</v>
      </c>
      <c r="X13" s="207"/>
      <c r="Y13" s="130">
        <f t="shared" si="4"/>
        <v>542.94122612560068</v>
      </c>
      <c r="Z13" s="21"/>
      <c r="AA13" s="44" t="s">
        <v>52</v>
      </c>
      <c r="AB13" s="208">
        <v>2.3376975876983695E-2</v>
      </c>
      <c r="AC13" s="208">
        <v>2.5998102398767851E-2</v>
      </c>
      <c r="AD13" s="208">
        <v>4.3378995433789952E-2</v>
      </c>
      <c r="AE13" s="208">
        <v>3.8823120728108E-2</v>
      </c>
      <c r="AF13" s="208">
        <v>4.7640241405707572E-2</v>
      </c>
      <c r="AG13" s="60">
        <f>SUM(AB13*'Översikt fördelning'!$C$31)</f>
        <v>34606.736986216478</v>
      </c>
      <c r="AH13" s="5">
        <f>SUM(AC13*'Översikt fördelning'!$C$32)</f>
        <v>6693.3899747408877</v>
      </c>
      <c r="AI13" s="5">
        <f>SUM(AD13*'Översikt fördelning'!$C$33)</f>
        <v>8934.5761839793759</v>
      </c>
      <c r="AJ13" s="5">
        <f>SUM(AE13*'Översikt fördelning'!$C$34)</f>
        <v>12993.862706171416</v>
      </c>
      <c r="AK13" s="5">
        <f>SUM(AF13*'Översikt fördelning'!$C$35)</f>
        <v>14105.103354368594</v>
      </c>
      <c r="AL13" s="61">
        <f t="shared" si="5"/>
        <v>77333.669205476748</v>
      </c>
      <c r="AN13" s="3" t="s">
        <v>52</v>
      </c>
      <c r="AO13" s="4">
        <f t="shared" si="9"/>
        <v>-2988.8378506176705</v>
      </c>
      <c r="AP13" s="17">
        <f t="shared" si="6"/>
        <v>542.94122612560068</v>
      </c>
      <c r="AQ13" s="17">
        <f t="shared" si="11"/>
        <v>46200.556089818398</v>
      </c>
      <c r="AR13" s="132">
        <f>1500+1000+2166</f>
        <v>4666</v>
      </c>
      <c r="AS13" s="17">
        <f t="shared" si="10"/>
        <v>77333.669205476748</v>
      </c>
      <c r="AT13" s="262">
        <f t="shared" si="7"/>
        <v>125754.32867080308</v>
      </c>
      <c r="AU13" s="184">
        <f t="shared" si="8"/>
        <v>2.9964015509947286E-2</v>
      </c>
      <c r="AV13" s="163">
        <f t="shared" si="1"/>
        <v>3.0037524460156013E-2</v>
      </c>
      <c r="AW13" s="191"/>
      <c r="AX13" s="196"/>
    </row>
    <row r="14" spans="1:50" ht="11.25" x14ac:dyDescent="0.2">
      <c r="A14" s="44" t="s">
        <v>53</v>
      </c>
      <c r="B14" s="107">
        <f>6979*1.032443</f>
        <v>7205.4196970000003</v>
      </c>
      <c r="C14" s="4"/>
      <c r="D14" s="17"/>
      <c r="E14" s="17"/>
      <c r="F14" s="17"/>
      <c r="G14" s="17"/>
      <c r="H14" s="17"/>
      <c r="I14" s="17">
        <f>1013.9306*1.032443</f>
        <v>1046.8255504558001</v>
      </c>
      <c r="J14" s="17"/>
      <c r="K14" s="17">
        <f t="shared" si="2"/>
        <v>1826.1030991814998</v>
      </c>
      <c r="L14" s="17"/>
      <c r="M14" s="17"/>
      <c r="N14" s="17">
        <v>-2596.3337243597884</v>
      </c>
      <c r="O14" s="17"/>
      <c r="P14" s="132">
        <f>4400*1.032443</f>
        <v>4542.7492000000002</v>
      </c>
      <c r="Q14" s="17">
        <v>-482</v>
      </c>
      <c r="R14" s="132">
        <f>4000</f>
        <v>4000</v>
      </c>
      <c r="S14" s="55">
        <f t="shared" si="3"/>
        <v>15542.763822277513</v>
      </c>
      <c r="T14" s="95"/>
      <c r="U14" s="148">
        <f>-1052.55655*1.032443</f>
        <v>-1086.70464215165</v>
      </c>
      <c r="V14" s="176">
        <f>-157.707909456174*1.032443</f>
        <v>-162.82442716266067</v>
      </c>
      <c r="W14" s="176">
        <f>-424.885211949118*1.032443</f>
        <v>-438.66976288038325</v>
      </c>
      <c r="X14" s="207"/>
      <c r="Y14" s="130">
        <f t="shared" si="4"/>
        <v>-1688.1988321946938</v>
      </c>
      <c r="Z14" s="21"/>
      <c r="AA14" s="44" t="s">
        <v>53</v>
      </c>
      <c r="AB14" s="208">
        <v>5.7838035116024355E-3</v>
      </c>
      <c r="AC14" s="208">
        <v>7.0736737912089724E-3</v>
      </c>
      <c r="AD14" s="208">
        <v>4.5662100456621002E-3</v>
      </c>
      <c r="AE14" s="208">
        <v>9.2440697518135218E-3</v>
      </c>
      <c r="AF14" s="208">
        <v>2.2360292677716258E-2</v>
      </c>
      <c r="AG14" s="60">
        <f>SUM(AB14*'Översikt fördelning'!$C$31)</f>
        <v>8562.2095843051775</v>
      </c>
      <c r="AH14" s="5">
        <f>SUM(AC14*'Översikt fördelning'!$C$32)</f>
        <v>1821.1658878960893</v>
      </c>
      <c r="AI14" s="5">
        <f>SUM(AD14*'Översikt fördelning'!$C$33)</f>
        <v>940.48170357677634</v>
      </c>
      <c r="AJ14" s="5">
        <f>SUM(AE14*'Översikt fördelning'!$C$34)</f>
        <v>3093.9339998593332</v>
      </c>
      <c r="AK14" s="5">
        <f>SUM(AF14*'Översikt fördelning'!$C$35)</f>
        <v>6620.3325161012526</v>
      </c>
      <c r="AL14" s="61">
        <f t="shared" si="5"/>
        <v>21038.123691738627</v>
      </c>
      <c r="AN14" s="3" t="s">
        <v>53</v>
      </c>
      <c r="AO14" s="4">
        <f t="shared" si="9"/>
        <v>15542.763822277513</v>
      </c>
      <c r="AP14" s="17">
        <f>SUM(Y14)</f>
        <v>-1688.1988321946938</v>
      </c>
      <c r="AQ14" s="17">
        <f t="shared" si="11"/>
        <v>46200.556089818398</v>
      </c>
      <c r="AR14" s="132">
        <v>387</v>
      </c>
      <c r="AS14" s="17">
        <f t="shared" si="10"/>
        <v>21038.123691738627</v>
      </c>
      <c r="AT14" s="262">
        <f t="shared" si="7"/>
        <v>81480.244771639846</v>
      </c>
      <c r="AU14" s="184">
        <f t="shared" si="8"/>
        <v>1.9414642373726618E-2</v>
      </c>
      <c r="AV14" s="163">
        <f t="shared" si="1"/>
        <v>8.1715139276183919E-3</v>
      </c>
      <c r="AW14" s="191"/>
      <c r="AX14" s="196"/>
    </row>
    <row r="15" spans="1:50" ht="11.25" x14ac:dyDescent="0.2">
      <c r="A15" s="44" t="s">
        <v>54</v>
      </c>
      <c r="B15" s="92"/>
      <c r="C15" s="4"/>
      <c r="D15" s="17"/>
      <c r="E15" s="17"/>
      <c r="F15" s="17"/>
      <c r="G15" s="17"/>
      <c r="H15" s="17">
        <f>-5726.768462*1.032443</f>
        <v>-5912.5620112126662</v>
      </c>
      <c r="I15" s="17">
        <f>1013.9306*1.032443</f>
        <v>1046.8255504558001</v>
      </c>
      <c r="J15" s="17"/>
      <c r="K15" s="17">
        <f t="shared" si="2"/>
        <v>1826.1030991814998</v>
      </c>
      <c r="L15" s="17"/>
      <c r="M15" s="17"/>
      <c r="N15" s="17">
        <v>-3575.4813457744613</v>
      </c>
      <c r="O15" s="17"/>
      <c r="P15" s="132"/>
      <c r="Q15" s="17">
        <v>-450</v>
      </c>
      <c r="R15" s="132">
        <f>1000</f>
        <v>1000</v>
      </c>
      <c r="S15" s="55">
        <f t="shared" si="3"/>
        <v>-6065.1147073498278</v>
      </c>
      <c r="T15" s="95"/>
      <c r="U15" s="148">
        <f>-1943.36702*1.032443</f>
        <v>-2006.4156762298599</v>
      </c>
      <c r="V15" s="176">
        <f>-93.6390712376696*1.032443</f>
        <v>-96.677003625833308</v>
      </c>
      <c r="W15" s="176">
        <f>-438.162874822528*1.032443</f>
        <v>-452.37819297039528</v>
      </c>
      <c r="X15" s="207"/>
      <c r="Y15" s="130">
        <f t="shared" si="4"/>
        <v>-2555.4708728260885</v>
      </c>
      <c r="Z15" s="21"/>
      <c r="AA15" s="44" t="s">
        <v>54</v>
      </c>
      <c r="AB15" s="208">
        <v>1.4971321701787209E-2</v>
      </c>
      <c r="AC15" s="208">
        <v>6.7928241600593462E-3</v>
      </c>
      <c r="AD15" s="208">
        <v>1.5981735159817351E-2</v>
      </c>
      <c r="AE15" s="208">
        <v>2.1925147744564243E-2</v>
      </c>
      <c r="AF15" s="208">
        <v>2.0953872994961813E-2</v>
      </c>
      <c r="AG15" s="60">
        <f>SUM(AB15*'Översikt fördelning'!$C$31)</f>
        <v>22163.200030500942</v>
      </c>
      <c r="AH15" s="5">
        <f>SUM(AC15*'Översikt fördelning'!$C$32)</f>
        <v>1748.8592219435898</v>
      </c>
      <c r="AI15" s="5">
        <f>SUM(AD15*'Översikt fördelning'!$C$33)</f>
        <v>3291.6859625187171</v>
      </c>
      <c r="AJ15" s="5">
        <f>SUM(AE15*'Översikt fördelning'!$C$34)</f>
        <v>7338.2137824672382</v>
      </c>
      <c r="AK15" s="5">
        <f>SUM(AF15*'Översikt fördelning'!$C$35)</f>
        <v>6203.9262511553943</v>
      </c>
      <c r="AL15" s="61">
        <f>SUM(AG15:AK15)</f>
        <v>40745.885248585881</v>
      </c>
      <c r="AN15" s="3" t="s">
        <v>54</v>
      </c>
      <c r="AO15" s="4">
        <f t="shared" si="9"/>
        <v>-6065.1147073498278</v>
      </c>
      <c r="AP15" s="17">
        <f t="shared" si="6"/>
        <v>-2555.4708728260885</v>
      </c>
      <c r="AQ15" s="17">
        <f t="shared" si="11"/>
        <v>46200.556089818398</v>
      </c>
      <c r="AR15" s="132">
        <v>1337</v>
      </c>
      <c r="AS15" s="17">
        <f>AL15</f>
        <v>40745.885248585881</v>
      </c>
      <c r="AT15" s="262">
        <f t="shared" si="7"/>
        <v>79662.855758228368</v>
      </c>
      <c r="AU15" s="184">
        <f t="shared" si="8"/>
        <v>1.8981605410617192E-2</v>
      </c>
      <c r="AV15" s="163">
        <f t="shared" si="1"/>
        <v>1.5826295808532925E-2</v>
      </c>
      <c r="AW15" s="191"/>
      <c r="AX15" s="196"/>
    </row>
    <row r="16" spans="1:50" ht="11.25" x14ac:dyDescent="0.2">
      <c r="A16" s="44" t="s">
        <v>55</v>
      </c>
      <c r="B16" s="92"/>
      <c r="C16" s="4">
        <f>3000</f>
        <v>3000</v>
      </c>
      <c r="D16" s="17"/>
      <c r="E16" s="17"/>
      <c r="F16" s="17"/>
      <c r="G16" s="17">
        <f>7048.9404617*1.032443</f>
        <v>7277.6292370989331</v>
      </c>
      <c r="H16" s="17">
        <f>5726.768462*1.032443</f>
        <v>5912.5620112126662</v>
      </c>
      <c r="I16" s="17">
        <f>1013.9306*1.032443</f>
        <v>1046.8255504558001</v>
      </c>
      <c r="J16" s="17"/>
      <c r="K16" s="17">
        <f>2653.0808*1.032443</f>
        <v>2739.1547003944002</v>
      </c>
      <c r="L16" s="17">
        <f>4667.54165*1.032443</f>
        <v>4818.9707037509497</v>
      </c>
      <c r="M16" s="17">
        <f>3158.7553*1.032443</f>
        <v>3261.2347981978996</v>
      </c>
      <c r="N16" s="17">
        <v>-6781.0853109515647</v>
      </c>
      <c r="O16" s="17">
        <v>500</v>
      </c>
      <c r="P16" s="132">
        <f>21351.1599*1.032443</f>
        <v>22043.8555806357</v>
      </c>
      <c r="Q16" s="17">
        <v>-822</v>
      </c>
      <c r="R16" s="132">
        <f>2000+1000</f>
        <v>3000</v>
      </c>
      <c r="S16" s="55">
        <f t="shared" si="3"/>
        <v>45997.147270794783</v>
      </c>
      <c r="T16" s="95"/>
      <c r="U16" s="148">
        <f>1943.36702*1.032443</f>
        <v>2006.4156762298599</v>
      </c>
      <c r="V16" s="176">
        <f>417.679541455011*1.032443</f>
        <v>431.23031881843593</v>
      </c>
      <c r="W16" s="176">
        <f>1103.25307875424*1.032443</f>
        <v>1139.0459183882638</v>
      </c>
      <c r="X16" s="207"/>
      <c r="Y16" s="130">
        <f t="shared" si="4"/>
        <v>3576.6919134365598</v>
      </c>
      <c r="Z16" s="21"/>
      <c r="AA16" s="44" t="s">
        <v>55</v>
      </c>
      <c r="AB16" s="208">
        <v>0.13474416982958301</v>
      </c>
      <c r="AC16" s="208">
        <v>2.526200637760655E-2</v>
      </c>
      <c r="AD16" s="208">
        <v>0.1095890410958904</v>
      </c>
      <c r="AE16" s="208">
        <v>0.12057743227273235</v>
      </c>
      <c r="AF16" s="208">
        <v>0.12882092182798954</v>
      </c>
      <c r="AG16" s="60">
        <f>SUM(AB16*'Översikt fördelning'!$C$31)</f>
        <v>199472.16741193531</v>
      </c>
      <c r="AH16" s="5">
        <f>SUM(AC16*'Översikt fördelning'!$C$32)</f>
        <v>6503.8769997969466</v>
      </c>
      <c r="AI16" s="5">
        <f>SUM(AD16*'Översikt fördelning'!$C$33)</f>
        <v>22571.560885842635</v>
      </c>
      <c r="AJ16" s="5">
        <f>SUM(AE16*'Översikt fördelning'!$C$34)</f>
        <v>40356.534225756484</v>
      </c>
      <c r="AK16" s="5">
        <f>SUM(AF16*'Översikt fördelning'!$C$35)</f>
        <v>38140.705482889069</v>
      </c>
      <c r="AL16" s="61">
        <f>SUM(AG16:AK16)</f>
        <v>307044.84500622045</v>
      </c>
      <c r="AN16" s="3" t="s">
        <v>55</v>
      </c>
      <c r="AO16" s="4">
        <f t="shared" si="9"/>
        <v>45997.147270794783</v>
      </c>
      <c r="AP16" s="17">
        <f t="shared" si="6"/>
        <v>3576.6919134365598</v>
      </c>
      <c r="AQ16" s="17">
        <f t="shared" si="11"/>
        <v>46200.556089818398</v>
      </c>
      <c r="AR16" s="132">
        <f>3500+2014+3333</f>
        <v>8847</v>
      </c>
      <c r="AS16" s="17">
        <f t="shared" si="10"/>
        <v>307044.84500622045</v>
      </c>
      <c r="AT16" s="262">
        <f t="shared" si="7"/>
        <v>411666.24028027023</v>
      </c>
      <c r="AU16" s="184">
        <f t="shared" si="8"/>
        <v>9.8089455361576067E-2</v>
      </c>
      <c r="AV16" s="163">
        <f t="shared" si="1"/>
        <v>0.11926069378311611</v>
      </c>
      <c r="AW16" s="191"/>
      <c r="AX16" s="196"/>
    </row>
    <row r="17" spans="1:50" ht="11.25" x14ac:dyDescent="0.2">
      <c r="A17" s="44" t="s">
        <v>56</v>
      </c>
      <c r="B17" s="92"/>
      <c r="C17" s="4"/>
      <c r="D17" s="17"/>
      <c r="E17" s="17"/>
      <c r="F17" s="17"/>
      <c r="G17" s="17"/>
      <c r="H17" s="17"/>
      <c r="I17" s="17">
        <f>1013.9306*1.032443</f>
        <v>1046.8255504558001</v>
      </c>
      <c r="J17" s="17"/>
      <c r="K17" s="17">
        <f>1768.7205*1.032443</f>
        <v>1826.1030991814998</v>
      </c>
      <c r="L17" s="17"/>
      <c r="M17" s="17"/>
      <c r="N17" s="17">
        <v>-2476.1235756656465</v>
      </c>
      <c r="O17" s="17"/>
      <c r="P17" s="132"/>
      <c r="Q17" s="17">
        <v>-488</v>
      </c>
      <c r="R17" s="132"/>
      <c r="S17" s="55">
        <f t="shared" si="3"/>
        <v>-91.194926028346799</v>
      </c>
      <c r="T17" s="95"/>
      <c r="U17" s="148"/>
      <c r="V17" s="176">
        <f>-250.114887659115*1.032443</f>
        <v>-258.22936495943969</v>
      </c>
      <c r="W17" s="176">
        <f>-778.553868486311*1.032443</f>
        <v>-803.81249164161238</v>
      </c>
      <c r="X17" s="207"/>
      <c r="Y17" s="130">
        <f t="shared" si="4"/>
        <v>-1062.0418566010521</v>
      </c>
      <c r="Z17" s="21"/>
      <c r="AA17" s="44" t="s">
        <v>56</v>
      </c>
      <c r="AB17" s="208">
        <v>3.257728820559555E-2</v>
      </c>
      <c r="AC17" s="208">
        <v>1.271216707830828E-2</v>
      </c>
      <c r="AD17" s="208">
        <v>2.2831050228310501E-2</v>
      </c>
      <c r="AE17" s="208">
        <v>3.1872033320781194E-2</v>
      </c>
      <c r="AF17" s="208">
        <v>4.8654999910986096E-2</v>
      </c>
      <c r="AG17" s="60">
        <f>SUM(AB17*'Översikt fördelning'!$C$31)</f>
        <v>48226.667580438283</v>
      </c>
      <c r="AH17" s="5">
        <f>SUM(AC17*'Översikt fördelning'!$C$32)</f>
        <v>3272.8347005515457</v>
      </c>
      <c r="AI17" s="5">
        <f>SUM(AD17*'Översikt fördelning'!$C$33)</f>
        <v>4702.4085178838823</v>
      </c>
      <c r="AJ17" s="5">
        <f>SUM(AE17*'Översikt fördelning'!$C$34)</f>
        <v>10667.375970034085</v>
      </c>
      <c r="AK17" s="5">
        <f>SUM(AF17*'Översikt fördelning'!$C$35)</f>
        <v>14405.5483809751</v>
      </c>
      <c r="AL17" s="61">
        <f t="shared" si="5"/>
        <v>81274.8351498829</v>
      </c>
      <c r="AN17" s="3" t="s">
        <v>56</v>
      </c>
      <c r="AO17" s="4">
        <f t="shared" si="9"/>
        <v>-91.194926028346799</v>
      </c>
      <c r="AP17" s="17">
        <f>SUM(Y17)</f>
        <v>-1062.0418566010521</v>
      </c>
      <c r="AQ17" s="17">
        <f t="shared" si="11"/>
        <v>46200.556089818398</v>
      </c>
      <c r="AR17" s="132">
        <f>1500+1000+2551</f>
        <v>5051</v>
      </c>
      <c r="AS17" s="17">
        <f t="shared" si="10"/>
        <v>81274.8351498829</v>
      </c>
      <c r="AT17" s="262">
        <f t="shared" si="7"/>
        <v>131373.15445707191</v>
      </c>
      <c r="AU17" s="184">
        <f t="shared" si="8"/>
        <v>3.130283688323128E-2</v>
      </c>
      <c r="AV17" s="163">
        <f t="shared" si="1"/>
        <v>3.1568330765778065E-2</v>
      </c>
      <c r="AW17" s="191"/>
      <c r="AX17" s="196"/>
    </row>
    <row r="18" spans="1:50" ht="11.25" x14ac:dyDescent="0.2">
      <c r="A18" s="44" t="s">
        <v>57</v>
      </c>
      <c r="B18" s="132">
        <f>(1011*1.032443)+(3000)+(5065*1.032443)+(116000)</f>
        <v>125273.123668</v>
      </c>
      <c r="C18" s="4">
        <f>15000</f>
        <v>15000</v>
      </c>
      <c r="D18" s="17"/>
      <c r="E18" s="17">
        <f>1029.154944*1.032443</f>
        <v>1062.5438178481918</v>
      </c>
      <c r="F18" s="17"/>
      <c r="G18" s="17">
        <f>7048.9404617*1.032443</f>
        <v>7277.6292370989331</v>
      </c>
      <c r="H18" s="17"/>
      <c r="I18" s="17">
        <f>2896.9446*1.032443</f>
        <v>2990.9301736578</v>
      </c>
      <c r="J18" s="17">
        <f>2450.4895*1.032443</f>
        <v>2529.9907308485003</v>
      </c>
      <c r="K18" s="17">
        <f>2653.0808*1.032443</f>
        <v>2739.1547003944002</v>
      </c>
      <c r="L18" s="17">
        <f>4667.54165*1.032443</f>
        <v>4818.9707037509497</v>
      </c>
      <c r="M18" s="17">
        <f>4211.6737*1.032443</f>
        <v>4348.3130298491005</v>
      </c>
      <c r="N18" s="17">
        <v>-8198.948603241437</v>
      </c>
      <c r="O18" s="17">
        <v>500</v>
      </c>
      <c r="P18" s="132">
        <f>21351.1599*1.032443</f>
        <v>22043.8555806357</v>
      </c>
      <c r="Q18" s="17">
        <v>-791</v>
      </c>
      <c r="R18" s="132">
        <f>2000+1000</f>
        <v>3000</v>
      </c>
      <c r="S18" s="55">
        <f t="shared" si="3"/>
        <v>182594.56303884211</v>
      </c>
      <c r="T18" s="95"/>
      <c r="U18" s="148"/>
      <c r="V18" s="176">
        <f>373.324191926264*1.032443</f>
        <v>385.43594868492778</v>
      </c>
      <c r="W18" s="176">
        <f>778.553868486311*1.032443</f>
        <v>803.81249164161238</v>
      </c>
      <c r="X18" s="207"/>
      <c r="Y18" s="130">
        <f t="shared" si="4"/>
        <v>1189.2484403265403</v>
      </c>
      <c r="Z18" s="21"/>
      <c r="AA18" s="44" t="s">
        <v>57</v>
      </c>
      <c r="AB18" s="208">
        <v>0.16746257264345948</v>
      </c>
      <c r="AC18" s="208">
        <v>6.4318432076809484E-2</v>
      </c>
      <c r="AD18" s="208">
        <v>0.16894977168949771</v>
      </c>
      <c r="AE18" s="208">
        <v>0.14412364336548358</v>
      </c>
      <c r="AF18" s="208">
        <v>0.19148671022413702</v>
      </c>
      <c r="AG18" s="60">
        <f>SUM(AB18*'Översikt fördelning'!$C$31)</f>
        <v>247907.73781023119</v>
      </c>
      <c r="AH18" s="5">
        <f>SUM(AC18*'Översikt fördelning'!$C$32)</f>
        <v>16559.221971307135</v>
      </c>
      <c r="AI18" s="5">
        <f>SUM(AD18*'Översikt fördelning'!$C$33)</f>
        <v>34797.823032340726</v>
      </c>
      <c r="AJ18" s="5">
        <f>SUM(AE18*'Översikt fördelning'!$C$34)</f>
        <v>48237.308064945231</v>
      </c>
      <c r="AK18" s="5">
        <f>SUM(AF18*'Översikt fördelning'!$C$35)</f>
        <v>56694.503617185575</v>
      </c>
      <c r="AL18" s="61">
        <f>SUM(AG18:AK18)</f>
        <v>404196.59449600987</v>
      </c>
      <c r="AN18" s="3" t="s">
        <v>57</v>
      </c>
      <c r="AO18" s="4">
        <f t="shared" si="9"/>
        <v>182594.56303884211</v>
      </c>
      <c r="AP18" s="17">
        <f t="shared" si="6"/>
        <v>1189.2484403265403</v>
      </c>
      <c r="AQ18" s="17">
        <f t="shared" si="11"/>
        <v>46200.556089818398</v>
      </c>
      <c r="AR18" s="132">
        <f>1000+3500+5460+3333</f>
        <v>13293</v>
      </c>
      <c r="AS18" s="17">
        <f t="shared" si="10"/>
        <v>404196.59449600987</v>
      </c>
      <c r="AT18" s="262">
        <f t="shared" si="7"/>
        <v>647473.96206499694</v>
      </c>
      <c r="AU18" s="184">
        <f t="shared" si="8"/>
        <v>0.15427635809173529</v>
      </c>
      <c r="AV18" s="163">
        <f t="shared" si="1"/>
        <v>0.15699584952611859</v>
      </c>
      <c r="AW18" s="191"/>
      <c r="AX18" s="196"/>
    </row>
    <row r="19" spans="1:50" ht="11.25" x14ac:dyDescent="0.2">
      <c r="A19" s="44" t="s">
        <v>58</v>
      </c>
      <c r="C19" s="4"/>
      <c r="D19" s="17"/>
      <c r="E19" s="17">
        <f>1382.926957*1.032443</f>
        <v>1427.793256265951</v>
      </c>
      <c r="F19" s="17"/>
      <c r="G19" s="17"/>
      <c r="H19" s="17"/>
      <c r="I19" s="17"/>
      <c r="J19" s="17"/>
      <c r="K19" s="17">
        <f t="shared" ref="K19:K27" si="12">1768.7205*1.032443</f>
        <v>1826.1030991814998</v>
      </c>
      <c r="L19" s="17"/>
      <c r="M19" s="17"/>
      <c r="N19" s="17">
        <v>-4225.8490733248154</v>
      </c>
      <c r="O19" s="17"/>
      <c r="P19" s="132"/>
      <c r="Q19" s="17">
        <v>-551</v>
      </c>
      <c r="R19" s="132"/>
      <c r="S19" s="55">
        <f t="shared" si="3"/>
        <v>-1522.9527178773646</v>
      </c>
      <c r="T19" s="95"/>
      <c r="U19" s="148">
        <f>-1802.14096999664*1.032443</f>
        <v>-1860.6078294862409</v>
      </c>
      <c r="V19" s="176">
        <f>-799.628384675952*1.032443</f>
        <v>-825.57072835999395</v>
      </c>
      <c r="W19" s="176">
        <f>-1052.55654778305*1.032443</f>
        <v>-1086.7046398627756</v>
      </c>
      <c r="X19" s="207"/>
      <c r="Y19" s="130">
        <f t="shared" si="4"/>
        <v>-3772.8831977090103</v>
      </c>
      <c r="Z19" s="21"/>
      <c r="AA19" s="44" t="s">
        <v>58</v>
      </c>
      <c r="AB19" s="208">
        <v>2.687223972386648E-2</v>
      </c>
      <c r="AC19" s="208">
        <v>4.8698534852665905E-2</v>
      </c>
      <c r="AD19" s="208">
        <v>5.4794520547945202E-2</v>
      </c>
      <c r="AE19" s="208">
        <v>5.0484747501723076E-2</v>
      </c>
      <c r="AF19" s="208">
        <v>5.0346264086450307E-2</v>
      </c>
      <c r="AG19" s="60">
        <f>SUM(AB19*'Översikt fördelning'!$C$31)</f>
        <v>39781.045129537837</v>
      </c>
      <c r="AH19" s="5">
        <f>SUM(AC19*'Översikt fördelning'!$C$32)</f>
        <v>12537.772179205358</v>
      </c>
      <c r="AI19" s="5">
        <f>SUM(AD19*'Översikt fördelning'!$C$33)</f>
        <v>11285.780442921317</v>
      </c>
      <c r="AJ19" s="5">
        <f>SUM(AE19*'Översikt fördelning'!$C$34)</f>
        <v>16896.938357615876</v>
      </c>
      <c r="AK19" s="5">
        <f>SUM(AF19*'Översikt fördelning'!$C$35)</f>
        <v>14906.290091985944</v>
      </c>
      <c r="AL19" s="61">
        <f t="shared" si="5"/>
        <v>95407.826201266318</v>
      </c>
      <c r="AN19" s="3" t="s">
        <v>58</v>
      </c>
      <c r="AO19" s="4">
        <f t="shared" si="9"/>
        <v>-1522.9527178773646</v>
      </c>
      <c r="AP19" s="17">
        <f t="shared" si="6"/>
        <v>-3772.8831977090103</v>
      </c>
      <c r="AQ19" s="17">
        <f t="shared" si="11"/>
        <v>46200.556089818398</v>
      </c>
      <c r="AR19" s="132">
        <v>4233</v>
      </c>
      <c r="AS19" s="17">
        <f t="shared" si="10"/>
        <v>95407.826201266318</v>
      </c>
      <c r="AT19" s="262">
        <f t="shared" si="7"/>
        <v>140545.54637549835</v>
      </c>
      <c r="AU19" s="184">
        <f t="shared" si="8"/>
        <v>3.3488381481274657E-2</v>
      </c>
      <c r="AV19" s="163">
        <f t="shared" si="1"/>
        <v>3.7057790515491212E-2</v>
      </c>
      <c r="AW19" s="191"/>
      <c r="AX19" s="196"/>
    </row>
    <row r="20" spans="1:50" ht="11.25" x14ac:dyDescent="0.2">
      <c r="A20" s="44" t="s">
        <v>59</v>
      </c>
      <c r="B20" s="17">
        <f>(1035.28602315388*1.032443)+(9727.96303436412*1.032443 )+(547.5174890115*1.032443)+(11346.027*1.032443)+5000</f>
        <v>28391.847899559558</v>
      </c>
      <c r="C20" s="4"/>
      <c r="D20" s="17"/>
      <c r="E20" s="17">
        <f>1382.926957*1.032443</f>
        <v>1427.793256265951</v>
      </c>
      <c r="F20" s="17"/>
      <c r="G20" s="17"/>
      <c r="H20" s="17"/>
      <c r="I20" s="17"/>
      <c r="J20" s="17"/>
      <c r="K20" s="17">
        <f t="shared" si="12"/>
        <v>1826.1030991814998</v>
      </c>
      <c r="L20" s="17"/>
      <c r="M20" s="17"/>
      <c r="N20" s="17">
        <v>-3494.3138094767078</v>
      </c>
      <c r="O20" s="17"/>
      <c r="P20" s="132">
        <f>22600*1.032443</f>
        <v>23333.211800000001</v>
      </c>
      <c r="Q20" s="17">
        <v>-627</v>
      </c>
      <c r="R20" s="132">
        <f>2000</f>
        <v>2000</v>
      </c>
      <c r="S20" s="55">
        <f t="shared" si="3"/>
        <v>52857.642245530296</v>
      </c>
      <c r="T20" s="95"/>
      <c r="U20" s="148">
        <f>1802.14096999664*1.032443</f>
        <v>1860.6078294862409</v>
      </c>
      <c r="V20" s="176">
        <f>-181.117677270749*1.032443</f>
        <v>-186.99367807444392</v>
      </c>
      <c r="W20" s="176">
        <f>-725.443216992672*1.032443</f>
        <v>-748.97877128156529</v>
      </c>
      <c r="X20" s="207">
        <v>5874</v>
      </c>
      <c r="Y20" s="130">
        <f t="shared" si="4"/>
        <v>6798.6353801302321</v>
      </c>
      <c r="Z20" s="21"/>
      <c r="AA20" s="44" t="s">
        <v>59</v>
      </c>
      <c r="AB20" s="208">
        <v>2.9200583374803718E-2</v>
      </c>
      <c r="AC20" s="208">
        <v>2.1529383808846666E-2</v>
      </c>
      <c r="AD20" s="208">
        <v>4.3378995433789952E-2</v>
      </c>
      <c r="AE20" s="208">
        <v>4.0908310660399912E-2</v>
      </c>
      <c r="AF20" s="208">
        <v>3.642448950526072E-2</v>
      </c>
      <c r="AG20" s="60">
        <f>SUM(AB20*'Översikt fördelning'!$C$31)</f>
        <v>43227.871475491564</v>
      </c>
      <c r="AH20" s="5">
        <f>SUM(AC20*'Översikt fördelning'!$C$32)</f>
        <v>5542.8876899612769</v>
      </c>
      <c r="AI20" s="5">
        <f>SUM(AD20*'Översikt fördelning'!$C$33)</f>
        <v>8934.5761839793759</v>
      </c>
      <c r="AJ20" s="5">
        <f>SUM(AE20*'Översikt fördelning'!$C$34)</f>
        <v>13691.763111608823</v>
      </c>
      <c r="AK20" s="5">
        <f>SUM(AF20*'Översikt fördelning'!$C$35)</f>
        <v>10784.395165559843</v>
      </c>
      <c r="AL20" s="61">
        <f t="shared" si="5"/>
        <v>82181.493626600888</v>
      </c>
      <c r="AN20" s="3" t="s">
        <v>59</v>
      </c>
      <c r="AO20" s="4">
        <f t="shared" si="9"/>
        <v>52857.642245530296</v>
      </c>
      <c r="AP20" s="17">
        <f t="shared" si="6"/>
        <v>6798.6353801302321</v>
      </c>
      <c r="AQ20" s="17">
        <f t="shared" si="11"/>
        <v>46200.556089818398</v>
      </c>
      <c r="AR20" s="132">
        <f>1000+600+15000+1500+3252+8000+3334</f>
        <v>32686</v>
      </c>
      <c r="AS20" s="17">
        <f>AL20</f>
        <v>82181.493626600888</v>
      </c>
      <c r="AT20" s="262">
        <f t="shared" si="7"/>
        <v>220724.32734207981</v>
      </c>
      <c r="AU20" s="184">
        <f t="shared" si="8"/>
        <v>5.2592918572323566E-2</v>
      </c>
      <c r="AV20" s="163">
        <f t="shared" si="1"/>
        <v>3.1920490135056975E-2</v>
      </c>
      <c r="AW20" s="191"/>
      <c r="AX20" s="196"/>
    </row>
    <row r="21" spans="1:50" ht="11.25" x14ac:dyDescent="0.2">
      <c r="A21" s="44" t="s">
        <v>60</v>
      </c>
      <c r="B21" s="92"/>
      <c r="C21" s="4"/>
      <c r="D21" s="17"/>
      <c r="E21" s="17">
        <f>1029.154944*1.032443</f>
        <v>1062.5438178481918</v>
      </c>
      <c r="F21" s="17"/>
      <c r="G21" s="17"/>
      <c r="H21" s="17"/>
      <c r="I21" s="17"/>
      <c r="J21" s="17"/>
      <c r="K21" s="17">
        <f t="shared" si="12"/>
        <v>1826.1030991814998</v>
      </c>
      <c r="L21" s="17"/>
      <c r="M21" s="17"/>
      <c r="N21" s="17">
        <v>-4884.4362982217781</v>
      </c>
      <c r="O21" s="17"/>
      <c r="P21" s="132"/>
      <c r="Q21" s="17">
        <v>-564</v>
      </c>
      <c r="R21" s="132"/>
      <c r="S21" s="55">
        <f t="shared" si="3"/>
        <v>-2559.7893811920867</v>
      </c>
      <c r="T21" s="95"/>
      <c r="U21" s="148">
        <f>-1506.41120599876*1.032443</f>
        <v>-1555.2837047549776</v>
      </c>
      <c r="V21" s="176">
        <f>-273.524655473689*1.032443</f>
        <v>-282.39861587122186</v>
      </c>
      <c r="W21" s="176">
        <f>-461.097019785691*1.032443</f>
        <v>-476.05639039859813</v>
      </c>
      <c r="X21" s="207"/>
      <c r="Y21" s="130">
        <f t="shared" si="4"/>
        <v>-2313.7387110247978</v>
      </c>
      <c r="Z21" s="21"/>
      <c r="AA21" s="44" t="s">
        <v>60</v>
      </c>
      <c r="AB21" s="208">
        <v>2.6613039956473395E-2</v>
      </c>
      <c r="AC21" s="208">
        <v>1.2647486286286392E-2</v>
      </c>
      <c r="AD21" s="208">
        <v>2.7397260273972601E-2</v>
      </c>
      <c r="AE21" s="208">
        <v>3.1981936463618771E-2</v>
      </c>
      <c r="AF21" s="208">
        <v>2.5155329262430793E-2</v>
      </c>
      <c r="AG21" s="60">
        <f>SUM(AB21*'Översikt fördelning'!$C$31)</f>
        <v>39397.331760269546</v>
      </c>
      <c r="AH21" s="5">
        <f>SUM(AC21*'Översikt fördelning'!$C$32)</f>
        <v>3256.1821865242864</v>
      </c>
      <c r="AI21" s="5">
        <f>SUM(AD21*'Översikt fördelning'!$C$33)</f>
        <v>5642.8902214606587</v>
      </c>
      <c r="AJ21" s="5">
        <f>SUM(AE21*'Översikt fördelning'!$C$34)</f>
        <v>10704.159884418748</v>
      </c>
      <c r="AK21" s="5">
        <f>SUM(AF21*'Översikt fördelning'!$C$35)</f>
        <v>7447.8740806139103</v>
      </c>
      <c r="AL21" s="61">
        <f t="shared" si="5"/>
        <v>66448.438133287156</v>
      </c>
      <c r="AN21" s="3" t="s">
        <v>60</v>
      </c>
      <c r="AO21" s="4">
        <f t="shared" si="9"/>
        <v>-2559.7893811920867</v>
      </c>
      <c r="AP21" s="17">
        <f t="shared" si="6"/>
        <v>-2313.7387110247978</v>
      </c>
      <c r="AQ21" s="17">
        <f t="shared" si="11"/>
        <v>46200.556089818398</v>
      </c>
      <c r="AR21" s="132">
        <f>30000+1200+1595</f>
        <v>32795</v>
      </c>
      <c r="AS21" s="17">
        <f t="shared" si="10"/>
        <v>66448.438133287156</v>
      </c>
      <c r="AT21" s="262">
        <f>SUM(AO21:AS21)</f>
        <v>140570.46613088867</v>
      </c>
      <c r="AU21" s="184">
        <f t="shared" si="8"/>
        <v>3.3494319216738018E-2</v>
      </c>
      <c r="AV21" s="163">
        <f>AS21/$AS$28</f>
        <v>2.5809542030968632E-2</v>
      </c>
      <c r="AW21" s="191"/>
      <c r="AX21" s="196"/>
    </row>
    <row r="22" spans="1:50" ht="11.25" x14ac:dyDescent="0.2">
      <c r="A22" s="44" t="s">
        <v>61</v>
      </c>
      <c r="B22" s="92"/>
      <c r="C22" s="4"/>
      <c r="D22" s="17"/>
      <c r="E22" s="17">
        <f t="shared" ref="E22:E27" si="13">1382.926957*1.032443</f>
        <v>1427.793256265951</v>
      </c>
      <c r="F22" s="17"/>
      <c r="G22" s="17"/>
      <c r="H22" s="17"/>
      <c r="I22" s="17"/>
      <c r="J22" s="17"/>
      <c r="K22" s="17">
        <f t="shared" si="12"/>
        <v>1826.1030991814998</v>
      </c>
      <c r="L22" s="17"/>
      <c r="M22" s="17"/>
      <c r="N22" s="17">
        <v>-4745.7322804977684</v>
      </c>
      <c r="O22" s="17"/>
      <c r="P22" s="132"/>
      <c r="Q22" s="17">
        <v>-586</v>
      </c>
      <c r="R22" s="132"/>
      <c r="S22" s="55">
        <f t="shared" si="3"/>
        <v>-2077.8359250503177</v>
      </c>
      <c r="T22" s="95"/>
      <c r="U22" s="148">
        <f>1531.75947148959*1.032443</f>
        <v>1581.4543440231266</v>
      </c>
      <c r="V22" s="176">
        <f>1017.70885322581*1.032443</f>
        <v>1050.726381551015</v>
      </c>
      <c r="W22" s="176">
        <f>2356.18162989965*1.032443</f>
        <v>2432.6232305184844</v>
      </c>
      <c r="X22" s="207">
        <v>-3249</v>
      </c>
      <c r="Y22" s="130">
        <f t="shared" si="4"/>
        <v>1815.8039560926263</v>
      </c>
      <c r="Z22" s="21"/>
      <c r="AA22" s="44" t="s">
        <v>61</v>
      </c>
      <c r="AB22" s="208">
        <v>2.7223367745143036E-2</v>
      </c>
      <c r="AC22" s="208">
        <v>6.7547666435925649E-2</v>
      </c>
      <c r="AD22" s="208">
        <v>5.9360730593607303E-2</v>
      </c>
      <c r="AE22" s="208">
        <v>3.8618902745626536E-2</v>
      </c>
      <c r="AF22" s="208">
        <v>3.15287247868117E-2</v>
      </c>
      <c r="AG22" s="60">
        <f>SUM(AB22*'Översikt fördelning'!$C$31)</f>
        <v>40300.846969808044</v>
      </c>
      <c r="AH22" s="5">
        <f>SUM(AC22*'Översikt fördelning'!$C$32)</f>
        <v>17390.61053012831</v>
      </c>
      <c r="AI22" s="5">
        <f>SUM(AD22*'Översikt fördelning'!$C$33)</f>
        <v>12226.262146498093</v>
      </c>
      <c r="AJ22" s="5">
        <f>SUM(AE22*'Översikt fördelning'!$C$34)</f>
        <v>12925.51218780172</v>
      </c>
      <c r="AK22" s="5">
        <f>SUM(AF22*'Översikt fördelning'!$C$35)</f>
        <v>9334.8796863179305</v>
      </c>
      <c r="AL22" s="61">
        <f t="shared" si="5"/>
        <v>92178.111520554099</v>
      </c>
      <c r="AN22" s="3" t="s">
        <v>61</v>
      </c>
      <c r="AO22" s="4">
        <f t="shared" si="9"/>
        <v>-2077.8359250503177</v>
      </c>
      <c r="AP22" s="17">
        <f t="shared" si="6"/>
        <v>1815.8039560926263</v>
      </c>
      <c r="AQ22" s="17">
        <f t="shared" si="11"/>
        <v>46200.556089818398</v>
      </c>
      <c r="AR22" s="132">
        <f>3500+3888+3333</f>
        <v>10721</v>
      </c>
      <c r="AS22" s="17">
        <f t="shared" si="10"/>
        <v>92178.111520554099</v>
      </c>
      <c r="AT22" s="262">
        <f t="shared" si="7"/>
        <v>148837.63564141479</v>
      </c>
      <c r="AU22" s="184">
        <f t="shared" si="8"/>
        <v>3.5464172644887097E-2</v>
      </c>
      <c r="AV22" s="163">
        <f t="shared" si="1"/>
        <v>3.5803322251953186E-2</v>
      </c>
      <c r="AW22" s="191"/>
      <c r="AX22" s="196"/>
    </row>
    <row r="23" spans="1:50" ht="11.25" x14ac:dyDescent="0.2">
      <c r="A23" s="44" t="s">
        <v>62</v>
      </c>
      <c r="B23" s="107">
        <f>(2400*1.032443)+10000</f>
        <v>12477.8632</v>
      </c>
      <c r="C23" s="4"/>
      <c r="D23" s="17"/>
      <c r="E23" s="17">
        <f t="shared" si="13"/>
        <v>1427.793256265951</v>
      </c>
      <c r="F23" s="17"/>
      <c r="G23" s="17"/>
      <c r="H23" s="17"/>
      <c r="I23" s="17">
        <f>1013.9306*1.032443</f>
        <v>1046.8255504558001</v>
      </c>
      <c r="J23" s="17"/>
      <c r="K23" s="17">
        <f t="shared" si="12"/>
        <v>1826.1030991814998</v>
      </c>
      <c r="L23" s="17">
        <f>4063.78069*1.032443</f>
        <v>4195.6219269256699</v>
      </c>
      <c r="M23" s="17"/>
      <c r="N23" s="17">
        <v>-4756.0066521810286</v>
      </c>
      <c r="O23" s="17"/>
      <c r="P23" s="132"/>
      <c r="Q23" s="17">
        <v>-450</v>
      </c>
      <c r="R23" s="132"/>
      <c r="S23" s="55">
        <f t="shared" si="3"/>
        <v>15768.20038064789</v>
      </c>
      <c r="T23" s="95"/>
      <c r="U23" s="148">
        <f>-1531.75947148959*1.032443</f>
        <v>-1581.4543440231266</v>
      </c>
      <c r="V23" s="176">
        <f>-343.753958896784*1.032443</f>
        <v>-354.90636858527239</v>
      </c>
      <c r="W23" s="176">
        <f>-578.181865123943*1.032443</f>
        <v>-596.93981937415913</v>
      </c>
      <c r="X23" s="207"/>
      <c r="Y23" s="130">
        <f t="shared" si="4"/>
        <v>-2533.3005319825579</v>
      </c>
      <c r="Z23" s="21"/>
      <c r="AA23" s="44" t="s">
        <v>62</v>
      </c>
      <c r="AB23" s="208">
        <v>2.7070691026579871E-2</v>
      </c>
      <c r="AC23" s="208">
        <v>4.3861622977406596E-2</v>
      </c>
      <c r="AD23" s="208">
        <v>3.8812785388127852E-2</v>
      </c>
      <c r="AE23" s="208">
        <v>4.2790620072097191E-2</v>
      </c>
      <c r="AF23" s="208">
        <v>3.2614694415267667E-2</v>
      </c>
      <c r="AG23" s="60">
        <f>SUM(AB23*'Översikt fördelning'!$C$31)</f>
        <v>40074.82787003064</v>
      </c>
      <c r="AH23" s="5">
        <f>SUM(AC23*'Översikt fördelning'!$C$32)</f>
        <v>11292.476004969958</v>
      </c>
      <c r="AI23" s="5">
        <f>SUM(AD23*'Översikt fördelning'!$C$33)</f>
        <v>7994.0944804025994</v>
      </c>
      <c r="AJ23" s="5">
        <f>SUM(AE23*'Översikt fördelning'!$C$34)</f>
        <v>14321.760639046661</v>
      </c>
      <c r="AK23" s="5">
        <f>SUM(AF23*'Översikt fördelning'!$C$35)</f>
        <v>9656.4085744406821</v>
      </c>
      <c r="AL23" s="61">
        <f t="shared" si="5"/>
        <v>83339.567568890532</v>
      </c>
      <c r="AN23" s="3" t="s">
        <v>62</v>
      </c>
      <c r="AO23" s="4">
        <f t="shared" si="9"/>
        <v>15768.20038064789</v>
      </c>
      <c r="AP23" s="17">
        <f t="shared" si="6"/>
        <v>-2533.3005319825579</v>
      </c>
      <c r="AQ23" s="17">
        <f t="shared" si="11"/>
        <v>46200.556089818398</v>
      </c>
      <c r="AR23" s="132">
        <f>3000+3108</f>
        <v>6108</v>
      </c>
      <c r="AS23" s="17">
        <f t="shared" si="10"/>
        <v>83339.567568890532</v>
      </c>
      <c r="AT23" s="262">
        <f t="shared" si="7"/>
        <v>148883.02350737428</v>
      </c>
      <c r="AU23" s="184">
        <f t="shared" si="8"/>
        <v>3.547498740358327E-2</v>
      </c>
      <c r="AV23" s="163">
        <f t="shared" si="1"/>
        <v>3.2370302936202723E-2</v>
      </c>
      <c r="AW23" s="191"/>
      <c r="AX23" s="196"/>
    </row>
    <row r="24" spans="1:50" ht="11.25" x14ac:dyDescent="0.2">
      <c r="A24" s="44" t="s">
        <v>63</v>
      </c>
      <c r="B24" s="17">
        <v>5700</v>
      </c>
      <c r="C24" s="4"/>
      <c r="D24" s="17"/>
      <c r="E24" s="17">
        <f t="shared" si="13"/>
        <v>1427.793256265951</v>
      </c>
      <c r="F24" s="17"/>
      <c r="G24" s="17"/>
      <c r="H24" s="17"/>
      <c r="I24" s="17">
        <f>2027.8612*1.032443</f>
        <v>2093.6511009116002</v>
      </c>
      <c r="J24" s="17">
        <f>3066.3879*1.032443</f>
        <v>3165.8707226397</v>
      </c>
      <c r="K24" s="17">
        <f t="shared" si="12"/>
        <v>1826.1030991814998</v>
      </c>
      <c r="L24" s="17"/>
      <c r="M24" s="17"/>
      <c r="N24" s="17">
        <v>-9915.7961115141734</v>
      </c>
      <c r="O24" s="17"/>
      <c r="P24" s="132"/>
      <c r="Q24" s="17">
        <v>-513</v>
      </c>
      <c r="R24" s="132"/>
      <c r="S24" s="55">
        <f t="shared" si="3"/>
        <v>3784.622067484579</v>
      </c>
      <c r="T24" s="95"/>
      <c r="U24" s="148">
        <f>1883.01400750618*1.032443</f>
        <v>1944.104630951703</v>
      </c>
      <c r="V24" s="176">
        <f>258.739538953792*1.032443</f>
        <v>267.13382581606987</v>
      </c>
      <c r="W24" s="176">
        <f>618.014853744172*1.032443</f>
        <v>638.06510964419419</v>
      </c>
      <c r="X24" s="207">
        <v>-1937</v>
      </c>
      <c r="Y24" s="130">
        <f t="shared" si="4"/>
        <v>912.30356641196704</v>
      </c>
      <c r="Z24" s="21"/>
      <c r="AA24" s="44" t="s">
        <v>63</v>
      </c>
      <c r="AB24" s="208">
        <v>2.2948703939561627E-2</v>
      </c>
      <c r="AC24" s="208">
        <v>5.131133489085752E-2</v>
      </c>
      <c r="AD24" s="208">
        <v>2.5114155251141551E-2</v>
      </c>
      <c r="AE24" s="208">
        <v>5.86908975226621E-2</v>
      </c>
      <c r="AF24" s="208">
        <v>3.1439710882839901E-2</v>
      </c>
      <c r="AG24" s="60">
        <f>SUM(AB24*'Översikt fördelning'!$C$31)</f>
        <v>33972.733068218884</v>
      </c>
      <c r="AH24" s="5">
        <f>SUM(AC24*'Översikt fördelning'!$C$32)</f>
        <v>13210.455489448155</v>
      </c>
      <c r="AI24" s="5">
        <f>SUM(AD24*'Översikt fördelning'!$C$33)</f>
        <v>5172.64936967227</v>
      </c>
      <c r="AJ24" s="5">
        <f>SUM(AE24*'Översikt fördelning'!$C$34)</f>
        <v>19643.4869276057</v>
      </c>
      <c r="AK24" s="5">
        <f>SUM(AF24*'Översikt fördelning'!$C$35)</f>
        <v>9308.5248594226232</v>
      </c>
      <c r="AL24" s="61">
        <f t="shared" si="5"/>
        <v>81307.849714367636</v>
      </c>
      <c r="AN24" s="3" t="s">
        <v>63</v>
      </c>
      <c r="AO24" s="4">
        <f t="shared" si="9"/>
        <v>3784.622067484579</v>
      </c>
      <c r="AP24" s="17">
        <f t="shared" si="6"/>
        <v>912.30356641196704</v>
      </c>
      <c r="AQ24" s="17">
        <f t="shared" si="11"/>
        <v>46200.556089818398</v>
      </c>
      <c r="AR24" s="132">
        <f>400+1000+3500+3254</f>
        <v>8154</v>
      </c>
      <c r="AS24" s="17">
        <f t="shared" si="10"/>
        <v>81307.849714367636</v>
      </c>
      <c r="AT24" s="262">
        <f t="shared" si="7"/>
        <v>140359.33143808256</v>
      </c>
      <c r="AU24" s="184">
        <f t="shared" si="8"/>
        <v>3.3444011260926082E-2</v>
      </c>
      <c r="AV24" s="163">
        <f t="shared" si="1"/>
        <v>3.1581154103897675E-2</v>
      </c>
      <c r="AW24" s="191"/>
      <c r="AX24" s="196"/>
    </row>
    <row r="25" spans="1:50" ht="11.25" x14ac:dyDescent="0.2">
      <c r="A25" s="44" t="s">
        <v>64</v>
      </c>
      <c r="B25" s="92"/>
      <c r="C25" s="4"/>
      <c r="D25" s="17">
        <f>4442.2026*1.032443</f>
        <v>4586.3209789517996</v>
      </c>
      <c r="E25" s="17">
        <f t="shared" si="13"/>
        <v>1427.793256265951</v>
      </c>
      <c r="F25" s="17">
        <f>5575.69649*1.032443</f>
        <v>5756.5888112250705</v>
      </c>
      <c r="G25" s="17"/>
      <c r="H25" s="17"/>
      <c r="I25" s="17"/>
      <c r="J25" s="17"/>
      <c r="K25" s="17">
        <f t="shared" si="12"/>
        <v>1826.1030991814998</v>
      </c>
      <c r="L25" s="17"/>
      <c r="M25" s="17"/>
      <c r="N25" s="17">
        <v>-5290.273979710546</v>
      </c>
      <c r="O25" s="17"/>
      <c r="P25" s="132"/>
      <c r="Q25" s="17">
        <v>-621</v>
      </c>
      <c r="R25" s="132">
        <f>2000</f>
        <v>2000</v>
      </c>
      <c r="S25" s="55">
        <f t="shared" si="3"/>
        <v>9685.5321659137753</v>
      </c>
      <c r="T25" s="95"/>
      <c r="U25" s="148">
        <f>-1883.01400750618*1.032443</f>
        <v>-1944.104630951703</v>
      </c>
      <c r="V25" s="176">
        <f>-342.521865862055*1.032443</f>
        <v>-353.63430275621766</v>
      </c>
      <c r="W25" s="176">
        <f>-618.014853744172*1.032443</f>
        <v>-638.06510964419419</v>
      </c>
      <c r="X25" s="207"/>
      <c r="Y25" s="130">
        <f t="shared" si="4"/>
        <v>-2935.8040433521151</v>
      </c>
      <c r="Z25" s="21"/>
      <c r="AA25" s="44" t="s">
        <v>64</v>
      </c>
      <c r="AB25" s="208">
        <v>1.2564033478185094E-2</v>
      </c>
      <c r="AC25" s="208">
        <v>0.12013710629311475</v>
      </c>
      <c r="AD25" s="208">
        <v>3.4246575342465752E-2</v>
      </c>
      <c r="AE25" s="208">
        <v>2.3887145367406937E-2</v>
      </c>
      <c r="AF25" s="208">
        <v>2.2093250965800858E-2</v>
      </c>
      <c r="AG25" s="60">
        <f>SUM(AB25*'Översikt fördelning'!$C$31)</f>
        <v>18599.505956356916</v>
      </c>
      <c r="AH25" s="5">
        <f>SUM(AC25*'Översikt fördelning'!$C$32)</f>
        <v>30930.122919079862</v>
      </c>
      <c r="AI25" s="5">
        <f>SUM(AD25*'Översikt fördelning'!$C$33)</f>
        <v>7053.6127768258229</v>
      </c>
      <c r="AJ25" s="5">
        <f>SUM(AE25*'Översikt fördelning'!$C$34)</f>
        <v>7994.8824701700023</v>
      </c>
      <c r="AK25" s="5">
        <f>SUM(AF25*'Översikt fördelning'!$C$35)</f>
        <v>6541.2680354153308</v>
      </c>
      <c r="AL25" s="61">
        <f t="shared" si="5"/>
        <v>71119.392157847935</v>
      </c>
      <c r="AN25" s="3" t="s">
        <v>64</v>
      </c>
      <c r="AO25" s="4">
        <f t="shared" si="9"/>
        <v>9685.5321659137753</v>
      </c>
      <c r="AP25" s="17">
        <f t="shared" si="6"/>
        <v>-2935.8040433521151</v>
      </c>
      <c r="AQ25" s="17">
        <f t="shared" si="11"/>
        <v>46200.556089818398</v>
      </c>
      <c r="AR25" s="132">
        <f>3841</f>
        <v>3841</v>
      </c>
      <c r="AS25" s="17">
        <f t="shared" si="10"/>
        <v>71119.392157847935</v>
      </c>
      <c r="AT25" s="262">
        <f>SUM(AO25:AS25)</f>
        <v>127910.676370228</v>
      </c>
      <c r="AU25" s="184">
        <f t="shared" si="8"/>
        <v>3.0477817592097077E-2</v>
      </c>
      <c r="AV25" s="163">
        <f t="shared" si="1"/>
        <v>2.7623808665495166E-2</v>
      </c>
      <c r="AW25" s="191"/>
      <c r="AX25" s="196"/>
    </row>
    <row r="26" spans="1:50" ht="11.25" x14ac:dyDescent="0.2">
      <c r="A26" s="44" t="s">
        <v>65</v>
      </c>
      <c r="B26" s="92"/>
      <c r="C26" s="17"/>
      <c r="D26" s="17">
        <f>4727.8007*1.032443</f>
        <v>4881.1847381100997</v>
      </c>
      <c r="E26" s="17">
        <f t="shared" si="13"/>
        <v>1427.793256265951</v>
      </c>
      <c r="F26" s="132">
        <f>3452.66942*1.032443</f>
        <v>3564.68437399306</v>
      </c>
      <c r="G26" s="17"/>
      <c r="H26" s="17"/>
      <c r="I26" s="17">
        <f>1013.9306*1.032443</f>
        <v>1046.8255504558001</v>
      </c>
      <c r="J26" s="17"/>
      <c r="K26" s="17">
        <f t="shared" si="12"/>
        <v>1826.1030991814998</v>
      </c>
      <c r="L26" s="17"/>
      <c r="M26" s="17"/>
      <c r="N26" s="17">
        <v>-8229.7717182912165</v>
      </c>
      <c r="O26" s="17"/>
      <c r="P26" s="132"/>
      <c r="Q26" s="17">
        <v>-636</v>
      </c>
      <c r="R26" s="132">
        <f>2000</f>
        <v>2000</v>
      </c>
      <c r="S26" s="55">
        <f t="shared" si="3"/>
        <v>5880.8192997151946</v>
      </c>
      <c r="T26" s="95"/>
      <c r="U26" s="148"/>
      <c r="V26" s="176">
        <f>-176.189305100888*1.032443</f>
        <v>-181.90541472627609</v>
      </c>
      <c r="W26" s="176">
        <f>-732.685578559986*1.032443</f>
        <v>-756.45609678520759</v>
      </c>
      <c r="X26" s="207"/>
      <c r="Y26" s="130">
        <f t="shared" si="4"/>
        <v>-938.36151151148374</v>
      </c>
      <c r="Z26" s="21"/>
      <c r="AA26" s="44" t="s">
        <v>65</v>
      </c>
      <c r="AB26" s="208">
        <v>2.6415536367717565E-2</v>
      </c>
      <c r="AC26" s="208">
        <v>0.13159202092028027</v>
      </c>
      <c r="AD26" s="208">
        <v>6.1643835616438353E-2</v>
      </c>
      <c r="AE26" s="208">
        <v>5.1579846942080392E-2</v>
      </c>
      <c r="AF26" s="208">
        <v>3.7314628544978724E-2</v>
      </c>
      <c r="AG26" s="60">
        <f>SUM(AB26*'Översikt fördelning'!$C$31)</f>
        <v>39104.951993704599</v>
      </c>
      <c r="AH26" s="5">
        <f>SUM(AC26*'Översikt fördelning'!$C$32)</f>
        <v>33879.269343344131</v>
      </c>
      <c r="AI26" s="5">
        <f>SUM(AD26*'Översikt fördelning'!$C$33)</f>
        <v>12696.502998286482</v>
      </c>
      <c r="AJ26" s="5">
        <f>SUM(AE26*'Översikt fördelning'!$C$34)</f>
        <v>17263.461488954614</v>
      </c>
      <c r="AK26" s="5">
        <f>SUM(AF26*'Översikt fördelning'!$C$35)</f>
        <v>11047.943434512919</v>
      </c>
      <c r="AL26" s="61">
        <f t="shared" si="5"/>
        <v>113992.12925880274</v>
      </c>
      <c r="AN26" s="62" t="s">
        <v>65</v>
      </c>
      <c r="AO26" s="17">
        <f t="shared" si="9"/>
        <v>5880.8192997151946</v>
      </c>
      <c r="AP26" s="17">
        <f t="shared" si="6"/>
        <v>-938.36151151148374</v>
      </c>
      <c r="AQ26" s="17">
        <f t="shared" si="11"/>
        <v>46200.556089818398</v>
      </c>
      <c r="AR26" s="132">
        <f>2500+10000+3500+3797+3334</f>
        <v>23131</v>
      </c>
      <c r="AS26" s="17">
        <f t="shared" si="10"/>
        <v>113992.12925880274</v>
      </c>
      <c r="AT26" s="262">
        <f>SUM(AO26:AS26)</f>
        <v>188266.14313682486</v>
      </c>
      <c r="AU26" s="184">
        <f t="shared" si="8"/>
        <v>4.4858969807053013E-2</v>
      </c>
      <c r="AV26" s="163">
        <f t="shared" si="1"/>
        <v>4.4276204737923694E-2</v>
      </c>
      <c r="AW26" s="191"/>
      <c r="AX26" s="196"/>
    </row>
    <row r="27" spans="1:50" ht="11.25" x14ac:dyDescent="0.2">
      <c r="A27" s="44" t="s">
        <v>66</v>
      </c>
      <c r="B27" s="132"/>
      <c r="C27" s="17"/>
      <c r="D27" s="17">
        <f>6909.949*1.032443</f>
        <v>7134.1284754069993</v>
      </c>
      <c r="E27" s="17">
        <f t="shared" si="13"/>
        <v>1427.793256265951</v>
      </c>
      <c r="F27" s="132">
        <f>6996.14831*1.032443</f>
        <v>7223.1243496213292</v>
      </c>
      <c r="G27" s="17"/>
      <c r="H27" s="17"/>
      <c r="I27" s="17">
        <f>1013.9306*1.032443</f>
        <v>1046.8255504558001</v>
      </c>
      <c r="J27" s="17">
        <f>3657.17*1.032443</f>
        <v>3775.81956631</v>
      </c>
      <c r="K27" s="17">
        <f t="shared" si="12"/>
        <v>1826.1030991814998</v>
      </c>
      <c r="L27" s="17">
        <f>4063.78069*1.032443</f>
        <v>4195.6219269256699</v>
      </c>
      <c r="M27" s="17">
        <f>3158.7553*1.032443</f>
        <v>3261.2347981978996</v>
      </c>
      <c r="N27" s="17">
        <v>-5249.1764929775063</v>
      </c>
      <c r="O27" s="17"/>
      <c r="P27" s="132">
        <f>22200*1.032443</f>
        <v>22920.2346</v>
      </c>
      <c r="Q27" s="17">
        <v>-594</v>
      </c>
      <c r="R27" s="132">
        <f>2000+2000</f>
        <v>4000</v>
      </c>
      <c r="S27" s="223">
        <f t="shared" si="3"/>
        <v>50967.709129387644</v>
      </c>
      <c r="T27" s="95"/>
      <c r="U27" s="148"/>
      <c r="V27" s="176">
        <f>287.077678937714*1.032443</f>
        <v>296.39134007549023</v>
      </c>
      <c r="W27" s="176">
        <f>732.685578559986*1.032443</f>
        <v>756.45609678520759</v>
      </c>
      <c r="X27" s="207">
        <v>1937</v>
      </c>
      <c r="Y27" s="217">
        <f t="shared" si="4"/>
        <v>2989.8474368606976</v>
      </c>
      <c r="Z27" s="21"/>
      <c r="AA27" s="44" t="s">
        <v>66</v>
      </c>
      <c r="AB27" s="208">
        <v>2.3548796417489606E-2</v>
      </c>
      <c r="AC27" s="208">
        <v>0.23518318163519655</v>
      </c>
      <c r="AD27" s="208">
        <v>5.0228310502283102E-2</v>
      </c>
      <c r="AE27" s="208">
        <v>4.785945895731214E-2</v>
      </c>
      <c r="AF27" s="208">
        <v>2.036638122874793E-2</v>
      </c>
      <c r="AG27" s="60">
        <f>SUM(AB27*'Översikt fördelning'!$C$31)</f>
        <v>34861.096159336557</v>
      </c>
      <c r="AH27" s="5">
        <f>SUM(AC27*'Översikt fördelning'!$C$32)</f>
        <v>60549.52496299483</v>
      </c>
      <c r="AI27" s="5">
        <f>SUM(AD27*'Översikt fördelning'!$C$33)</f>
        <v>10345.29873934454</v>
      </c>
      <c r="AJ27" s="5">
        <f>SUM(AE27*'Översikt fördelning'!$C$34)</f>
        <v>16018.270227120567</v>
      </c>
      <c r="AK27" s="5">
        <f>SUM(AF27*'Översikt fördelning'!$C$35)</f>
        <v>6029.984393646364</v>
      </c>
      <c r="AL27" s="61">
        <f t="shared" si="5"/>
        <v>127804.17448244285</v>
      </c>
      <c r="AN27" s="62" t="s">
        <v>66</v>
      </c>
      <c r="AO27" s="17">
        <f t="shared" si="9"/>
        <v>50967.709129387644</v>
      </c>
      <c r="AP27" s="17">
        <f t="shared" si="6"/>
        <v>2989.8474368606976</v>
      </c>
      <c r="AQ27" s="17">
        <f t="shared" si="11"/>
        <v>46200.556089818398</v>
      </c>
      <c r="AR27" s="132">
        <f>2500+1500+2411</f>
        <v>6411</v>
      </c>
      <c r="AS27" s="17">
        <f t="shared" si="10"/>
        <v>127804.17448244285</v>
      </c>
      <c r="AT27" s="262">
        <f t="shared" si="7"/>
        <v>234373.28713850959</v>
      </c>
      <c r="AU27" s="184">
        <f t="shared" si="8"/>
        <v>5.5845113923033776E-2</v>
      </c>
      <c r="AV27" s="163">
        <f t="shared" si="1"/>
        <v>4.9641004449515413E-2</v>
      </c>
      <c r="AW27" s="191"/>
      <c r="AX27" s="196"/>
    </row>
    <row r="28" spans="1:50" ht="11.25" x14ac:dyDescent="0.2">
      <c r="A28" s="63" t="s">
        <v>30</v>
      </c>
      <c r="B28" s="84">
        <f>SUM(B7:B27)</f>
        <v>214475.18178119609</v>
      </c>
      <c r="C28" s="66">
        <f>SUM(C7:C27)</f>
        <v>18000</v>
      </c>
      <c r="D28" s="84">
        <f>SUM(D7:D27)</f>
        <v>16601.6341924689</v>
      </c>
      <c r="E28" s="64">
        <f t="shared" ref="E28:P28" si="14">SUM(E7:E27)</f>
        <v>14609.977503672186</v>
      </c>
      <c r="F28" s="64">
        <f t="shared" si="14"/>
        <v>16544.39753483946</v>
      </c>
      <c r="G28" s="64">
        <f t="shared" si="14"/>
        <v>21832.8877112968</v>
      </c>
      <c r="H28" s="64">
        <f t="shared" si="14"/>
        <v>0</v>
      </c>
      <c r="I28" s="64">
        <f>SUM(I7:I27)</f>
        <v>18693.313430494803</v>
      </c>
      <c r="J28" s="64">
        <f t="shared" si="14"/>
        <v>9471.6810197981995</v>
      </c>
      <c r="K28" s="64">
        <f t="shared" si="14"/>
        <v>41087.31988645019</v>
      </c>
      <c r="L28" s="64">
        <f t="shared" si="14"/>
        <v>22848.155965104186</v>
      </c>
      <c r="M28" s="64">
        <f t="shared" si="14"/>
        <v>16252.9279113948</v>
      </c>
      <c r="N28" s="84">
        <f t="shared" si="14"/>
        <v>-99400.43628686665</v>
      </c>
      <c r="O28" s="84">
        <f t="shared" si="14"/>
        <v>1500</v>
      </c>
      <c r="P28" s="84">
        <f t="shared" si="14"/>
        <v>138971.61792254282</v>
      </c>
      <c r="Q28" s="64">
        <f>SUM(Q7:Q27)</f>
        <v>-12224</v>
      </c>
      <c r="R28" s="64">
        <f>SUM(R7:R27)</f>
        <v>26000</v>
      </c>
      <c r="S28" s="55">
        <f>SUM(S7:S27)</f>
        <v>465264.65857239184</v>
      </c>
      <c r="T28" s="95"/>
      <c r="U28" s="65">
        <f t="shared" ref="U28:V28" si="15">SUM(U7:U27)</f>
        <v>-6.8139958329993533E-5</v>
      </c>
      <c r="V28" s="131">
        <f t="shared" si="15"/>
        <v>-5.397282620833721E-10</v>
      </c>
      <c r="W28" s="131">
        <f>SUM(W7:W27)</f>
        <v>-3.1946001399774104E-11</v>
      </c>
      <c r="X28" s="66">
        <f>SUM(X7:X27)</f>
        <v>0</v>
      </c>
      <c r="Y28" s="216">
        <f>SUM(U28:X28)</f>
        <v>-6.8140530004257016E-5</v>
      </c>
      <c r="Z28" s="21"/>
      <c r="AA28" s="72" t="s">
        <v>30</v>
      </c>
      <c r="AB28" s="180">
        <f t="shared" ref="AB28:AF28" si="16">SUM(AB7:AB27)</f>
        <v>1</v>
      </c>
      <c r="AC28" s="180">
        <f t="shared" si="16"/>
        <v>1</v>
      </c>
      <c r="AD28" s="180">
        <f t="shared" si="16"/>
        <v>1</v>
      </c>
      <c r="AE28" s="180">
        <f t="shared" si="16"/>
        <v>1</v>
      </c>
      <c r="AF28" s="181">
        <f t="shared" si="16"/>
        <v>0.99999999999999978</v>
      </c>
      <c r="AG28" s="65">
        <f>SUM(AG7:AG27)</f>
        <v>1480376.9815363197</v>
      </c>
      <c r="AH28" s="66">
        <f t="shared" ref="AH28:AJ28" si="17">SUM(AH7:AH27)</f>
        <v>257456.86635414252</v>
      </c>
      <c r="AI28" s="66">
        <f t="shared" si="17"/>
        <v>205965.49308331407</v>
      </c>
      <c r="AJ28" s="66">
        <f t="shared" si="17"/>
        <v>334693.9262603852</v>
      </c>
      <c r="AK28" s="66">
        <f>SUM(AK7:AK27)</f>
        <v>296075.39630726393</v>
      </c>
      <c r="AL28" s="67">
        <f>SUM(AL7:AL27)</f>
        <v>2574568.6635414255</v>
      </c>
      <c r="AN28" s="68" t="s">
        <v>67</v>
      </c>
      <c r="AO28" s="66">
        <f t="shared" ref="AO28:AV28" si="18">SUM(AO7:AO27)</f>
        <v>465264.65857239184</v>
      </c>
      <c r="AP28" s="66">
        <f t="shared" si="18"/>
        <v>-6.8140529037918895E-5</v>
      </c>
      <c r="AQ28" s="66">
        <f t="shared" si="18"/>
        <v>970211.67788618617</v>
      </c>
      <c r="AR28" s="131">
        <f t="shared" si="18"/>
        <v>186800</v>
      </c>
      <c r="AS28" s="66">
        <f t="shared" si="18"/>
        <v>2574568.6635414255</v>
      </c>
      <c r="AT28" s="65">
        <f>SUM(AT7:AT27)</f>
        <v>4196844.9999318635</v>
      </c>
      <c r="AU28" s="185">
        <f t="shared" si="18"/>
        <v>1</v>
      </c>
      <c r="AV28" s="186">
        <f t="shared" si="18"/>
        <v>0.99999999999999978</v>
      </c>
      <c r="AW28" s="164"/>
    </row>
    <row r="29" spans="1:50" x14ac:dyDescent="0.2">
      <c r="A29" s="73" t="s">
        <v>6</v>
      </c>
      <c r="B29" s="73"/>
      <c r="C29" s="15"/>
      <c r="D29" s="6"/>
      <c r="E29" s="6"/>
      <c r="F29" s="6"/>
      <c r="G29" s="204"/>
      <c r="H29" s="206"/>
      <c r="I29" s="204"/>
      <c r="J29" s="17"/>
      <c r="K29" s="6"/>
      <c r="L29" s="6"/>
      <c r="M29" s="6"/>
      <c r="N29" s="6"/>
      <c r="O29" s="6"/>
      <c r="P29" s="6"/>
      <c r="R29" s="220"/>
      <c r="S29" s="220"/>
      <c r="T29" s="96"/>
      <c r="U29" s="73" t="s">
        <v>6</v>
      </c>
      <c r="V29" s="96"/>
      <c r="W29" s="96"/>
      <c r="X29" s="96"/>
      <c r="Y29" s="96"/>
      <c r="Z29" s="21"/>
      <c r="AA29" s="73"/>
      <c r="AB29" s="69"/>
      <c r="AC29" s="69"/>
      <c r="AD29" s="69"/>
      <c r="AE29" s="69"/>
      <c r="AF29" s="69"/>
      <c r="AN29" s="73" t="s">
        <v>6</v>
      </c>
      <c r="AO29" s="15"/>
      <c r="AP29" s="15"/>
      <c r="AQ29" s="15"/>
      <c r="AR29" s="15"/>
      <c r="AS29" s="16"/>
      <c r="AT29" s="16"/>
      <c r="AU29" s="16"/>
      <c r="AV29" s="15"/>
      <c r="AW29" s="106"/>
    </row>
    <row r="30" spans="1:50" x14ac:dyDescent="0.2">
      <c r="D30" s="171"/>
      <c r="E30" s="204"/>
      <c r="G30" s="17"/>
      <c r="I30" s="204"/>
      <c r="J30" s="17"/>
      <c r="K30" s="172"/>
      <c r="L30" s="174"/>
      <c r="P30" s="133"/>
      <c r="Q30" s="95"/>
      <c r="S30" s="176"/>
      <c r="Z30" s="21"/>
      <c r="AA30" s="21"/>
      <c r="AB30" s="7"/>
      <c r="AC30" s="7"/>
      <c r="AE30" s="7"/>
      <c r="AF30" s="7"/>
      <c r="AT30" s="83"/>
      <c r="AU30" s="83"/>
    </row>
    <row r="31" spans="1:50" ht="12.75" customHeight="1" x14ac:dyDescent="0.2">
      <c r="C31" s="11"/>
      <c r="D31" s="171"/>
      <c r="G31" s="132"/>
      <c r="H31" s="174"/>
      <c r="I31" s="192"/>
      <c r="J31" s="172"/>
      <c r="K31" s="172"/>
      <c r="T31" s="133"/>
      <c r="U31" s="241"/>
      <c r="V31" s="241"/>
      <c r="W31" s="241"/>
      <c r="X31" s="241"/>
      <c r="Y31" s="241"/>
      <c r="Z31" s="21"/>
      <c r="AA31" s="21"/>
      <c r="AE31" s="88"/>
      <c r="AF31" s="9"/>
      <c r="AN31" s="11"/>
      <c r="AO31" s="11"/>
      <c r="AP31" s="11"/>
      <c r="AQ31" s="11"/>
      <c r="AR31" s="11"/>
      <c r="AS31" s="18"/>
      <c r="AT31" s="18"/>
      <c r="AU31" s="18"/>
      <c r="AV31" s="18"/>
    </row>
    <row r="32" spans="1:50" ht="11.25" customHeight="1" x14ac:dyDescent="0.2">
      <c r="B32" s="107"/>
      <c r="C32" s="11"/>
      <c r="D32" s="171"/>
      <c r="E32" s="8"/>
      <c r="F32" s="177"/>
      <c r="G32" s="132"/>
      <c r="I32" s="174"/>
      <c r="J32" s="172"/>
      <c r="M32" s="175"/>
      <c r="S32" s="133"/>
      <c r="T32" s="133"/>
      <c r="U32" s="241"/>
      <c r="V32" s="241"/>
      <c r="W32" s="241"/>
      <c r="X32" s="241"/>
      <c r="Y32" s="241"/>
      <c r="Z32" s="21"/>
      <c r="AA32" s="21"/>
      <c r="AE32" s="88"/>
      <c r="AF32" s="10"/>
      <c r="AN32" s="11"/>
      <c r="AO32" s="11"/>
      <c r="AP32" s="11"/>
      <c r="AQ32" s="11"/>
      <c r="AR32" s="11"/>
      <c r="AS32" s="19"/>
      <c r="AT32" s="18"/>
      <c r="AU32" s="18"/>
      <c r="AV32" s="11"/>
    </row>
    <row r="33" spans="1:48" ht="16.5" customHeight="1" x14ac:dyDescent="0.25">
      <c r="B33" s="195"/>
      <c r="C33" s="11"/>
      <c r="E33" s="89"/>
      <c r="S33" s="133"/>
      <c r="T33" s="133"/>
      <c r="U33" s="92"/>
      <c r="V33" s="134"/>
      <c r="W33" s="190"/>
      <c r="X33" s="190"/>
      <c r="Y33" s="193"/>
      <c r="Z33" s="21"/>
      <c r="AA33" s="195"/>
      <c r="AE33" s="88"/>
      <c r="AF33" s="10"/>
      <c r="AN33" s="11"/>
      <c r="AO33" s="11"/>
      <c r="AP33" s="228"/>
      <c r="AQ33" s="11"/>
      <c r="AR33" s="11"/>
    </row>
    <row r="34" spans="1:48" ht="18" x14ac:dyDescent="0.2">
      <c r="C34" s="21"/>
      <c r="D34" s="89"/>
      <c r="E34" s="1"/>
      <c r="F34" s="23"/>
      <c r="P34" s="123"/>
      <c r="Q34" s="133"/>
      <c r="R34" s="123"/>
      <c r="S34" s="133"/>
      <c r="T34" s="92"/>
      <c r="U34" s="134"/>
      <c r="V34" s="5"/>
      <c r="W34" s="190"/>
      <c r="X34" s="190"/>
      <c r="Y34" s="193"/>
      <c r="Z34" s="21"/>
      <c r="AA34" s="172"/>
      <c r="AD34" s="88"/>
      <c r="AE34" s="10"/>
      <c r="AG34" s="7"/>
      <c r="AH34" s="7"/>
      <c r="AI34" s="7"/>
      <c r="AJ34" s="7"/>
      <c r="AK34" s="7"/>
      <c r="AL34" s="7"/>
      <c r="AM34" s="19"/>
      <c r="AN34" s="19"/>
      <c r="AO34" s="19"/>
      <c r="AP34" s="19"/>
      <c r="AQ34" s="19"/>
      <c r="AR34" s="19"/>
      <c r="AS34" s="20"/>
      <c r="AT34" s="19"/>
      <c r="AU34" s="19"/>
    </row>
    <row r="35" spans="1:48" ht="18" x14ac:dyDescent="0.2">
      <c r="B35" s="8"/>
      <c r="C35" s="21"/>
      <c r="D35" s="89"/>
      <c r="E35" s="1"/>
      <c r="F35" s="23"/>
      <c r="P35" s="123"/>
      <c r="Q35" s="133"/>
      <c r="R35" s="123"/>
      <c r="S35" s="133"/>
      <c r="T35" s="92"/>
      <c r="U35" s="134"/>
      <c r="V35" s="5"/>
      <c r="W35" s="190"/>
      <c r="X35" s="190"/>
      <c r="Y35" s="193"/>
      <c r="Z35" s="21"/>
      <c r="AA35" s="172"/>
      <c r="AD35" s="88"/>
      <c r="AE35" s="10"/>
    </row>
    <row r="36" spans="1:48" ht="18" x14ac:dyDescent="0.2">
      <c r="E36" s="89"/>
      <c r="P36" s="123"/>
      <c r="R36" s="123"/>
      <c r="S36" s="133"/>
      <c r="T36" s="133"/>
      <c r="U36" s="92"/>
      <c r="V36" s="134"/>
      <c r="W36" s="190"/>
      <c r="X36" s="190"/>
      <c r="Y36" s="193"/>
      <c r="Z36" s="21"/>
      <c r="AA36" s="172"/>
      <c r="AB36" s="11"/>
      <c r="AE36" s="88"/>
      <c r="AF36" s="10"/>
    </row>
    <row r="37" spans="1:48" x14ac:dyDescent="0.2">
      <c r="E37" s="86"/>
      <c r="F37" s="87"/>
      <c r="J37" s="17"/>
      <c r="P37" s="123"/>
      <c r="R37" s="123"/>
      <c r="S37" s="133"/>
      <c r="T37" s="133"/>
      <c r="U37" s="92"/>
      <c r="V37" s="134"/>
      <c r="W37" s="190"/>
      <c r="X37" s="190"/>
      <c r="Y37" s="193"/>
      <c r="Z37" s="21"/>
      <c r="AA37" s="172"/>
      <c r="AB37" s="11"/>
      <c r="AE37" s="88"/>
      <c r="AF37" s="10"/>
    </row>
    <row r="38" spans="1:48" x14ac:dyDescent="0.2">
      <c r="E38" s="86"/>
      <c r="F38" s="87"/>
      <c r="P38" s="123"/>
      <c r="R38" s="123"/>
      <c r="S38" s="133"/>
      <c r="T38" s="133"/>
      <c r="U38" s="92"/>
      <c r="V38" s="134"/>
      <c r="W38" s="190"/>
      <c r="X38" s="190"/>
      <c r="Y38" s="193"/>
      <c r="Z38" s="21"/>
      <c r="AA38" s="172"/>
      <c r="AE38" s="88"/>
      <c r="AF38" s="10"/>
    </row>
    <row r="39" spans="1:48" x14ac:dyDescent="0.2">
      <c r="P39" s="123"/>
      <c r="R39" s="123"/>
      <c r="S39" s="133"/>
      <c r="T39" s="133"/>
      <c r="U39" s="92"/>
      <c r="V39" s="134"/>
      <c r="W39" s="190"/>
      <c r="X39" s="190"/>
      <c r="Y39" s="193"/>
      <c r="Z39" s="21"/>
      <c r="AA39" s="172"/>
      <c r="AE39" s="88"/>
      <c r="AF39" s="10"/>
    </row>
    <row r="40" spans="1:48" x14ac:dyDescent="0.2">
      <c r="P40" s="123"/>
      <c r="R40" s="123"/>
      <c r="S40" s="133"/>
      <c r="T40" s="133"/>
      <c r="U40" s="92"/>
      <c r="V40" s="134"/>
      <c r="W40" s="190"/>
      <c r="X40" s="190"/>
      <c r="Y40" s="193"/>
      <c r="Z40" s="21"/>
      <c r="AA40" s="172"/>
      <c r="AB40" s="12"/>
      <c r="AC40" s="13"/>
      <c r="AE40" s="88"/>
      <c r="AF40" s="10"/>
    </row>
    <row r="41" spans="1:48" s="7" customFormat="1" x14ac:dyDescent="0.2">
      <c r="A41" s="21"/>
      <c r="B41" s="21"/>
      <c r="C41" s="8"/>
      <c r="D41" s="21"/>
      <c r="E41" s="21"/>
      <c r="F41" s="1"/>
      <c r="G41" s="23"/>
      <c r="H41" s="23"/>
      <c r="I41" s="23"/>
      <c r="J41" s="23"/>
      <c r="K41" s="23"/>
      <c r="L41" s="23"/>
      <c r="M41" s="23"/>
      <c r="N41" s="23"/>
      <c r="O41" s="23"/>
      <c r="P41" s="123"/>
      <c r="Q41" s="23"/>
      <c r="R41" s="123"/>
      <c r="S41" s="133"/>
      <c r="T41" s="133"/>
      <c r="U41" s="92"/>
      <c r="V41" s="134"/>
      <c r="W41" s="190"/>
      <c r="X41" s="190"/>
      <c r="Y41" s="193"/>
      <c r="Z41" s="21"/>
      <c r="AA41" s="172"/>
      <c r="AB41" s="14"/>
      <c r="AC41" s="14"/>
      <c r="AD41" s="8"/>
      <c r="AE41" s="88"/>
      <c r="AF41" s="10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</row>
    <row r="42" spans="1:48" x14ac:dyDescent="0.2">
      <c r="P42" s="123"/>
      <c r="R42" s="123"/>
      <c r="S42" s="133"/>
      <c r="T42" s="133"/>
      <c r="U42" s="92"/>
      <c r="V42" s="134"/>
      <c r="W42" s="190"/>
      <c r="X42" s="190"/>
      <c r="Y42" s="193"/>
      <c r="Z42" s="21"/>
      <c r="AA42" s="172"/>
      <c r="AE42" s="88"/>
    </row>
    <row r="43" spans="1:48" x14ac:dyDescent="0.2">
      <c r="P43" s="123"/>
      <c r="R43" s="123"/>
      <c r="S43" s="133"/>
      <c r="T43" s="133"/>
      <c r="U43" s="92"/>
      <c r="V43" s="134"/>
      <c r="W43" s="190"/>
      <c r="X43" s="190"/>
      <c r="Y43" s="193"/>
      <c r="Z43" s="21"/>
      <c r="AA43" s="172"/>
      <c r="AE43" s="88"/>
    </row>
    <row r="44" spans="1:48" ht="15" customHeight="1" x14ac:dyDescent="0.2">
      <c r="P44" s="123"/>
      <c r="R44" s="123"/>
      <c r="S44" s="133"/>
      <c r="T44" s="133"/>
      <c r="U44" s="92"/>
      <c r="V44" s="134"/>
      <c r="W44" s="190"/>
      <c r="X44" s="190"/>
      <c r="Y44" s="193"/>
      <c r="Z44" s="21"/>
      <c r="AA44" s="172"/>
      <c r="AE44" s="88"/>
    </row>
    <row r="45" spans="1:48" x14ac:dyDescent="0.2">
      <c r="P45" s="123"/>
      <c r="R45" s="123"/>
      <c r="S45" s="133"/>
      <c r="T45" s="133"/>
      <c r="U45" s="92"/>
      <c r="V45" s="134"/>
      <c r="W45" s="190"/>
      <c r="X45" s="190"/>
      <c r="Y45" s="193"/>
      <c r="Z45" s="21"/>
      <c r="AA45" s="172"/>
      <c r="AE45" s="88"/>
    </row>
    <row r="46" spans="1:48" x14ac:dyDescent="0.2">
      <c r="P46" s="123"/>
      <c r="R46" s="123"/>
      <c r="S46" s="133"/>
      <c r="T46" s="133"/>
      <c r="U46" s="92"/>
      <c r="V46" s="134"/>
      <c r="W46" s="190"/>
      <c r="X46" s="190"/>
      <c r="Y46" s="193"/>
      <c r="Z46" s="21"/>
      <c r="AA46" s="172"/>
      <c r="AE46" s="88"/>
    </row>
    <row r="47" spans="1:48" x14ac:dyDescent="0.2">
      <c r="P47" s="123"/>
      <c r="R47" s="123"/>
      <c r="S47" s="133"/>
      <c r="T47" s="133"/>
      <c r="U47" s="92"/>
      <c r="V47" s="134"/>
      <c r="W47" s="190"/>
      <c r="X47" s="190"/>
      <c r="Y47" s="193"/>
      <c r="Z47" s="21"/>
      <c r="AA47" s="172"/>
      <c r="AE47" s="88"/>
    </row>
    <row r="48" spans="1:48" x14ac:dyDescent="0.2">
      <c r="B48" s="8"/>
      <c r="P48" s="123"/>
      <c r="R48" s="123"/>
      <c r="S48" s="133"/>
      <c r="T48" s="133"/>
      <c r="U48" s="92"/>
      <c r="V48" s="134"/>
      <c r="W48" s="190"/>
      <c r="X48" s="190"/>
      <c r="Y48" s="193"/>
      <c r="Z48" s="21"/>
      <c r="AA48" s="172"/>
      <c r="AE48" s="88"/>
    </row>
    <row r="49" spans="2:48" s="8" customFormat="1" x14ac:dyDescent="0.2">
      <c r="P49" s="123"/>
      <c r="R49" s="123"/>
      <c r="S49" s="135"/>
      <c r="T49" s="135"/>
      <c r="U49" s="92"/>
      <c r="V49" s="134"/>
      <c r="W49" s="190"/>
      <c r="X49" s="190"/>
      <c r="Y49" s="193"/>
      <c r="AA49" s="173"/>
      <c r="AD49" s="88"/>
    </row>
    <row r="50" spans="2:48" s="8" customFormat="1" x14ac:dyDescent="0.2">
      <c r="P50" s="123"/>
      <c r="R50" s="123"/>
      <c r="S50" s="135"/>
      <c r="T50" s="135"/>
      <c r="U50" s="92"/>
      <c r="V50" s="134"/>
      <c r="W50" s="190"/>
      <c r="X50" s="190"/>
      <c r="Y50" s="193"/>
      <c r="AA50" s="172"/>
      <c r="AD50" s="88"/>
    </row>
    <row r="51" spans="2:48" s="8" customFormat="1" x14ac:dyDescent="0.2">
      <c r="P51" s="123"/>
      <c r="R51" s="123"/>
      <c r="S51" s="135"/>
      <c r="T51" s="135"/>
      <c r="U51" s="92"/>
      <c r="V51" s="134"/>
      <c r="W51" s="190"/>
      <c r="X51" s="190"/>
      <c r="Y51" s="193"/>
      <c r="AA51" s="172"/>
      <c r="AD51" s="88"/>
    </row>
    <row r="52" spans="2:48" s="8" customFormat="1" x14ac:dyDescent="0.2">
      <c r="P52" s="123"/>
      <c r="R52" s="123"/>
      <c r="U52" s="23"/>
      <c r="V52" s="123"/>
      <c r="W52" s="190"/>
      <c r="X52" s="190"/>
      <c r="Y52" s="194"/>
      <c r="AA52" s="172"/>
    </row>
    <row r="53" spans="2:48" s="8" customFormat="1" x14ac:dyDescent="0.2">
      <c r="P53" s="123"/>
      <c r="R53" s="123"/>
      <c r="W53" s="190"/>
      <c r="X53" s="190"/>
      <c r="Y53" s="193"/>
      <c r="AA53" s="172"/>
    </row>
    <row r="54" spans="2:48" s="8" customFormat="1" x14ac:dyDescent="0.2">
      <c r="P54" s="123"/>
      <c r="R54" s="123"/>
      <c r="W54" s="164"/>
      <c r="X54" s="164"/>
      <c r="Y54" s="192"/>
      <c r="AA54" s="172"/>
    </row>
    <row r="55" spans="2:48" s="8" customFormat="1" x14ac:dyDescent="0.2">
      <c r="P55" s="123"/>
      <c r="R55" s="123"/>
      <c r="Y55" s="21"/>
    </row>
    <row r="56" spans="2:48" s="8" customFormat="1" ht="11.25" x14ac:dyDescent="0.2">
      <c r="B56" s="21"/>
      <c r="Y56" s="21"/>
    </row>
    <row r="57" spans="2:48" x14ac:dyDescent="0.2">
      <c r="Y57" s="8"/>
      <c r="AR57" s="23"/>
      <c r="AV57" s="5"/>
    </row>
    <row r="58" spans="2:48" x14ac:dyDescent="0.2">
      <c r="Y58" s="8"/>
      <c r="AR58" s="23"/>
      <c r="AV58" s="5"/>
    </row>
    <row r="59" spans="2:48" x14ac:dyDescent="0.2">
      <c r="Y59" s="8"/>
      <c r="AR59" s="23"/>
      <c r="AV59" s="5"/>
    </row>
    <row r="60" spans="2:48" x14ac:dyDescent="0.2">
      <c r="Y60" s="8"/>
      <c r="AR60" s="23"/>
      <c r="AV60" s="5"/>
    </row>
    <row r="61" spans="2:48" x14ac:dyDescent="0.2">
      <c r="Y61" s="8"/>
      <c r="AR61" s="23"/>
      <c r="AV61" s="5"/>
    </row>
    <row r="62" spans="2:48" x14ac:dyDescent="0.2">
      <c r="Y62" s="8"/>
      <c r="AR62" s="23"/>
      <c r="AV62" s="5"/>
    </row>
    <row r="63" spans="2:48" x14ac:dyDescent="0.2">
      <c r="Y63" s="8"/>
      <c r="AR63" s="23"/>
      <c r="AV63" s="5"/>
    </row>
    <row r="64" spans="2:48" x14ac:dyDescent="0.2">
      <c r="Y64" s="8"/>
      <c r="AR64" s="23"/>
      <c r="AV64" s="5"/>
    </row>
    <row r="65" spans="25:48" x14ac:dyDescent="0.2">
      <c r="Y65" s="8"/>
      <c r="AR65" s="23"/>
      <c r="AV65" s="5"/>
    </row>
    <row r="66" spans="25:48" x14ac:dyDescent="0.2">
      <c r="Y66" s="8"/>
      <c r="AR66" s="23"/>
      <c r="AV66" s="5"/>
    </row>
    <row r="67" spans="25:48" x14ac:dyDescent="0.2">
      <c r="Y67" s="8"/>
      <c r="AR67" s="23"/>
      <c r="AV67" s="5"/>
    </row>
    <row r="68" spans="25:48" x14ac:dyDescent="0.2">
      <c r="Y68" s="8"/>
      <c r="AR68" s="23"/>
      <c r="AV68" s="5"/>
    </row>
    <row r="69" spans="25:48" x14ac:dyDescent="0.2">
      <c r="Y69" s="8"/>
      <c r="AR69" s="23"/>
      <c r="AV69" s="5"/>
    </row>
  </sheetData>
  <mergeCells count="7">
    <mergeCell ref="U31:Y32"/>
    <mergeCell ref="A3:A4"/>
    <mergeCell ref="AA3:AF4"/>
    <mergeCell ref="AG3:AL4"/>
    <mergeCell ref="AN3:AS4"/>
    <mergeCell ref="B3:S4"/>
    <mergeCell ref="U3:Y4"/>
  </mergeCells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>
    <oddHeader>&amp;LBilaga 3 till regleringsbrev för budgetåret 2025 avseende länsstyrelserna</oddHeader>
    <oddFooter>&amp;RSida &amp;P av &amp;N</oddFooter>
  </headerFooter>
  <colBreaks count="2" manualBreakCount="2">
    <brk id="19" max="29" man="1"/>
    <brk id="39" max="29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86733-1B09-4A04-B9A9-0CD23E0B7C78}">
  <sheetPr codeName="Blad3"/>
  <dimension ref="A1:P31"/>
  <sheetViews>
    <sheetView zoomScale="89" zoomScaleNormal="89" workbookViewId="0">
      <selection activeCell="C38" sqref="C38"/>
    </sheetView>
  </sheetViews>
  <sheetFormatPr defaultColWidth="9.140625" defaultRowHeight="15" x14ac:dyDescent="0.25"/>
  <cols>
    <col min="1" max="1" width="24" style="117" customWidth="1"/>
    <col min="2" max="2" width="19.5703125" style="117" customWidth="1"/>
    <col min="3" max="3" width="14.85546875" style="117" customWidth="1"/>
    <col min="4" max="4" width="15.28515625" style="117" customWidth="1"/>
    <col min="5" max="5" width="17.140625" style="117" customWidth="1"/>
    <col min="6" max="6" width="3.42578125" style="117" customWidth="1"/>
    <col min="7" max="7" width="20.42578125" style="117" customWidth="1"/>
    <col min="8" max="8" width="16.140625" style="117" customWidth="1"/>
    <col min="9" max="9" width="19.85546875" style="117" customWidth="1"/>
    <col min="10" max="10" width="17.28515625" style="117" customWidth="1"/>
    <col min="11" max="11" width="12.28515625" style="117" customWidth="1"/>
    <col min="12" max="22" width="12.7109375" style="117" customWidth="1"/>
    <col min="23" max="16384" width="9.140625" style="117"/>
  </cols>
  <sheetData>
    <row r="1" spans="1:12" ht="15.75" x14ac:dyDescent="0.25">
      <c r="A1" s="139" t="s">
        <v>84</v>
      </c>
      <c r="B1" s="140" t="s">
        <v>16</v>
      </c>
    </row>
    <row r="4" spans="1:12" s="140" customFormat="1" ht="31.5" customHeight="1" x14ac:dyDescent="0.25">
      <c r="A4" s="141"/>
      <c r="B4" s="114"/>
      <c r="C4" s="256" t="s">
        <v>113</v>
      </c>
      <c r="D4" s="257"/>
      <c r="E4" s="258"/>
    </row>
    <row r="5" spans="1:12" ht="30" x14ac:dyDescent="0.25">
      <c r="B5" s="114" t="s">
        <v>85</v>
      </c>
      <c r="C5" s="115" t="s">
        <v>93</v>
      </c>
      <c r="D5" s="115" t="s">
        <v>94</v>
      </c>
      <c r="E5" s="116" t="s">
        <v>86</v>
      </c>
      <c r="G5" s="166"/>
      <c r="H5" s="166"/>
      <c r="I5" s="166"/>
      <c r="J5" s="166"/>
      <c r="K5" s="166"/>
    </row>
    <row r="6" spans="1:12" ht="15.75" customHeight="1" x14ac:dyDescent="0.25">
      <c r="A6" s="120"/>
      <c r="B6" s="144" t="s">
        <v>87</v>
      </c>
      <c r="C6" s="142"/>
      <c r="D6" s="118"/>
      <c r="E6" s="118"/>
      <c r="G6" s="99"/>
      <c r="H6" s="167"/>
      <c r="I6" s="166"/>
      <c r="J6" s="166"/>
      <c r="K6" s="166"/>
    </row>
    <row r="7" spans="1:12" x14ac:dyDescent="0.25">
      <c r="A7" s="120"/>
      <c r="B7" s="145" t="s">
        <v>88</v>
      </c>
      <c r="C7" s="158"/>
      <c r="D7" s="157">
        <v>2860</v>
      </c>
      <c r="E7" s="119">
        <f>C7-D7</f>
        <v>-2860</v>
      </c>
      <c r="G7" s="99"/>
      <c r="H7" s="167"/>
      <c r="I7" s="168"/>
      <c r="J7" s="166"/>
      <c r="K7" s="166"/>
    </row>
    <row r="8" spans="1:12" x14ac:dyDescent="0.25">
      <c r="A8" s="120"/>
      <c r="B8" s="145" t="s">
        <v>46</v>
      </c>
      <c r="C8" s="122">
        <v>461105.03982618498</v>
      </c>
      <c r="D8" s="157">
        <v>461204</v>
      </c>
      <c r="E8" s="119">
        <f>C8-D8</f>
        <v>-98.960173815023154</v>
      </c>
      <c r="F8" s="159"/>
      <c r="G8" s="99"/>
      <c r="H8" s="167"/>
      <c r="I8" s="168"/>
      <c r="J8" s="166"/>
      <c r="K8" s="169"/>
      <c r="L8" s="159"/>
    </row>
    <row r="9" spans="1:12" x14ac:dyDescent="0.25">
      <c r="A9" s="120" t="s">
        <v>97</v>
      </c>
      <c r="B9" s="145" t="s">
        <v>47</v>
      </c>
      <c r="C9" s="122">
        <v>134231.31888406706</v>
      </c>
      <c r="D9" s="157">
        <v>132662</v>
      </c>
      <c r="E9" s="119">
        <f t="shared" ref="E9:E28" si="0">C9-D9</f>
        <v>1569.3188840670628</v>
      </c>
      <c r="F9" s="159"/>
      <c r="G9" s="99"/>
      <c r="H9" s="167"/>
      <c r="I9" s="168"/>
      <c r="J9" s="166"/>
      <c r="K9" s="169"/>
      <c r="L9" s="159"/>
    </row>
    <row r="10" spans="1:12" x14ac:dyDescent="0.25">
      <c r="A10" s="120"/>
      <c r="B10" s="145" t="s">
        <v>48</v>
      </c>
      <c r="C10" s="122">
        <v>107350.31980093609</v>
      </c>
      <c r="D10" s="157">
        <v>107696</v>
      </c>
      <c r="E10" s="119">
        <f t="shared" si="0"/>
        <v>-345.68019906390691</v>
      </c>
      <c r="F10" s="159"/>
      <c r="G10" s="99"/>
      <c r="H10" s="167"/>
      <c r="I10" s="168"/>
      <c r="J10" s="166"/>
      <c r="K10" s="169"/>
      <c r="L10" s="159"/>
    </row>
    <row r="11" spans="1:12" x14ac:dyDescent="0.25">
      <c r="A11" s="120"/>
      <c r="B11" s="145" t="s">
        <v>49</v>
      </c>
      <c r="C11" s="122">
        <v>216327.65217890509</v>
      </c>
      <c r="D11" s="157">
        <v>217139</v>
      </c>
      <c r="E11" s="119">
        <f t="shared" si="0"/>
        <v>-811.34782109491061</v>
      </c>
      <c r="F11" s="159"/>
      <c r="G11" s="99"/>
      <c r="H11" s="167"/>
      <c r="I11" s="168"/>
      <c r="J11" s="166"/>
      <c r="K11" s="169"/>
      <c r="L11" s="159"/>
    </row>
    <row r="12" spans="1:12" x14ac:dyDescent="0.25">
      <c r="A12" s="120" t="s">
        <v>97</v>
      </c>
      <c r="B12" s="145" t="s">
        <v>50</v>
      </c>
      <c r="C12" s="122">
        <v>138358.18170990574</v>
      </c>
      <c r="D12" s="157">
        <v>138751</v>
      </c>
      <c r="E12" s="119">
        <f t="shared" si="0"/>
        <v>-392.81829009426292</v>
      </c>
      <c r="F12" s="159"/>
      <c r="G12" s="99"/>
      <c r="H12" s="167"/>
      <c r="I12" s="168"/>
      <c r="J12" s="166"/>
      <c r="K12" s="169"/>
      <c r="L12" s="159"/>
    </row>
    <row r="13" spans="1:12" x14ac:dyDescent="0.25">
      <c r="A13" s="120"/>
      <c r="B13" s="145" t="s">
        <v>51</v>
      </c>
      <c r="C13" s="122">
        <v>96653.395823294006</v>
      </c>
      <c r="D13" s="157">
        <v>97047</v>
      </c>
      <c r="E13" s="119">
        <f t="shared" si="0"/>
        <v>-393.60417670599418</v>
      </c>
      <c r="F13" s="159"/>
      <c r="G13" s="99"/>
      <c r="H13" s="167"/>
      <c r="I13" s="168"/>
      <c r="J13" s="166"/>
      <c r="K13" s="169"/>
      <c r="L13" s="159"/>
    </row>
    <row r="14" spans="1:12" x14ac:dyDescent="0.25">
      <c r="A14" s="120"/>
      <c r="B14" s="145" t="s">
        <v>52</v>
      </c>
      <c r="C14" s="122">
        <v>116986.89845409909</v>
      </c>
      <c r="D14" s="157">
        <v>115716</v>
      </c>
      <c r="E14" s="119">
        <f t="shared" si="0"/>
        <v>1270.8984540990932</v>
      </c>
      <c r="F14" s="159"/>
      <c r="G14" s="99"/>
      <c r="H14" s="167"/>
      <c r="I14" s="168"/>
      <c r="J14" s="166"/>
      <c r="K14" s="169"/>
      <c r="L14" s="159"/>
    </row>
    <row r="15" spans="1:12" x14ac:dyDescent="0.25">
      <c r="A15" s="120"/>
      <c r="B15" s="145" t="s">
        <v>53</v>
      </c>
      <c r="C15" s="122">
        <v>74371.207456814867</v>
      </c>
      <c r="D15" s="157">
        <v>74310</v>
      </c>
      <c r="E15" s="119">
        <f t="shared" si="0"/>
        <v>61.207456814867328</v>
      </c>
      <c r="F15" s="159"/>
      <c r="G15" s="99"/>
      <c r="H15" s="167"/>
      <c r="I15" s="168"/>
      <c r="J15" s="166"/>
      <c r="K15" s="169"/>
      <c r="L15" s="159"/>
    </row>
    <row r="16" spans="1:12" x14ac:dyDescent="0.25">
      <c r="A16" s="120"/>
      <c r="B16" s="145" t="s">
        <v>54</v>
      </c>
      <c r="C16" s="122">
        <v>74297.089791339196</v>
      </c>
      <c r="D16" s="157">
        <v>74303</v>
      </c>
      <c r="E16" s="119">
        <f t="shared" si="0"/>
        <v>-5.9102086608036188</v>
      </c>
      <c r="F16" s="159"/>
      <c r="G16" s="99"/>
      <c r="H16" s="167"/>
      <c r="I16" s="168"/>
      <c r="J16" s="166"/>
      <c r="K16" s="169"/>
      <c r="L16" s="159"/>
    </row>
    <row r="17" spans="1:16" x14ac:dyDescent="0.25">
      <c r="A17" s="120"/>
      <c r="B17" s="145" t="s">
        <v>55</v>
      </c>
      <c r="C17" s="122">
        <v>381605.00971874414</v>
      </c>
      <c r="D17" s="157">
        <v>381058</v>
      </c>
      <c r="E17" s="119">
        <f t="shared" si="0"/>
        <v>547.00971874414245</v>
      </c>
      <c r="F17" s="159"/>
      <c r="G17" s="99"/>
      <c r="H17" s="167"/>
      <c r="I17" s="168"/>
      <c r="J17" s="166"/>
      <c r="K17" s="169"/>
      <c r="L17" s="159"/>
    </row>
    <row r="18" spans="1:16" x14ac:dyDescent="0.25">
      <c r="A18" s="120"/>
      <c r="B18" s="145" t="s">
        <v>56</v>
      </c>
      <c r="C18" s="122">
        <v>121919.59911575855</v>
      </c>
      <c r="D18" s="157">
        <v>120497</v>
      </c>
      <c r="E18" s="119">
        <f t="shared" si="0"/>
        <v>1422.5991157585522</v>
      </c>
      <c r="F18" s="159"/>
      <c r="G18" s="99"/>
      <c r="H18" s="167"/>
      <c r="I18" s="168"/>
      <c r="J18" s="166"/>
      <c r="K18" s="169"/>
      <c r="L18" s="159"/>
    </row>
    <row r="19" spans="1:16" x14ac:dyDescent="0.25">
      <c r="A19" s="120"/>
      <c r="B19" s="145" t="s">
        <v>57</v>
      </c>
      <c r="C19" s="122">
        <v>594098.90809480229</v>
      </c>
      <c r="D19" s="157">
        <v>592153</v>
      </c>
      <c r="E19" s="119">
        <f t="shared" si="0"/>
        <v>1945.9080948022893</v>
      </c>
      <c r="F19" s="159"/>
      <c r="G19" s="99"/>
      <c r="H19" s="167"/>
      <c r="I19" s="168"/>
      <c r="J19" s="166"/>
      <c r="K19" s="169"/>
      <c r="L19" s="159"/>
    </row>
    <row r="20" spans="1:16" x14ac:dyDescent="0.25">
      <c r="A20" s="120"/>
      <c r="B20" s="145" t="s">
        <v>58</v>
      </c>
      <c r="C20" s="122">
        <v>130513.22696329813</v>
      </c>
      <c r="D20" s="157">
        <v>130382</v>
      </c>
      <c r="E20" s="119">
        <f t="shared" si="0"/>
        <v>131.22696329813334</v>
      </c>
      <c r="F20" s="159"/>
      <c r="G20" s="99"/>
      <c r="H20" s="167"/>
      <c r="I20" s="168"/>
      <c r="J20" s="166"/>
      <c r="K20" s="169"/>
      <c r="L20" s="159"/>
    </row>
    <row r="21" spans="1:16" x14ac:dyDescent="0.25">
      <c r="A21" s="120"/>
      <c r="B21" s="145" t="s">
        <v>59</v>
      </c>
      <c r="C21" s="122">
        <v>185180.71007107242</v>
      </c>
      <c r="D21" s="157">
        <v>185037</v>
      </c>
      <c r="E21" s="119">
        <f t="shared" si="0"/>
        <v>143.71007107241894</v>
      </c>
      <c r="F21" s="159"/>
      <c r="G21" s="99"/>
      <c r="H21" s="167"/>
      <c r="I21" s="168"/>
      <c r="J21" s="166"/>
      <c r="K21" s="169"/>
      <c r="L21" s="159"/>
    </row>
    <row r="22" spans="1:16" x14ac:dyDescent="0.25">
      <c r="A22" s="120"/>
      <c r="B22" s="145" t="s">
        <v>60</v>
      </c>
      <c r="C22" s="122">
        <v>133956.10554959864</v>
      </c>
      <c r="D22" s="157">
        <v>136452</v>
      </c>
      <c r="E22" s="119">
        <f t="shared" si="0"/>
        <v>-2495.8944504013634</v>
      </c>
      <c r="F22" s="159"/>
      <c r="G22" s="99"/>
      <c r="H22" s="167"/>
      <c r="I22" s="168"/>
      <c r="J22" s="166"/>
      <c r="K22" s="169"/>
      <c r="L22" s="159"/>
    </row>
    <row r="23" spans="1:16" x14ac:dyDescent="0.25">
      <c r="A23" s="120"/>
      <c r="B23" s="145" t="s">
        <v>61</v>
      </c>
      <c r="C23" s="122">
        <v>135361.90382401866</v>
      </c>
      <c r="D23" s="157">
        <v>135569</v>
      </c>
      <c r="E23" s="119">
        <f t="shared" si="0"/>
        <v>-207.09617598133627</v>
      </c>
      <c r="F23" s="159"/>
      <c r="G23" s="99"/>
      <c r="H23" s="167"/>
      <c r="I23" s="168"/>
      <c r="J23" s="166"/>
      <c r="K23" s="169"/>
      <c r="L23" s="159"/>
    </row>
    <row r="24" spans="1:16" x14ac:dyDescent="0.25">
      <c r="A24" s="120"/>
      <c r="B24" s="145" t="s">
        <v>62</v>
      </c>
      <c r="C24" s="122">
        <v>130612.80232943771</v>
      </c>
      <c r="D24" s="157">
        <v>130427</v>
      </c>
      <c r="E24" s="119">
        <f t="shared" si="0"/>
        <v>185.80232943770534</v>
      </c>
      <c r="F24" s="159"/>
      <c r="G24" s="99"/>
      <c r="H24" s="167"/>
      <c r="I24" s="168"/>
      <c r="J24" s="166"/>
      <c r="K24" s="169"/>
      <c r="L24" s="159"/>
    </row>
    <row r="25" spans="1:16" x14ac:dyDescent="0.25">
      <c r="A25" s="120"/>
      <c r="B25" s="145" t="s">
        <v>63</v>
      </c>
      <c r="C25" s="122">
        <v>129992.84391789199</v>
      </c>
      <c r="D25" s="157">
        <v>129411</v>
      </c>
      <c r="E25" s="119">
        <f t="shared" si="0"/>
        <v>581.84391789199435</v>
      </c>
      <c r="F25" s="159"/>
      <c r="G25" s="99"/>
      <c r="H25" s="167"/>
      <c r="I25" s="168"/>
      <c r="J25" s="166"/>
      <c r="K25" s="169"/>
      <c r="L25" s="159"/>
    </row>
    <row r="26" spans="1:16" x14ac:dyDescent="0.25">
      <c r="A26" s="120"/>
      <c r="B26" s="145" t="s">
        <v>64</v>
      </c>
      <c r="C26" s="122">
        <v>117852.1047710667</v>
      </c>
      <c r="D26" s="157">
        <v>117296</v>
      </c>
      <c r="E26" s="119">
        <f t="shared" si="0"/>
        <v>556.10477106670442</v>
      </c>
      <c r="F26" s="159"/>
      <c r="G26" s="99"/>
      <c r="H26" s="167"/>
      <c r="I26" s="168"/>
      <c r="J26" s="166"/>
      <c r="K26" s="169"/>
      <c r="L26" s="159"/>
    </row>
    <row r="27" spans="1:16" x14ac:dyDescent="0.25">
      <c r="A27" s="120"/>
      <c r="B27" s="145" t="s">
        <v>65</v>
      </c>
      <c r="C27" s="122">
        <v>168811.46056709025</v>
      </c>
      <c r="D27" s="157">
        <v>170851</v>
      </c>
      <c r="E27" s="119">
        <f t="shared" si="0"/>
        <v>-2039.5394329097471</v>
      </c>
      <c r="F27" s="159" t="s">
        <v>122</v>
      </c>
      <c r="G27" s="99"/>
      <c r="H27" s="167"/>
      <c r="I27" s="168"/>
      <c r="J27" s="166"/>
      <c r="K27" s="169"/>
      <c r="L27" s="159"/>
    </row>
    <row r="28" spans="1:16" x14ac:dyDescent="0.25">
      <c r="A28" s="120"/>
      <c r="B28" s="145" t="s">
        <v>66</v>
      </c>
      <c r="C28" s="122">
        <v>218004.22115473787</v>
      </c>
      <c r="D28" s="157">
        <v>216769</v>
      </c>
      <c r="E28" s="119">
        <f t="shared" si="0"/>
        <v>1235.2211547378683</v>
      </c>
      <c r="F28" s="159"/>
      <c r="G28" s="99"/>
      <c r="H28" s="167"/>
      <c r="I28" s="168"/>
      <c r="J28" s="166"/>
      <c r="K28" s="169"/>
      <c r="L28" s="159"/>
    </row>
    <row r="29" spans="1:16" x14ac:dyDescent="0.25">
      <c r="A29" s="120"/>
      <c r="B29" s="146" t="s">
        <v>89</v>
      </c>
      <c r="C29" s="143"/>
      <c r="D29" s="157">
        <v>0</v>
      </c>
      <c r="E29" s="119"/>
      <c r="F29" s="159"/>
      <c r="G29" s="99"/>
      <c r="H29" s="167"/>
      <c r="I29" s="168"/>
      <c r="J29" s="166"/>
      <c r="K29" s="166"/>
    </row>
    <row r="30" spans="1:16" x14ac:dyDescent="0.25">
      <c r="A30" s="120"/>
      <c r="B30" s="114" t="s">
        <v>30</v>
      </c>
      <c r="C30" s="189">
        <f>SUM(C8:C29)</f>
        <v>3867590.0000030636</v>
      </c>
      <c r="D30" s="187">
        <f>SUM(D7:D29)</f>
        <v>3867590</v>
      </c>
      <c r="E30" s="121"/>
      <c r="G30" s="166"/>
      <c r="H30" s="166"/>
      <c r="I30" s="166"/>
      <c r="J30" s="166"/>
      <c r="K30" s="170"/>
    </row>
    <row r="31" spans="1:16" x14ac:dyDescent="0.25">
      <c r="L31" s="166"/>
      <c r="M31" s="166"/>
      <c r="N31" s="166"/>
      <c r="O31" s="166"/>
      <c r="P31" s="166"/>
    </row>
  </sheetData>
  <mergeCells count="1">
    <mergeCell ref="C4:E4"/>
  </mergeCells>
  <pageMargins left="0.7" right="0.7" top="0.75" bottom="0.75" header="0.3" footer="0.3"/>
  <pageSetup paperSize="9" scale="45" orientation="portrait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F033-9B26-419A-9AED-3D4A5FE36AF4}">
  <sheetPr codeName="Blad4"/>
  <dimension ref="B2:R31"/>
  <sheetViews>
    <sheetView workbookViewId="0">
      <selection activeCell="R18" sqref="R18"/>
    </sheetView>
  </sheetViews>
  <sheetFormatPr defaultRowHeight="15" x14ac:dyDescent="0.25"/>
  <cols>
    <col min="4" max="4" width="14" customWidth="1"/>
    <col min="5" max="5" width="12.7109375" customWidth="1"/>
    <col min="15" max="15" width="14.7109375" bestFit="1" customWidth="1"/>
    <col min="18" max="18" width="13.28515625" customWidth="1"/>
  </cols>
  <sheetData>
    <row r="2" spans="2:18" x14ac:dyDescent="0.25">
      <c r="D2" t="s">
        <v>30</v>
      </c>
      <c r="E2" t="s">
        <v>43</v>
      </c>
    </row>
    <row r="3" spans="2:18" x14ac:dyDescent="0.25">
      <c r="B3" t="s">
        <v>76</v>
      </c>
      <c r="D3" s="111">
        <f>'Översikt fördelning'!C3</f>
        <v>4196845</v>
      </c>
    </row>
    <row r="5" spans="2:18" x14ac:dyDescent="0.25">
      <c r="B5" t="s">
        <v>2</v>
      </c>
      <c r="D5" s="111">
        <f>-'Översikt fördelning'!C6</f>
        <v>970211.67788618302</v>
      </c>
      <c r="E5" s="112">
        <f>D5/$D$3</f>
        <v>0.23117643798762713</v>
      </c>
      <c r="I5" s="111"/>
    </row>
    <row r="6" spans="2:18" x14ac:dyDescent="0.25">
      <c r="B6" t="s">
        <v>77</v>
      </c>
      <c r="D6" s="111" t="e">
        <f>-('Översikt fördelning'!#REF!+'Översikt fördelning'!C8+'Översikt fördelning'!C9+'Översikt fördelning'!#REF!+'Översikt fördelning'!#REF!+'Översikt fördelning'!#REF!+'Översikt fördelning'!#REF!+'Översikt fördelning'!C10+'Översikt fördelning'!#REF!+'Översikt fördelning'!C11+'Översikt fördelning'!#REF!+'Översikt fördelning'!#REF!+'Översikt fördelning'!#REF!+'Översikt fördelning'!#REF!+'Översikt fördelning'!#REF!)</f>
        <v>#REF!</v>
      </c>
      <c r="E6" s="112" t="e">
        <f t="shared" ref="E6:E9" si="0">D6/$D$3</f>
        <v>#REF!</v>
      </c>
      <c r="L6" t="s">
        <v>121</v>
      </c>
      <c r="M6" t="s">
        <v>81</v>
      </c>
      <c r="N6" t="s">
        <v>91</v>
      </c>
    </row>
    <row r="7" spans="2:18" x14ac:dyDescent="0.25">
      <c r="B7" t="s">
        <v>78</v>
      </c>
      <c r="D7" s="111">
        <f>'Översikt fördelning'!C24</f>
        <v>2574568.6635414255</v>
      </c>
      <c r="E7" s="112">
        <f t="shared" si="0"/>
        <v>0.6134533592594974</v>
      </c>
      <c r="I7" s="111"/>
      <c r="J7" s="112"/>
      <c r="K7" t="s">
        <v>123</v>
      </c>
      <c r="L7">
        <v>594098.90809480101</v>
      </c>
      <c r="N7">
        <v>17822</v>
      </c>
    </row>
    <row r="8" spans="2:18" x14ac:dyDescent="0.25">
      <c r="B8" t="s">
        <v>1</v>
      </c>
      <c r="D8" s="111">
        <f>-'Översikt fördelning'!C5</f>
        <v>465264.65857239184</v>
      </c>
      <c r="E8" s="112">
        <f t="shared" si="0"/>
        <v>0.11086057706977309</v>
      </c>
      <c r="I8" s="111"/>
      <c r="J8" s="112"/>
      <c r="K8" t="s">
        <v>124</v>
      </c>
      <c r="L8">
        <v>101000</v>
      </c>
      <c r="M8">
        <f>L8/$L$7</f>
        <v>0.17000536211031603</v>
      </c>
      <c r="N8">
        <f>$N$7*M$8</f>
        <v>3029.8355635300522</v>
      </c>
    </row>
    <row r="9" spans="2:18" x14ac:dyDescent="0.25">
      <c r="B9" t="s">
        <v>79</v>
      </c>
      <c r="D9" s="111" t="e">
        <f>-'Översikt fördelning'!#REF!</f>
        <v>#REF!</v>
      </c>
      <c r="E9" s="113" t="e">
        <f t="shared" si="0"/>
        <v>#REF!</v>
      </c>
      <c r="I9" s="111"/>
      <c r="J9" s="112"/>
      <c r="L9">
        <f>L7-L8</f>
        <v>493098.90809480101</v>
      </c>
      <c r="M9">
        <f>L9/$L$7</f>
        <v>0.82999463788968397</v>
      </c>
      <c r="N9">
        <f>N7*M9</f>
        <v>14792.164436469948</v>
      </c>
    </row>
    <row r="10" spans="2:18" x14ac:dyDescent="0.25">
      <c r="I10" s="111"/>
      <c r="J10" s="112"/>
    </row>
    <row r="11" spans="2:18" x14ac:dyDescent="0.25">
      <c r="I11" s="111"/>
      <c r="J11" s="113"/>
      <c r="N11">
        <v>14792</v>
      </c>
    </row>
    <row r="12" spans="2:18" x14ac:dyDescent="0.25">
      <c r="N12">
        <v>3029</v>
      </c>
      <c r="R12" s="203">
        <v>12633167</v>
      </c>
    </row>
    <row r="13" spans="2:18" x14ac:dyDescent="0.25">
      <c r="R13">
        <f>R12/21</f>
        <v>601579.38095238095</v>
      </c>
    </row>
    <row r="16" spans="2:18" x14ac:dyDescent="0.25">
      <c r="M16" t="s">
        <v>121</v>
      </c>
      <c r="N16" t="s">
        <v>81</v>
      </c>
      <c r="O16" t="s">
        <v>91</v>
      </c>
    </row>
    <row r="17" spans="6:15" x14ac:dyDescent="0.25">
      <c r="G17" t="s">
        <v>90</v>
      </c>
      <c r="H17" t="s">
        <v>80</v>
      </c>
      <c r="L17" t="s">
        <v>123</v>
      </c>
      <c r="M17">
        <v>185180.71007106992</v>
      </c>
      <c r="O17">
        <v>5555</v>
      </c>
    </row>
    <row r="18" spans="6:15" x14ac:dyDescent="0.25">
      <c r="G18" s="111">
        <v>7288</v>
      </c>
      <c r="H18" s="111">
        <v>242959</v>
      </c>
      <c r="L18" t="s">
        <v>99</v>
      </c>
      <c r="M18">
        <v>15000</v>
      </c>
      <c r="N18">
        <f>M18/$M$17</f>
        <v>8.1001957462217306E-2</v>
      </c>
      <c r="O18" s="188">
        <f>N18*$O$17</f>
        <v>449.96587370261716</v>
      </c>
    </row>
    <row r="19" spans="6:15" x14ac:dyDescent="0.25">
      <c r="L19" t="s">
        <v>83</v>
      </c>
      <c r="M19">
        <f>9431.28316*1.031457</f>
        <v>9727.963034364122</v>
      </c>
      <c r="N19">
        <f t="shared" ref="N19:N22" si="1">M19/$M$17</f>
        <v>5.2532269860238998E-2</v>
      </c>
      <c r="O19" s="188">
        <f t="shared" ref="O19:O22" si="2">N19*$O$17</f>
        <v>291.81675907362762</v>
      </c>
    </row>
    <row r="20" spans="6:15" x14ac:dyDescent="0.25">
      <c r="L20" t="s">
        <v>82</v>
      </c>
      <c r="M20">
        <v>100</v>
      </c>
      <c r="N20">
        <f t="shared" si="1"/>
        <v>5.4001304974811534E-4</v>
      </c>
      <c r="O20" s="188">
        <f t="shared" si="2"/>
        <v>2.9997724913507806</v>
      </c>
    </row>
    <row r="21" spans="6:15" x14ac:dyDescent="0.25">
      <c r="L21" t="s">
        <v>102</v>
      </c>
      <c r="M21">
        <f>11000*1.031457</f>
        <v>11346.027</v>
      </c>
      <c r="N21">
        <f t="shared" si="1"/>
        <v>6.1270026427944595E-2</v>
      </c>
      <c r="O21" s="188">
        <f t="shared" si="2"/>
        <v>340.35499680723223</v>
      </c>
    </row>
    <row r="22" spans="6:15" x14ac:dyDescent="0.25">
      <c r="H22" t="s">
        <v>81</v>
      </c>
      <c r="I22" t="s">
        <v>91</v>
      </c>
      <c r="M22">
        <f>M17-M18-M19-M20-M21</f>
        <v>149006.72003670578</v>
      </c>
      <c r="N22">
        <f t="shared" si="1"/>
        <v>0.80465573319985095</v>
      </c>
      <c r="O22" s="188">
        <f t="shared" si="2"/>
        <v>4469.8625979251719</v>
      </c>
    </row>
    <row r="23" spans="6:15" x14ac:dyDescent="0.25">
      <c r="F23" t="s">
        <v>99</v>
      </c>
      <c r="G23">
        <v>15000</v>
      </c>
      <c r="H23">
        <f>G23/H18</f>
        <v>6.1738811898303832E-2</v>
      </c>
      <c r="I23">
        <f>H23*G$18</f>
        <v>449.95246111483834</v>
      </c>
    </row>
    <row r="24" spans="6:15" x14ac:dyDescent="0.25">
      <c r="F24" t="s">
        <v>83</v>
      </c>
      <c r="G24" s="160">
        <f>9239.047046988*1.0108*1.0099</f>
        <v>9431.2831597709155</v>
      </c>
      <c r="H24">
        <f>G24/H18</f>
        <v>3.8818414464049142E-2</v>
      </c>
      <c r="I24">
        <f>H24*G$18</f>
        <v>282.90860461399012</v>
      </c>
    </row>
    <row r="25" spans="6:15" x14ac:dyDescent="0.25">
      <c r="F25" t="s">
        <v>82</v>
      </c>
      <c r="G25">
        <v>200</v>
      </c>
      <c r="H25">
        <f>G25/H18</f>
        <v>8.2318415864405105E-4</v>
      </c>
      <c r="I25">
        <f t="shared" ref="I25" si="3">H25*G$18</f>
        <v>5.9993661481978444</v>
      </c>
      <c r="N25">
        <v>149006</v>
      </c>
    </row>
    <row r="26" spans="6:15" x14ac:dyDescent="0.25">
      <c r="F26" t="s">
        <v>100</v>
      </c>
      <c r="G26">
        <v>60000</v>
      </c>
      <c r="H26">
        <f>G26/$H$18</f>
        <v>0.24695524759321533</v>
      </c>
      <c r="I26">
        <f>H26*G$18</f>
        <v>1799.8098444593534</v>
      </c>
      <c r="N26">
        <v>15000</v>
      </c>
    </row>
    <row r="27" spans="6:15" x14ac:dyDescent="0.25">
      <c r="F27" t="s">
        <v>101</v>
      </c>
      <c r="G27">
        <v>0</v>
      </c>
      <c r="H27">
        <f t="shared" ref="H27:H28" si="4">G27/$H$18</f>
        <v>0</v>
      </c>
      <c r="I27">
        <f t="shared" ref="I27" si="5">H27*G$18</f>
        <v>0</v>
      </c>
      <c r="N27">
        <v>9728</v>
      </c>
    </row>
    <row r="28" spans="6:15" x14ac:dyDescent="0.25">
      <c r="F28" t="s">
        <v>102</v>
      </c>
      <c r="G28">
        <v>11000</v>
      </c>
      <c r="H28">
        <f t="shared" si="4"/>
        <v>4.527512872542281E-2</v>
      </c>
      <c r="I28">
        <f>H28*G$18</f>
        <v>329.96513815088144</v>
      </c>
      <c r="N28">
        <v>100</v>
      </c>
    </row>
    <row r="29" spans="6:15" x14ac:dyDescent="0.25">
      <c r="K29">
        <f>I28+I30</f>
        <v>329.96513815088144</v>
      </c>
      <c r="N29">
        <v>11346</v>
      </c>
    </row>
    <row r="30" spans="6:15" x14ac:dyDescent="0.25">
      <c r="I30" s="111"/>
    </row>
    <row r="31" spans="6:15" x14ac:dyDescent="0.25">
      <c r="H31" s="111" t="s">
        <v>103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3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CF5593F4490C0D4196725A57CBAFD07F" ma:contentTypeVersion="73" ma:contentTypeDescription="Skapa nytt dokument med möjlighet att välja RK-mall" ma:contentTypeScope="" ma:versionID="0b3bb73c448d25a7f063df66907e9038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5="18f3d968-6251-40b0-9f11-012b293496c2" xmlns:ns6="9c9941df-7074-4a92-bf99-225d24d78d61" xmlns:ns7="http://schemas.microsoft.com/sharepoint/v4" xmlns:ns8="eec14d05-b663-4c4f-ba9e-f91ce218b26b" targetNamespace="http://schemas.microsoft.com/office/2006/metadata/properties" ma:root="true" ma:fieldsID="cf63978305062f979a8dac6e606a6156" ns2:_="" ns3:_="" ns5:_="" ns6:_="" ns7:_="" ns8:_="">
    <xsd:import namespace="4e9c2f0c-7bf8-49af-8356-cbf363fc78a7"/>
    <xsd:import namespace="cc625d36-bb37-4650-91b9-0c96159295ba"/>
    <xsd:import namespace="18f3d968-6251-40b0-9f11-012b293496c2"/>
    <xsd:import namespace="9c9941df-7074-4a92-bf99-225d24d78d61"/>
    <xsd:import namespace="http://schemas.microsoft.com/sharepoint/v4"/>
    <xsd:import namespace="eec14d05-b663-4c4f-ba9e-f91ce218b26b"/>
    <xsd:element name="properties">
      <xsd:complexType>
        <xsd:sequence>
          <xsd:element name="documentManagement">
            <xsd:complexType>
              <xsd:all>
                <xsd:element ref="ns2:DirtyMigration" minOccurs="0"/>
                <xsd:element ref="ns3:TaxCatchAllLabel" minOccurs="0"/>
                <xsd:element ref="ns3:TaxCatchAll" minOccurs="0"/>
                <xsd:element ref="ns3:k46d94c0acf84ab9a79866a9d8b1905f" minOccurs="0"/>
                <xsd:element ref="ns3:edbe0b5c82304c8e847ab7b8c02a77c3" minOccurs="0"/>
                <xsd:element ref="ns5:RKNyckelord" minOccurs="0"/>
                <xsd:element ref="ns6:SharedWithUsers" minOccurs="0"/>
                <xsd:element ref="ns7:IconOverlay" minOccurs="0"/>
                <xsd:element ref="ns8:_dlc_DocId" minOccurs="0"/>
                <xsd:element ref="ns8:_dlc_DocIdUrl" minOccurs="0"/>
                <xsd:element ref="ns8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8" nillable="true" ma:displayName="Taxonomy Catch All Column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_dlc_DocId" ma:index="19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20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RKNyckelord xmlns="18f3d968-6251-40b0-9f11-012b293496c2" xsi:nil="true"/>
    <IconOverlay xmlns="http://schemas.microsoft.com/sharepoint/v4" xsi:nil="true"/>
    <_dlc_DocId xmlns="eec14d05-b663-4c4f-ba9e-f91ce218b26b">JMV6WU277ZYR-1834298216-39853</_dlc_DocId>
    <_dlc_DocIdUrl xmlns="eec14d05-b663-4c4f-ba9e-f91ce218b26b">
      <Url>https://dhs.sp.regeringskansliet.se/yta/fi-ofa/sfo/_layouts/15/DocIdRedir.aspx?ID=JMV6WU277ZYR-1834298216-39853</Url>
      <Description>JMV6WU277ZYR-1834298216-39853</Description>
    </_dlc_DocIdUrl>
  </documentManagement>
</p:properties>
</file>

<file path=customXml/itemProps1.xml><?xml version="1.0" encoding="utf-8"?>
<ds:datastoreItem xmlns:ds="http://schemas.openxmlformats.org/officeDocument/2006/customXml" ds:itemID="{A598A73B-AE04-440F-98EE-22473E716D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EDB698-98B2-4C6F-9978-456290C38CC5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F3660909-6AA9-43DA-9438-C29B74F72C5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124A9B6E-5A85-45CE-8F93-2AE1796C1F28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0B8245B1-1BCD-46C8-AE16-33ECE8629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9c9941df-7074-4a92-bf99-225d24d78d61"/>
    <ds:schemaRef ds:uri="http://schemas.microsoft.com/sharepoint/v4"/>
    <ds:schemaRef ds:uri="eec14d05-b663-4c4f-ba9e-f91ce218b2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9B8D2156-5A19-4662-9644-6C41E2DC58EE}">
  <ds:schemaRefs>
    <ds:schemaRef ds:uri="9c9941df-7074-4a92-bf99-225d24d78d61"/>
    <ds:schemaRef ds:uri="http://purl.org/dc/elements/1.1/"/>
    <ds:schemaRef ds:uri="http://schemas.microsoft.com/office/2006/metadata/properties"/>
    <ds:schemaRef ds:uri="cc625d36-bb37-4650-91b9-0c96159295ba"/>
    <ds:schemaRef ds:uri="http://schemas.microsoft.com/office/infopath/2007/PartnerControls"/>
    <ds:schemaRef ds:uri="http://schemas.microsoft.com/sharepoint/v4"/>
    <ds:schemaRef ds:uri="http://purl.org/dc/terms/"/>
    <ds:schemaRef ds:uri="http://schemas.openxmlformats.org/package/2006/metadata/core-properties"/>
    <ds:schemaRef ds:uri="eec14d05-b663-4c4f-ba9e-f91ce218b26b"/>
    <ds:schemaRef ds:uri="http://schemas.microsoft.com/office/2006/documentManagement/types"/>
    <ds:schemaRef ds:uri="18f3d968-6251-40b0-9f11-012b293496c2"/>
    <ds:schemaRef ds:uri="4e9c2f0c-7bf8-49af-8356-cbf363fc78a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</vt:i4>
      </vt:variant>
    </vt:vector>
  </HeadingPairs>
  <TitlesOfParts>
    <vt:vector size="6" baseType="lpstr">
      <vt:lpstr>Översikt fördelning</vt:lpstr>
      <vt:lpstr>Riktade medel och parametrar</vt:lpstr>
      <vt:lpstr>Omdisponering av anslag</vt:lpstr>
      <vt:lpstr>Fördelning av anslaget</vt:lpstr>
      <vt:lpstr>'Riktade medel och parametrar'!Utskriftsområde</vt:lpstr>
      <vt:lpstr>'Översikt fördelning'!Utskriftsområde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Hagberg</dc:creator>
  <cp:keywords/>
  <dc:description/>
  <cp:lastModifiedBy>Madeleine Ehlin</cp:lastModifiedBy>
  <cp:revision/>
  <cp:lastPrinted>2025-01-13T12:10:20Z</cp:lastPrinted>
  <dcterms:created xsi:type="dcterms:W3CDTF">2020-10-23T14:25:55Z</dcterms:created>
  <dcterms:modified xsi:type="dcterms:W3CDTF">2025-05-21T11:03:30Z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0x010100BBA312BF02777149882D207184EC35C03200CF5593F4490C0D4196725A57CBAFD07F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853964ef-4936-44f3-a525-e0f98fb5791f</vt:lpwstr>
  </property>
  <property fmtid="{D5CDD505-2E9C-101B-9397-08002B2CF9AE}" pid="6" name="_dlc_DocId">
    <vt:lpwstr>JMV6WU277ZYR-1834298216-38711</vt:lpwstr>
  </property>
  <property fmtid="{D5CDD505-2E9C-101B-9397-08002B2CF9AE}" pid="7" name="_dlc_DocIdUrl">
    <vt:lpwstr>https://dhs.sp.regeringskansliet.se/yta/fi-ofa/sfo/_layouts/15/DocIdRedir.aspx?ID=JMV6WU277ZYR-1834298216-38711, JMV6WU277ZYR-1834298216-38711</vt:lpwstr>
  </property>
</Properties>
</file>