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dhs.sp.regeringskansliet.se/yta/fi-ofa/sfo/Myndigheter och Hovet/Länsstyrelserna/Regleringsbrev/Länsstyrelserna 26/RBÄ2601XX/"/>
    </mc:Choice>
  </mc:AlternateContent>
  <xr:revisionPtr revIDLastSave="0" documentId="13_ncr:1_{AB8FBD24-0500-454A-B901-797EF211877F}" xr6:coauthVersionLast="47" xr6:coauthVersionMax="47" xr10:uidLastSave="{00000000-0000-0000-0000-000000000000}"/>
  <bookViews>
    <workbookView xWindow="-110" yWindow="-110" windowWidth="19420" windowHeight="10300" tabRatio="528" activeTab="1" xr2:uid="{44832A45-09D4-4A9E-8824-1CD092936FBF}"/>
  </bookViews>
  <sheets>
    <sheet name="Översikt fördelning" sheetId="4" r:id="rId1"/>
    <sheet name="Riktade medel och parametrar" sheetId="2" r:id="rId2"/>
    <sheet name="Omdisponering av anslag" sheetId="6" state="hidden" r:id="rId3"/>
    <sheet name="Fördelning av anslaget" sheetId="5" state="hidden" r:id="rId4"/>
  </sheets>
  <definedNames>
    <definedName name="_xlnm.Print_Area" localSheetId="1">'Riktade medel och parametrar'!$A$1:$AY$33</definedName>
    <definedName name="_xlnm.Print_Area" localSheetId="0">'Översikt fördelning'!$A$1:$F$39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V15" i="2" l="1"/>
  <c r="V28" i="2" s="1"/>
  <c r="V11" i="2"/>
  <c r="V9" i="2"/>
  <c r="V7" i="2"/>
  <c r="V8" i="2" l="1"/>
  <c r="V10" i="2"/>
  <c r="V12" i="2"/>
  <c r="V13" i="2"/>
  <c r="V14" i="2"/>
  <c r="V16" i="2"/>
  <c r="V17" i="2"/>
  <c r="V18" i="2"/>
  <c r="V19" i="2"/>
  <c r="V20" i="2"/>
  <c r="V21" i="2"/>
  <c r="V22" i="2"/>
  <c r="V23" i="2"/>
  <c r="V24" i="2"/>
  <c r="V25" i="2"/>
  <c r="V26" i="2"/>
  <c r="V27" i="2"/>
  <c r="AU20" i="2" l="1"/>
  <c r="AU17" i="2" l="1"/>
  <c r="U13" i="2" l="1"/>
  <c r="U18" i="2"/>
  <c r="U21" i="2"/>
  <c r="U24" i="2"/>
  <c r="U27" i="2"/>
  <c r="AU18" i="2" l="1"/>
  <c r="AU27" i="2"/>
  <c r="AU10" i="2"/>
  <c r="AU26" i="2"/>
  <c r="AU24" i="2"/>
  <c r="AU23" i="2"/>
  <c r="AU22" i="2"/>
  <c r="AU21" i="2"/>
  <c r="AU16" i="2"/>
  <c r="AU13" i="2"/>
  <c r="AU8" i="2"/>
  <c r="AU7" i="2"/>
  <c r="AU28" i="2" s="1"/>
  <c r="T28" i="2" l="1"/>
  <c r="S28" i="2"/>
  <c r="R27" i="2"/>
  <c r="R18" i="2"/>
  <c r="R16" i="2"/>
  <c r="R7" i="2"/>
  <c r="B20" i="2"/>
  <c r="B18" i="2" l="1"/>
  <c r="B14" i="2"/>
  <c r="B10" i="2"/>
  <c r="B7" i="2"/>
  <c r="B23" i="2"/>
  <c r="D27" i="2"/>
  <c r="D26" i="2"/>
  <c r="D25" i="2"/>
  <c r="E23" i="2"/>
  <c r="E24" i="2"/>
  <c r="E25" i="2"/>
  <c r="E26" i="2"/>
  <c r="E27" i="2"/>
  <c r="E22" i="2"/>
  <c r="E21" i="2"/>
  <c r="E20" i="2"/>
  <c r="E19" i="2"/>
  <c r="E18" i="2"/>
  <c r="E8" i="2"/>
  <c r="F27" i="2"/>
  <c r="F26" i="2"/>
  <c r="F25" i="2"/>
  <c r="G18" i="2"/>
  <c r="G16" i="2"/>
  <c r="G7" i="2"/>
  <c r="H16" i="2"/>
  <c r="H15" i="2"/>
  <c r="I27" i="2"/>
  <c r="I26" i="2"/>
  <c r="I24" i="2"/>
  <c r="I23" i="2"/>
  <c r="I18" i="2"/>
  <c r="I13" i="2"/>
  <c r="I15" i="2"/>
  <c r="I16" i="2"/>
  <c r="I17" i="2"/>
  <c r="I14" i="2"/>
  <c r="I8" i="2"/>
  <c r="I9" i="2"/>
  <c r="I10" i="2"/>
  <c r="I7" i="2"/>
  <c r="J27" i="2"/>
  <c r="J24" i="2"/>
  <c r="J18" i="2"/>
  <c r="K20" i="2"/>
  <c r="K21" i="2"/>
  <c r="K22" i="2"/>
  <c r="K23" i="2"/>
  <c r="K24" i="2"/>
  <c r="K25" i="2"/>
  <c r="K26" i="2"/>
  <c r="K27" i="2"/>
  <c r="K19" i="2"/>
  <c r="K17" i="2"/>
  <c r="K18" i="2"/>
  <c r="K16" i="2"/>
  <c r="K9" i="2"/>
  <c r="K10" i="2"/>
  <c r="K11" i="2"/>
  <c r="K12" i="2"/>
  <c r="K13" i="2"/>
  <c r="K14" i="2"/>
  <c r="K15" i="2"/>
  <c r="K8" i="2"/>
  <c r="K7" i="2"/>
  <c r="L27" i="2"/>
  <c r="L23" i="2"/>
  <c r="L18" i="2"/>
  <c r="L16" i="2"/>
  <c r="L7" i="2"/>
  <c r="M27" i="2"/>
  <c r="M18" i="2"/>
  <c r="M16" i="2"/>
  <c r="M7" i="2"/>
  <c r="P27" i="2"/>
  <c r="P20" i="2"/>
  <c r="P18" i="2"/>
  <c r="P16" i="2"/>
  <c r="P14" i="2"/>
  <c r="P10" i="2"/>
  <c r="P7" i="2"/>
  <c r="R26" i="2"/>
  <c r="R25" i="2"/>
  <c r="R20" i="2"/>
  <c r="R15" i="2"/>
  <c r="R14" i="2"/>
  <c r="R10" i="2"/>
  <c r="X25" i="2"/>
  <c r="X24" i="2"/>
  <c r="X23" i="2"/>
  <c r="X22" i="2"/>
  <c r="X21" i="2"/>
  <c r="X20" i="2"/>
  <c r="X19" i="2"/>
  <c r="X16" i="2"/>
  <c r="X15" i="2"/>
  <c r="X14" i="2"/>
  <c r="X13" i="2"/>
  <c r="X12" i="2"/>
  <c r="X11" i="2"/>
  <c r="X10" i="2"/>
  <c r="X9" i="2"/>
  <c r="X8" i="2"/>
  <c r="X7" i="2"/>
  <c r="Y27" i="2"/>
  <c r="Y26" i="2"/>
  <c r="Y25" i="2"/>
  <c r="Y24" i="2"/>
  <c r="Y23" i="2"/>
  <c r="Y22" i="2"/>
  <c r="Y21" i="2"/>
  <c r="Y20" i="2"/>
  <c r="Y19" i="2"/>
  <c r="Y18" i="2"/>
  <c r="Y17" i="2"/>
  <c r="Y16" i="2"/>
  <c r="Y15" i="2"/>
  <c r="Y14" i="2"/>
  <c r="AT8" i="2"/>
  <c r="AT9" i="2"/>
  <c r="AT10" i="2"/>
  <c r="AT11" i="2"/>
  <c r="AT12" i="2"/>
  <c r="AT13" i="2"/>
  <c r="AT14" i="2"/>
  <c r="AT15" i="2"/>
  <c r="AT16" i="2"/>
  <c r="AT17" i="2"/>
  <c r="AT18" i="2"/>
  <c r="AT19" i="2"/>
  <c r="AT20" i="2"/>
  <c r="AT21" i="2"/>
  <c r="AT22" i="2"/>
  <c r="AT23" i="2"/>
  <c r="AT24" i="2"/>
  <c r="AT25" i="2"/>
  <c r="AT26" i="2"/>
  <c r="AT27" i="2"/>
  <c r="AT7" i="2"/>
  <c r="Y13" i="2" l="1"/>
  <c r="Y12" i="2"/>
  <c r="Y11" i="2"/>
  <c r="Y10" i="2"/>
  <c r="Y9" i="2"/>
  <c r="Y8" i="2"/>
  <c r="Y7" i="2"/>
  <c r="AA27" i="2"/>
  <c r="AA24" i="2"/>
  <c r="AA22" i="2"/>
  <c r="AA20" i="2"/>
  <c r="AA7" i="2"/>
  <c r="Z19" i="2"/>
  <c r="Z27" i="2"/>
  <c r="Z26" i="2"/>
  <c r="Z25" i="2"/>
  <c r="Z24" i="2"/>
  <c r="Z23" i="2"/>
  <c r="Z22" i="2"/>
  <c r="Z21" i="2"/>
  <c r="Z20" i="2"/>
  <c r="Z18" i="2"/>
  <c r="Z17" i="2"/>
  <c r="Z16" i="2"/>
  <c r="AB16" i="2" s="1"/>
  <c r="Z15" i="2"/>
  <c r="Z14" i="2"/>
  <c r="Z13" i="2"/>
  <c r="Z12" i="2"/>
  <c r="Z11" i="2"/>
  <c r="Z10" i="2"/>
  <c r="Z9" i="2"/>
  <c r="Z8" i="2"/>
  <c r="Z7" i="2"/>
  <c r="R28" i="2" l="1"/>
  <c r="AA28" i="2" l="1"/>
  <c r="AB22" i="2"/>
  <c r="AB24" i="2"/>
  <c r="AS24" i="2" s="1"/>
  <c r="C14" i="4"/>
  <c r="AB27" i="2"/>
  <c r="AB26" i="2"/>
  <c r="AB25" i="2"/>
  <c r="AB23" i="2"/>
  <c r="AB20" i="2"/>
  <c r="AB19" i="2"/>
  <c r="AB18" i="2"/>
  <c r="AB17" i="2"/>
  <c r="AS17" i="2" s="1"/>
  <c r="AB15" i="2"/>
  <c r="AB13" i="2"/>
  <c r="AB10" i="2"/>
  <c r="AB8" i="2"/>
  <c r="AB7" i="2"/>
  <c r="AB9" i="2" l="1"/>
  <c r="AB11" i="2"/>
  <c r="AB12" i="2"/>
  <c r="AB21" i="2"/>
  <c r="AB14" i="2"/>
  <c r="I28" i="2"/>
  <c r="R13" i="5" l="1"/>
  <c r="Z28" i="2" l="1"/>
  <c r="N9" i="5"/>
  <c r="N8" i="5"/>
  <c r="M9" i="5"/>
  <c r="M8" i="5"/>
  <c r="N18" i="5"/>
  <c r="L9" i="5"/>
  <c r="O22" i="5"/>
  <c r="O19" i="5"/>
  <c r="O20" i="5"/>
  <c r="O21" i="5"/>
  <c r="O18" i="5"/>
  <c r="I23" i="5"/>
  <c r="H23" i="5"/>
  <c r="M22" i="5" l="1"/>
  <c r="N22" i="5"/>
  <c r="N19" i="5"/>
  <c r="N20" i="5"/>
  <c r="N21" i="5"/>
  <c r="M21" i="5"/>
  <c r="M19" i="5"/>
  <c r="D30" i="6" l="1"/>
  <c r="C30" i="6"/>
  <c r="E7" i="6"/>
  <c r="E9" i="6"/>
  <c r="E10" i="6"/>
  <c r="E11" i="6"/>
  <c r="E12" i="6"/>
  <c r="E13" i="6"/>
  <c r="E14" i="6"/>
  <c r="E15" i="6"/>
  <c r="E16" i="6"/>
  <c r="E17" i="6"/>
  <c r="E18" i="6"/>
  <c r="E19" i="6"/>
  <c r="E20" i="6"/>
  <c r="E21" i="6"/>
  <c r="E22" i="6"/>
  <c r="E23" i="6"/>
  <c r="E24" i="6"/>
  <c r="E25" i="6"/>
  <c r="E26" i="6"/>
  <c r="E27" i="6"/>
  <c r="E28" i="6"/>
  <c r="E8" i="6"/>
  <c r="AT28" i="2" l="1"/>
  <c r="C6" i="4" s="1"/>
  <c r="D28" i="2" l="1"/>
  <c r="B28" i="2"/>
  <c r="H27" i="5" l="1"/>
  <c r="I27" i="5" s="1"/>
  <c r="H28" i="5"/>
  <c r="I28" i="5" s="1"/>
  <c r="H26" i="5"/>
  <c r="I26" i="5" s="1"/>
  <c r="G24" i="5"/>
  <c r="H24" i="5" s="1"/>
  <c r="I24" i="5" s="1"/>
  <c r="P28" i="2" l="1"/>
  <c r="H25" i="5"/>
  <c r="I25" i="5" s="1"/>
  <c r="D6" i="5" l="1"/>
  <c r="D9" i="5" l="1"/>
  <c r="D5" i="5"/>
  <c r="D3" i="5"/>
  <c r="E6" i="5" s="1"/>
  <c r="E5" i="5" l="1"/>
  <c r="E9" i="5"/>
  <c r="K29" i="5" l="1"/>
  <c r="O28" i="2"/>
  <c r="AS25" i="2" l="1"/>
  <c r="AS11" i="2"/>
  <c r="C18" i="2"/>
  <c r="C16" i="2"/>
  <c r="C5" i="4" l="1"/>
  <c r="C26" i="4" s="1"/>
  <c r="C28" i="2"/>
  <c r="AS14" i="2"/>
  <c r="AS20" i="2"/>
  <c r="AS27" i="2"/>
  <c r="AS26" i="2"/>
  <c r="AS10" i="2"/>
  <c r="AS13" i="2"/>
  <c r="AS19" i="2"/>
  <c r="AS8" i="2"/>
  <c r="AS16" i="2"/>
  <c r="AS22" i="2"/>
  <c r="AS9" i="2"/>
  <c r="AS23" i="2"/>
  <c r="AS12" i="2"/>
  <c r="AS7" i="2"/>
  <c r="AS15" i="2"/>
  <c r="AS18" i="2"/>
  <c r="AS21" i="2"/>
  <c r="X28" i="2"/>
  <c r="Y28" i="2"/>
  <c r="AB28" i="2" l="1"/>
  <c r="AS28" i="2"/>
  <c r="N28" i="2"/>
  <c r="AR10" i="2" l="1"/>
  <c r="AR21" i="2" l="1"/>
  <c r="AR8" i="2"/>
  <c r="AR11" i="2"/>
  <c r="M28" i="2" l="1"/>
  <c r="B32" i="4" l="1"/>
  <c r="AI28" i="2"/>
  <c r="AH28" i="2"/>
  <c r="AG28" i="2"/>
  <c r="AF28" i="2"/>
  <c r="AE28" i="2"/>
  <c r="H28" i="2" l="1"/>
  <c r="F28" i="2"/>
  <c r="G28" i="2"/>
  <c r="J28" i="2"/>
  <c r="E28" i="2"/>
  <c r="K28" i="2"/>
  <c r="L28" i="2"/>
  <c r="AR25" i="2" l="1"/>
  <c r="AR9" i="2"/>
  <c r="AR20" i="2"/>
  <c r="AR13" i="2"/>
  <c r="AR12" i="2"/>
  <c r="AR23" i="2"/>
  <c r="AR16" i="2"/>
  <c r="AR17" i="2"/>
  <c r="AR15" i="2"/>
  <c r="AR27" i="2"/>
  <c r="AR19" i="2"/>
  <c r="AR22" i="2"/>
  <c r="AR14" i="2"/>
  <c r="AR26" i="2"/>
  <c r="AR24" i="2"/>
  <c r="AR18" i="2"/>
  <c r="Q28" i="2"/>
  <c r="AR7" i="2"/>
  <c r="AR28" i="2" l="1"/>
  <c r="D8" i="5" l="1"/>
  <c r="E8" i="5" s="1"/>
  <c r="C33" i="4"/>
  <c r="AJ7" i="2" s="1"/>
  <c r="C36" i="4"/>
  <c r="C37" i="4"/>
  <c r="D7" i="5"/>
  <c r="E7" i="5" s="1"/>
  <c r="C35" i="4"/>
  <c r="C34" i="4"/>
  <c r="AL19" i="2" l="1"/>
  <c r="AL26" i="2"/>
  <c r="AL20" i="2"/>
  <c r="AL8" i="2"/>
  <c r="AL18" i="2"/>
  <c r="AL21" i="2"/>
  <c r="AL22" i="2"/>
  <c r="AL15" i="2"/>
  <c r="AL27" i="2"/>
  <c r="AL23" i="2"/>
  <c r="AL17" i="2"/>
  <c r="AL7" i="2"/>
  <c r="AL11" i="2"/>
  <c r="AL25" i="2"/>
  <c r="AL12" i="2"/>
  <c r="AL13" i="2"/>
  <c r="AL10" i="2"/>
  <c r="AL24" i="2"/>
  <c r="AL9" i="2"/>
  <c r="AL16" i="2"/>
  <c r="AL14" i="2"/>
  <c r="AK11" i="2"/>
  <c r="AK27" i="2"/>
  <c r="AK21" i="2"/>
  <c r="AK9" i="2"/>
  <c r="AK7" i="2"/>
  <c r="AK24" i="2"/>
  <c r="AK18" i="2"/>
  <c r="AK12" i="2"/>
  <c r="AK10" i="2"/>
  <c r="AK23" i="2"/>
  <c r="AK26" i="2"/>
  <c r="AK13" i="2"/>
  <c r="AK15" i="2"/>
  <c r="AK14" i="2"/>
  <c r="AK19" i="2"/>
  <c r="AK25" i="2"/>
  <c r="AK20" i="2"/>
  <c r="AK22" i="2"/>
  <c r="AK16" i="2"/>
  <c r="AK8" i="2"/>
  <c r="AK17" i="2"/>
  <c r="AN14" i="2"/>
  <c r="AN24" i="2"/>
  <c r="AN22" i="2"/>
  <c r="AN8" i="2"/>
  <c r="AN27" i="2"/>
  <c r="AN15" i="2"/>
  <c r="AN26" i="2"/>
  <c r="AN17" i="2"/>
  <c r="AN16" i="2"/>
  <c r="AN23" i="2"/>
  <c r="AN18" i="2"/>
  <c r="AN21" i="2"/>
  <c r="AN10" i="2"/>
  <c r="AN7" i="2"/>
  <c r="AN11" i="2"/>
  <c r="AN25" i="2"/>
  <c r="AN9" i="2"/>
  <c r="AN20" i="2"/>
  <c r="AN19" i="2"/>
  <c r="AN13" i="2"/>
  <c r="AN12" i="2"/>
  <c r="AM12" i="2"/>
  <c r="AM10" i="2"/>
  <c r="AM13" i="2"/>
  <c r="AM27" i="2"/>
  <c r="AM26" i="2"/>
  <c r="AM22" i="2"/>
  <c r="AM20" i="2"/>
  <c r="AM16" i="2"/>
  <c r="AM15" i="2"/>
  <c r="AM8" i="2"/>
  <c r="AM14" i="2"/>
  <c r="AM25" i="2"/>
  <c r="AM9" i="2"/>
  <c r="AM21" i="2"/>
  <c r="AM7" i="2"/>
  <c r="AM17" i="2"/>
  <c r="AM23" i="2"/>
  <c r="AM19" i="2"/>
  <c r="AM11" i="2"/>
  <c r="AM18" i="2"/>
  <c r="AM24" i="2"/>
  <c r="AJ18" i="2"/>
  <c r="AJ20" i="2"/>
  <c r="AJ14" i="2"/>
  <c r="AJ16" i="2"/>
  <c r="AJ23" i="2"/>
  <c r="AJ19" i="2"/>
  <c r="AJ12" i="2"/>
  <c r="AJ11" i="2"/>
  <c r="AJ9" i="2"/>
  <c r="C32" i="4"/>
  <c r="AJ21" i="2"/>
  <c r="AJ10" i="2"/>
  <c r="AJ26" i="2"/>
  <c r="AJ25" i="2"/>
  <c r="AJ13" i="2"/>
  <c r="AJ17" i="2"/>
  <c r="AJ15" i="2"/>
  <c r="AJ22" i="2"/>
  <c r="AJ8" i="2"/>
  <c r="AJ27" i="2"/>
  <c r="AJ24" i="2"/>
  <c r="AO20" i="2" l="1"/>
  <c r="AV20" i="2" s="1"/>
  <c r="AW20" i="2" s="1"/>
  <c r="AO14" i="2"/>
  <c r="AV14" i="2" s="1"/>
  <c r="AW14" i="2" s="1"/>
  <c r="AO9" i="2"/>
  <c r="AV9" i="2" s="1"/>
  <c r="AW9" i="2" s="1"/>
  <c r="AO27" i="2"/>
  <c r="AV27" i="2" s="1"/>
  <c r="AO10" i="2"/>
  <c r="AO16" i="2"/>
  <c r="AV16" i="2" s="1"/>
  <c r="AW16" i="2" s="1"/>
  <c r="AO17" i="2"/>
  <c r="AV17" i="2" s="1"/>
  <c r="AO22" i="2"/>
  <c r="AV22" i="2" s="1"/>
  <c r="AW22" i="2" s="1"/>
  <c r="AO24" i="2"/>
  <c r="AV24" i="2" s="1"/>
  <c r="AW24" i="2" s="1"/>
  <c r="AO8" i="2"/>
  <c r="AV8" i="2" s="1"/>
  <c r="AW8" i="2" s="1"/>
  <c r="AO21" i="2"/>
  <c r="AV21" i="2" s="1"/>
  <c r="AO18" i="2"/>
  <c r="AV18" i="2" s="1"/>
  <c r="AW18" i="2" s="1"/>
  <c r="AO11" i="2"/>
  <c r="AV11" i="2" s="1"/>
  <c r="AO15" i="2"/>
  <c r="AV15" i="2" s="1"/>
  <c r="AO12" i="2"/>
  <c r="AV12" i="2" s="1"/>
  <c r="AO25" i="2"/>
  <c r="AV25" i="2" s="1"/>
  <c r="AW25" i="2" s="1"/>
  <c r="AO19" i="2"/>
  <c r="AV19" i="2" s="1"/>
  <c r="AO13" i="2"/>
  <c r="AV13" i="2" s="1"/>
  <c r="AO26" i="2"/>
  <c r="AV26" i="2" s="1"/>
  <c r="AO23" i="2"/>
  <c r="AV23" i="2" s="1"/>
  <c r="AO7" i="2"/>
  <c r="AN28" i="2"/>
  <c r="AV10" i="2"/>
  <c r="AW10" i="2" s="1"/>
  <c r="AM28" i="2"/>
  <c r="AL28" i="2"/>
  <c r="AJ28" i="2"/>
  <c r="AK28" i="2"/>
  <c r="AV7" i="2" l="1"/>
  <c r="AW7" i="2" s="1"/>
  <c r="AW27" i="2"/>
  <c r="AO28" i="2"/>
  <c r="AW13" i="2"/>
  <c r="AW11" i="2"/>
  <c r="AW15" i="2"/>
  <c r="AW21" i="2"/>
  <c r="AW12" i="2"/>
  <c r="AW17" i="2"/>
  <c r="AW19" i="2"/>
  <c r="AW23" i="2"/>
  <c r="AW26" i="2"/>
  <c r="AV28" i="2" l="1"/>
  <c r="AY26" i="2" s="1"/>
  <c r="AW28" i="2"/>
  <c r="AY7" i="2" l="1"/>
  <c r="AY27" i="2"/>
  <c r="AX7" i="2"/>
  <c r="AX27" i="2"/>
  <c r="AX14" i="2"/>
  <c r="AY22" i="2"/>
  <c r="AY14" i="2"/>
  <c r="AY20" i="2"/>
  <c r="AY16" i="2"/>
  <c r="AY10" i="2"/>
  <c r="AY18" i="2"/>
  <c r="AY9" i="2"/>
  <c r="AY8" i="2"/>
  <c r="AY25" i="2"/>
  <c r="AY15" i="2"/>
  <c r="AY17" i="2"/>
  <c r="AY13" i="2"/>
  <c r="AY19" i="2"/>
  <c r="AY21" i="2"/>
  <c r="AY23" i="2"/>
  <c r="AY24" i="2"/>
  <c r="AY12" i="2"/>
  <c r="AY11" i="2"/>
  <c r="AY28" i="2" l="1"/>
  <c r="AX16" i="2"/>
  <c r="AX20" i="2"/>
  <c r="AX18" i="2"/>
  <c r="AX10" i="2"/>
  <c r="AX8" i="2"/>
  <c r="AX9" i="2"/>
  <c r="AX22" i="2"/>
  <c r="AX13" i="2"/>
  <c r="AX26" i="2"/>
  <c r="AX23" i="2"/>
  <c r="AX17" i="2"/>
  <c r="AX15" i="2"/>
  <c r="AX12" i="2"/>
  <c r="AX19" i="2"/>
  <c r="AX21" i="2"/>
  <c r="AX11" i="2"/>
  <c r="AX24" i="2"/>
  <c r="AX25" i="2"/>
  <c r="AX28" i="2" l="1"/>
  <c r="U28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tc={B5D376FB-9FB3-45C6-879C-231F9E4F56BB}</author>
    <author>tc={61FC3867-CB8F-4482-B196-DB29AC526E2F}</author>
    <author>tc={69406FF6-6E6D-4287-9C5F-2ABAEC765FC0}</author>
    <author>tc={33DB3FF4-C86D-4845-AD1B-8AB89311CC36}</author>
    <author>tc={A7E2805D-136C-4E15-BD75-61FA81B677BB}</author>
    <author>tc={4A21A4B5-2701-4F4E-A85F-12019558D2C3}</author>
    <author>tc={93361EE0-AF32-4976-B862-9855EE446018}</author>
  </authors>
  <commentList>
    <comment ref="B7" authorId="0" shapeId="0" xr:uid="{B5D376FB-9FB3-45C6-879C-231F9E4F56BB}">
      <text>
        <t>[Trådad kommentar]
I din version av Excel kan du läsa den här trådade kommentaren, men eventuella ändringar i den tas bort om filen öppnas i en senare version av Excel. Läs mer: https://go.microsoft.com/fwlink/?linkid=870924
Kommentar:
    Central mynd. intern delg. 2014 (PLO)</t>
      </text>
    </comment>
    <comment ref="B10" authorId="1" shapeId="0" xr:uid="{61FC3867-CB8F-4482-B196-DB29AC526E2F}">
      <text>
        <t>[Trådad kommentar]
I din version av Excel kan du läsa den här trådade kommentaren, men eventuella ändringar i den tas bort om filen öppnas i en senare version av Excel. Läs mer: https://go.microsoft.com/fwlink/?linkid=870924
Kommentar:
    Hedersrelaterat våld, kompetensteamet HRV (PLO)</t>
      </text>
    </comment>
    <comment ref="B14" authorId="2" shapeId="0" xr:uid="{69406FF6-6E6D-4287-9C5F-2ABAEC765FC0}">
      <text>
        <t>[Trådad kommentar]
I din version av Excel kan du läsa den här trådade kommentaren, men eventuella ändringar i den tas bort om filen öppnas i en senare version av Excel. Läs mer: https://go.microsoft.com/fwlink/?linkid=870924
Kommentar:
    Totalförsvarsuppbyggnad Gotland (PLO)</t>
      </text>
    </comment>
    <comment ref="B18" authorId="3" shapeId="0" xr:uid="{33DB3FF4-C86D-4845-AD1B-8AB89311CC36}">
      <text>
        <t>[Trådad kommentar]
I din version av Excel kan du läsa den här trådade kommentaren, men eventuella ändringar i den tas bort om filen öppnas i en senare version av Excel. Läs mer: https://go.microsoft.com/fwlink/?linkid=870924
Kommentar:
    GIS (PLO) + Miljösamverkan Sverige (ej PLO) + Information Sverige (PLO) + Cybersäkerhet BP23 (PLO)</t>
      </text>
    </comment>
    <comment ref="B20" authorId="4" shapeId="0" xr:uid="{A7E2805D-136C-4E15-BD75-61FA81B677BB}">
      <text>
        <t>[Trådad kommentar]
I din version av Excel kan du läsa den här trådade kommentaren, men eventuella ändringar i den tas bort om filen öppnas i en senare version av Excel. Läs mer: https://go.microsoft.com/fwlink/?linkid=870924
Kommentar:
    Kampsport 2010 (PLO) + Djufrågor BP18 (PLO) + SEVESO-verksamheten (PLO) + Avloppsrening BP23 (PLO) + Beredskap livsmedelsförsörjning BP25 (PLO)</t>
      </text>
    </comment>
    <comment ref="B23" authorId="5" shapeId="0" xr:uid="{4A21A4B5-2701-4F4E-A85F-12019558D2C3}">
      <text>
        <t>[Trådad kommentar]
I din version av Excel kan du läsa den här trådade kommentaren, men eventuella ändringar i den tas bort om filen öppnas i en senare version av Excel. Läs mer: https://go.microsoft.com/fwlink/?linkid=870924
Kommentar:
    Mygg BP24 (PLO) + Mygg BP25 (PLO)</t>
      </text>
    </comment>
    <comment ref="B24" authorId="6" shapeId="0" xr:uid="{93361EE0-AF32-4976-B862-9855EE446018}">
      <text>
        <t>[Trådad kommentar]
I din version av Excel kan du läsa den här trådade kommentaren, men eventuella ändringar i den tas bort om filen öppnas i en senare version av Excel. Läs mer: https://go.microsoft.com/fwlink/?linkid=870924
Kommentar:
    Samordning flyktingmott./etabl. (Ej PLO)</t>
      </text>
    </comment>
  </commentList>
</comments>
</file>

<file path=xl/sharedStrings.xml><?xml version="1.0" encoding="utf-8"?>
<sst xmlns="http://schemas.openxmlformats.org/spreadsheetml/2006/main" count="269" uniqueCount="146">
  <si>
    <t xml:space="preserve">Avgår särskilda medel </t>
  </si>
  <si>
    <t>Riktade medel</t>
  </si>
  <si>
    <t>Grundbelopp</t>
  </si>
  <si>
    <t>Utvecklingsmedel, Västmanland</t>
  </si>
  <si>
    <t>Dispositionsrätt, Örebro</t>
  </si>
  <si>
    <t>Fördelning genom fem parametrar</t>
  </si>
  <si>
    <t>(Tusental kronor)</t>
  </si>
  <si>
    <t>PARAMETER</t>
  </si>
  <si>
    <t>VIKT</t>
  </si>
  <si>
    <t>FÖRDELNING</t>
  </si>
  <si>
    <t>Totalt</t>
  </si>
  <si>
    <t xml:space="preserve">Folkmängd </t>
  </si>
  <si>
    <t>Areal</t>
  </si>
  <si>
    <t>Antal kommuner, dubbel vikt landsbygdskommuner</t>
  </si>
  <si>
    <t>Miljöavgifter</t>
  </si>
  <si>
    <t>Jordbruksföretag</t>
  </si>
  <si>
    <t>Fördelning Anslag 5:1 Länsstyrelserna m.m. per länsstyrelse - Samlad fördelning</t>
  </si>
  <si>
    <t>RIKTADE MEDEL</t>
  </si>
  <si>
    <t>DE FEM PARAMETRARNA</t>
  </si>
  <si>
    <t>RESULTAT PER PARAMETER</t>
  </si>
  <si>
    <t>DEN SAMLADE FÖRDELNINGEN</t>
  </si>
  <si>
    <t>Ren-näring</t>
  </si>
  <si>
    <t>Rovdjurs-förvaltning 2007</t>
  </si>
  <si>
    <t xml:space="preserve">EU:s territoriella program </t>
  </si>
  <si>
    <t>Penning-tvätt 2009, 2012, 2020</t>
  </si>
  <si>
    <t>Överf. jordbruks-stöd</t>
  </si>
  <si>
    <t>Havsplan-ering 2012</t>
  </si>
  <si>
    <t>Uppgift från FiskV</t>
  </si>
  <si>
    <t>Civilt försvar BP18</t>
  </si>
  <si>
    <t>GRÖT BP18, avfallstransporter</t>
  </si>
  <si>
    <t>Summa</t>
  </si>
  <si>
    <t xml:space="preserve">Areal </t>
  </si>
  <si>
    <t>Kommun-antal</t>
  </si>
  <si>
    <t>Jordbruks-företag</t>
  </si>
  <si>
    <t>Kommunantal</t>
  </si>
  <si>
    <t>Miljö-avgifter</t>
  </si>
  <si>
    <t>SUMMA 5 parametrar</t>
  </si>
  <si>
    <t>Extra orter</t>
  </si>
  <si>
    <t>Konc. av MPD</t>
  </si>
  <si>
    <t>Konc. av stiftelser</t>
  </si>
  <si>
    <t xml:space="preserve">Konc. av div. </t>
  </si>
  <si>
    <t>Fem parametrar</t>
  </si>
  <si>
    <t>Summa/ länsstyrelse</t>
  </si>
  <si>
    <t>Andel</t>
  </si>
  <si>
    <t>PLO/Ej PLO</t>
  </si>
  <si>
    <t>PLO</t>
  </si>
  <si>
    <t>Stockholm</t>
  </si>
  <si>
    <t>Uppsala</t>
  </si>
  <si>
    <t>Södermanland</t>
  </si>
  <si>
    <t>Östergötland</t>
  </si>
  <si>
    <t>Jönköping</t>
  </si>
  <si>
    <t>Kronoberg</t>
  </si>
  <si>
    <t>Kalmar</t>
  </si>
  <si>
    <t>Gotland</t>
  </si>
  <si>
    <t>Blekinge</t>
  </si>
  <si>
    <t>Skåne</t>
  </si>
  <si>
    <t>Halland</t>
  </si>
  <si>
    <t>Västra Götaland</t>
  </si>
  <si>
    <t>Värmland</t>
  </si>
  <si>
    <t>Örebro</t>
  </si>
  <si>
    <t>Västmanland</t>
  </si>
  <si>
    <t>Dalarna</t>
  </si>
  <si>
    <t>Gävleborg</t>
  </si>
  <si>
    <t>Västernorrland</t>
  </si>
  <si>
    <t>Jämtland</t>
  </si>
  <si>
    <t>Västerbotten</t>
  </si>
  <si>
    <t>Norrbotten</t>
  </si>
  <si>
    <t>Summa totalt</t>
  </si>
  <si>
    <t>Anmärkning</t>
  </si>
  <si>
    <t>Tillsyn maa säk.skydds-lagen</t>
  </si>
  <si>
    <t>Överföring  regionalt utvecklingsansvar</t>
  </si>
  <si>
    <t>Riktade medel till en länsstyrelse</t>
  </si>
  <si>
    <t>KONCENTRATION</t>
  </si>
  <si>
    <t>Motv. penningtvätt och fin. av terrorism</t>
  </si>
  <si>
    <t>Ap 26 Utvecklingsinsatser m.m., Örebro</t>
  </si>
  <si>
    <t>Koncentration</t>
  </si>
  <si>
    <t xml:space="preserve">Anslaget </t>
  </si>
  <si>
    <t xml:space="preserve">Enskilda belopp </t>
  </si>
  <si>
    <t xml:space="preserve">Parametrarna </t>
  </si>
  <si>
    <t xml:space="preserve">Övriga medel </t>
  </si>
  <si>
    <t>Totalt anslag</t>
  </si>
  <si>
    <t>Andel av totala anslag</t>
  </si>
  <si>
    <t>Utvecklingsinsatser</t>
  </si>
  <si>
    <t>Djur</t>
  </si>
  <si>
    <t>Översikt Anslag</t>
  </si>
  <si>
    <t>Namn</t>
  </si>
  <si>
    <t>Diff</t>
  </si>
  <si>
    <t>Länsstyrelserna m.m.</t>
  </si>
  <si>
    <t>Ofördelad anslagsdel</t>
  </si>
  <si>
    <t>RK:s disp</t>
  </si>
  <si>
    <t>A-kredit Örebro</t>
  </si>
  <si>
    <t>Summa a-kredit</t>
  </si>
  <si>
    <t>Vissa PLO</t>
  </si>
  <si>
    <t xml:space="preserve">Belopp i modell </t>
  </si>
  <si>
    <t xml:space="preserve">Belopp i Hermes </t>
  </si>
  <si>
    <t xml:space="preserve">Effektiv tillsyn och prövning, Västernorrland </t>
  </si>
  <si>
    <t>Ny struktur civilt försvar BP23</t>
  </si>
  <si>
    <t>x</t>
  </si>
  <si>
    <t>Andel fem parametrar</t>
  </si>
  <si>
    <t>Vindkraft</t>
  </si>
  <si>
    <t>Havsmiljöprop</t>
  </si>
  <si>
    <t>Lägesbilder</t>
  </si>
  <si>
    <t>Avlopp</t>
  </si>
  <si>
    <t>=</t>
  </si>
  <si>
    <t>BP23</t>
  </si>
  <si>
    <t>BP22</t>
  </si>
  <si>
    <t>Prövning havsbaserad vindkraft, Örebro</t>
  </si>
  <si>
    <t>Åtgärder översvämningsmyggor, Gävleborg</t>
  </si>
  <si>
    <t>Miljöavgift</t>
  </si>
  <si>
    <t>Folkmängd</t>
  </si>
  <si>
    <t>Slutlig omfördelning RB24</t>
  </si>
  <si>
    <t>Tillfälliga riktade medel</t>
  </si>
  <si>
    <t>Justering maa slopad avgift för årlig revision BP24</t>
  </si>
  <si>
    <t>Satsning norra Sverige, Norrbotten och Västerbotten</t>
  </si>
  <si>
    <t>BP24</t>
  </si>
  <si>
    <t>Samordning uppdrag tillsyn enligt miljöbalken, Västernorrland</t>
  </si>
  <si>
    <t>Prövning A-ärenden, Västerbotten</t>
  </si>
  <si>
    <t>totalt örebro</t>
  </si>
  <si>
    <t>*</t>
  </si>
  <si>
    <t>totalt</t>
  </si>
  <si>
    <t>digital infra</t>
  </si>
  <si>
    <t>Anslag 5:1 Länsstyrelserna m.m., 2025</t>
  </si>
  <si>
    <t>BP25</t>
  </si>
  <si>
    <t>RB25</t>
  </si>
  <si>
    <t>Fördelning civilt försvar BP25</t>
  </si>
  <si>
    <t>Digitalisering strandskydd FO, Västmanland</t>
  </si>
  <si>
    <t>Omförd. ändrad struktur konc.</t>
  </si>
  <si>
    <t>Effektivare tillståndsprocesser, länsstyrelser med MPD</t>
  </si>
  <si>
    <t>Kontaktpunkter (dir NZIA och CRMA), medel fördelas till sex län</t>
  </si>
  <si>
    <t>RB26</t>
  </si>
  <si>
    <t>NAP 2026-2039 BP26</t>
  </si>
  <si>
    <t>Statlig service och närvaro, Örebro</t>
  </si>
  <si>
    <t>47,08 mnkr/länsstyrelse</t>
  </si>
  <si>
    <t>Del av förstärkning civilt försvar, kärnkraftslän 2026</t>
  </si>
  <si>
    <t>Samordning mäns våld mot kvinnor, Kronoberg</t>
  </si>
  <si>
    <t>Kärnkraft BP26</t>
  </si>
  <si>
    <t>Kontroll utländska fastighetsförvärv BP26</t>
  </si>
  <si>
    <t>Uppskalning av regionala resurscentrum mot HRV, Östergötland</t>
  </si>
  <si>
    <t>BP26</t>
  </si>
  <si>
    <t>NIS2-direktivet, Örebro</t>
  </si>
  <si>
    <t>Uppdrag AI, Södermanland</t>
  </si>
  <si>
    <t>Översyn nationell fysisk planering, ofördelad AD00, Örebro</t>
  </si>
  <si>
    <t>Fördelning anslaget 5:1 Länsstyrelserna m.m. för 2026 - Översikt</t>
  </si>
  <si>
    <t>Fördelning anslaget 5:1 Länsstyrelserna m.m. per länsstyrelse - Riktade medel</t>
  </si>
  <si>
    <t>Fördelning anslaget 5:1 Länsstyrelserna m.m. per länsstyrelse - Samlad fördelning</t>
  </si>
  <si>
    <t>Fördelning anslaget 5:1 Länsstyrelserna m.m. per länsstyrelse - Koncentration och parametrar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</si>
</sst>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64" formatCode="0.0%"/>
    <numFmt numFmtId="165" formatCode="0.0000"/>
    <numFmt numFmtId="166" formatCode="###\ ###\ ###\ ##0"/>
    <numFmt numFmtId="167" formatCode="#,##0.000"/>
    <numFmt numFmtId="168" formatCode="#,##0.00000"/>
    <numFmt numFmtId="169" formatCode="#,##0.0000000"/>
    <numFmt numFmtId="170" formatCode="0.000000"/>
    <numFmt numFmtId="171" formatCode="0.0000000"/>
    <numFmt numFmtId="172" formatCode="#,##0.00000000000000000000000"/>
    <numFmt numFmtId="173" formatCode="#,##0.000000"/>
    <numFmt numFmtId="174" formatCode="#,##0.000000000"/>
    <numFmt numFmtId="175" formatCode="#,##0.0000"/>
    <numFmt numFmtId="176" formatCode="#,##0.0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8"/>
      <color indexed="10"/>
      <name val="Arial"/>
      <family val="2"/>
    </font>
    <font>
      <b/>
      <sz val="10"/>
      <name val="Arial"/>
      <family val="2"/>
    </font>
    <font>
      <b/>
      <sz val="12"/>
      <color theme="0"/>
      <name val="Arial"/>
      <family val="2"/>
    </font>
    <font>
      <b/>
      <sz val="10"/>
      <color theme="0"/>
      <name val="Arial"/>
      <family val="2"/>
    </font>
    <font>
      <b/>
      <sz val="8"/>
      <name val="Arial"/>
      <family val="2"/>
    </font>
    <font>
      <strike/>
      <sz val="8"/>
      <name val="Arial"/>
      <family val="2"/>
    </font>
    <font>
      <b/>
      <strike/>
      <sz val="8"/>
      <name val="Arial"/>
      <family val="2"/>
    </font>
    <font>
      <sz val="8"/>
      <name val="OrigGarmnd BT"/>
      <family val="1"/>
    </font>
    <font>
      <b/>
      <sz val="8"/>
      <color theme="0" tint="-0.249977111117893"/>
      <name val="Arial"/>
      <family val="2"/>
    </font>
    <font>
      <sz val="8"/>
      <color theme="0" tint="-0.249977111117893"/>
      <name val="Arial"/>
      <family val="2"/>
    </font>
    <font>
      <strike/>
      <sz val="8"/>
      <name val="OrigGarmnd BT"/>
      <family val="1"/>
    </font>
    <font>
      <b/>
      <sz val="8"/>
      <name val="OrigGarmnd BT"/>
      <family val="1"/>
    </font>
    <font>
      <sz val="10"/>
      <color rgb="FFFF0000"/>
      <name val="Arial"/>
      <family val="2"/>
    </font>
    <font>
      <sz val="10"/>
      <color theme="1"/>
      <name val="Arial"/>
      <family val="2"/>
    </font>
    <font>
      <b/>
      <sz val="18"/>
      <name val="Trade Gothic LT Std Cn"/>
      <family val="3"/>
    </font>
    <font>
      <i/>
      <sz val="9"/>
      <name val="Arial"/>
      <family val="2"/>
    </font>
    <font>
      <sz val="10"/>
      <color rgb="FF000000"/>
      <name val="Arial"/>
      <family val="2"/>
    </font>
    <font>
      <sz val="11"/>
      <name val="Calibri"/>
      <family val="2"/>
    </font>
    <font>
      <sz val="13.3"/>
      <color rgb="FFFFFFFF"/>
      <name val="Calibri"/>
      <family val="2"/>
      <scheme val="minor"/>
    </font>
    <font>
      <sz val="11"/>
      <name val="Calibri"/>
      <family val="2"/>
    </font>
    <font>
      <b/>
      <sz val="12"/>
      <name val="Calibri"/>
      <family val="2"/>
    </font>
    <font>
      <b/>
      <sz val="11"/>
      <name val="Calibri"/>
      <family val="2"/>
    </font>
    <font>
      <sz val="9"/>
      <name val="Arial"/>
      <family val="2"/>
    </font>
    <font>
      <b/>
      <sz val="10"/>
      <color rgb="FFFF0000"/>
      <name val="Arial"/>
      <family val="2"/>
    </font>
    <font>
      <sz val="8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</font>
    <font>
      <sz val="8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41"/>
      </patternFill>
    </fill>
    <fill>
      <patternFill patternType="solid">
        <fgColor theme="1"/>
        <bgColor indexed="64"/>
      </patternFill>
    </fill>
    <fill>
      <patternFill patternType="solid">
        <fgColor theme="1"/>
        <bgColor indexed="41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1">
    <xf numFmtId="0" fontId="0" fillId="0" borderId="0"/>
    <xf numFmtId="9" fontId="1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1" fillId="0" borderId="0"/>
    <xf numFmtId="0" fontId="23" fillId="0" borderId="0"/>
    <xf numFmtId="0" fontId="29" fillId="0" borderId="0"/>
    <xf numFmtId="0" fontId="21" fillId="0" borderId="0"/>
    <xf numFmtId="0" fontId="30" fillId="0" borderId="0"/>
    <xf numFmtId="0" fontId="21" fillId="0" borderId="0"/>
    <xf numFmtId="0" fontId="21" fillId="0" borderId="0"/>
  </cellStyleXfs>
  <cellXfs count="260">
    <xf numFmtId="0" fontId="0" fillId="0" borderId="0" xfId="0"/>
    <xf numFmtId="0" fontId="2" fillId="2" borderId="0" xfId="2" applyFill="1" applyAlignment="1">
      <alignment horizontal="left" vertical="top"/>
    </xf>
    <xf numFmtId="0" fontId="2" fillId="2" borderId="0" xfId="2" applyFill="1" applyAlignment="1">
      <alignment horizontal="right"/>
    </xf>
    <xf numFmtId="0" fontId="8" fillId="3" borderId="6" xfId="2" applyFont="1" applyFill="1" applyBorder="1"/>
    <xf numFmtId="3" fontId="3" fillId="3" borderId="0" xfId="2" applyNumberFormat="1" applyFont="1" applyFill="1" applyAlignment="1">
      <alignment horizontal="right"/>
    </xf>
    <xf numFmtId="3" fontId="3" fillId="2" borderId="0" xfId="2" applyNumberFormat="1" applyFont="1" applyFill="1"/>
    <xf numFmtId="0" fontId="8" fillId="2" borderId="0" xfId="2" applyFont="1" applyFill="1"/>
    <xf numFmtId="0" fontId="3" fillId="2" borderId="0" xfId="2" applyFont="1" applyFill="1"/>
    <xf numFmtId="0" fontId="12" fillId="2" borderId="0" xfId="2" applyFont="1" applyFill="1"/>
    <xf numFmtId="164" fontId="13" fillId="2" borderId="0" xfId="1" applyNumberFormat="1" applyFont="1" applyFill="1"/>
    <xf numFmtId="0" fontId="9" fillId="2" borderId="0" xfId="2" applyFont="1" applyFill="1"/>
    <xf numFmtId="0" fontId="14" fillId="2" borderId="0" xfId="2" applyFont="1" applyFill="1"/>
    <xf numFmtId="0" fontId="11" fillId="2" borderId="0" xfId="2" applyFont="1" applyFill="1"/>
    <xf numFmtId="0" fontId="15" fillId="2" borderId="0" xfId="2" applyFont="1" applyFill="1"/>
    <xf numFmtId="3" fontId="3" fillId="2" borderId="0" xfId="2" applyNumberFormat="1" applyFont="1" applyFill="1" applyAlignment="1">
      <alignment horizontal="right"/>
    </xf>
    <xf numFmtId="3" fontId="9" fillId="2" borderId="0" xfId="2" applyNumberFormat="1" applyFont="1" applyFill="1"/>
    <xf numFmtId="0" fontId="10" fillId="2" borderId="0" xfId="2" applyFont="1" applyFill="1"/>
    <xf numFmtId="3" fontId="10" fillId="2" borderId="0" xfId="2" applyNumberFormat="1" applyFont="1" applyFill="1"/>
    <xf numFmtId="0" fontId="3" fillId="2" borderId="0" xfId="2" applyFont="1" applyFill="1" applyAlignment="1">
      <alignment horizontal="right"/>
    </xf>
    <xf numFmtId="0" fontId="18" fillId="2" borderId="0" xfId="2" applyFont="1" applyFill="1"/>
    <xf numFmtId="0" fontId="2" fillId="2" borderId="0" xfId="2" applyFill="1"/>
    <xf numFmtId="0" fontId="0" fillId="2" borderId="0" xfId="0" applyFill="1"/>
    <xf numFmtId="0" fontId="5" fillId="2" borderId="13" xfId="2" applyFont="1" applyFill="1" applyBorder="1"/>
    <xf numFmtId="3" fontId="2" fillId="2" borderId="0" xfId="2" applyNumberFormat="1" applyFill="1" applyAlignment="1">
      <alignment horizontal="right"/>
    </xf>
    <xf numFmtId="0" fontId="16" fillId="2" borderId="14" xfId="2" applyFont="1" applyFill="1" applyBorder="1" applyAlignment="1">
      <alignment horizontal="right"/>
    </xf>
    <xf numFmtId="0" fontId="5" fillId="2" borderId="19" xfId="2" applyFont="1" applyFill="1" applyBorder="1" applyAlignment="1">
      <alignment horizontal="right"/>
    </xf>
    <xf numFmtId="0" fontId="2" fillId="2" borderId="9" xfId="2" applyFill="1" applyBorder="1" applyAlignment="1">
      <alignment horizontal="right"/>
    </xf>
    <xf numFmtId="2" fontId="2" fillId="2" borderId="0" xfId="2" applyNumberFormat="1" applyFill="1" applyAlignment="1">
      <alignment horizontal="right"/>
    </xf>
    <xf numFmtId="0" fontId="5" fillId="2" borderId="0" xfId="2" applyFont="1" applyFill="1"/>
    <xf numFmtId="3" fontId="5" fillId="2" borderId="0" xfId="2" applyNumberFormat="1" applyFont="1" applyFill="1"/>
    <xf numFmtId="3" fontId="5" fillId="2" borderId="14" xfId="2" applyNumberFormat="1" applyFont="1" applyFill="1" applyBorder="1"/>
    <xf numFmtId="0" fontId="2" fillId="2" borderId="13" xfId="2" applyFill="1" applyBorder="1"/>
    <xf numFmtId="3" fontId="2" fillId="2" borderId="14" xfId="2" applyNumberFormat="1" applyFill="1" applyBorder="1"/>
    <xf numFmtId="0" fontId="2" fillId="2" borderId="17" xfId="2" applyFill="1" applyBorder="1"/>
    <xf numFmtId="164" fontId="2" fillId="2" borderId="18" xfId="3" applyNumberFormat="1" applyFill="1" applyBorder="1"/>
    <xf numFmtId="3" fontId="2" fillId="2" borderId="19" xfId="2" applyNumberFormat="1" applyFill="1" applyBorder="1"/>
    <xf numFmtId="0" fontId="17" fillId="2" borderId="0" xfId="0" applyFont="1" applyFill="1"/>
    <xf numFmtId="0" fontId="19" fillId="2" borderId="9" xfId="2" applyFont="1" applyFill="1" applyBorder="1"/>
    <xf numFmtId="0" fontId="19" fillId="2" borderId="0" xfId="2" applyFont="1" applyFill="1"/>
    <xf numFmtId="0" fontId="4" fillId="2" borderId="0" xfId="2" applyFont="1" applyFill="1" applyAlignment="1">
      <alignment horizontal="right"/>
    </xf>
    <xf numFmtId="164" fontId="3" fillId="2" borderId="0" xfId="2" applyNumberFormat="1" applyFont="1" applyFill="1" applyAlignment="1">
      <alignment horizontal="right"/>
    </xf>
    <xf numFmtId="3" fontId="5" fillId="2" borderId="0" xfId="2" applyNumberFormat="1" applyFont="1" applyFill="1" applyAlignment="1">
      <alignment horizontal="right"/>
    </xf>
    <xf numFmtId="0" fontId="8" fillId="2" borderId="5" xfId="2" applyFont="1" applyFill="1" applyBorder="1"/>
    <xf numFmtId="0" fontId="8" fillId="2" borderId="0" xfId="2" applyFont="1" applyFill="1" applyAlignment="1">
      <alignment horizontal="center" wrapText="1"/>
    </xf>
    <xf numFmtId="0" fontId="8" fillId="2" borderId="15" xfId="2" applyFont="1" applyFill="1" applyBorder="1" applyAlignment="1">
      <alignment horizontal="center" wrapText="1"/>
    </xf>
    <xf numFmtId="3" fontId="8" fillId="2" borderId="6" xfId="2" applyNumberFormat="1" applyFont="1" applyFill="1" applyBorder="1" applyAlignment="1">
      <alignment horizontal="center" wrapText="1"/>
    </xf>
    <xf numFmtId="0" fontId="3" fillId="2" borderId="0" xfId="2" applyFont="1" applyFill="1" applyAlignment="1">
      <alignment horizontal="center" wrapText="1"/>
    </xf>
    <xf numFmtId="0" fontId="8" fillId="2" borderId="1" xfId="2" applyFont="1" applyFill="1" applyBorder="1"/>
    <xf numFmtId="0" fontId="8" fillId="2" borderId="4" xfId="2" applyFont="1" applyFill="1" applyBorder="1" applyAlignment="1">
      <alignment horizontal="center"/>
    </xf>
    <xf numFmtId="0" fontId="8" fillId="2" borderId="5" xfId="2" applyFont="1" applyFill="1" applyBorder="1" applyAlignment="1">
      <alignment horizontal="right"/>
    </xf>
    <xf numFmtId="0" fontId="8" fillId="2" borderId="0" xfId="2" applyFont="1" applyFill="1" applyAlignment="1">
      <alignment horizontal="left" vertical="top"/>
    </xf>
    <xf numFmtId="3" fontId="8" fillId="2" borderId="6" xfId="2" applyNumberFormat="1" applyFont="1" applyFill="1" applyBorder="1"/>
    <xf numFmtId="0" fontId="8" fillId="2" borderId="15" xfId="2" applyFont="1" applyFill="1" applyBorder="1" applyAlignment="1">
      <alignment horizontal="right"/>
    </xf>
    <xf numFmtId="3" fontId="8" fillId="2" borderId="15" xfId="2" applyNumberFormat="1" applyFont="1" applyFill="1" applyBorder="1" applyAlignment="1">
      <alignment horizontal="right"/>
    </xf>
    <xf numFmtId="0" fontId="8" fillId="2" borderId="3" xfId="2" applyFont="1" applyFill="1" applyBorder="1"/>
    <xf numFmtId="3" fontId="3" fillId="2" borderId="10" xfId="2" applyNumberFormat="1" applyFont="1" applyFill="1" applyBorder="1"/>
    <xf numFmtId="3" fontId="3" fillId="2" borderId="11" xfId="2" applyNumberFormat="1" applyFont="1" applyFill="1" applyBorder="1"/>
    <xf numFmtId="3" fontId="8" fillId="2" borderId="12" xfId="2" applyNumberFormat="1" applyFont="1" applyFill="1" applyBorder="1"/>
    <xf numFmtId="3" fontId="3" fillId="2" borderId="6" xfId="2" applyNumberFormat="1" applyFont="1" applyFill="1" applyBorder="1"/>
    <xf numFmtId="3" fontId="8" fillId="2" borderId="15" xfId="2" applyNumberFormat="1" applyFont="1" applyFill="1" applyBorder="1"/>
    <xf numFmtId="0" fontId="8" fillId="2" borderId="6" xfId="2" applyFont="1" applyFill="1" applyBorder="1"/>
    <xf numFmtId="3" fontId="8" fillId="2" borderId="1" xfId="2" applyNumberFormat="1" applyFont="1" applyFill="1" applyBorder="1" applyAlignment="1">
      <alignment horizontal="right"/>
    </xf>
    <xf numFmtId="3" fontId="8" fillId="2" borderId="20" xfId="2" applyNumberFormat="1" applyFont="1" applyFill="1" applyBorder="1" applyAlignment="1">
      <alignment horizontal="right"/>
    </xf>
    <xf numFmtId="3" fontId="8" fillId="2" borderId="2" xfId="2" applyNumberFormat="1" applyFont="1" applyFill="1" applyBorder="1"/>
    <xf numFmtId="3" fontId="8" fillId="2" borderId="20" xfId="2" applyNumberFormat="1" applyFont="1" applyFill="1" applyBorder="1"/>
    <xf numFmtId="3" fontId="8" fillId="2" borderId="4" xfId="2" applyNumberFormat="1" applyFont="1" applyFill="1" applyBorder="1"/>
    <xf numFmtId="0" fontId="8" fillId="2" borderId="2" xfId="2" applyFont="1" applyFill="1" applyBorder="1"/>
    <xf numFmtId="9" fontId="3" fillId="2" borderId="0" xfId="3" applyFont="1" applyFill="1"/>
    <xf numFmtId="0" fontId="3" fillId="3" borderId="10" xfId="2" applyFont="1" applyFill="1" applyBorder="1" applyAlignment="1">
      <alignment horizontal="center" wrapText="1"/>
    </xf>
    <xf numFmtId="0" fontId="3" fillId="3" borderId="8" xfId="2" applyFont="1" applyFill="1" applyBorder="1"/>
    <xf numFmtId="0" fontId="8" fillId="2" borderId="1" xfId="2" applyFont="1" applyFill="1" applyBorder="1" applyAlignment="1">
      <alignment horizontal="right"/>
    </xf>
    <xf numFmtId="0" fontId="2" fillId="2" borderId="0" xfId="2" applyFill="1" applyAlignment="1">
      <alignment horizontal="right"/>
    </xf>
    <xf numFmtId="0" fontId="6" fillId="5" borderId="11" xfId="2" applyFont="1" applyFill="1" applyBorder="1" applyAlignment="1">
      <alignment horizontal="center" vertical="center"/>
    </xf>
    <xf numFmtId="0" fontId="6" fillId="5" borderId="16" xfId="2" applyFont="1" applyFill="1" applyBorder="1" applyAlignment="1">
      <alignment horizontal="center" vertical="center"/>
    </xf>
    <xf numFmtId="0" fontId="2" fillId="2" borderId="0" xfId="2" applyFill="1" applyBorder="1" applyAlignment="1">
      <alignment horizontal="right"/>
    </xf>
    <xf numFmtId="3" fontId="0" fillId="2" borderId="0" xfId="0" applyNumberFormat="1" applyFill="1"/>
    <xf numFmtId="0" fontId="16" fillId="2" borderId="0" xfId="2" applyFont="1" applyFill="1" applyBorder="1" applyAlignment="1">
      <alignment horizontal="right"/>
    </xf>
    <xf numFmtId="0" fontId="2" fillId="2" borderId="0" xfId="2" applyFill="1" applyBorder="1" applyAlignment="1">
      <alignment horizontal="left"/>
    </xf>
    <xf numFmtId="0" fontId="5" fillId="2" borderId="0" xfId="2" applyFont="1" applyFill="1" applyBorder="1" applyAlignment="1">
      <alignment horizontal="right"/>
    </xf>
    <xf numFmtId="165" fontId="3" fillId="2" borderId="0" xfId="2" applyNumberFormat="1" applyFont="1" applyFill="1"/>
    <xf numFmtId="3" fontId="8" fillId="0" borderId="20" xfId="2" applyNumberFormat="1" applyFont="1" applyFill="1" applyBorder="1" applyAlignment="1">
      <alignment horizontal="right"/>
    </xf>
    <xf numFmtId="0" fontId="8" fillId="0" borderId="0" xfId="2" applyFont="1" applyFill="1" applyAlignment="1">
      <alignment horizontal="center" wrapText="1"/>
    </xf>
    <xf numFmtId="1" fontId="3" fillId="2" borderId="0" xfId="2" applyNumberFormat="1" applyFont="1" applyFill="1" applyAlignment="1">
      <alignment horizontal="right"/>
    </xf>
    <xf numFmtId="0" fontId="3" fillId="2" borderId="0" xfId="2" applyFont="1" applyFill="1" applyAlignment="1">
      <alignment horizontal="left"/>
    </xf>
    <xf numFmtId="10" fontId="3" fillId="0" borderId="0" xfId="3" applyNumberFormat="1" applyFont="1" applyFill="1" applyBorder="1" applyAlignment="1">
      <alignment horizontal="right"/>
    </xf>
    <xf numFmtId="0" fontId="22" fillId="0" borderId="0" xfId="0" applyFont="1" applyAlignment="1">
      <alignment horizontal="center" vertical="center"/>
    </xf>
    <xf numFmtId="0" fontId="2" fillId="2" borderId="0" xfId="2" applyFill="1" applyAlignment="1">
      <alignment horizontal="right"/>
    </xf>
    <xf numFmtId="0" fontId="2" fillId="2" borderId="0" xfId="2" applyFill="1" applyAlignment="1">
      <alignment horizontal="right"/>
    </xf>
    <xf numFmtId="0" fontId="8" fillId="2" borderId="0" xfId="2" applyFont="1" applyFill="1" applyBorder="1"/>
    <xf numFmtId="0" fontId="8" fillId="2" borderId="0" xfId="2" applyFont="1" applyFill="1" applyBorder="1" applyAlignment="1">
      <alignment horizontal="center" wrapText="1"/>
    </xf>
    <xf numFmtId="0" fontId="8" fillId="2" borderId="0" xfId="2" applyFont="1" applyFill="1" applyBorder="1" applyAlignment="1">
      <alignment horizontal="center"/>
    </xf>
    <xf numFmtId="3" fontId="8" fillId="2" borderId="0" xfId="2" applyNumberFormat="1" applyFont="1" applyFill="1" applyBorder="1" applyAlignment="1">
      <alignment horizontal="right"/>
    </xf>
    <xf numFmtId="3" fontId="10" fillId="2" borderId="0" xfId="2" applyNumberFormat="1" applyFont="1" applyFill="1" applyBorder="1" applyAlignment="1">
      <alignment horizontal="right"/>
    </xf>
    <xf numFmtId="0" fontId="4" fillId="2" borderId="0" xfId="2" applyFont="1" applyFill="1" applyAlignment="1">
      <alignment horizontal="center"/>
    </xf>
    <xf numFmtId="0" fontId="8" fillId="3" borderId="16" xfId="2" applyFont="1" applyFill="1" applyBorder="1" applyAlignment="1">
      <alignment horizontal="center" wrapText="1"/>
    </xf>
    <xf numFmtId="0" fontId="0" fillId="2" borderId="0" xfId="0" applyFill="1" applyBorder="1"/>
    <xf numFmtId="0" fontId="7" fillId="4" borderId="22" xfId="2" applyFont="1" applyFill="1" applyBorder="1"/>
    <xf numFmtId="0" fontId="7" fillId="4" borderId="9" xfId="2" applyFont="1" applyFill="1" applyBorder="1" applyAlignment="1">
      <alignment horizontal="center"/>
    </xf>
    <xf numFmtId="3" fontId="7" fillId="4" borderId="23" xfId="2" applyNumberFormat="1" applyFont="1" applyFill="1" applyBorder="1" applyAlignment="1">
      <alignment horizontal="right"/>
    </xf>
    <xf numFmtId="164" fontId="5" fillId="2" borderId="0" xfId="2" applyNumberFormat="1" applyFont="1" applyFill="1" applyBorder="1"/>
    <xf numFmtId="164" fontId="2" fillId="2" borderId="0" xfId="3" applyNumberFormat="1" applyFill="1" applyBorder="1"/>
    <xf numFmtId="164" fontId="2" fillId="2" borderId="0" xfId="3" quotePrefix="1" applyNumberFormat="1" applyFill="1" applyBorder="1"/>
    <xf numFmtId="3" fontId="3" fillId="2" borderId="0" xfId="2" applyNumberFormat="1" applyFont="1" applyFill="1" applyBorder="1"/>
    <xf numFmtId="0" fontId="3" fillId="2" borderId="0" xfId="2" applyFont="1" applyFill="1" applyBorder="1" applyAlignment="1">
      <alignment horizontal="right"/>
    </xf>
    <xf numFmtId="0" fontId="3" fillId="2" borderId="15" xfId="2" applyFont="1" applyFill="1" applyBorder="1" applyAlignment="1">
      <alignment horizontal="right"/>
    </xf>
    <xf numFmtId="0" fontId="2" fillId="2" borderId="0" xfId="2" applyFill="1" applyAlignment="1">
      <alignment horizontal="right"/>
    </xf>
    <xf numFmtId="3" fontId="0" fillId="0" borderId="0" xfId="0" applyNumberFormat="1"/>
    <xf numFmtId="9" fontId="0" fillId="0" borderId="0" xfId="1" applyFont="1"/>
    <xf numFmtId="10" fontId="0" fillId="0" borderId="0" xfId="1" applyNumberFormat="1" applyFont="1"/>
    <xf numFmtId="0" fontId="25" fillId="2" borderId="2" xfId="4" applyFont="1" applyFill="1" applyBorder="1"/>
    <xf numFmtId="0" fontId="21" fillId="2" borderId="1" xfId="4" applyFill="1" applyBorder="1" applyAlignment="1">
      <alignment wrapText="1"/>
    </xf>
    <xf numFmtId="0" fontId="21" fillId="2" borderId="1" xfId="4" applyFill="1" applyBorder="1"/>
    <xf numFmtId="0" fontId="21" fillId="2" borderId="0" xfId="4" applyFill="1"/>
    <xf numFmtId="4" fontId="21" fillId="2" borderId="3" xfId="4" applyNumberFormat="1" applyFill="1" applyBorder="1"/>
    <xf numFmtId="4" fontId="21" fillId="2" borderId="5" xfId="4" applyNumberFormat="1" applyFill="1" applyBorder="1"/>
    <xf numFmtId="4" fontId="21" fillId="2" borderId="0" xfId="4" applyNumberFormat="1" applyFill="1"/>
    <xf numFmtId="4" fontId="21" fillId="2" borderId="1" xfId="4" applyNumberFormat="1" applyFill="1" applyBorder="1"/>
    <xf numFmtId="3" fontId="21" fillId="2" borderId="15" xfId="4" applyNumberFormat="1" applyFill="1" applyBorder="1"/>
    <xf numFmtId="3" fontId="2" fillId="2" borderId="0" xfId="2" applyNumberFormat="1" applyFill="1"/>
    <xf numFmtId="0" fontId="27" fillId="2" borderId="0" xfId="2" applyFont="1" applyFill="1" applyAlignment="1">
      <alignment horizontal="left"/>
    </xf>
    <xf numFmtId="0" fontId="8" fillId="0" borderId="10" xfId="2" applyFont="1" applyFill="1" applyBorder="1" applyAlignment="1">
      <alignment horizontal="center" wrapText="1"/>
    </xf>
    <xf numFmtId="0" fontId="8" fillId="0" borderId="11" xfId="2" applyFont="1" applyFill="1" applyBorder="1" applyAlignment="1">
      <alignment horizontal="center" wrapText="1"/>
    </xf>
    <xf numFmtId="0" fontId="8" fillId="0" borderId="12" xfId="2" applyFont="1" applyFill="1" applyBorder="1" applyAlignment="1">
      <alignment horizontal="center" wrapText="1"/>
    </xf>
    <xf numFmtId="0" fontId="8" fillId="0" borderId="4" xfId="2" applyFont="1" applyFill="1" applyBorder="1" applyAlignment="1">
      <alignment horizontal="left" vertical="top"/>
    </xf>
    <xf numFmtId="3" fontId="3" fillId="0" borderId="12" xfId="2" applyNumberFormat="1" applyFont="1" applyFill="1" applyBorder="1" applyAlignment="1">
      <alignment horizontal="right"/>
    </xf>
    <xf numFmtId="3" fontId="3" fillId="0" borderId="15" xfId="2" applyNumberFormat="1" applyFont="1" applyFill="1" applyBorder="1" applyAlignment="1">
      <alignment horizontal="right"/>
    </xf>
    <xf numFmtId="3" fontId="8" fillId="0" borderId="20" xfId="2" applyNumberFormat="1" applyFont="1" applyFill="1" applyBorder="1"/>
    <xf numFmtId="3" fontId="3" fillId="0" borderId="0" xfId="2" applyNumberFormat="1" applyFont="1" applyFill="1" applyAlignment="1">
      <alignment horizontal="right"/>
    </xf>
    <xf numFmtId="0" fontId="2" fillId="2" borderId="0" xfId="2" applyFill="1" applyBorder="1"/>
    <xf numFmtId="3" fontId="26" fillId="2" borderId="0" xfId="2" applyNumberFormat="1" applyFont="1" applyFill="1" applyBorder="1"/>
    <xf numFmtId="0" fontId="3" fillId="2" borderId="0" xfId="2" applyFont="1" applyFill="1" applyBorder="1"/>
    <xf numFmtId="0" fontId="2" fillId="2" borderId="0" xfId="2" applyFill="1" applyAlignment="1">
      <alignment horizontal="right"/>
    </xf>
    <xf numFmtId="0" fontId="8" fillId="2" borderId="11" xfId="2" applyFont="1" applyFill="1" applyBorder="1" applyAlignment="1">
      <alignment horizontal="center" wrapText="1"/>
    </xf>
    <xf numFmtId="0" fontId="8" fillId="2" borderId="16" xfId="2" applyFont="1" applyFill="1" applyBorder="1" applyAlignment="1">
      <alignment horizontal="left" vertical="top"/>
    </xf>
    <xf numFmtId="3" fontId="5" fillId="2" borderId="18" xfId="2" applyNumberFormat="1" applyFont="1" applyFill="1" applyBorder="1" applyAlignment="1">
      <alignment horizontal="right"/>
    </xf>
    <xf numFmtId="0" fontId="24" fillId="2" borderId="0" xfId="4" applyFont="1" applyFill="1"/>
    <xf numFmtId="0" fontId="25" fillId="2" borderId="0" xfId="4" applyFont="1" applyFill="1"/>
    <xf numFmtId="0" fontId="25" fillId="2" borderId="0" xfId="4" applyFont="1" applyFill="1" applyAlignment="1">
      <alignment horizontal="center" wrapText="1"/>
    </xf>
    <xf numFmtId="4" fontId="21" fillId="2" borderId="12" xfId="4" applyNumberFormat="1" applyFill="1" applyBorder="1"/>
    <xf numFmtId="4" fontId="21" fillId="2" borderId="21" xfId="4" applyNumberFormat="1" applyFill="1" applyBorder="1"/>
    <xf numFmtId="0" fontId="25" fillId="2" borderId="3" xfId="4" applyFont="1" applyFill="1" applyBorder="1"/>
    <xf numFmtId="0" fontId="25" fillId="2" borderId="5" xfId="4" applyFont="1" applyFill="1" applyBorder="1"/>
    <xf numFmtId="0" fontId="25" fillId="2" borderId="7" xfId="4" applyFont="1" applyFill="1" applyBorder="1"/>
    <xf numFmtId="0" fontId="0" fillId="2" borderId="0" xfId="0" applyFill="1" applyAlignment="1"/>
    <xf numFmtId="3" fontId="3" fillId="2" borderId="6" xfId="2" applyNumberFormat="1" applyFont="1" applyFill="1" applyBorder="1" applyAlignment="1">
      <alignment horizontal="right"/>
    </xf>
    <xf numFmtId="0" fontId="6" fillId="4" borderId="22" xfId="2" applyFont="1" applyFill="1" applyBorder="1"/>
    <xf numFmtId="0" fontId="7" fillId="4" borderId="23" xfId="2" applyFont="1" applyFill="1" applyBorder="1" applyAlignment="1">
      <alignment horizontal="right"/>
    </xf>
    <xf numFmtId="0" fontId="2" fillId="2" borderId="14" xfId="2" applyFill="1" applyBorder="1" applyAlignment="1">
      <alignment horizontal="right"/>
    </xf>
    <xf numFmtId="0" fontId="6" fillId="5" borderId="12" xfId="2" applyFont="1" applyFill="1" applyBorder="1" applyAlignment="1">
      <alignment horizontal="center" vertical="center"/>
    </xf>
    <xf numFmtId="0" fontId="6" fillId="5" borderId="21" xfId="2" applyFont="1" applyFill="1" applyBorder="1" applyAlignment="1">
      <alignment horizontal="center" vertical="center"/>
    </xf>
    <xf numFmtId="166" fontId="23" fillId="2" borderId="0" xfId="5" applyNumberFormat="1" applyFont="1" applyFill="1" applyAlignment="1">
      <alignment horizontal="right"/>
    </xf>
    <xf numFmtId="0" fontId="21" fillId="2" borderId="5" xfId="4" applyFill="1" applyBorder="1"/>
    <xf numFmtId="3" fontId="21" fillId="2" borderId="0" xfId="4" applyNumberFormat="1" applyFill="1"/>
    <xf numFmtId="0" fontId="0" fillId="0" borderId="0" xfId="0" applyFill="1"/>
    <xf numFmtId="0" fontId="8" fillId="2" borderId="3" xfId="2" applyFont="1" applyFill="1" applyBorder="1" applyAlignment="1">
      <alignment horizontal="center" wrapText="1"/>
    </xf>
    <xf numFmtId="0" fontId="3" fillId="2" borderId="7" xfId="2" applyFont="1" applyFill="1" applyBorder="1" applyAlignment="1">
      <alignment horizontal="right"/>
    </xf>
    <xf numFmtId="10" fontId="3" fillId="2" borderId="5" xfId="2" applyNumberFormat="1" applyFont="1" applyFill="1" applyBorder="1" applyAlignment="1">
      <alignment horizontal="right"/>
    </xf>
    <xf numFmtId="3" fontId="3" fillId="2" borderId="0" xfId="2" applyNumberFormat="1" applyFont="1" applyFill="1"/>
    <xf numFmtId="0" fontId="21" fillId="2" borderId="0" xfId="4" applyFill="1" applyBorder="1"/>
    <xf numFmtId="166" fontId="0" fillId="2" borderId="0" xfId="0" applyNumberFormat="1" applyFill="1" applyBorder="1" applyAlignment="1">
      <alignment horizontal="right"/>
    </xf>
    <xf numFmtId="166" fontId="21" fillId="2" borderId="0" xfId="4" applyNumberFormat="1" applyFill="1" applyBorder="1"/>
    <xf numFmtId="3" fontId="21" fillId="2" borderId="0" xfId="4" applyNumberFormat="1" applyFill="1" applyBorder="1"/>
    <xf numFmtId="4" fontId="21" fillId="2" borderId="0" xfId="4" applyNumberFormat="1" applyFill="1" applyBorder="1"/>
    <xf numFmtId="167" fontId="3" fillId="2" borderId="0" xfId="2" applyNumberFormat="1" applyFont="1" applyFill="1" applyAlignment="1">
      <alignment horizontal="right"/>
    </xf>
    <xf numFmtId="168" fontId="3" fillId="2" borderId="0" xfId="2" applyNumberFormat="1" applyFont="1" applyFill="1" applyAlignment="1">
      <alignment horizontal="right"/>
    </xf>
    <xf numFmtId="169" fontId="3" fillId="2" borderId="0" xfId="2" applyNumberFormat="1" applyFont="1" applyFill="1" applyAlignment="1">
      <alignment horizontal="right"/>
    </xf>
    <xf numFmtId="170" fontId="3" fillId="2" borderId="0" xfId="2" applyNumberFormat="1" applyFont="1" applyFill="1"/>
    <xf numFmtId="171" fontId="3" fillId="2" borderId="0" xfId="2" applyNumberFormat="1" applyFont="1" applyFill="1"/>
    <xf numFmtId="3" fontId="3" fillId="0" borderId="0" xfId="2" applyNumberFormat="1" applyFont="1" applyFill="1" applyBorder="1" applyAlignment="1">
      <alignment horizontal="right"/>
    </xf>
    <xf numFmtId="170" fontId="3" fillId="2" borderId="0" xfId="2" applyNumberFormat="1" applyFont="1" applyFill="1" applyAlignment="1">
      <alignment horizontal="left" vertical="top"/>
    </xf>
    <xf numFmtId="0" fontId="17" fillId="2" borderId="14" xfId="0" applyFont="1" applyFill="1" applyBorder="1" applyAlignment="1">
      <alignment horizontal="right"/>
    </xf>
    <xf numFmtId="3" fontId="17" fillId="2" borderId="0" xfId="0" applyNumberFormat="1" applyFont="1" applyFill="1" applyBorder="1"/>
    <xf numFmtId="9" fontId="3" fillId="2" borderId="20" xfId="3" applyFont="1" applyFill="1" applyBorder="1"/>
    <xf numFmtId="9" fontId="3" fillId="2" borderId="4" xfId="3" applyFont="1" applyFill="1" applyBorder="1"/>
    <xf numFmtId="0" fontId="8" fillId="3" borderId="11" xfId="2" applyFont="1" applyFill="1" applyBorder="1" applyAlignment="1">
      <alignment horizontal="center" wrapText="1"/>
    </xf>
    <xf numFmtId="0" fontId="8" fillId="3" borderId="16" xfId="2" applyFont="1" applyFill="1" applyBorder="1" applyAlignment="1">
      <alignment horizontal="left" vertical="top"/>
    </xf>
    <xf numFmtId="9" fontId="8" fillId="0" borderId="1" xfId="1" applyFont="1" applyFill="1" applyBorder="1"/>
    <xf numFmtId="3" fontId="21" fillId="2" borderId="1" xfId="4" applyNumberFormat="1" applyFill="1" applyBorder="1"/>
    <xf numFmtId="1" fontId="0" fillId="0" borderId="0" xfId="0" applyNumberFormat="1"/>
    <xf numFmtId="167" fontId="21" fillId="2" borderId="1" xfId="4" applyNumberFormat="1" applyFill="1" applyBorder="1"/>
    <xf numFmtId="3" fontId="3" fillId="2" borderId="0" xfId="2" applyNumberFormat="1" applyFont="1" applyFill="1" applyBorder="1" applyAlignment="1">
      <alignment horizontal="left"/>
    </xf>
    <xf numFmtId="173" fontId="3" fillId="2" borderId="0" xfId="2" applyNumberFormat="1" applyFont="1" applyFill="1" applyAlignment="1">
      <alignment horizontal="right"/>
    </xf>
    <xf numFmtId="1" fontId="3" fillId="2" borderId="0" xfId="2" applyNumberFormat="1" applyFont="1" applyFill="1" applyAlignment="1">
      <alignment horizontal="left"/>
    </xf>
    <xf numFmtId="1" fontId="2" fillId="2" borderId="0" xfId="2" applyNumberFormat="1" applyFill="1" applyAlignment="1">
      <alignment horizontal="left"/>
    </xf>
    <xf numFmtId="174" fontId="3" fillId="2" borderId="0" xfId="2" applyNumberFormat="1" applyFont="1" applyFill="1" applyAlignment="1">
      <alignment horizontal="right"/>
    </xf>
    <xf numFmtId="0" fontId="8" fillId="0" borderId="20" xfId="2" applyFont="1" applyFill="1" applyBorder="1" applyAlignment="1">
      <alignment horizontal="center" vertical="center"/>
    </xf>
    <xf numFmtId="0" fontId="2" fillId="0" borderId="0" xfId="2" applyFill="1" applyBorder="1" applyAlignment="1">
      <alignment horizontal="left"/>
    </xf>
    <xf numFmtId="3" fontId="20" fillId="2" borderId="0" xfId="2" applyNumberFormat="1" applyFont="1" applyFill="1" applyBorder="1" applyAlignment="1">
      <alignment horizontal="right"/>
    </xf>
    <xf numFmtId="2" fontId="17" fillId="0" borderId="0" xfId="0" applyNumberFormat="1" applyFont="1"/>
    <xf numFmtId="175" fontId="3" fillId="2" borderId="0" xfId="2" applyNumberFormat="1" applyFont="1" applyFill="1" applyAlignment="1">
      <alignment horizontal="right"/>
    </xf>
    <xf numFmtId="3" fontId="3" fillId="2" borderId="0" xfId="2" applyNumberFormat="1" applyFont="1" applyFill="1" applyBorder="1" applyAlignment="1">
      <alignment horizontal="right"/>
    </xf>
    <xf numFmtId="0" fontId="8" fillId="2" borderId="10" xfId="2" applyFont="1" applyFill="1" applyBorder="1" applyAlignment="1">
      <alignment horizontal="center" wrapText="1"/>
    </xf>
    <xf numFmtId="0" fontId="8" fillId="2" borderId="12" xfId="2" applyFont="1" applyFill="1" applyBorder="1" applyAlignment="1">
      <alignment horizontal="center" wrapText="1"/>
    </xf>
    <xf numFmtId="0" fontId="8" fillId="2" borderId="8" xfId="2" applyFont="1" applyFill="1" applyBorder="1" applyAlignment="1">
      <alignment horizontal="right"/>
    </xf>
    <xf numFmtId="0" fontId="8" fillId="2" borderId="16" xfId="2" applyFont="1" applyFill="1" applyBorder="1" applyAlignment="1">
      <alignment vertical="top"/>
    </xf>
    <xf numFmtId="0" fontId="8" fillId="2" borderId="21" xfId="2" applyFont="1" applyFill="1" applyBorder="1" applyAlignment="1">
      <alignment horizontal="left" vertical="top"/>
    </xf>
    <xf numFmtId="3" fontId="8" fillId="0" borderId="21" xfId="2" applyNumberFormat="1" applyFont="1" applyFill="1" applyBorder="1" applyAlignment="1">
      <alignment horizontal="right"/>
    </xf>
    <xf numFmtId="3" fontId="3" fillId="0" borderId="21" xfId="2" applyNumberFormat="1" applyFont="1" applyFill="1" applyBorder="1" applyAlignment="1">
      <alignment horizontal="right"/>
    </xf>
    <xf numFmtId="0" fontId="8" fillId="0" borderId="16" xfId="2" applyFont="1" applyFill="1" applyBorder="1" applyAlignment="1">
      <alignment horizontal="center" vertical="top"/>
    </xf>
    <xf numFmtId="0" fontId="21" fillId="0" borderId="0" xfId="4"/>
    <xf numFmtId="0" fontId="2" fillId="2" borderId="0" xfId="2" applyFont="1" applyFill="1" applyBorder="1" applyAlignment="1">
      <alignment horizontal="right"/>
    </xf>
    <xf numFmtId="165" fontId="2" fillId="2" borderId="0" xfId="2" applyNumberFormat="1" applyFill="1"/>
    <xf numFmtId="3" fontId="2" fillId="2" borderId="0" xfId="2" applyNumberFormat="1" applyFill="1" applyBorder="1" applyAlignment="1">
      <alignment horizontal="right"/>
    </xf>
    <xf numFmtId="0" fontId="2" fillId="2" borderId="14" xfId="2" applyFont="1" applyFill="1" applyBorder="1" applyAlignment="1">
      <alignment horizontal="right"/>
    </xf>
    <xf numFmtId="3" fontId="2" fillId="2" borderId="0" xfId="2" applyNumberFormat="1" applyFont="1" applyFill="1" applyBorder="1" applyAlignment="1">
      <alignment horizontal="right"/>
    </xf>
    <xf numFmtId="0" fontId="8" fillId="2" borderId="20" xfId="2" applyFont="1" applyFill="1" applyBorder="1" applyAlignment="1">
      <alignment horizontal="center" vertical="center"/>
    </xf>
    <xf numFmtId="167" fontId="3" fillId="2" borderId="0" xfId="2" applyNumberFormat="1" applyFont="1" applyFill="1" applyBorder="1"/>
    <xf numFmtId="0" fontId="8" fillId="2" borderId="20" xfId="2" applyFont="1" applyFill="1" applyBorder="1"/>
    <xf numFmtId="0" fontId="8" fillId="2" borderId="2" xfId="2" applyFont="1" applyFill="1" applyBorder="1" applyAlignment="1">
      <alignment horizontal="center" vertical="top"/>
    </xf>
    <xf numFmtId="0" fontId="8" fillId="2" borderId="20" xfId="2" applyFont="1" applyFill="1" applyBorder="1" applyAlignment="1">
      <alignment horizontal="center" vertical="top"/>
    </xf>
    <xf numFmtId="164" fontId="3" fillId="2" borderId="0" xfId="3" applyNumberFormat="1" applyFont="1" applyFill="1" applyBorder="1" applyAlignment="1">
      <alignment horizontal="right"/>
    </xf>
    <xf numFmtId="164" fontId="3" fillId="2" borderId="0" xfId="3" applyNumberFormat="1" applyFont="1" applyFill="1" applyAlignment="1">
      <alignment horizontal="right"/>
    </xf>
    <xf numFmtId="176" fontId="2" fillId="2" borderId="0" xfId="2" applyNumberFormat="1" applyFill="1"/>
    <xf numFmtId="3" fontId="6" fillId="4" borderId="9" xfId="2" applyNumberFormat="1" applyFont="1" applyFill="1" applyBorder="1" applyAlignment="1">
      <alignment horizontal="right"/>
    </xf>
    <xf numFmtId="3" fontId="8" fillId="2" borderId="6" xfId="2" applyNumberFormat="1" applyFont="1" applyFill="1" applyBorder="1" applyAlignment="1">
      <alignment horizontal="right"/>
    </xf>
    <xf numFmtId="10" fontId="3" fillId="2" borderId="6" xfId="1" applyNumberFormat="1" applyFont="1" applyFill="1" applyBorder="1" applyAlignment="1">
      <alignment horizontal="right"/>
    </xf>
    <xf numFmtId="9" fontId="8" fillId="2" borderId="2" xfId="1" applyFont="1" applyFill="1" applyBorder="1"/>
    <xf numFmtId="3" fontId="3" fillId="2" borderId="16" xfId="2" applyNumberFormat="1" applyFont="1" applyFill="1" applyBorder="1" applyAlignment="1">
      <alignment horizontal="right"/>
    </xf>
    <xf numFmtId="3" fontId="2" fillId="2" borderId="0" xfId="2" applyNumberFormat="1" applyFill="1" applyBorder="1"/>
    <xf numFmtId="3" fontId="31" fillId="2" borderId="0" xfId="0" applyNumberFormat="1" applyFont="1" applyFill="1" applyBorder="1" applyAlignment="1">
      <alignment horizontal="right" vertical="center"/>
    </xf>
    <xf numFmtId="0" fontId="31" fillId="2" borderId="0" xfId="0" applyFont="1" applyFill="1" applyBorder="1" applyAlignment="1">
      <alignment horizontal="right" vertical="center"/>
    </xf>
    <xf numFmtId="10" fontId="3" fillId="2" borderId="0" xfId="2" applyNumberFormat="1" applyFont="1" applyFill="1" applyBorder="1" applyAlignment="1">
      <alignment horizontal="right"/>
    </xf>
    <xf numFmtId="3" fontId="3" fillId="2" borderId="6" xfId="2" applyNumberFormat="1" applyFont="1" applyFill="1" applyBorder="1"/>
    <xf numFmtId="0" fontId="3" fillId="2" borderId="0" xfId="2" applyFont="1" applyFill="1" applyBorder="1"/>
    <xf numFmtId="0" fontId="17" fillId="2" borderId="13" xfId="0" applyFont="1" applyFill="1" applyBorder="1" applyAlignment="1">
      <alignment horizontal="right"/>
    </xf>
    <xf numFmtId="3" fontId="19" fillId="2" borderId="0" xfId="2" applyNumberFormat="1" applyFont="1" applyFill="1" applyBorder="1" applyAlignment="1">
      <alignment horizontal="left"/>
    </xf>
    <xf numFmtId="175" fontId="10" fillId="2" borderId="0" xfId="2" applyNumberFormat="1" applyFont="1" applyFill="1" applyBorder="1" applyAlignment="1">
      <alignment horizontal="right"/>
    </xf>
    <xf numFmtId="3" fontId="10" fillId="0" borderId="0" xfId="2" applyNumberFormat="1" applyFont="1" applyFill="1" applyBorder="1" applyAlignment="1">
      <alignment horizontal="right"/>
    </xf>
    <xf numFmtId="166" fontId="3" fillId="2" borderId="0" xfId="2" applyNumberFormat="1" applyFont="1" applyFill="1" applyBorder="1"/>
    <xf numFmtId="3" fontId="8" fillId="2" borderId="4" xfId="2" applyNumberFormat="1" applyFont="1" applyFill="1" applyBorder="1" applyAlignment="1">
      <alignment horizontal="right"/>
    </xf>
    <xf numFmtId="10" fontId="3" fillId="0" borderId="6" xfId="1" applyNumberFormat="1" applyFont="1" applyFill="1" applyBorder="1" applyAlignment="1">
      <alignment horizontal="right"/>
    </xf>
    <xf numFmtId="0" fontId="6" fillId="4" borderId="23" xfId="2" applyFont="1" applyFill="1" applyBorder="1"/>
    <xf numFmtId="0" fontId="2" fillId="2" borderId="14" xfId="2" applyFill="1" applyBorder="1"/>
    <xf numFmtId="0" fontId="0" fillId="2" borderId="13" xfId="0" applyFill="1" applyBorder="1"/>
    <xf numFmtId="0" fontId="2" fillId="2" borderId="13" xfId="2" applyFill="1" applyBorder="1" applyAlignment="1">
      <alignment horizontal="right"/>
    </xf>
    <xf numFmtId="0" fontId="2" fillId="2" borderId="14" xfId="2" applyFill="1" applyBorder="1" applyAlignment="1">
      <alignment horizontal="right"/>
    </xf>
    <xf numFmtId="0" fontId="2" fillId="2" borderId="13" xfId="2" applyFont="1" applyFill="1" applyBorder="1" applyAlignment="1">
      <alignment horizontal="right"/>
    </xf>
    <xf numFmtId="0" fontId="2" fillId="2" borderId="14" xfId="2" applyFont="1" applyFill="1" applyBorder="1" applyAlignment="1">
      <alignment horizontal="right"/>
    </xf>
    <xf numFmtId="0" fontId="5" fillId="2" borderId="17" xfId="2" applyFont="1" applyFill="1" applyBorder="1" applyAlignment="1">
      <alignment horizontal="right"/>
    </xf>
    <xf numFmtId="0" fontId="5" fillId="2" borderId="19" xfId="2" applyFont="1" applyFill="1" applyBorder="1" applyAlignment="1">
      <alignment horizontal="right"/>
    </xf>
    <xf numFmtId="0" fontId="17" fillId="2" borderId="13" xfId="0" applyFont="1" applyFill="1" applyBorder="1" applyAlignment="1">
      <alignment horizontal="right"/>
    </xf>
    <xf numFmtId="0" fontId="17" fillId="2" borderId="14" xfId="0" applyFont="1" applyFill="1" applyBorder="1" applyAlignment="1">
      <alignment horizontal="right"/>
    </xf>
    <xf numFmtId="172" fontId="3" fillId="2" borderId="0" xfId="2" applyNumberFormat="1" applyFont="1" applyFill="1" applyBorder="1" applyAlignment="1">
      <alignment horizontal="center"/>
    </xf>
    <xf numFmtId="0" fontId="3" fillId="4" borderId="3" xfId="2" applyFont="1" applyFill="1" applyBorder="1" applyAlignment="1">
      <alignment horizontal="center"/>
    </xf>
    <xf numFmtId="0" fontId="3" fillId="4" borderId="7" xfId="2" applyFont="1" applyFill="1" applyBorder="1" applyAlignment="1">
      <alignment horizontal="center"/>
    </xf>
    <xf numFmtId="0" fontId="6" fillId="4" borderId="10" xfId="2" applyFont="1" applyFill="1" applyBorder="1" applyAlignment="1">
      <alignment horizontal="center" vertical="center"/>
    </xf>
    <xf numFmtId="0" fontId="6" fillId="4" borderId="11" xfId="2" applyFont="1" applyFill="1" applyBorder="1" applyAlignment="1">
      <alignment horizontal="center" vertical="center"/>
    </xf>
    <xf numFmtId="0" fontId="6" fillId="4" borderId="12" xfId="2" applyFont="1" applyFill="1" applyBorder="1" applyAlignment="1">
      <alignment horizontal="center" vertical="center"/>
    </xf>
    <xf numFmtId="0" fontId="6" fillId="4" borderId="8" xfId="2" applyFont="1" applyFill="1" applyBorder="1" applyAlignment="1">
      <alignment horizontal="center" vertical="center"/>
    </xf>
    <xf numFmtId="0" fontId="6" fillId="4" borderId="16" xfId="2" applyFont="1" applyFill="1" applyBorder="1" applyAlignment="1">
      <alignment horizontal="center" vertical="center"/>
    </xf>
    <xf numFmtId="0" fontId="6" fillId="4" borderId="21" xfId="2" applyFont="1" applyFill="1" applyBorder="1" applyAlignment="1">
      <alignment horizontal="center" vertical="center"/>
    </xf>
    <xf numFmtId="0" fontId="6" fillId="5" borderId="10" xfId="2" applyFont="1" applyFill="1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8" xfId="0" applyBorder="1" applyAlignment="1"/>
    <xf numFmtId="0" fontId="0" fillId="0" borderId="16" xfId="0" applyBorder="1" applyAlignment="1"/>
    <xf numFmtId="0" fontId="0" fillId="0" borderId="21" xfId="0" applyBorder="1" applyAlignment="1"/>
    <xf numFmtId="0" fontId="25" fillId="2" borderId="10" xfId="4" applyFont="1" applyFill="1" applyBorder="1" applyAlignment="1">
      <alignment horizontal="center" wrapText="1"/>
    </xf>
    <xf numFmtId="0" fontId="25" fillId="2" borderId="11" xfId="4" applyFont="1" applyFill="1" applyBorder="1" applyAlignment="1">
      <alignment horizontal="center" wrapText="1"/>
    </xf>
    <xf numFmtId="0" fontId="25" fillId="2" borderId="12" xfId="4" applyFont="1" applyFill="1" applyBorder="1" applyAlignment="1">
      <alignment horizontal="center" wrapText="1"/>
    </xf>
  </cellXfs>
  <cellStyles count="11">
    <cellStyle name="Normal" xfId="0" builtinId="0"/>
    <cellStyle name="Normal 2" xfId="2" xr:uid="{8095BE92-064A-4E70-BB39-EE03F8FFC801}"/>
    <cellStyle name="Normal 3" xfId="4" xr:uid="{181151B1-CA27-4EAF-B243-7F7C2FC9406C}"/>
    <cellStyle name="Normal 4" xfId="5" xr:uid="{08B2A7D5-4C42-43DB-A61B-ACF377129EFF}"/>
    <cellStyle name="Normal 4 2" xfId="6" xr:uid="{718FA7EF-FAE7-47A4-97B7-8D5237811EB3}"/>
    <cellStyle name="Normal 4 2 2" xfId="9" xr:uid="{9824B8DB-5FBF-4BAF-AA78-0CCDD557A4DD}"/>
    <cellStyle name="Normal 4 3" xfId="7" xr:uid="{809E7899-7F83-4C79-B615-364397FC5796}"/>
    <cellStyle name="Normal 5" xfId="8" xr:uid="{9AFF6762-CD72-4FE9-903A-059CF9357E09}"/>
    <cellStyle name="Normal 5 2" xfId="10" xr:uid="{7AF2868B-40B2-4836-B114-F0992F60513B}"/>
    <cellStyle name="Procent" xfId="1" builtinId="5"/>
    <cellStyle name="Procent 2" xfId="3" xr:uid="{C1D67AC2-77C7-40CA-B221-0083E462A2F0}"/>
  </cellStyles>
  <dxfs count="0"/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5" Type="http://schemas.openxmlformats.org/officeDocument/2006/relationships/customXml" Target="../customXml/item6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Relationship Id="rId14" Type="http://schemas.openxmlformats.org/officeDocument/2006/relationships/customXml" Target="../customXml/item5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madeleine.ehlin@regeringskansliet.se" id="{3ACF1590-AB17-44F5-B6D4-3ABE2C93D5AA}" userId="madeleine.ehlin@regeringskansliet.se" providerId="None"/>
  <person displayName="Madeleine Ehlin" id="{131F505E-CB42-42A9-98DA-D4330F73F898}" userId="S::madeleine.ehlin@regeringskansliet.se::a4feec7f-7d13-45ce-83df-4c874ececa38" providerId="AD"/>
</personList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7" dT="2021-11-04T12:15:28.13" personId="{3ACF1590-AB17-44F5-B6D4-3ABE2C93D5AA}" id="{B5D376FB-9FB3-45C6-879C-231F9E4F56BB}">
    <text>Central mynd. intern delg. 2014 (PLO)</text>
  </threadedComment>
  <threadedComment ref="B10" dT="2021-11-04T12:37:25.98" personId="{3ACF1590-AB17-44F5-B6D4-3ABE2C93D5AA}" id="{61FC3867-CB8F-4482-B196-DB29AC526E2F}">
    <text>Hedersrelaterat våld, kompetensteamet HRV (PLO)</text>
  </threadedComment>
  <threadedComment ref="B14" dT="2021-11-04T12:38:12.07" personId="{3ACF1590-AB17-44F5-B6D4-3ABE2C93D5AA}" id="{69406FF6-6E6D-4287-9C5F-2ABAEC765FC0}">
    <text>Totalförsvarsuppbyggnad Gotland (PLO)</text>
  </threadedComment>
  <threadedComment ref="B18" dT="2021-11-04T12:12:26.22" personId="{3ACF1590-AB17-44F5-B6D4-3ABE2C93D5AA}" id="{33DB3FF4-C86D-4845-AD1B-8AB89311CC36}">
    <text>GIS (PLO) + Miljösamverkan Sverige (ej PLO) + Information Sverige (PLO) + Cybersäkerhet BP23 (PLO)</text>
  </threadedComment>
  <threadedComment ref="B20" dT="2021-11-04T12:14:15.34" personId="{3ACF1590-AB17-44F5-B6D4-3ABE2C93D5AA}" id="{A7E2805D-136C-4E15-BD75-61FA81B677BB}">
    <text>Kampsport 2010 (PLO) + Djufrågor BP18 (PLO) + SEVESO-verksamheten (PLO) + Avloppsrening BP23 (PLO) + Beredskap livsmedelsförsörjning BP25 (PLO)</text>
  </threadedComment>
  <threadedComment ref="B23" dT="2024-11-08T13:21:36.06" personId="{131F505E-CB42-42A9-98DA-D4330F73F898}" id="{4A21A4B5-2701-4F4E-A85F-12019558D2C3}">
    <text>Mygg BP24 (PLO) + Mygg BP25 (PLO)</text>
  </threadedComment>
  <threadedComment ref="B24" dT="2021-11-04T12:14:51.03" personId="{3ACF1590-AB17-44F5-B6D4-3ABE2C93D5AA}" id="{93361EE0-AF32-4976-B862-9855EE446018}">
    <text>Samordning flyktingmott./etabl. (Ej PLO)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823009-48C4-4E7C-AF85-DA70885CD8A9}">
  <sheetPr codeName="Blad1"/>
  <dimension ref="A1:I53"/>
  <sheetViews>
    <sheetView topLeftCell="A20" zoomScale="82" zoomScaleNormal="115" zoomScaleSheetLayoutView="85" zoomScalePageLayoutView="70" workbookViewId="0">
      <selection activeCell="E8" sqref="E8"/>
    </sheetView>
  </sheetViews>
  <sheetFormatPr defaultColWidth="9.1796875" defaultRowHeight="14.5" x14ac:dyDescent="0.35"/>
  <cols>
    <col min="1" max="1" width="51.26953125" style="21" customWidth="1"/>
    <col min="2" max="2" width="13.7265625" style="21" customWidth="1"/>
    <col min="3" max="3" width="19.54296875" style="21" customWidth="1"/>
    <col min="4" max="4" width="24.1796875" style="21" customWidth="1"/>
    <col min="5" max="5" width="16.26953125" style="21" customWidth="1"/>
    <col min="6" max="6" width="9.1796875" style="21" customWidth="1"/>
    <col min="7" max="7" width="9.26953125" style="21" bestFit="1" customWidth="1"/>
    <col min="8" max="8" width="12" style="21" bestFit="1" customWidth="1"/>
    <col min="9" max="16384" width="9.1796875" style="21"/>
  </cols>
  <sheetData>
    <row r="1" spans="1:9" ht="22.5" x14ac:dyDescent="0.45">
      <c r="A1" s="19" t="s">
        <v>142</v>
      </c>
      <c r="B1" s="20"/>
      <c r="C1" s="20"/>
      <c r="D1" s="20"/>
      <c r="E1" s="20"/>
    </row>
    <row r="2" spans="1:9" ht="15" thickBot="1" x14ac:dyDescent="0.4">
      <c r="A2" s="20"/>
      <c r="B2" s="20"/>
      <c r="C2" s="20"/>
      <c r="D2" s="20"/>
      <c r="E2" s="20"/>
    </row>
    <row r="3" spans="1:9" ht="15.5" x14ac:dyDescent="0.35">
      <c r="A3" s="145" t="s">
        <v>121</v>
      </c>
      <c r="B3" s="231"/>
      <c r="C3" s="213">
        <v>4418384</v>
      </c>
      <c r="D3" s="146" t="s">
        <v>68</v>
      </c>
      <c r="E3" s="119"/>
    </row>
    <row r="4" spans="1:9" x14ac:dyDescent="0.35">
      <c r="A4" s="22" t="s">
        <v>0</v>
      </c>
      <c r="B4" s="232"/>
      <c r="C4" s="128"/>
      <c r="D4" s="24"/>
      <c r="E4" s="76"/>
    </row>
    <row r="5" spans="1:9" x14ac:dyDescent="0.35">
      <c r="A5" s="234" t="s">
        <v>1</v>
      </c>
      <c r="B5" s="235"/>
      <c r="C5" s="202">
        <f>-'Riktade medel och parametrar'!V28</f>
        <v>-585123.40774047875</v>
      </c>
      <c r="D5" s="203"/>
    </row>
    <row r="6" spans="1:9" x14ac:dyDescent="0.35">
      <c r="A6" s="234" t="s">
        <v>2</v>
      </c>
      <c r="B6" s="235"/>
      <c r="C6" s="202">
        <f>-'Riktade medel och parametrar'!AT28</f>
        <v>-988681.19235785061</v>
      </c>
      <c r="D6" s="147" t="s">
        <v>132</v>
      </c>
      <c r="E6" s="77"/>
    </row>
    <row r="7" spans="1:9" x14ac:dyDescent="0.35">
      <c r="A7" s="234" t="s">
        <v>74</v>
      </c>
      <c r="B7" s="235"/>
      <c r="C7" s="202">
        <v>0</v>
      </c>
      <c r="D7" s="147" t="s">
        <v>123</v>
      </c>
      <c r="E7" s="186"/>
    </row>
    <row r="8" spans="1:9" x14ac:dyDescent="0.35">
      <c r="A8" s="234" t="s">
        <v>3</v>
      </c>
      <c r="B8" s="235"/>
      <c r="C8" s="187">
        <v>-30000</v>
      </c>
      <c r="D8" s="147" t="s">
        <v>123</v>
      </c>
      <c r="E8" s="77"/>
    </row>
    <row r="9" spans="1:9" ht="15.75" customHeight="1" x14ac:dyDescent="0.35">
      <c r="A9" s="234" t="s">
        <v>4</v>
      </c>
      <c r="B9" s="235"/>
      <c r="C9" s="202">
        <v>-1000</v>
      </c>
      <c r="D9" s="147" t="s">
        <v>129</v>
      </c>
      <c r="E9" s="77"/>
    </row>
    <row r="10" spans="1:9" x14ac:dyDescent="0.35">
      <c r="A10" s="236" t="s">
        <v>134</v>
      </c>
      <c r="B10" s="237"/>
      <c r="C10" s="204">
        <v>-2600</v>
      </c>
      <c r="D10" s="147" t="s">
        <v>129</v>
      </c>
      <c r="E10" s="77"/>
      <c r="G10" s="75"/>
    </row>
    <row r="11" spans="1:9" x14ac:dyDescent="0.35">
      <c r="A11" s="236" t="s">
        <v>95</v>
      </c>
      <c r="B11" s="237"/>
      <c r="C11" s="204">
        <v>-300</v>
      </c>
      <c r="D11" s="147" t="s">
        <v>123</v>
      </c>
      <c r="E11" s="77"/>
      <c r="F11" s="143"/>
    </row>
    <row r="12" spans="1:9" x14ac:dyDescent="0.35">
      <c r="A12" s="236" t="s">
        <v>106</v>
      </c>
      <c r="B12" s="237"/>
      <c r="C12" s="204">
        <v>-15000</v>
      </c>
      <c r="D12" s="147" t="s">
        <v>122</v>
      </c>
      <c r="E12" s="77"/>
    </row>
    <row r="13" spans="1:9" x14ac:dyDescent="0.35">
      <c r="A13" s="236" t="s">
        <v>125</v>
      </c>
      <c r="B13" s="237"/>
      <c r="C13" s="204">
        <v>-1200</v>
      </c>
      <c r="D13" s="147" t="s">
        <v>105</v>
      </c>
      <c r="E13" s="77"/>
    </row>
    <row r="14" spans="1:9" x14ac:dyDescent="0.35">
      <c r="A14" s="236" t="s">
        <v>107</v>
      </c>
      <c r="B14" s="237"/>
      <c r="C14" s="204">
        <f>-3000</f>
        <v>-3000</v>
      </c>
      <c r="D14" s="147" t="s">
        <v>104</v>
      </c>
      <c r="E14" s="77"/>
    </row>
    <row r="15" spans="1:9" ht="15.75" customHeight="1" x14ac:dyDescent="0.35">
      <c r="A15" s="240" t="s">
        <v>115</v>
      </c>
      <c r="B15" s="241"/>
      <c r="C15" s="202">
        <v>-1000</v>
      </c>
      <c r="D15" s="147" t="s">
        <v>129</v>
      </c>
      <c r="E15" s="77"/>
      <c r="I15" s="75"/>
    </row>
    <row r="16" spans="1:9" ht="15.75" customHeight="1" x14ac:dyDescent="0.35">
      <c r="A16" s="240" t="s">
        <v>113</v>
      </c>
      <c r="B16" s="241"/>
      <c r="C16" s="171">
        <v>-5000</v>
      </c>
      <c r="D16" s="170" t="s">
        <v>114</v>
      </c>
    </row>
    <row r="17" spans="1:6" ht="15.75" customHeight="1" x14ac:dyDescent="0.35">
      <c r="A17" s="240" t="s">
        <v>116</v>
      </c>
      <c r="B17" s="241"/>
      <c r="C17" s="171">
        <v>-10000</v>
      </c>
      <c r="D17" s="170" t="s">
        <v>129</v>
      </c>
      <c r="F17" s="75"/>
    </row>
    <row r="18" spans="1:6" ht="15.75" customHeight="1" x14ac:dyDescent="0.35">
      <c r="A18" s="224"/>
      <c r="B18" s="170" t="s">
        <v>127</v>
      </c>
      <c r="C18" s="171">
        <v>-30000</v>
      </c>
      <c r="D18" s="170" t="s">
        <v>122</v>
      </c>
      <c r="F18" s="75"/>
    </row>
    <row r="19" spans="1:6" ht="15.75" customHeight="1" x14ac:dyDescent="0.35">
      <c r="A19" s="224"/>
      <c r="B19" s="170" t="s">
        <v>133</v>
      </c>
      <c r="C19" s="171">
        <v>-3000</v>
      </c>
      <c r="D19" s="170" t="s">
        <v>104</v>
      </c>
      <c r="F19" s="75"/>
    </row>
    <row r="20" spans="1:6" ht="15.75" customHeight="1" x14ac:dyDescent="0.35">
      <c r="A20" s="224"/>
      <c r="B20" s="170" t="s">
        <v>128</v>
      </c>
      <c r="C20" s="171">
        <v>-20000</v>
      </c>
      <c r="D20" s="170" t="s">
        <v>122</v>
      </c>
      <c r="F20" s="75"/>
    </row>
    <row r="21" spans="1:6" ht="15.75" customHeight="1" x14ac:dyDescent="0.35">
      <c r="A21" s="233"/>
      <c r="B21" s="170" t="s">
        <v>131</v>
      </c>
      <c r="C21" s="171">
        <v>-200</v>
      </c>
      <c r="D21" s="170" t="s">
        <v>129</v>
      </c>
      <c r="F21" s="75"/>
    </row>
    <row r="22" spans="1:6" ht="15.75" customHeight="1" x14ac:dyDescent="0.35">
      <c r="A22" s="233"/>
      <c r="B22" s="170" t="s">
        <v>137</v>
      </c>
      <c r="C22" s="171">
        <v>-15000</v>
      </c>
      <c r="D22" s="170" t="s">
        <v>138</v>
      </c>
      <c r="F22" s="75"/>
    </row>
    <row r="23" spans="1:6" ht="15.75" customHeight="1" x14ac:dyDescent="0.35">
      <c r="A23" s="233"/>
      <c r="B23" s="170" t="s">
        <v>140</v>
      </c>
      <c r="C23" s="171">
        <v>-500</v>
      </c>
      <c r="D23" s="170" t="s">
        <v>129</v>
      </c>
      <c r="F23" s="75"/>
    </row>
    <row r="24" spans="1:6" ht="15.75" customHeight="1" x14ac:dyDescent="0.35">
      <c r="A24" s="233"/>
      <c r="B24" s="170" t="s">
        <v>141</v>
      </c>
      <c r="C24" s="171">
        <v>-10000</v>
      </c>
      <c r="D24" s="170" t="s">
        <v>138</v>
      </c>
      <c r="F24" s="75"/>
    </row>
    <row r="25" spans="1:6" ht="15.75" customHeight="1" x14ac:dyDescent="0.35">
      <c r="A25" s="233"/>
      <c r="B25" s="170" t="s">
        <v>139</v>
      </c>
      <c r="C25" s="171">
        <v>-8150</v>
      </c>
      <c r="D25" s="170" t="s">
        <v>129</v>
      </c>
      <c r="F25" s="75"/>
    </row>
    <row r="26" spans="1:6" ht="15" thickBot="1" x14ac:dyDescent="0.4">
      <c r="A26" s="238" t="s">
        <v>5</v>
      </c>
      <c r="B26" s="239"/>
      <c r="C26" s="134">
        <f>SUM(C3:C25)</f>
        <v>2688629.3999016704</v>
      </c>
      <c r="D26" s="25"/>
      <c r="E26" s="77"/>
    </row>
    <row r="27" spans="1:6" x14ac:dyDescent="0.35">
      <c r="A27" s="37" t="s">
        <v>6</v>
      </c>
      <c r="B27" s="26"/>
      <c r="C27" s="200"/>
      <c r="D27" s="26"/>
      <c r="E27" s="78"/>
    </row>
    <row r="28" spans="1:6" x14ac:dyDescent="0.35">
      <c r="A28" s="38"/>
      <c r="B28" s="2"/>
      <c r="C28" s="2"/>
      <c r="D28" s="23"/>
      <c r="E28" s="74"/>
    </row>
    <row r="29" spans="1:6" x14ac:dyDescent="0.35">
      <c r="A29" s="20"/>
      <c r="B29" s="2"/>
      <c r="C29" s="23"/>
      <c r="D29" s="27"/>
      <c r="E29" s="23"/>
    </row>
    <row r="30" spans="1:6" ht="23" thickBot="1" x14ac:dyDescent="0.5">
      <c r="A30" s="19" t="s">
        <v>5</v>
      </c>
      <c r="B30" s="28"/>
      <c r="C30" s="29"/>
      <c r="E30" s="27"/>
    </row>
    <row r="31" spans="1:6" x14ac:dyDescent="0.35">
      <c r="A31" s="96" t="s">
        <v>7</v>
      </c>
      <c r="B31" s="97" t="s">
        <v>8</v>
      </c>
      <c r="C31" s="98" t="s">
        <v>9</v>
      </c>
    </row>
    <row r="32" spans="1:6" x14ac:dyDescent="0.35">
      <c r="A32" s="22" t="s">
        <v>10</v>
      </c>
      <c r="B32" s="99">
        <f>SUM(B33:B37)</f>
        <v>0.99999999999999989</v>
      </c>
      <c r="C32" s="30">
        <f>SUM(C33:C37)</f>
        <v>2688629.3999016699</v>
      </c>
    </row>
    <row r="33" spans="1:6" x14ac:dyDescent="0.35">
      <c r="A33" s="31" t="s">
        <v>11</v>
      </c>
      <c r="B33" s="100">
        <v>0.57499999999999996</v>
      </c>
      <c r="C33" s="32">
        <f>B33*$C$26</f>
        <v>1545961.9049434604</v>
      </c>
      <c r="E33" s="14"/>
    </row>
    <row r="34" spans="1:6" x14ac:dyDescent="0.35">
      <c r="A34" s="31" t="s">
        <v>12</v>
      </c>
      <c r="B34" s="100">
        <v>0.1</v>
      </c>
      <c r="C34" s="32">
        <f>B34*$C$26</f>
        <v>268862.93999016704</v>
      </c>
      <c r="E34" s="14"/>
    </row>
    <row r="35" spans="1:6" x14ac:dyDescent="0.35">
      <c r="A35" s="31" t="s">
        <v>13</v>
      </c>
      <c r="B35" s="101">
        <v>0.08</v>
      </c>
      <c r="C35" s="32">
        <f>B35*$C$26</f>
        <v>215090.35199213363</v>
      </c>
      <c r="E35" s="14"/>
    </row>
    <row r="36" spans="1:6" x14ac:dyDescent="0.35">
      <c r="A36" s="31" t="s">
        <v>14</v>
      </c>
      <c r="B36" s="100">
        <v>0.13</v>
      </c>
      <c r="C36" s="32">
        <f>B36*$C$26</f>
        <v>349521.82198721718</v>
      </c>
      <c r="E36" s="14"/>
    </row>
    <row r="37" spans="1:6" x14ac:dyDescent="0.35">
      <c r="A37" s="33" t="s">
        <v>15</v>
      </c>
      <c r="B37" s="34">
        <v>0.115</v>
      </c>
      <c r="C37" s="35">
        <f>B37*$C$26</f>
        <v>309192.38098869211</v>
      </c>
      <c r="E37" s="14"/>
    </row>
    <row r="38" spans="1:6" x14ac:dyDescent="0.35">
      <c r="A38" s="38" t="s">
        <v>6</v>
      </c>
      <c r="B38" s="36"/>
      <c r="C38" s="36"/>
      <c r="E38" s="14"/>
    </row>
    <row r="39" spans="1:6" x14ac:dyDescent="0.35">
      <c r="E39" s="14"/>
    </row>
    <row r="40" spans="1:6" x14ac:dyDescent="0.35">
      <c r="E40" s="14"/>
    </row>
    <row r="41" spans="1:6" x14ac:dyDescent="0.35">
      <c r="E41" s="14"/>
    </row>
    <row r="42" spans="1:6" x14ac:dyDescent="0.35">
      <c r="E42" s="14"/>
    </row>
    <row r="43" spans="1:6" x14ac:dyDescent="0.35">
      <c r="E43" s="14"/>
      <c r="F43" s="75"/>
    </row>
    <row r="44" spans="1:6" x14ac:dyDescent="0.35">
      <c r="E44" s="14"/>
    </row>
    <row r="45" spans="1:6" x14ac:dyDescent="0.35">
      <c r="E45" s="14"/>
      <c r="F45" s="75"/>
    </row>
    <row r="46" spans="1:6" x14ac:dyDescent="0.35">
      <c r="E46" s="14"/>
    </row>
    <row r="47" spans="1:6" x14ac:dyDescent="0.35">
      <c r="E47" s="14"/>
    </row>
    <row r="48" spans="1:6" x14ac:dyDescent="0.35">
      <c r="E48" s="14"/>
    </row>
    <row r="49" spans="4:5" x14ac:dyDescent="0.35">
      <c r="D49" s="88"/>
      <c r="E49" s="14"/>
    </row>
    <row r="50" spans="4:5" x14ac:dyDescent="0.35">
      <c r="D50" s="88"/>
      <c r="E50" s="14"/>
    </row>
    <row r="51" spans="4:5" x14ac:dyDescent="0.35">
      <c r="D51" s="88"/>
      <c r="E51" s="14"/>
    </row>
    <row r="52" spans="4:5" x14ac:dyDescent="0.35">
      <c r="D52" s="88"/>
      <c r="E52" s="14"/>
    </row>
    <row r="53" spans="4:5" x14ac:dyDescent="0.35">
      <c r="D53" s="95"/>
      <c r="E53" s="14"/>
    </row>
  </sheetData>
  <mergeCells count="14">
    <mergeCell ref="A26:B26"/>
    <mergeCell ref="A12:B12"/>
    <mergeCell ref="A11:B11"/>
    <mergeCell ref="A14:B14"/>
    <mergeCell ref="A13:B13"/>
    <mergeCell ref="A15:B15"/>
    <mergeCell ref="A16:B16"/>
    <mergeCell ref="A17:B17"/>
    <mergeCell ref="A9:B9"/>
    <mergeCell ref="A10:B10"/>
    <mergeCell ref="A5:B5"/>
    <mergeCell ref="A6:B6"/>
    <mergeCell ref="A8:B8"/>
    <mergeCell ref="A7:B7"/>
  </mergeCells>
  <phoneticPr fontId="28" type="noConversion"/>
  <pageMargins left="0.70866141732283472" right="0.70866141732283472" top="0.74803149606299213" bottom="0.74803149606299213" header="0.31496062992125984" footer="0.31496062992125984"/>
  <pageSetup paperSize="9" scale="79" orientation="landscape" r:id="rId1"/>
  <headerFooter>
    <oddHeader>&amp;LBilaga 3 till regleringsbrev för budgetåret 2026 avseende länsstyrelserna</oddHeader>
    <oddFooter>&amp;RSida &amp;P av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3C9809-E339-4E6B-9116-D1ADE0B8E089}">
  <sheetPr codeName="Blad2"/>
  <dimension ref="A1:BA69"/>
  <sheetViews>
    <sheetView showGridLines="0" tabSelected="1" zoomScale="115" zoomScaleNormal="115" zoomScaleSheetLayoutView="25" zoomScalePageLayoutView="70" workbookViewId="0">
      <selection activeCell="D15" sqref="D15"/>
    </sheetView>
  </sheetViews>
  <sheetFormatPr defaultColWidth="9.1796875" defaultRowHeight="12.5" x14ac:dyDescent="0.25"/>
  <cols>
    <col min="1" max="1" width="15.7265625" style="18" customWidth="1"/>
    <col min="2" max="2" width="11.26953125" style="18" customWidth="1"/>
    <col min="3" max="3" width="7.1796875" style="7" customWidth="1"/>
    <col min="4" max="4" width="7.7265625" style="18" customWidth="1"/>
    <col min="5" max="5" width="9.54296875" style="18" customWidth="1"/>
    <col min="6" max="6" width="9.54296875" style="1" customWidth="1"/>
    <col min="7" max="7" width="9.81640625" style="20" customWidth="1"/>
    <col min="8" max="8" width="8.7265625" style="20" customWidth="1"/>
    <col min="9" max="9" width="9" style="20" customWidth="1"/>
    <col min="10" max="12" width="9.54296875" style="20" customWidth="1"/>
    <col min="13" max="14" width="10.453125" style="20" customWidth="1"/>
    <col min="15" max="15" width="9.54296875" style="20" customWidth="1"/>
    <col min="16" max="16" width="9.81640625" style="20" customWidth="1"/>
    <col min="17" max="17" width="11.26953125" style="20" customWidth="1"/>
    <col min="18" max="18" width="9.81640625" style="20" customWidth="1"/>
    <col min="19" max="20" width="9" style="20" customWidth="1"/>
    <col min="21" max="21" width="10.453125" style="20" customWidth="1"/>
    <col min="22" max="22" width="10.81640625" style="20" customWidth="1"/>
    <col min="23" max="23" width="1.453125" style="20" customWidth="1"/>
    <col min="24" max="26" width="9.54296875" style="20" customWidth="1"/>
    <col min="27" max="27" width="10" style="20" customWidth="1"/>
    <col min="28" max="28" width="7.81640625" style="20" customWidth="1"/>
    <col min="29" max="29" width="1.453125" style="7" customWidth="1"/>
    <col min="30" max="30" width="15.7265625" style="7" customWidth="1"/>
    <col min="31" max="31" width="9.54296875" style="7" customWidth="1"/>
    <col min="32" max="32" width="7.81640625" style="7" customWidth="1"/>
    <col min="33" max="33" width="9" style="7" customWidth="1"/>
    <col min="34" max="34" width="8.7265625" style="7" customWidth="1"/>
    <col min="35" max="35" width="9" style="7" customWidth="1"/>
    <col min="36" max="36" width="9.7265625" style="7" customWidth="1"/>
    <col min="37" max="37" width="8.54296875" style="7" customWidth="1"/>
    <col min="38" max="38" width="8.7265625" style="7" customWidth="1"/>
    <col min="39" max="39" width="9.26953125" style="7" customWidth="1"/>
    <col min="40" max="40" width="10.7265625" style="7" customWidth="1"/>
    <col min="41" max="41" width="10.81640625" style="7" customWidth="1"/>
    <col min="42" max="42" width="2" style="7" customWidth="1"/>
    <col min="43" max="43" width="12.54296875" style="7" customWidth="1"/>
    <col min="44" max="44" width="12.26953125" style="7" customWidth="1"/>
    <col min="45" max="45" width="12.81640625" style="7" customWidth="1"/>
    <col min="46" max="46" width="11.1796875" style="7" customWidth="1"/>
    <col min="47" max="47" width="10.7265625" style="7" customWidth="1"/>
    <col min="48" max="48" width="10.453125" style="7" customWidth="1"/>
    <col min="49" max="49" width="12.453125" style="7" customWidth="1"/>
    <col min="50" max="50" width="9.7265625" style="7" customWidth="1"/>
    <col min="51" max="51" width="9.81640625" style="7" customWidth="1"/>
    <col min="52" max="52" width="12.08984375" style="7" customWidth="1"/>
    <col min="53" max="53" width="16.1796875" style="7" customWidth="1"/>
    <col min="54" max="16384" width="9.1796875" style="7"/>
  </cols>
  <sheetData>
    <row r="1" spans="1:53" ht="22.5" x14ac:dyDescent="0.45">
      <c r="A1" s="19" t="s">
        <v>143</v>
      </c>
      <c r="B1" s="19"/>
      <c r="C1" s="5"/>
      <c r="D1" s="39"/>
      <c r="E1" s="39"/>
      <c r="G1" s="87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19" t="s">
        <v>145</v>
      </c>
      <c r="Y1" s="93"/>
      <c r="Z1" s="93"/>
      <c r="AA1" s="93"/>
      <c r="AB1" s="93"/>
      <c r="AC1" s="18"/>
      <c r="AE1" s="40"/>
      <c r="AF1" s="18"/>
      <c r="AL1" s="5"/>
      <c r="AM1" s="14"/>
      <c r="AN1" s="14"/>
      <c r="AO1" s="41"/>
      <c r="AP1" s="5"/>
      <c r="AQ1" s="19" t="s">
        <v>144</v>
      </c>
      <c r="AR1" s="14"/>
      <c r="AS1" s="14"/>
      <c r="AT1" s="18"/>
      <c r="AU1" s="18"/>
    </row>
    <row r="2" spans="1:53" ht="13" x14ac:dyDescent="0.3">
      <c r="C2" s="5"/>
      <c r="G2" s="2"/>
      <c r="H2" s="2"/>
      <c r="I2" s="2"/>
      <c r="J2" s="2"/>
      <c r="K2" s="2"/>
      <c r="L2" s="2"/>
      <c r="M2" s="71"/>
      <c r="N2" s="86"/>
      <c r="O2" s="87"/>
      <c r="P2" s="131"/>
      <c r="Q2" s="131"/>
      <c r="R2" s="131"/>
      <c r="S2" s="131"/>
      <c r="T2" s="131"/>
      <c r="U2" s="131"/>
      <c r="V2" s="2"/>
      <c r="W2" s="131"/>
      <c r="X2" s="87"/>
      <c r="Y2" s="87"/>
      <c r="Z2" s="87"/>
      <c r="AA2" s="131"/>
      <c r="AB2" s="105"/>
      <c r="AC2" s="18"/>
      <c r="AD2" s="18"/>
      <c r="AE2" s="40"/>
      <c r="AF2" s="18"/>
      <c r="AL2" s="5"/>
      <c r="AM2" s="14"/>
      <c r="AN2" s="14"/>
      <c r="AO2" s="41"/>
      <c r="AP2" s="5"/>
      <c r="AQ2" s="5"/>
      <c r="AR2" s="14"/>
      <c r="AS2" s="14"/>
      <c r="AT2" s="18"/>
      <c r="AU2" s="18"/>
    </row>
    <row r="3" spans="1:53" ht="15.5" x14ac:dyDescent="0.25">
      <c r="A3" s="243"/>
      <c r="B3" s="245" t="s">
        <v>17</v>
      </c>
      <c r="C3" s="246"/>
      <c r="D3" s="246"/>
      <c r="E3" s="246"/>
      <c r="F3" s="246"/>
      <c r="G3" s="246"/>
      <c r="H3" s="246"/>
      <c r="I3" s="246"/>
      <c r="J3" s="246"/>
      <c r="K3" s="246"/>
      <c r="L3" s="246"/>
      <c r="M3" s="246"/>
      <c r="N3" s="246"/>
      <c r="O3" s="246"/>
      <c r="P3" s="246"/>
      <c r="Q3" s="246"/>
      <c r="R3" s="246"/>
      <c r="S3" s="246"/>
      <c r="T3" s="246"/>
      <c r="U3" s="246"/>
      <c r="V3" s="247"/>
      <c r="X3" s="245" t="s">
        <v>72</v>
      </c>
      <c r="Y3" s="246"/>
      <c r="Z3" s="246"/>
      <c r="AA3" s="246"/>
      <c r="AB3" s="247"/>
      <c r="AC3" s="18"/>
      <c r="AD3" s="245" t="s">
        <v>18</v>
      </c>
      <c r="AE3" s="246"/>
      <c r="AF3" s="246"/>
      <c r="AG3" s="246"/>
      <c r="AH3" s="246"/>
      <c r="AI3" s="247"/>
      <c r="AJ3" s="245" t="s">
        <v>19</v>
      </c>
      <c r="AK3" s="246"/>
      <c r="AL3" s="246"/>
      <c r="AM3" s="246"/>
      <c r="AN3" s="246"/>
      <c r="AO3" s="247"/>
      <c r="AQ3" s="251" t="s">
        <v>20</v>
      </c>
      <c r="AR3" s="252"/>
      <c r="AS3" s="252"/>
      <c r="AT3" s="252"/>
      <c r="AU3" s="252"/>
      <c r="AV3" s="253"/>
      <c r="AW3" s="72"/>
      <c r="AX3" s="72"/>
      <c r="AY3" s="148"/>
    </row>
    <row r="4" spans="1:53" ht="12.75" customHeight="1" x14ac:dyDescent="0.25">
      <c r="A4" s="244"/>
      <c r="B4" s="248"/>
      <c r="C4" s="249"/>
      <c r="D4" s="249"/>
      <c r="E4" s="249"/>
      <c r="F4" s="249"/>
      <c r="G4" s="249"/>
      <c r="H4" s="249"/>
      <c r="I4" s="249"/>
      <c r="J4" s="249"/>
      <c r="K4" s="249"/>
      <c r="L4" s="249"/>
      <c r="M4" s="249"/>
      <c r="N4" s="249"/>
      <c r="O4" s="249"/>
      <c r="P4" s="249"/>
      <c r="Q4" s="249"/>
      <c r="R4" s="249"/>
      <c r="S4" s="249"/>
      <c r="T4" s="249"/>
      <c r="U4" s="249"/>
      <c r="V4" s="250"/>
      <c r="X4" s="248"/>
      <c r="Y4" s="249"/>
      <c r="Z4" s="249"/>
      <c r="AA4" s="249"/>
      <c r="AB4" s="250"/>
      <c r="AC4" s="18"/>
      <c r="AD4" s="248"/>
      <c r="AE4" s="249"/>
      <c r="AF4" s="249"/>
      <c r="AG4" s="249"/>
      <c r="AH4" s="249"/>
      <c r="AI4" s="250"/>
      <c r="AJ4" s="248"/>
      <c r="AK4" s="249"/>
      <c r="AL4" s="249"/>
      <c r="AM4" s="249"/>
      <c r="AN4" s="249"/>
      <c r="AO4" s="250"/>
      <c r="AQ4" s="254"/>
      <c r="AR4" s="255"/>
      <c r="AS4" s="255"/>
      <c r="AT4" s="255"/>
      <c r="AU4" s="255"/>
      <c r="AV4" s="256"/>
      <c r="AW4" s="73"/>
      <c r="AX4" s="73"/>
      <c r="AY4" s="149"/>
    </row>
    <row r="5" spans="1:53" ht="58.5" customHeight="1" x14ac:dyDescent="0.25">
      <c r="A5" s="42"/>
      <c r="B5" s="89" t="s">
        <v>71</v>
      </c>
      <c r="C5" s="94" t="s">
        <v>37</v>
      </c>
      <c r="D5" s="43" t="s">
        <v>21</v>
      </c>
      <c r="E5" s="43" t="s">
        <v>22</v>
      </c>
      <c r="F5" s="43" t="s">
        <v>23</v>
      </c>
      <c r="G5" s="43" t="s">
        <v>24</v>
      </c>
      <c r="H5" s="43" t="s">
        <v>25</v>
      </c>
      <c r="I5" s="43" t="s">
        <v>26</v>
      </c>
      <c r="J5" s="43" t="s">
        <v>27</v>
      </c>
      <c r="K5" s="43" t="s">
        <v>28</v>
      </c>
      <c r="L5" s="43" t="s">
        <v>29</v>
      </c>
      <c r="M5" s="43" t="s">
        <v>69</v>
      </c>
      <c r="N5" s="81" t="s">
        <v>70</v>
      </c>
      <c r="O5" s="43" t="s">
        <v>73</v>
      </c>
      <c r="P5" s="81" t="s">
        <v>96</v>
      </c>
      <c r="Q5" s="43" t="s">
        <v>112</v>
      </c>
      <c r="R5" s="81" t="s">
        <v>124</v>
      </c>
      <c r="S5" s="43" t="s">
        <v>135</v>
      </c>
      <c r="T5" s="43" t="s">
        <v>136</v>
      </c>
      <c r="U5" s="43" t="s">
        <v>130</v>
      </c>
      <c r="V5" s="44" t="s">
        <v>30</v>
      </c>
      <c r="W5" s="89"/>
      <c r="X5" s="120" t="s">
        <v>38</v>
      </c>
      <c r="Y5" s="121" t="s">
        <v>39</v>
      </c>
      <c r="Z5" s="121" t="s">
        <v>40</v>
      </c>
      <c r="AA5" s="132" t="s">
        <v>126</v>
      </c>
      <c r="AB5" s="122" t="s">
        <v>30</v>
      </c>
      <c r="AC5" s="18"/>
      <c r="AD5" s="49"/>
      <c r="AE5" s="191" t="s">
        <v>109</v>
      </c>
      <c r="AF5" s="132" t="s">
        <v>31</v>
      </c>
      <c r="AG5" s="132" t="s">
        <v>32</v>
      </c>
      <c r="AH5" s="132" t="s">
        <v>108</v>
      </c>
      <c r="AI5" s="192" t="s">
        <v>33</v>
      </c>
      <c r="AJ5" s="45" t="s">
        <v>109</v>
      </c>
      <c r="AK5" s="43" t="s">
        <v>31</v>
      </c>
      <c r="AL5" s="43" t="s">
        <v>34</v>
      </c>
      <c r="AM5" s="43" t="s">
        <v>35</v>
      </c>
      <c r="AN5" s="43" t="s">
        <v>33</v>
      </c>
      <c r="AO5" s="44" t="s">
        <v>36</v>
      </c>
      <c r="AP5" s="46"/>
      <c r="AQ5" s="68"/>
      <c r="AR5" s="174" t="s">
        <v>1</v>
      </c>
      <c r="AS5" s="132" t="s">
        <v>75</v>
      </c>
      <c r="AT5" s="132" t="s">
        <v>2</v>
      </c>
      <c r="AU5" s="132" t="s">
        <v>111</v>
      </c>
      <c r="AV5" s="132" t="s">
        <v>41</v>
      </c>
      <c r="AW5" s="191" t="s">
        <v>42</v>
      </c>
      <c r="AX5" s="191" t="s">
        <v>43</v>
      </c>
      <c r="AY5" s="154" t="s">
        <v>98</v>
      </c>
      <c r="BA5" s="223"/>
    </row>
    <row r="6" spans="1:53" ht="10.5" x14ac:dyDescent="0.25">
      <c r="A6" s="47" t="s">
        <v>44</v>
      </c>
      <c r="B6" s="207" t="s">
        <v>92</v>
      </c>
      <c r="C6" s="133"/>
      <c r="D6" s="205" t="s">
        <v>45</v>
      </c>
      <c r="E6" s="205" t="s">
        <v>45</v>
      </c>
      <c r="F6" s="205" t="s">
        <v>45</v>
      </c>
      <c r="G6" s="205" t="s">
        <v>45</v>
      </c>
      <c r="H6" s="205" t="s">
        <v>45</v>
      </c>
      <c r="I6" s="205" t="s">
        <v>45</v>
      </c>
      <c r="J6" s="205" t="s">
        <v>45</v>
      </c>
      <c r="K6" s="205" t="s">
        <v>45</v>
      </c>
      <c r="L6" s="205" t="s">
        <v>45</v>
      </c>
      <c r="M6" s="205" t="s">
        <v>45</v>
      </c>
      <c r="N6" s="185"/>
      <c r="O6" s="185"/>
      <c r="P6" s="205" t="s">
        <v>45</v>
      </c>
      <c r="Q6" s="185"/>
      <c r="R6" s="205" t="s">
        <v>45</v>
      </c>
      <c r="S6" s="205" t="s">
        <v>45</v>
      </c>
      <c r="T6" s="205" t="s">
        <v>45</v>
      </c>
      <c r="U6" s="205" t="s">
        <v>45</v>
      </c>
      <c r="V6" s="48"/>
      <c r="W6" s="90"/>
      <c r="X6" s="208" t="s">
        <v>45</v>
      </c>
      <c r="Y6" s="209" t="s">
        <v>45</v>
      </c>
      <c r="Z6" s="209" t="s">
        <v>45</v>
      </c>
      <c r="AA6" s="209" t="s">
        <v>45</v>
      </c>
      <c r="AB6" s="123"/>
      <c r="AC6" s="104"/>
      <c r="AD6" s="52"/>
      <c r="AE6" s="193"/>
      <c r="AF6" s="133"/>
      <c r="AG6" s="194"/>
      <c r="AH6" s="194"/>
      <c r="AI6" s="195"/>
      <c r="AJ6" s="51"/>
      <c r="AK6" s="50"/>
      <c r="AL6" s="50"/>
      <c r="AM6" s="50"/>
      <c r="AN6" s="50"/>
      <c r="AO6" s="52"/>
      <c r="AQ6" s="69"/>
      <c r="AR6" s="175"/>
      <c r="AS6" s="133"/>
      <c r="AT6" s="198" t="s">
        <v>45</v>
      </c>
      <c r="AU6" s="133"/>
      <c r="AV6" s="133"/>
      <c r="AW6" s="193"/>
      <c r="AX6" s="193"/>
      <c r="AY6" s="155"/>
      <c r="BA6" s="221"/>
    </row>
    <row r="7" spans="1:53" ht="10.5" x14ac:dyDescent="0.25">
      <c r="A7" s="42" t="s">
        <v>46</v>
      </c>
      <c r="B7" s="14">
        <f>2062*1.019</f>
        <v>2101.1779999999999</v>
      </c>
      <c r="C7" s="4"/>
      <c r="D7" s="14"/>
      <c r="E7" s="14"/>
      <c r="F7" s="14"/>
      <c r="G7" s="14">
        <f>7277.62923709893*1.019</f>
        <v>7415.904192603809</v>
      </c>
      <c r="H7" s="14"/>
      <c r="I7" s="14">
        <f>1046.8255504558*1.019</f>
        <v>1066.7152359144602</v>
      </c>
      <c r="J7" s="14"/>
      <c r="K7" s="14">
        <f>2739.1547003944*1.019</f>
        <v>2791.1986397018936</v>
      </c>
      <c r="L7" s="14">
        <f>4818.97070375095*1.019</f>
        <v>4910.5311471222176</v>
      </c>
      <c r="M7" s="14">
        <f>5382.1452851499*1.019</f>
        <v>5484.4060455677472</v>
      </c>
      <c r="N7" s="14">
        <v>-5114.5822239268009</v>
      </c>
      <c r="O7" s="14">
        <v>500</v>
      </c>
      <c r="P7" s="127">
        <f>22043.8555806357*1.019</f>
        <v>22462.688836667778</v>
      </c>
      <c r="Q7" s="14">
        <v>-926</v>
      </c>
      <c r="R7" s="14">
        <f>3000*1.019</f>
        <v>3056.9999999999995</v>
      </c>
      <c r="S7" s="14"/>
      <c r="T7" s="14">
        <v>4666.666666666667</v>
      </c>
      <c r="U7" s="14">
        <v>1749</v>
      </c>
      <c r="V7" s="53">
        <f>SUM(B7:U7)</f>
        <v>50164.706540317762</v>
      </c>
      <c r="W7" s="91"/>
      <c r="X7" s="144">
        <f>1086.7045905295*1.019</f>
        <v>1107.3519777495603</v>
      </c>
      <c r="Y7" s="168">
        <f>2055.65839296853*1.019</f>
        <v>2094.7159024349316</v>
      </c>
      <c r="Z7" s="168">
        <f>2491.19561363036*1.019</f>
        <v>2538.5283302893367</v>
      </c>
      <c r="AA7" s="190">
        <f>-2625*1.019</f>
        <v>-2674.8749999999995</v>
      </c>
      <c r="AB7" s="124">
        <f>SUM(X7:AA7)</f>
        <v>3065.7212104738287</v>
      </c>
      <c r="AC7" s="103"/>
      <c r="AD7" s="54" t="s">
        <v>46</v>
      </c>
      <c r="AE7" s="210">
        <v>0.23360169479519177</v>
      </c>
      <c r="AF7" s="210">
        <v>1.59606167695827E-2</v>
      </c>
      <c r="AG7" s="210">
        <v>6.6210045662100453E-2</v>
      </c>
      <c r="AH7" s="210">
        <v>6.0869857274407274E-2</v>
      </c>
      <c r="AI7" s="211">
        <v>3.2743682310469313E-2</v>
      </c>
      <c r="AJ7" s="55">
        <f>SUM(AE7*'Översikt fördelning'!$C$33)</f>
        <v>361139.32108359551</v>
      </c>
      <c r="AK7" s="56">
        <f>SUM(AF7*'Översikt fördelning'!$C$34)</f>
        <v>4291.2183487263674</v>
      </c>
      <c r="AL7" s="56">
        <f>SUM(AG7*'Översikt fördelning'!$C$35)</f>
        <v>14241.142026876427</v>
      </c>
      <c r="AM7" s="56">
        <f>SUM(AH7*'Översikt fördelning'!$C$36)</f>
        <v>21275.343418652697</v>
      </c>
      <c r="AN7" s="56">
        <f>SUM(AI7*'Översikt fördelning'!$C$37)</f>
        <v>10124.097095911326</v>
      </c>
      <c r="AO7" s="57">
        <f>SUM(AJ7:AN7)</f>
        <v>411071.12197376235</v>
      </c>
      <c r="AQ7" s="3" t="s">
        <v>46</v>
      </c>
      <c r="AR7" s="4">
        <f>SUM(V7)</f>
        <v>50164.706540317762</v>
      </c>
      <c r="AS7" s="14">
        <f>SUM(AB7)</f>
        <v>3065.7212104738287</v>
      </c>
      <c r="AT7" s="14">
        <f>46200.5560898184*1.01903658231769</f>
        <v>47080.056778945276</v>
      </c>
      <c r="AU7" s="14">
        <f>1500+3333</f>
        <v>4833</v>
      </c>
      <c r="AV7" s="14">
        <f>AO7</f>
        <v>411071.12197376235</v>
      </c>
      <c r="AW7" s="214">
        <f>SUM(AR7:AV7)</f>
        <v>516214.60650349921</v>
      </c>
      <c r="AX7" s="215">
        <f>AW7/$AW$28</f>
        <v>0.11683335049909913</v>
      </c>
      <c r="AY7" s="156">
        <f t="shared" ref="AY7:AY25" si="0">AV7/$AV$28</f>
        <v>0.1528924447485385</v>
      </c>
      <c r="AZ7" s="230"/>
      <c r="BA7" s="221"/>
    </row>
    <row r="8" spans="1:53" ht="10.5" x14ac:dyDescent="0.25">
      <c r="A8" s="42" t="s">
        <v>47</v>
      </c>
      <c r="B8" s="88"/>
      <c r="C8" s="4"/>
      <c r="D8" s="14"/>
      <c r="E8" s="14">
        <f>1062.54381784819*1.019</f>
        <v>1082.7321503873054</v>
      </c>
      <c r="F8" s="14"/>
      <c r="G8" s="14"/>
      <c r="H8" s="14"/>
      <c r="I8" s="14">
        <f t="shared" ref="I8:I10" si="1">1046.8255504558*1.019</f>
        <v>1066.7152359144602</v>
      </c>
      <c r="J8" s="14"/>
      <c r="K8" s="14">
        <f>1826.1030991815*1.019</f>
        <v>1860.7990580659484</v>
      </c>
      <c r="L8" s="14"/>
      <c r="M8" s="14"/>
      <c r="N8" s="14">
        <v>-2187.4137313660426</v>
      </c>
      <c r="O8" s="14"/>
      <c r="P8" s="127"/>
      <c r="Q8" s="14">
        <v>-500</v>
      </c>
      <c r="R8" s="14"/>
      <c r="S8" s="14">
        <v>1000</v>
      </c>
      <c r="T8" s="14"/>
      <c r="U8" s="14">
        <v>2242</v>
      </c>
      <c r="V8" s="53">
        <f t="shared" ref="V8:V27" si="2">SUM(B8:U8)</f>
        <v>4564.8327130016714</v>
      </c>
      <c r="W8" s="91"/>
      <c r="X8" s="144">
        <f>3875.7470399282*1.019</f>
        <v>3949.3862336868356</v>
      </c>
      <c r="Y8" s="168">
        <f>-494.833610686505*1.019</f>
        <v>-504.23544928954851</v>
      </c>
      <c r="Z8" s="168">
        <f>-560.799412773218*1.019</f>
        <v>-571.45460161590916</v>
      </c>
      <c r="AA8" s="190"/>
      <c r="AB8" s="125">
        <f t="shared" ref="AB8:AB27" si="3">SUM(X8:AA8)</f>
        <v>2873.696182781378</v>
      </c>
      <c r="AC8" s="18"/>
      <c r="AD8" s="42" t="s">
        <v>47</v>
      </c>
      <c r="AE8" s="211">
        <v>3.8526933586205139E-2</v>
      </c>
      <c r="AF8" s="211">
        <v>1.9229879097313565E-2</v>
      </c>
      <c r="AG8" s="211">
        <v>2.7397260273972601E-2</v>
      </c>
      <c r="AH8" s="211">
        <v>2.2717911171121919E-2</v>
      </c>
      <c r="AI8" s="211">
        <v>4.4747292418772566E-2</v>
      </c>
      <c r="AJ8" s="58">
        <f>SUM(AE8*'Översikt fördelning'!$C$33)</f>
        <v>59561.171638559877</v>
      </c>
      <c r="AK8" s="5">
        <f>SUM(AF8*'Översikt fördelning'!$C$34)</f>
        <v>5170.2018297591849</v>
      </c>
      <c r="AL8" s="5">
        <f>SUM(AG8*'Översikt fördelning'!$C$35)</f>
        <v>5892.8863559488664</v>
      </c>
      <c r="AM8" s="5">
        <f>SUM(AH8*'Översikt fördelning'!$C$36)</f>
        <v>7940.4057042742879</v>
      </c>
      <c r="AN8" s="5">
        <f>SUM(AI8*'Översikt fördelning'!$C$37)</f>
        <v>13835.521885757542</v>
      </c>
      <c r="AO8" s="59">
        <f t="shared" ref="AO8:AO27" si="4">SUM(AJ8:AN8)</f>
        <v>92400.187414299755</v>
      </c>
      <c r="AQ8" s="3" t="s">
        <v>47</v>
      </c>
      <c r="AR8" s="4">
        <f>SUM(V8)</f>
        <v>4564.8327130016714</v>
      </c>
      <c r="AS8" s="14">
        <f t="shared" ref="AS8:AS27" si="5">SUM(AB8)</f>
        <v>2873.696182781378</v>
      </c>
      <c r="AT8" s="14">
        <f t="shared" ref="AT8:AT27" si="6">46200.5560898184*1.01903658231769</f>
        <v>47080.056778945276</v>
      </c>
      <c r="AU8" s="14">
        <f>1500+1000</f>
        <v>2500</v>
      </c>
      <c r="AV8" s="14">
        <f>AO8</f>
        <v>92400.187414299755</v>
      </c>
      <c r="AW8" s="214">
        <f t="shared" ref="AW8:AW27" si="7">SUM(AR8:AV8)</f>
        <v>149418.77308902808</v>
      </c>
      <c r="AX8" s="215">
        <f t="shared" ref="AX8:AX26" si="8">AW8/$AW$28</f>
        <v>3.3817516334337674E-2</v>
      </c>
      <c r="AY8" s="156">
        <f t="shared" si="0"/>
        <v>3.4367022624121814E-2</v>
      </c>
      <c r="AZ8" s="230"/>
      <c r="BA8" s="221"/>
    </row>
    <row r="9" spans="1:53" ht="10.5" x14ac:dyDescent="0.25">
      <c r="A9" s="42" t="s">
        <v>48</v>
      </c>
      <c r="B9" s="88"/>
      <c r="C9" s="4"/>
      <c r="D9" s="14"/>
      <c r="E9" s="14"/>
      <c r="F9" s="14"/>
      <c r="G9" s="14"/>
      <c r="H9" s="14"/>
      <c r="I9" s="14">
        <f t="shared" si="1"/>
        <v>1066.7152359144602</v>
      </c>
      <c r="J9" s="14"/>
      <c r="K9" s="14">
        <f t="shared" ref="K9:K27" si="9">1826.1030991815*1.019</f>
        <v>1860.7990580659484</v>
      </c>
      <c r="L9" s="14"/>
      <c r="M9" s="14"/>
      <c r="N9" s="14">
        <v>-3794.3254626278981</v>
      </c>
      <c r="O9" s="14"/>
      <c r="P9" s="127"/>
      <c r="Q9" s="14">
        <v>-594</v>
      </c>
      <c r="R9" s="14"/>
      <c r="S9" s="14">
        <v>750</v>
      </c>
      <c r="T9" s="14"/>
      <c r="U9" s="14">
        <v>2410</v>
      </c>
      <c r="V9" s="53">
        <f>SUM(B9:U9)</f>
        <v>1699.1888313525105</v>
      </c>
      <c r="W9" s="91"/>
      <c r="X9" s="144">
        <f>-2320.46335169103*1.019</f>
        <v>-2364.5521553731592</v>
      </c>
      <c r="Y9" s="168">
        <f>-349.818105237106*1.019</f>
        <v>-356.46464923661097</v>
      </c>
      <c r="Z9" s="168">
        <f>-1015.67004757816*1.019</f>
        <v>-1034.9677784821449</v>
      </c>
      <c r="AA9" s="190"/>
      <c r="AB9" s="125">
        <f t="shared" si="3"/>
        <v>-3755.9845830919148</v>
      </c>
      <c r="AC9" s="18"/>
      <c r="AD9" s="42" t="s">
        <v>48</v>
      </c>
      <c r="AE9" s="211">
        <v>2.8480379609943981E-2</v>
      </c>
      <c r="AF9" s="211">
        <v>1.5684183966030763E-2</v>
      </c>
      <c r="AG9" s="211">
        <v>2.7397260273972601E-2</v>
      </c>
      <c r="AH9" s="211">
        <v>2.5898767465524254E-2</v>
      </c>
      <c r="AI9" s="211">
        <v>3.4187725631768952E-2</v>
      </c>
      <c r="AJ9" s="58">
        <f>SUM(AE9*'Översikt fördelning'!$C$33)</f>
        <v>44029.581915301882</v>
      </c>
      <c r="AK9" s="5">
        <f>SUM(AF9*'Översikt fördelning'!$C$34)</f>
        <v>4216.8958124536694</v>
      </c>
      <c r="AL9" s="5">
        <f>SUM(AG9*'Översikt fördelning'!$C$35)</f>
        <v>5892.8863559488664</v>
      </c>
      <c r="AM9" s="5">
        <f>SUM(AH9*'Översikt fördelning'!$C$36)</f>
        <v>9052.1843917733004</v>
      </c>
      <c r="AN9" s="5">
        <f>SUM(AI9*'Översikt fördelning'!$C$37)</f>
        <v>10570.58428867478</v>
      </c>
      <c r="AO9" s="59">
        <f>SUM(AJ9:AN9)</f>
        <v>73762.132764152499</v>
      </c>
      <c r="AQ9" s="3" t="s">
        <v>48</v>
      </c>
      <c r="AR9" s="4">
        <f t="shared" ref="AR9:AR27" si="10">SUM(V9)</f>
        <v>1699.1888313525105</v>
      </c>
      <c r="AS9" s="14">
        <f t="shared" si="5"/>
        <v>-3755.9845830919148</v>
      </c>
      <c r="AT9" s="14">
        <f t="shared" si="6"/>
        <v>47080.056778945276</v>
      </c>
      <c r="AU9" s="14">
        <v>500</v>
      </c>
      <c r="AV9" s="14">
        <f t="shared" ref="AV9:AV27" si="11">AO9</f>
        <v>73762.132764152499</v>
      </c>
      <c r="AW9" s="214">
        <f t="shared" si="7"/>
        <v>119285.39379135836</v>
      </c>
      <c r="AX9" s="215">
        <f t="shared" si="8"/>
        <v>2.6997516239700523E-2</v>
      </c>
      <c r="AY9" s="156">
        <f t="shared" si="0"/>
        <v>2.7434845712410255E-2</v>
      </c>
      <c r="AZ9" s="230"/>
      <c r="BA9" s="221"/>
    </row>
    <row r="10" spans="1:53" ht="10.5" x14ac:dyDescent="0.25">
      <c r="A10" s="42" t="s">
        <v>49</v>
      </c>
      <c r="B10" s="102">
        <f>(14365*1.019)</f>
        <v>14637.934999999999</v>
      </c>
      <c r="C10" s="4"/>
      <c r="D10" s="14"/>
      <c r="E10" s="14"/>
      <c r="F10" s="14"/>
      <c r="G10" s="14"/>
      <c r="H10" s="14"/>
      <c r="I10" s="14">
        <f t="shared" si="1"/>
        <v>1066.7152359144602</v>
      </c>
      <c r="J10" s="14"/>
      <c r="K10" s="14">
        <f t="shared" si="9"/>
        <v>1860.7990580659484</v>
      </c>
      <c r="L10" s="14"/>
      <c r="M10" s="14"/>
      <c r="N10" s="14">
        <v>-2660.0348287959996</v>
      </c>
      <c r="O10" s="14"/>
      <c r="P10" s="127">
        <f>22043.8555806357*1.019</f>
        <v>22462.688836667778</v>
      </c>
      <c r="Q10" s="14">
        <v>-581</v>
      </c>
      <c r="R10" s="14">
        <f>2000*1.019</f>
        <v>2037.9999999999998</v>
      </c>
      <c r="S10" s="14">
        <v>750</v>
      </c>
      <c r="T10" s="14">
        <v>4666.666666666667</v>
      </c>
      <c r="U10" s="14">
        <v>4491</v>
      </c>
      <c r="V10" s="53">
        <f t="shared" si="2"/>
        <v>48732.769968518849</v>
      </c>
      <c r="W10" s="91"/>
      <c r="X10" s="144">
        <f>1424.4304273214*1.019</f>
        <v>1451.4946054405063</v>
      </c>
      <c r="Y10" s="168">
        <f>733.981988082328*1.019</f>
        <v>747.92764585589214</v>
      </c>
      <c r="Z10" s="168">
        <f>1712.30754033422*1.019</f>
        <v>1744.84138360057</v>
      </c>
      <c r="AA10" s="190"/>
      <c r="AB10" s="125">
        <f t="shared" si="3"/>
        <v>3944.2636348969681</v>
      </c>
      <c r="AC10" s="18"/>
      <c r="AD10" s="42" t="s">
        <v>49</v>
      </c>
      <c r="AE10" s="211">
        <v>4.4622113752643397E-2</v>
      </c>
      <c r="AF10" s="211">
        <v>2.7287095354540065E-2</v>
      </c>
      <c r="AG10" s="211">
        <v>4.5662100456621002E-2</v>
      </c>
      <c r="AH10" s="211">
        <v>5.6358239353614455E-2</v>
      </c>
      <c r="AI10" s="211">
        <v>5.332129963898917E-2</v>
      </c>
      <c r="AJ10" s="58">
        <f>SUM(AE10*'Översikt fördelning'!$C$33)</f>
        <v>68984.087979640361</v>
      </c>
      <c r="AK10" s="5">
        <f>SUM(AF10*'Översikt fördelning'!$C$34)</f>
        <v>7336.4886808136716</v>
      </c>
      <c r="AL10" s="5">
        <f>SUM(AG10*'Översikt fördelning'!$C$35)</f>
        <v>9821.4772599147764</v>
      </c>
      <c r="AM10" s="5">
        <f>SUM(AH10*'Översikt fördelning'!$C$36)</f>
        <v>19698.43450286701</v>
      </c>
      <c r="AN10" s="5">
        <f>SUM(AI10*'Översikt fördelning'!$C$37)</f>
        <v>16486.539592790552</v>
      </c>
      <c r="AO10" s="59">
        <f t="shared" si="4"/>
        <v>122327.02801602636</v>
      </c>
      <c r="AQ10" s="3" t="s">
        <v>49</v>
      </c>
      <c r="AR10" s="4">
        <f>SUM(V10)</f>
        <v>48732.769968518849</v>
      </c>
      <c r="AS10" s="14">
        <f t="shared" si="5"/>
        <v>3944.2636348969681</v>
      </c>
      <c r="AT10" s="14">
        <f t="shared" si="6"/>
        <v>47080.056778945276</v>
      </c>
      <c r="AU10" s="14">
        <f>3500+15000</f>
        <v>18500</v>
      </c>
      <c r="AV10" s="14">
        <f t="shared" si="11"/>
        <v>122327.02801602636</v>
      </c>
      <c r="AW10" s="214">
        <f t="shared" si="7"/>
        <v>240584.11839838745</v>
      </c>
      <c r="AX10" s="215">
        <f t="shared" si="8"/>
        <v>5.4450703787214574E-2</v>
      </c>
      <c r="AY10" s="156">
        <f t="shared" si="0"/>
        <v>4.5497913554207271E-2</v>
      </c>
      <c r="AZ10" s="230"/>
      <c r="BA10" s="221"/>
    </row>
    <row r="11" spans="1:53" ht="10.5" x14ac:dyDescent="0.25">
      <c r="A11" s="42" t="s">
        <v>50</v>
      </c>
      <c r="B11" s="88"/>
      <c r="C11" s="4"/>
      <c r="D11" s="14"/>
      <c r="E11" s="14"/>
      <c r="F11" s="14"/>
      <c r="G11" s="14"/>
      <c r="H11" s="14"/>
      <c r="I11" s="14"/>
      <c r="J11" s="14"/>
      <c r="K11" s="14">
        <f t="shared" si="9"/>
        <v>1860.7990580659484</v>
      </c>
      <c r="L11" s="14"/>
      <c r="M11" s="14"/>
      <c r="N11" s="14">
        <v>-2124.7400640981564</v>
      </c>
      <c r="O11" s="14"/>
      <c r="P11" s="127"/>
      <c r="Q11" s="14">
        <v>-489</v>
      </c>
      <c r="R11" s="14"/>
      <c r="S11" s="14"/>
      <c r="T11" s="14"/>
      <c r="U11" s="14">
        <v>6303</v>
      </c>
      <c r="V11" s="53">
        <f>SUM(B11:U11)</f>
        <v>5550.058993967792</v>
      </c>
      <c r="W11" s="91"/>
      <c r="X11" s="144">
        <f>-1424.4304273214*1.019</f>
        <v>-1451.4946054405063</v>
      </c>
      <c r="Y11" s="168">
        <f>-1221.18320374126*1.019</f>
        <v>-1244.385684612344</v>
      </c>
      <c r="Z11" s="168">
        <f>-996.976733819055*1.019</f>
        <v>-1015.9192917616169</v>
      </c>
      <c r="AA11" s="190"/>
      <c r="AB11" s="125">
        <f t="shared" si="3"/>
        <v>-3711.7995818144673</v>
      </c>
      <c r="AC11" s="18"/>
      <c r="AD11" s="42" t="s">
        <v>50</v>
      </c>
      <c r="AE11" s="211">
        <v>3.494702820534374E-2</v>
      </c>
      <c r="AF11" s="211">
        <v>2.6095501089454118E-2</v>
      </c>
      <c r="AG11" s="211">
        <v>4.3378995433789952E-2</v>
      </c>
      <c r="AH11" s="211">
        <v>5.6970345802695332E-2</v>
      </c>
      <c r="AI11" s="211">
        <v>5.3501805054151627E-2</v>
      </c>
      <c r="AJ11" s="58">
        <f>SUM(AE11*'Översikt fördelning'!$C$33)</f>
        <v>54026.774296446049</v>
      </c>
      <c r="AK11" s="5">
        <f>SUM(AF11*'Översikt fördelning'!$C$34)</f>
        <v>7016.1131434272411</v>
      </c>
      <c r="AL11" s="5">
        <f>SUM(AG11*'Översikt fördelning'!$C$35)</f>
        <v>9330.4033969190386</v>
      </c>
      <c r="AM11" s="5">
        <f>SUM(AH11*'Översikt fördelning'!$C$36)</f>
        <v>19912.379064199882</v>
      </c>
      <c r="AN11" s="5">
        <f>SUM(AI11*'Översikt fördelning'!$C$37)</f>
        <v>16542.350491885984</v>
      </c>
      <c r="AO11" s="59">
        <f t="shared" si="4"/>
        <v>106828.02039287818</v>
      </c>
      <c r="AQ11" s="3" t="s">
        <v>50</v>
      </c>
      <c r="AR11" s="4">
        <f t="shared" si="10"/>
        <v>5550.058993967792</v>
      </c>
      <c r="AS11" s="14">
        <f t="shared" si="5"/>
        <v>-3711.7995818144673</v>
      </c>
      <c r="AT11" s="14">
        <f t="shared" si="6"/>
        <v>47080.056778945276</v>
      </c>
      <c r="AU11" s="14"/>
      <c r="AV11" s="14">
        <f t="shared" si="11"/>
        <v>106828.02039287818</v>
      </c>
      <c r="AW11" s="214">
        <f t="shared" si="7"/>
        <v>155746.33658397678</v>
      </c>
      <c r="AX11" s="215">
        <f t="shared" si="8"/>
        <v>3.5249615376668111E-2</v>
      </c>
      <c r="AY11" s="156">
        <f t="shared" si="0"/>
        <v>3.9733263497299082E-2</v>
      </c>
      <c r="AZ11" s="230"/>
      <c r="BA11" s="221"/>
    </row>
    <row r="12" spans="1:53" ht="10.5" x14ac:dyDescent="0.25">
      <c r="A12" s="42" t="s">
        <v>51</v>
      </c>
      <c r="B12" s="88"/>
      <c r="C12" s="4"/>
      <c r="D12" s="14"/>
      <c r="E12" s="14"/>
      <c r="F12" s="14"/>
      <c r="G12" s="14"/>
      <c r="H12" s="14"/>
      <c r="I12" s="14"/>
      <c r="J12" s="14"/>
      <c r="K12" s="14">
        <f t="shared" si="9"/>
        <v>1860.7990580659484</v>
      </c>
      <c r="L12" s="14"/>
      <c r="M12" s="14"/>
      <c r="N12" s="14">
        <v>-2674.4189491525635</v>
      </c>
      <c r="O12" s="14"/>
      <c r="P12" s="127"/>
      <c r="Q12" s="14">
        <v>-476</v>
      </c>
      <c r="R12" s="14"/>
      <c r="S12" s="14"/>
      <c r="T12" s="14"/>
      <c r="U12" s="14">
        <v>4780</v>
      </c>
      <c r="V12" s="53">
        <f t="shared" si="2"/>
        <v>3490.3801089133849</v>
      </c>
      <c r="W12" s="91"/>
      <c r="X12" s="144">
        <f>-1585.1929528058*1.019</f>
        <v>-1615.3116189091099</v>
      </c>
      <c r="Y12" s="168">
        <f>-124.662452046079*1.019</f>
        <v>-127.03103863495448</v>
      </c>
      <c r="Z12" s="168">
        <f>-686.667725417874*1.019</f>
        <v>-699.71441220081351</v>
      </c>
      <c r="AA12" s="190"/>
      <c r="AB12" s="125">
        <f t="shared" si="3"/>
        <v>-2442.0570697448779</v>
      </c>
      <c r="AC12" s="18"/>
      <c r="AD12" s="42" t="s">
        <v>51</v>
      </c>
      <c r="AE12" s="211">
        <v>1.9206325069349273E-2</v>
      </c>
      <c r="AF12" s="211">
        <v>2.0942051440278234E-2</v>
      </c>
      <c r="AG12" s="211">
        <v>2.9680365296803651E-2</v>
      </c>
      <c r="AH12" s="211">
        <v>2.2841605703808665E-2</v>
      </c>
      <c r="AI12" s="211">
        <v>3.4891696750902527E-2</v>
      </c>
      <c r="AJ12" s="58">
        <f>SUM(AE12*'Översikt fördelning'!$C$33)</f>
        <v>29692.246891174542</v>
      </c>
      <c r="AK12" s="5">
        <f>SUM(AF12*'Översikt fördelning'!$C$34)</f>
        <v>5630.5415196585182</v>
      </c>
      <c r="AL12" s="5">
        <f>SUM(AG12*'Översikt fördelning'!$C$35)</f>
        <v>6383.960218944605</v>
      </c>
      <c r="AM12" s="5">
        <f>SUM(AH12*'Översikt fördelning'!$C$36)</f>
        <v>7983.6396427088166</v>
      </c>
      <c r="AN12" s="5">
        <f>SUM(AI12*'Översikt fördelning'!$C$37)</f>
        <v>10788.246795146964</v>
      </c>
      <c r="AO12" s="59">
        <f>SUM(AJ12:AN12)</f>
        <v>60478.635067633448</v>
      </c>
      <c r="AQ12" s="3" t="s">
        <v>51</v>
      </c>
      <c r="AR12" s="4">
        <f t="shared" si="10"/>
        <v>3490.3801089133849</v>
      </c>
      <c r="AS12" s="14">
        <f t="shared" si="5"/>
        <v>-2442.0570697448779</v>
      </c>
      <c r="AT12" s="14">
        <f t="shared" si="6"/>
        <v>47080.056778945276</v>
      </c>
      <c r="AU12" s="14">
        <v>2600</v>
      </c>
      <c r="AV12" s="14">
        <f t="shared" si="11"/>
        <v>60478.635067633448</v>
      </c>
      <c r="AW12" s="214">
        <f t="shared" si="7"/>
        <v>111207.01488574722</v>
      </c>
      <c r="AX12" s="215">
        <f t="shared" si="8"/>
        <v>2.5169160237655863E-2</v>
      </c>
      <c r="AY12" s="156">
        <f t="shared" si="0"/>
        <v>2.2494225150496865E-2</v>
      </c>
      <c r="AZ12" s="230"/>
      <c r="BA12" s="221"/>
    </row>
    <row r="13" spans="1:53" ht="10.5" x14ac:dyDescent="0.25">
      <c r="A13" s="42" t="s">
        <v>52</v>
      </c>
      <c r="B13" s="88"/>
      <c r="C13" s="4"/>
      <c r="D13" s="14"/>
      <c r="E13" s="14"/>
      <c r="F13" s="14"/>
      <c r="G13" s="14"/>
      <c r="H13" s="14"/>
      <c r="I13" s="14">
        <f>2093.6511009116*1.019</f>
        <v>2133.4304718289204</v>
      </c>
      <c r="J13" s="14"/>
      <c r="K13" s="14">
        <f t="shared" si="9"/>
        <v>1860.7990580659484</v>
      </c>
      <c r="L13" s="14"/>
      <c r="M13" s="14"/>
      <c r="N13" s="14">
        <v>-6425.5920507107703</v>
      </c>
      <c r="O13" s="14"/>
      <c r="P13" s="127"/>
      <c r="Q13" s="14">
        <v>-483</v>
      </c>
      <c r="R13" s="14"/>
      <c r="S13" s="14">
        <v>1500</v>
      </c>
      <c r="T13" s="14"/>
      <c r="U13" s="14">
        <f>4066+1350</f>
        <v>5416</v>
      </c>
      <c r="V13" s="53">
        <f t="shared" si="2"/>
        <v>4001.6374791840985</v>
      </c>
      <c r="W13" s="91"/>
      <c r="X13" s="144">
        <f>1585.1929528058*1.019</f>
        <v>1615.3116189091099</v>
      </c>
      <c r="Y13" s="168">
        <f>-326.920920165027*1.019</f>
        <v>-333.13241764816246</v>
      </c>
      <c r="Z13" s="168">
        <f>-715.330806515173*1.019</f>
        <v>-728.92209183896125</v>
      </c>
      <c r="AA13" s="190"/>
      <c r="AB13" s="125">
        <f t="shared" si="3"/>
        <v>553.25710942198634</v>
      </c>
      <c r="AC13" s="18"/>
      <c r="AD13" s="42" t="s">
        <v>52</v>
      </c>
      <c r="AE13" s="211">
        <v>2.3267732115821078E-2</v>
      </c>
      <c r="AF13" s="211">
        <v>2.5960573438074105E-2</v>
      </c>
      <c r="AG13" s="211">
        <v>4.3378995433789952E-2</v>
      </c>
      <c r="AH13" s="211">
        <v>3.7732035487611407E-2</v>
      </c>
      <c r="AI13" s="211">
        <v>4.808664259927798E-2</v>
      </c>
      <c r="AJ13" s="58">
        <f>SUM(AE13*'Översikt fördelning'!$C$33)</f>
        <v>35971.027465488885</v>
      </c>
      <c r="AK13" s="5">
        <f>SUM(AF13*'Översikt fördelning'!$C$34)</f>
        <v>6979.8360983912426</v>
      </c>
      <c r="AL13" s="5">
        <f>SUM(AG13*'Översikt fördelning'!$C$35)</f>
        <v>9330.4033969190386</v>
      </c>
      <c r="AM13" s="5">
        <f>SUM(AH13*'Översikt fördelning'!$C$36)</f>
        <v>13188.169790916276</v>
      </c>
      <c r="AN13" s="5">
        <f>SUM(AI13*'Översikt fördelning'!$C$37)</f>
        <v>14868.023519023029</v>
      </c>
      <c r="AO13" s="59">
        <f t="shared" si="4"/>
        <v>80337.460270738477</v>
      </c>
      <c r="AQ13" s="3" t="s">
        <v>52</v>
      </c>
      <c r="AR13" s="4">
        <f t="shared" si="10"/>
        <v>4001.6374791840985</v>
      </c>
      <c r="AS13" s="14">
        <f t="shared" si="5"/>
        <v>553.25710942198634</v>
      </c>
      <c r="AT13" s="14">
        <f t="shared" si="6"/>
        <v>47080.056778945276</v>
      </c>
      <c r="AU13" s="14">
        <f>1500+1000</f>
        <v>2500</v>
      </c>
      <c r="AV13" s="14">
        <f t="shared" si="11"/>
        <v>80337.460270738477</v>
      </c>
      <c r="AW13" s="214">
        <f t="shared" si="7"/>
        <v>134472.41163828984</v>
      </c>
      <c r="AX13" s="215">
        <f t="shared" si="8"/>
        <v>3.0434749818124249E-2</v>
      </c>
      <c r="AY13" s="156">
        <f t="shared" si="0"/>
        <v>2.9880451457414178E-2</v>
      </c>
      <c r="AZ13" s="230"/>
      <c r="BA13" s="221"/>
    </row>
    <row r="14" spans="1:53" ht="10.5" x14ac:dyDescent="0.25">
      <c r="A14" s="42" t="s">
        <v>53</v>
      </c>
      <c r="B14" s="102">
        <f>7205*1.019</f>
        <v>7341.8949999999995</v>
      </c>
      <c r="C14" s="4"/>
      <c r="D14" s="14"/>
      <c r="E14" s="14"/>
      <c r="F14" s="14"/>
      <c r="G14" s="14"/>
      <c r="H14" s="14"/>
      <c r="I14" s="14">
        <f>1046.8255504558*1.019</f>
        <v>1066.7152359144602</v>
      </c>
      <c r="J14" s="14"/>
      <c r="K14" s="14">
        <f t="shared" si="9"/>
        <v>1860.7990580659484</v>
      </c>
      <c r="L14" s="14"/>
      <c r="M14" s="14"/>
      <c r="N14" s="14">
        <v>-2596.3337243597884</v>
      </c>
      <c r="O14" s="14"/>
      <c r="P14" s="127">
        <f>4542.7492*1.019</f>
        <v>4629.0614347999999</v>
      </c>
      <c r="Q14" s="14">
        <v>-482</v>
      </c>
      <c r="R14" s="14">
        <f>4000*1.019</f>
        <v>4075.9999999999995</v>
      </c>
      <c r="S14" s="14"/>
      <c r="T14" s="14"/>
      <c r="U14" s="14">
        <v>726</v>
      </c>
      <c r="V14" s="53">
        <f t="shared" si="2"/>
        <v>16622.13700442062</v>
      </c>
      <c r="W14" s="91"/>
      <c r="X14" s="144">
        <f>-1086.70464215165*1.019</f>
        <v>-1107.3520303525313</v>
      </c>
      <c r="Y14" s="168">
        <f>-162.824427162661*1.019</f>
        <v>-165.91809127875155</v>
      </c>
      <c r="Z14" s="168">
        <f>-438.669762880383*1.019</f>
        <v>-447.00448837511027</v>
      </c>
      <c r="AA14" s="190"/>
      <c r="AB14" s="125">
        <f t="shared" si="3"/>
        <v>-1720.274610006393</v>
      </c>
      <c r="AC14" s="18"/>
      <c r="AD14" s="42" t="s">
        <v>53</v>
      </c>
      <c r="AE14" s="211">
        <v>5.7586579156399262E-3</v>
      </c>
      <c r="AF14" s="211">
        <v>7.0709022364502635E-3</v>
      </c>
      <c r="AG14" s="211">
        <v>4.5662100456621002E-3</v>
      </c>
      <c r="AH14" s="211">
        <v>9.3868843438550606E-3</v>
      </c>
      <c r="AI14" s="211">
        <v>2.2545126353790614E-2</v>
      </c>
      <c r="AJ14" s="58">
        <f>SUM(AE14*'Översikt fördelning'!$C$33)</f>
        <v>8902.6657611804367</v>
      </c>
      <c r="AK14" s="5">
        <f>SUM(AF14*'Översikt fördelning'!$C$34)</f>
        <v>1901.1035636750651</v>
      </c>
      <c r="AL14" s="5">
        <f>SUM(AG14*'Översikt fördelning'!$C$35)</f>
        <v>982.14772599147773</v>
      </c>
      <c r="AM14" s="5">
        <f>SUM(AH14*'Översikt fördelning'!$C$36)</f>
        <v>3280.9209186475045</v>
      </c>
      <c r="AN14" s="5">
        <f>SUM(AI14*'Översikt fördelning'!$C$37)</f>
        <v>6970.78129701943</v>
      </c>
      <c r="AO14" s="59">
        <f t="shared" si="4"/>
        <v>22037.619266513917</v>
      </c>
      <c r="AQ14" s="3" t="s">
        <v>53</v>
      </c>
      <c r="AR14" s="4">
        <f t="shared" si="10"/>
        <v>16622.13700442062</v>
      </c>
      <c r="AS14" s="14">
        <f>SUM(AB14)</f>
        <v>-1720.274610006393</v>
      </c>
      <c r="AT14" s="14">
        <f t="shared" si="6"/>
        <v>47080.056778945276</v>
      </c>
      <c r="AU14" s="14"/>
      <c r="AV14" s="14">
        <f t="shared" si="11"/>
        <v>22037.619266513917</v>
      </c>
      <c r="AW14" s="214">
        <f t="shared" si="7"/>
        <v>84019.538439873431</v>
      </c>
      <c r="AX14" s="215">
        <f>AW14/$AW$28</f>
        <v>1.9015897767417637E-2</v>
      </c>
      <c r="AY14" s="156">
        <f t="shared" si="0"/>
        <v>8.196599824178032E-3</v>
      </c>
      <c r="AZ14" s="230"/>
      <c r="BA14" s="221"/>
    </row>
    <row r="15" spans="1:53" ht="10.5" x14ac:dyDescent="0.25">
      <c r="A15" s="42" t="s">
        <v>54</v>
      </c>
      <c r="B15" s="88"/>
      <c r="C15" s="4"/>
      <c r="D15" s="14"/>
      <c r="E15" s="14"/>
      <c r="F15" s="14"/>
      <c r="G15" s="14"/>
      <c r="H15" s="14">
        <f>-5912.56201121267*1.019</f>
        <v>-6024.90068942571</v>
      </c>
      <c r="I15" s="14">
        <f t="shared" ref="I15:I17" si="12">1046.8255504558*1.019</f>
        <v>1066.7152359144602</v>
      </c>
      <c r="J15" s="14"/>
      <c r="K15" s="14">
        <f t="shared" si="9"/>
        <v>1860.7990580659484</v>
      </c>
      <c r="L15" s="14"/>
      <c r="M15" s="14"/>
      <c r="N15" s="14">
        <v>-3575.4813457744613</v>
      </c>
      <c r="O15" s="14"/>
      <c r="P15" s="127"/>
      <c r="Q15" s="14">
        <v>-450</v>
      </c>
      <c r="R15" s="14">
        <f>1000*1.019</f>
        <v>1018.9999999999999</v>
      </c>
      <c r="S15" s="14">
        <v>750</v>
      </c>
      <c r="T15" s="14"/>
      <c r="U15" s="14">
        <v>2509</v>
      </c>
      <c r="V15" s="53">
        <f>SUM(B15:U15)</f>
        <v>-2844.867741219763</v>
      </c>
      <c r="W15" s="91"/>
      <c r="X15" s="144">
        <f>-2006.41567622986*1.019</f>
        <v>-2044.5375740782272</v>
      </c>
      <c r="Y15" s="168">
        <f>-96.6770036258333*1.019</f>
        <v>-98.513866694724115</v>
      </c>
      <c r="Z15" s="168">
        <f>-452.378192970395*1.019</f>
        <v>-460.97337863683248</v>
      </c>
      <c r="AA15" s="190"/>
      <c r="AB15" s="125">
        <f t="shared" si="3"/>
        <v>-2604.0248194097835</v>
      </c>
      <c r="AC15" s="18"/>
      <c r="AD15" s="42" t="s">
        <v>54</v>
      </c>
      <c r="AE15" s="211">
        <v>1.4849575592833578E-2</v>
      </c>
      <c r="AF15" s="211">
        <v>6.7810255545905336E-3</v>
      </c>
      <c r="AG15" s="211">
        <v>1.5981735159817351E-2</v>
      </c>
      <c r="AH15" s="211">
        <v>2.1274540605649154E-2</v>
      </c>
      <c r="AI15" s="211">
        <v>2.0938628158844765E-2</v>
      </c>
      <c r="AJ15" s="58">
        <f>SUM(AE15*'Översikt fördelning'!$C$33)</f>
        <v>22956.878171098913</v>
      </c>
      <c r="AK15" s="5">
        <f>SUM(AF15*'Översikt fördelning'!$C$34)</f>
        <v>1823.1664667556638</v>
      </c>
      <c r="AL15" s="5">
        <f>SUM(AG15*'Översikt fördelning'!$C$35)</f>
        <v>3437.5170409701718</v>
      </c>
      <c r="AM15" s="5">
        <f>SUM(AH15*'Översikt fördelning'!$C$36)</f>
        <v>7435.9161944275274</v>
      </c>
      <c r="AN15" s="5">
        <f>SUM(AI15*'Översikt fördelning'!$C$37)</f>
        <v>6474.0642950700876</v>
      </c>
      <c r="AO15" s="59">
        <f>SUM(AJ15:AN15)</f>
        <v>42127.542168322361</v>
      </c>
      <c r="AQ15" s="3" t="s">
        <v>54</v>
      </c>
      <c r="AR15" s="4">
        <f t="shared" si="10"/>
        <v>-2844.867741219763</v>
      </c>
      <c r="AS15" s="14">
        <f t="shared" si="5"/>
        <v>-2604.0248194097835</v>
      </c>
      <c r="AT15" s="14">
        <f t="shared" si="6"/>
        <v>47080.056778945276</v>
      </c>
      <c r="AU15" s="14"/>
      <c r="AV15" s="14">
        <f>AO15</f>
        <v>42127.542168322361</v>
      </c>
      <c r="AW15" s="214">
        <f t="shared" si="7"/>
        <v>83758.706386638092</v>
      </c>
      <c r="AX15" s="215">
        <f t="shared" si="8"/>
        <v>1.8956864407429136E-2</v>
      </c>
      <c r="AY15" s="156">
        <f t="shared" si="0"/>
        <v>1.5668779851125286E-2</v>
      </c>
      <c r="AZ15" s="230"/>
      <c r="BA15" s="221"/>
    </row>
    <row r="16" spans="1:53" ht="10.5" x14ac:dyDescent="0.25">
      <c r="A16" s="42" t="s">
        <v>55</v>
      </c>
      <c r="B16" s="88"/>
      <c r="C16" s="4">
        <f>3000</f>
        <v>3000</v>
      </c>
      <c r="D16" s="14"/>
      <c r="E16" s="14"/>
      <c r="F16" s="14"/>
      <c r="G16" s="14">
        <f>7277.62923709893*1.019</f>
        <v>7415.904192603809</v>
      </c>
      <c r="H16" s="14">
        <f>5912.56201121267*1.019</f>
        <v>6024.90068942571</v>
      </c>
      <c r="I16" s="14">
        <f t="shared" si="12"/>
        <v>1066.7152359144602</v>
      </c>
      <c r="J16" s="14"/>
      <c r="K16" s="14">
        <f>2739.1547003944*1.019</f>
        <v>2791.1986397018936</v>
      </c>
      <c r="L16" s="14">
        <f>4818.97070375095*1.019</f>
        <v>4910.5311471222176</v>
      </c>
      <c r="M16" s="14">
        <f>3261.2347981979*1.019</f>
        <v>3323.1982593636599</v>
      </c>
      <c r="N16" s="14">
        <v>-6781.0853109515647</v>
      </c>
      <c r="O16" s="14">
        <v>500</v>
      </c>
      <c r="P16" s="127">
        <f>22043.8555806357*1.019</f>
        <v>22462.688836667778</v>
      </c>
      <c r="Q16" s="14">
        <v>-822</v>
      </c>
      <c r="R16" s="14">
        <f>3000*1.019</f>
        <v>3056.9999999999995</v>
      </c>
      <c r="S16" s="14">
        <v>750</v>
      </c>
      <c r="T16" s="14">
        <v>4666.666666666667</v>
      </c>
      <c r="U16" s="14">
        <v>3782</v>
      </c>
      <c r="V16" s="53">
        <f t="shared" si="2"/>
        <v>56147.718356514633</v>
      </c>
      <c r="W16" s="91"/>
      <c r="X16" s="144">
        <f>2006.41567622986*1.019</f>
        <v>2044.5375740782272</v>
      </c>
      <c r="Y16" s="168">
        <f>431.230318818436*1.019</f>
        <v>439.42369487598626</v>
      </c>
      <c r="Z16" s="168">
        <f>1139.04591838826*1.019</f>
        <v>1160.6877908376368</v>
      </c>
      <c r="AA16" s="190"/>
      <c r="AB16" s="125">
        <f>SUM(X16:AA16)</f>
        <v>3644.6490597918505</v>
      </c>
      <c r="AC16" s="18"/>
      <c r="AD16" s="42" t="s">
        <v>55</v>
      </c>
      <c r="AE16" s="211">
        <v>0.13493248303929745</v>
      </c>
      <c r="AF16" s="211">
        <v>2.5221093467286206E-2</v>
      </c>
      <c r="AG16" s="211">
        <v>0.1095890410958904</v>
      </c>
      <c r="AH16" s="211">
        <v>0.11837856641505931</v>
      </c>
      <c r="AI16" s="211">
        <v>0.12731046931407941</v>
      </c>
      <c r="AJ16" s="58">
        <f>SUM(AE16*'Översikt fördelning'!$C$33)</f>
        <v>208600.47851818343</v>
      </c>
      <c r="AK16" s="5">
        <f>SUM(AF16*'Översikt fördelning'!$C$34)</f>
        <v>6781.0173393813657</v>
      </c>
      <c r="AL16" s="5">
        <f>SUM(AG16*'Översikt fördelning'!$C$35)</f>
        <v>23571.545423795465</v>
      </c>
      <c r="AM16" s="5">
        <f>SUM(AH16*'Översikt fördelning'!$C$36)</f>
        <v>41375.89221762633</v>
      </c>
      <c r="AN16" s="5">
        <f>SUM(AI16*'Översikt fördelning'!$C$37)</f>
        <v>39363.427132008037</v>
      </c>
      <c r="AO16" s="59">
        <f>SUM(AJ16:AN16)</f>
        <v>319692.3606309946</v>
      </c>
      <c r="AQ16" s="3" t="s">
        <v>55</v>
      </c>
      <c r="AR16" s="4">
        <f t="shared" si="10"/>
        <v>56147.718356514633</v>
      </c>
      <c r="AS16" s="14">
        <f t="shared" si="5"/>
        <v>3644.6490597918505</v>
      </c>
      <c r="AT16" s="14">
        <f t="shared" si="6"/>
        <v>47080.056778945276</v>
      </c>
      <c r="AU16" s="14">
        <f>3500+3333</f>
        <v>6833</v>
      </c>
      <c r="AV16" s="14">
        <f t="shared" si="11"/>
        <v>319692.3606309946</v>
      </c>
      <c r="AW16" s="214">
        <f t="shared" si="7"/>
        <v>433397.78482624638</v>
      </c>
      <c r="AX16" s="215">
        <f t="shared" si="8"/>
        <v>9.8089660118508781E-2</v>
      </c>
      <c r="AY16" s="156">
        <f t="shared" si="0"/>
        <v>0.11890532798707272</v>
      </c>
      <c r="AZ16" s="230"/>
      <c r="BA16" s="221"/>
    </row>
    <row r="17" spans="1:53" ht="10.5" x14ac:dyDescent="0.25">
      <c r="A17" s="42" t="s">
        <v>56</v>
      </c>
      <c r="B17" s="88"/>
      <c r="C17" s="4"/>
      <c r="D17" s="14"/>
      <c r="E17" s="14"/>
      <c r="F17" s="14"/>
      <c r="G17" s="14"/>
      <c r="H17" s="14"/>
      <c r="I17" s="14">
        <f t="shared" si="12"/>
        <v>1066.7152359144602</v>
      </c>
      <c r="J17" s="14"/>
      <c r="K17" s="14">
        <f t="shared" si="9"/>
        <v>1860.7990580659484</v>
      </c>
      <c r="L17" s="14"/>
      <c r="M17" s="14"/>
      <c r="N17" s="14">
        <v>-2476.1235756656465</v>
      </c>
      <c r="O17" s="14"/>
      <c r="P17" s="127"/>
      <c r="Q17" s="14">
        <v>-488</v>
      </c>
      <c r="R17" s="14"/>
      <c r="S17" s="14">
        <v>3000</v>
      </c>
      <c r="T17" s="14"/>
      <c r="U17" s="14">
        <v>4789</v>
      </c>
      <c r="V17" s="53">
        <f t="shared" si="2"/>
        <v>7752.3907183147621</v>
      </c>
      <c r="W17" s="91"/>
      <c r="X17" s="144"/>
      <c r="Y17" s="168">
        <f>-258.22936495944*1.019</f>
        <v>-263.13572289366931</v>
      </c>
      <c r="Z17" s="168">
        <f>-803.812491641612*1.019</f>
        <v>-819.08492898280258</v>
      </c>
      <c r="AA17" s="190"/>
      <c r="AB17" s="125">
        <f t="shared" si="3"/>
        <v>-1082.2206518764719</v>
      </c>
      <c r="AC17" s="18"/>
      <c r="AD17" s="42" t="s">
        <v>56</v>
      </c>
      <c r="AE17" s="211">
        <v>3.2591939144536446E-2</v>
      </c>
      <c r="AF17" s="211">
        <v>1.2697220861477053E-2</v>
      </c>
      <c r="AG17" s="211">
        <v>2.2831050228310501E-2</v>
      </c>
      <c r="AH17" s="211">
        <v>3.2406415406939143E-2</v>
      </c>
      <c r="AI17" s="211">
        <v>4.8501805054151623E-2</v>
      </c>
      <c r="AJ17" s="58">
        <f>SUM(AE17*'Översikt fördelning'!$C$33)</f>
        <v>50385.896325688896</v>
      </c>
      <c r="AK17" s="5">
        <f>SUM(AF17*'Översikt fördelning'!$C$34)</f>
        <v>3413.8121305212021</v>
      </c>
      <c r="AL17" s="5">
        <f>SUM(AG17*'Översikt fördelning'!$C$35)</f>
        <v>4910.7386299573882</v>
      </c>
      <c r="AM17" s="5">
        <f>SUM(AH17*'Översikt fördelning'!$C$36)</f>
        <v>11326.749357107996</v>
      </c>
      <c r="AN17" s="5">
        <f>SUM(AI17*'Översikt fördelning'!$C$37)</f>
        <v>14996.388586942521</v>
      </c>
      <c r="AO17" s="59">
        <f t="shared" si="4"/>
        <v>85033.585030218004</v>
      </c>
      <c r="AQ17" s="3" t="s">
        <v>56</v>
      </c>
      <c r="AR17" s="4">
        <f t="shared" si="10"/>
        <v>7752.3907183147621</v>
      </c>
      <c r="AS17" s="14">
        <f>SUM(AB17)</f>
        <v>-1082.2206518764719</v>
      </c>
      <c r="AT17" s="14">
        <f t="shared" si="6"/>
        <v>47080.056778945276</v>
      </c>
      <c r="AU17" s="14">
        <f>1500+1000</f>
        <v>2500</v>
      </c>
      <c r="AV17" s="14">
        <f t="shared" si="11"/>
        <v>85033.585030218004</v>
      </c>
      <c r="AW17" s="214">
        <f t="shared" si="7"/>
        <v>141283.81187560156</v>
      </c>
      <c r="AX17" s="215">
        <f t="shared" si="8"/>
        <v>3.1976354223132678E-2</v>
      </c>
      <c r="AY17" s="156">
        <f t="shared" si="0"/>
        <v>3.1627112696650528E-2</v>
      </c>
      <c r="AZ17" s="230"/>
      <c r="BA17" s="221"/>
    </row>
    <row r="18" spans="1:53" ht="10.5" x14ac:dyDescent="0.25">
      <c r="A18" s="42" t="s">
        <v>57</v>
      </c>
      <c r="B18" s="14">
        <f>(1043*1.019)+(3000)+(5229*1.019)+(99000)</f>
        <v>108391.16800000001</v>
      </c>
      <c r="C18" s="4">
        <f>15000</f>
        <v>15000</v>
      </c>
      <c r="D18" s="14"/>
      <c r="E18" s="14">
        <f>1062.54381784819*1.019</f>
        <v>1082.7321503873054</v>
      </c>
      <c r="F18" s="14"/>
      <c r="G18" s="14">
        <f>7277.62923709893*1.019</f>
        <v>7415.904192603809</v>
      </c>
      <c r="H18" s="14"/>
      <c r="I18" s="14">
        <f>2990.9301736578*1.019</f>
        <v>3047.7578469572977</v>
      </c>
      <c r="J18" s="14">
        <f>2529.9907308485*1.019</f>
        <v>2578.0605547346213</v>
      </c>
      <c r="K18" s="14">
        <f>2739.1547003944*1.019</f>
        <v>2791.1986397018936</v>
      </c>
      <c r="L18" s="14">
        <f>4818.97070375095*1.019</f>
        <v>4910.5311471222176</v>
      </c>
      <c r="M18" s="14">
        <f>4348.3130298491*1.019</f>
        <v>4430.9309774162321</v>
      </c>
      <c r="N18" s="14">
        <v>-8198.948603241437</v>
      </c>
      <c r="O18" s="14">
        <v>500</v>
      </c>
      <c r="P18" s="127">
        <f>22043.8555806357*1.019</f>
        <v>22462.688836667778</v>
      </c>
      <c r="Q18" s="14">
        <v>-791</v>
      </c>
      <c r="R18" s="14">
        <f>3000*1.019</f>
        <v>3056.9999999999995</v>
      </c>
      <c r="S18" s="14">
        <v>750</v>
      </c>
      <c r="T18" s="14">
        <v>4666.666666666667</v>
      </c>
      <c r="U18" s="14">
        <f>10249+1350</f>
        <v>11599</v>
      </c>
      <c r="V18" s="53">
        <f t="shared" si="2"/>
        <v>183693.69040901639</v>
      </c>
      <c r="W18" s="91"/>
      <c r="X18" s="144"/>
      <c r="Y18" s="168">
        <f>385.435948684928*1.019</f>
        <v>392.75923170994162</v>
      </c>
      <c r="Z18" s="168">
        <f>803.812491641612*1.019</f>
        <v>819.08492898280258</v>
      </c>
      <c r="AA18" s="190"/>
      <c r="AB18" s="125">
        <f t="shared" si="3"/>
        <v>1211.8441606927443</v>
      </c>
      <c r="AC18" s="18"/>
      <c r="AD18" s="42" t="s">
        <v>57</v>
      </c>
      <c r="AE18" s="211">
        <v>0.16744140139841382</v>
      </c>
      <c r="AF18" s="211">
        <v>6.4261849417674516E-2</v>
      </c>
      <c r="AG18" s="211">
        <v>0.16894977168949771</v>
      </c>
      <c r="AH18" s="211">
        <v>0.14670376624242018</v>
      </c>
      <c r="AI18" s="211">
        <v>0.19113718411552347</v>
      </c>
      <c r="AJ18" s="58">
        <f>SUM(AE18*'Översikt fördelning'!$C$33)</f>
        <v>258858.02787229442</v>
      </c>
      <c r="AK18" s="5">
        <f>SUM(AF18*'Översikt fördelning'!$C$34)</f>
        <v>17277.629763641373</v>
      </c>
      <c r="AL18" s="5">
        <f>SUM(AG18*'Översikt fördelning'!$C$35)</f>
        <v>36339.465861684672</v>
      </c>
      <c r="AM18" s="5">
        <f>SUM(AH18*'Översikt fördelning'!$C$36)</f>
        <v>51276.167669437506</v>
      </c>
      <c r="AN18" s="5">
        <f>SUM(AI18*'Översikt fördelning'!$C$37)</f>
        <v>59098.161052152718</v>
      </c>
      <c r="AO18" s="59">
        <f>SUM(AJ18:AN18)</f>
        <v>422849.45221921068</v>
      </c>
      <c r="AQ18" s="3" t="s">
        <v>57</v>
      </c>
      <c r="AR18" s="4">
        <f t="shared" si="10"/>
        <v>183693.69040901639</v>
      </c>
      <c r="AS18" s="14">
        <f t="shared" si="5"/>
        <v>1211.8441606927443</v>
      </c>
      <c r="AT18" s="14">
        <f t="shared" si="6"/>
        <v>47080.056778945276</v>
      </c>
      <c r="AU18" s="14">
        <f>3500+3333</f>
        <v>6833</v>
      </c>
      <c r="AV18" s="14">
        <f t="shared" si="11"/>
        <v>422849.45221921068</v>
      </c>
      <c r="AW18" s="214">
        <f t="shared" si="7"/>
        <v>661668.04356786516</v>
      </c>
      <c r="AX18" s="215">
        <f t="shared" si="8"/>
        <v>0.14975340386400626</v>
      </c>
      <c r="AY18" s="156">
        <f t="shared" si="0"/>
        <v>0.15727323826581502</v>
      </c>
      <c r="AZ18" s="230"/>
      <c r="BA18" s="221"/>
    </row>
    <row r="19" spans="1:53" ht="10.5" x14ac:dyDescent="0.25">
      <c r="A19" s="42" t="s">
        <v>58</v>
      </c>
      <c r="C19" s="4"/>
      <c r="D19" s="14"/>
      <c r="E19" s="14">
        <f>1427.79325626595*1.019</f>
        <v>1454.921328135003</v>
      </c>
      <c r="F19" s="14"/>
      <c r="G19" s="14"/>
      <c r="H19" s="14"/>
      <c r="I19" s="14"/>
      <c r="J19" s="14"/>
      <c r="K19" s="14">
        <f t="shared" si="9"/>
        <v>1860.7990580659484</v>
      </c>
      <c r="L19" s="14"/>
      <c r="M19" s="14"/>
      <c r="N19" s="14">
        <v>-4225.8490733248154</v>
      </c>
      <c r="O19" s="14"/>
      <c r="P19" s="127"/>
      <c r="Q19" s="14">
        <v>-551</v>
      </c>
      <c r="R19" s="14"/>
      <c r="S19" s="14"/>
      <c r="T19" s="14"/>
      <c r="U19" s="14">
        <v>7947</v>
      </c>
      <c r="V19" s="53">
        <f t="shared" si="2"/>
        <v>6485.8713128761356</v>
      </c>
      <c r="W19" s="91"/>
      <c r="X19" s="144">
        <f>-1860.60782948624*1.019</f>
        <v>-1895.9593782464783</v>
      </c>
      <c r="Y19" s="168">
        <f>-825.570728359994*1.019</f>
        <v>-841.25657219883374</v>
      </c>
      <c r="Z19" s="168">
        <f>-1086.70463986278*1.019</f>
        <v>-1107.3520280201726</v>
      </c>
      <c r="AA19" s="190"/>
      <c r="AB19" s="125">
        <f t="shared" si="3"/>
        <v>-3844.5679784654849</v>
      </c>
      <c r="AC19" s="18"/>
      <c r="AD19" s="42" t="s">
        <v>58</v>
      </c>
      <c r="AE19" s="211">
        <v>2.6765372304303762E-2</v>
      </c>
      <c r="AF19" s="211">
        <v>4.8662484102058361E-2</v>
      </c>
      <c r="AG19" s="211">
        <v>5.4794520547945202E-2</v>
      </c>
      <c r="AH19" s="211">
        <v>5.0582422246968947E-2</v>
      </c>
      <c r="AI19" s="211">
        <v>5.0938628158844763E-2</v>
      </c>
      <c r="AJ19" s="58">
        <f>SUM(AE19*'Översikt fördelning'!$C$33)</f>
        <v>41378.245954082377</v>
      </c>
      <c r="AK19" s="5">
        <f>SUM(AF19*'Översikt fördelning'!$C$34)</f>
        <v>13083.538542904174</v>
      </c>
      <c r="AL19" s="5">
        <f>SUM(AG19*'Översikt fördelning'!$C$35)</f>
        <v>11785.772711897733</v>
      </c>
      <c r="AM19" s="5">
        <f>SUM(AH19*'Översikt fördelning'!$C$36)</f>
        <v>17679.660384287334</v>
      </c>
      <c r="AN19" s="5">
        <f>SUM(AI19*'Översikt fördelning'!$C$37)</f>
        <v>15749.83572473085</v>
      </c>
      <c r="AO19" s="59">
        <f t="shared" si="4"/>
        <v>99677.053317902464</v>
      </c>
      <c r="AQ19" s="3" t="s">
        <v>58</v>
      </c>
      <c r="AR19" s="4">
        <f t="shared" si="10"/>
        <v>6485.8713128761356</v>
      </c>
      <c r="AS19" s="14">
        <f t="shared" si="5"/>
        <v>-3844.5679784654849</v>
      </c>
      <c r="AT19" s="14">
        <f t="shared" si="6"/>
        <v>47080.056778945276</v>
      </c>
      <c r="AU19" s="14"/>
      <c r="AV19" s="14">
        <f t="shared" si="11"/>
        <v>99677.053317902464</v>
      </c>
      <c r="AW19" s="214">
        <f t="shared" si="7"/>
        <v>149398.41343125841</v>
      </c>
      <c r="AX19" s="215">
        <f t="shared" si="8"/>
        <v>3.3812908392209962E-2</v>
      </c>
      <c r="AY19" s="156">
        <f t="shared" si="0"/>
        <v>3.7073556259389226E-2</v>
      </c>
      <c r="AZ19" s="230"/>
      <c r="BA19" s="221"/>
    </row>
    <row r="20" spans="1:53" ht="10.5" x14ac:dyDescent="0.25">
      <c r="A20" s="42" t="s">
        <v>59</v>
      </c>
      <c r="B20" s="14">
        <f>(1069*1.019)+(10044*1.019)+(565*1.019)+(11714*1.019)+(5000*1.019)</f>
        <v>28931.447999999997</v>
      </c>
      <c r="C20" s="4"/>
      <c r="D20" s="14"/>
      <c r="E20" s="14">
        <f>1427.79325626595*1.019</f>
        <v>1454.921328135003</v>
      </c>
      <c r="F20" s="14"/>
      <c r="G20" s="14"/>
      <c r="H20" s="14"/>
      <c r="I20" s="14"/>
      <c r="J20" s="14"/>
      <c r="K20" s="14">
        <f t="shared" si="9"/>
        <v>1860.7990580659484</v>
      </c>
      <c r="L20" s="14"/>
      <c r="M20" s="14"/>
      <c r="N20" s="14">
        <v>-3494.3138094767078</v>
      </c>
      <c r="O20" s="14"/>
      <c r="P20" s="127">
        <f>23333.2118*1.019</f>
        <v>23776.542824199998</v>
      </c>
      <c r="Q20" s="14">
        <v>-627</v>
      </c>
      <c r="R20" s="14">
        <f>2000*1.019</f>
        <v>2037.9999999999998</v>
      </c>
      <c r="S20" s="14"/>
      <c r="T20" s="14">
        <v>4666.666666666667</v>
      </c>
      <c r="U20" s="14">
        <v>6106</v>
      </c>
      <c r="V20" s="53">
        <f t="shared" si="2"/>
        <v>64713.064067590902</v>
      </c>
      <c r="W20" s="91"/>
      <c r="X20" s="144">
        <f>1860.60782948624*1.019</f>
        <v>1895.9593782464783</v>
      </c>
      <c r="Y20" s="168">
        <f>-186.993678074444*1.019</f>
        <v>-190.54655795785843</v>
      </c>
      <c r="Z20" s="168">
        <f>-748.978771281565*1.019</f>
        <v>-763.20936793591466</v>
      </c>
      <c r="AA20" s="190">
        <f>5874*1.019</f>
        <v>5985.6059999999998</v>
      </c>
      <c r="AB20" s="125">
        <f t="shared" si="3"/>
        <v>6927.8094523527052</v>
      </c>
      <c r="AC20" s="18"/>
      <c r="AD20" s="42" t="s">
        <v>59</v>
      </c>
      <c r="AE20" s="211">
        <v>2.9125750516400619E-2</v>
      </c>
      <c r="AF20" s="211">
        <v>2.150558326488251E-2</v>
      </c>
      <c r="AG20" s="211">
        <v>4.3378995433789952E-2</v>
      </c>
      <c r="AH20" s="211">
        <v>4.0892321536399996E-2</v>
      </c>
      <c r="AI20" s="211">
        <v>3.6606498194945845E-2</v>
      </c>
      <c r="AJ20" s="58">
        <f>SUM(AE20*'Översikt fördelning'!$C$33)</f>
        <v>45027.300751242678</v>
      </c>
      <c r="AK20" s="5">
        <f>SUM(AF20*'Översikt fördelning'!$C$34)</f>
        <v>5782.0543427996472</v>
      </c>
      <c r="AL20" s="5">
        <f>SUM(AG20*'Översikt fördelning'!$C$35)</f>
        <v>9330.4033969190386</v>
      </c>
      <c r="AM20" s="5">
        <f>SUM(AH20*'Översikt fördelning'!$C$36)</f>
        <v>14292.758728689647</v>
      </c>
      <c r="AN20" s="5">
        <f>SUM(AI20*'Översikt fördelning'!$C$37)</f>
        <v>11318.450336553566</v>
      </c>
      <c r="AO20" s="59">
        <f t="shared" si="4"/>
        <v>85750.967556204574</v>
      </c>
      <c r="AQ20" s="3" t="s">
        <v>59</v>
      </c>
      <c r="AR20" s="4">
        <f t="shared" si="10"/>
        <v>64713.064067590902</v>
      </c>
      <c r="AS20" s="14">
        <f t="shared" si="5"/>
        <v>6927.8094523527052</v>
      </c>
      <c r="AT20" s="14">
        <f t="shared" si="6"/>
        <v>47080.056778945276</v>
      </c>
      <c r="AU20" s="14">
        <f>1000+15000+1500+3334+200+10000+8150</f>
        <v>39184</v>
      </c>
      <c r="AV20" s="14">
        <f>AO20</f>
        <v>85750.967556204574</v>
      </c>
      <c r="AW20" s="214">
        <f t="shared" si="7"/>
        <v>243655.89785509347</v>
      </c>
      <c r="AX20" s="215">
        <f t="shared" si="8"/>
        <v>5.5145930697495411E-2</v>
      </c>
      <c r="AY20" s="156">
        <f t="shared" si="0"/>
        <v>3.1893933600272574E-2</v>
      </c>
      <c r="AZ20" s="230"/>
      <c r="BA20" s="221"/>
    </row>
    <row r="21" spans="1:53" ht="10.5" x14ac:dyDescent="0.25">
      <c r="A21" s="42" t="s">
        <v>60</v>
      </c>
      <c r="B21" s="88"/>
      <c r="C21" s="4"/>
      <c r="D21" s="14"/>
      <c r="E21" s="14">
        <f>1062.54381784819*1.019</f>
        <v>1082.7321503873054</v>
      </c>
      <c r="F21" s="14"/>
      <c r="G21" s="14"/>
      <c r="H21" s="14"/>
      <c r="I21" s="14"/>
      <c r="J21" s="14"/>
      <c r="K21" s="14">
        <f t="shared" si="9"/>
        <v>1860.7990580659484</v>
      </c>
      <c r="L21" s="14"/>
      <c r="M21" s="14"/>
      <c r="N21" s="14">
        <v>-4884.4362982217781</v>
      </c>
      <c r="O21" s="14"/>
      <c r="P21" s="127"/>
      <c r="Q21" s="14">
        <v>-564</v>
      </c>
      <c r="R21" s="14"/>
      <c r="S21" s="14"/>
      <c r="T21" s="14"/>
      <c r="U21" s="14">
        <f>2994+1350</f>
        <v>4344</v>
      </c>
      <c r="V21" s="53">
        <f t="shared" si="2"/>
        <v>1839.0949102314758</v>
      </c>
      <c r="W21" s="91"/>
      <c r="X21" s="144">
        <f>-1555.28370475498*1.019</f>
        <v>-1584.8340951453245</v>
      </c>
      <c r="Y21" s="168">
        <f>-282.398615871222*1.019</f>
        <v>-287.76418957277519</v>
      </c>
      <c r="Z21" s="168">
        <f>-476.056390398598*1.019</f>
        <v>-485.10146181617131</v>
      </c>
      <c r="AA21" s="190"/>
      <c r="AB21" s="125">
        <f t="shared" si="3"/>
        <v>-2357.6997465342711</v>
      </c>
      <c r="AC21" s="18"/>
      <c r="AD21" s="42" t="s">
        <v>60</v>
      </c>
      <c r="AE21" s="211">
        <v>2.6555128540543704E-2</v>
      </c>
      <c r="AF21" s="211">
        <v>1.2635801225703939E-2</v>
      </c>
      <c r="AG21" s="211">
        <v>2.7397260273972601E-2</v>
      </c>
      <c r="AH21" s="211">
        <v>3.1739887695390372E-2</v>
      </c>
      <c r="AI21" s="211">
        <v>2.4837545126353791E-2</v>
      </c>
      <c r="AJ21" s="58">
        <f>SUM(AE21*'Översikt fördelning'!$C$33)</f>
        <v>41053.2171045574</v>
      </c>
      <c r="AK21" s="5">
        <f>SUM(AF21*'Översikt fördelning'!$C$34)</f>
        <v>3397.2986666741172</v>
      </c>
      <c r="AL21" s="5">
        <f>SUM(AG21*'Översikt fördelning'!$C$35)</f>
        <v>5892.8863559488664</v>
      </c>
      <c r="AM21" s="5">
        <f>SUM(AH21*'Översikt fördelning'!$C$36)</f>
        <v>11093.783376962498</v>
      </c>
      <c r="AN21" s="5">
        <f>SUM(AI21*'Översikt fördelning'!$C$37)</f>
        <v>7679.579715531414</v>
      </c>
      <c r="AO21" s="59">
        <f t="shared" si="4"/>
        <v>69116.7652196743</v>
      </c>
      <c r="AQ21" s="3" t="s">
        <v>60</v>
      </c>
      <c r="AR21" s="4">
        <f t="shared" si="10"/>
        <v>1839.0949102314758</v>
      </c>
      <c r="AS21" s="14">
        <f t="shared" si="5"/>
        <v>-2357.6997465342711</v>
      </c>
      <c r="AT21" s="14">
        <f t="shared" si="6"/>
        <v>47080.056778945276</v>
      </c>
      <c r="AU21" s="14">
        <f>30000+1200</f>
        <v>31200</v>
      </c>
      <c r="AV21" s="14">
        <f t="shared" si="11"/>
        <v>69116.7652196743</v>
      </c>
      <c r="AW21" s="214">
        <f>SUM(AR21:AV21)</f>
        <v>146878.21716231678</v>
      </c>
      <c r="AX21" s="215">
        <f t="shared" si="8"/>
        <v>3.3242519700556812E-2</v>
      </c>
      <c r="AY21" s="156">
        <f>AV21/$AV$28</f>
        <v>2.5707062945232267E-2</v>
      </c>
      <c r="AZ21" s="230"/>
      <c r="BA21" s="221"/>
    </row>
    <row r="22" spans="1:53" ht="10.5" x14ac:dyDescent="0.25">
      <c r="A22" s="42" t="s">
        <v>61</v>
      </c>
      <c r="B22" s="88"/>
      <c r="C22" s="4"/>
      <c r="D22" s="14"/>
      <c r="E22" s="14">
        <f>1427.79325626595*1.019</f>
        <v>1454.921328135003</v>
      </c>
      <c r="F22" s="14"/>
      <c r="G22" s="14"/>
      <c r="H22" s="14"/>
      <c r="I22" s="14"/>
      <c r="J22" s="14"/>
      <c r="K22" s="14">
        <f t="shared" si="9"/>
        <v>1860.7990580659484</v>
      </c>
      <c r="L22" s="14"/>
      <c r="M22" s="14"/>
      <c r="N22" s="14">
        <v>-4745.7322804977684</v>
      </c>
      <c r="O22" s="14"/>
      <c r="P22" s="127"/>
      <c r="Q22" s="14">
        <v>-586</v>
      </c>
      <c r="R22" s="14"/>
      <c r="S22" s="14"/>
      <c r="T22" s="14"/>
      <c r="U22" s="14">
        <v>7299</v>
      </c>
      <c r="V22" s="53">
        <f t="shared" si="2"/>
        <v>5282.9881057031835</v>
      </c>
      <c r="W22" s="91"/>
      <c r="X22" s="144">
        <f>1581.45434402313*1.019</f>
        <v>1611.5019765595694</v>
      </c>
      <c r="Y22" s="168">
        <f>1050.72638155102*1.019</f>
        <v>1070.6901828004893</v>
      </c>
      <c r="Z22" s="168">
        <f>2432.62323051848*1.019</f>
        <v>2478.8430718983309</v>
      </c>
      <c r="AA22" s="190">
        <f>-3249*1.019</f>
        <v>-3310.7309999999998</v>
      </c>
      <c r="AB22" s="125">
        <f t="shared" si="3"/>
        <v>1850.3042312583893</v>
      </c>
      <c r="AC22" s="18"/>
      <c r="AD22" s="42" t="s">
        <v>61</v>
      </c>
      <c r="AE22" s="211">
        <v>2.7064020453903631E-2</v>
      </c>
      <c r="AF22" s="211">
        <v>6.7502179630435546E-2</v>
      </c>
      <c r="AG22" s="211">
        <v>5.9360730593607303E-2</v>
      </c>
      <c r="AH22" s="211">
        <v>3.9900346961187397E-2</v>
      </c>
      <c r="AI22" s="211">
        <v>3.1732851985559564E-2</v>
      </c>
      <c r="AJ22" s="58">
        <f>SUM(AE22*'Översikt fördelning'!$C$33)</f>
        <v>41839.94461634563</v>
      </c>
      <c r="AK22" s="5">
        <f>SUM(AF22*'Översikt fördelning'!$C$34)</f>
        <v>18148.834471183269</v>
      </c>
      <c r="AL22" s="5">
        <f>SUM(AG22*'Översikt fördelning'!$C$35)</f>
        <v>12767.92043788921</v>
      </c>
      <c r="AM22" s="5">
        <f>SUM(AH22*'Översikt fördelning'!$C$36)</f>
        <v>13946.041967796344</v>
      </c>
      <c r="AN22" s="5">
        <f>SUM(AI22*'Översikt fördelning'!$C$37)</f>
        <v>9811.5560609769072</v>
      </c>
      <c r="AO22" s="59">
        <f t="shared" si="4"/>
        <v>96514.297554191347</v>
      </c>
      <c r="AQ22" s="3" t="s">
        <v>61</v>
      </c>
      <c r="AR22" s="4">
        <f t="shared" si="10"/>
        <v>5282.9881057031835</v>
      </c>
      <c r="AS22" s="14">
        <f t="shared" si="5"/>
        <v>1850.3042312583893</v>
      </c>
      <c r="AT22" s="14">
        <f t="shared" si="6"/>
        <v>47080.056778945276</v>
      </c>
      <c r="AU22" s="14">
        <f>3500+3333</f>
        <v>6833</v>
      </c>
      <c r="AV22" s="14">
        <f t="shared" si="11"/>
        <v>96514.297554191347</v>
      </c>
      <c r="AW22" s="214">
        <f t="shared" si="7"/>
        <v>157560.64667009818</v>
      </c>
      <c r="AX22" s="215">
        <f t="shared" si="8"/>
        <v>3.5660242901607075E-2</v>
      </c>
      <c r="AY22" s="156">
        <f t="shared" si="0"/>
        <v>3.5897211254820434E-2</v>
      </c>
      <c r="AZ22" s="230"/>
      <c r="BA22" s="221"/>
    </row>
    <row r="23" spans="1:53" ht="10.5" x14ac:dyDescent="0.25">
      <c r="A23" s="42" t="s">
        <v>62</v>
      </c>
      <c r="B23" s="102">
        <f>(2477.8632*1.019)+(10000*1.019)</f>
        <v>12714.942600799997</v>
      </c>
      <c r="C23" s="4"/>
      <c r="D23" s="14"/>
      <c r="E23" s="14">
        <f t="shared" ref="E23:E27" si="13">1427.79325626595*1.019</f>
        <v>1454.921328135003</v>
      </c>
      <c r="F23" s="14"/>
      <c r="G23" s="14"/>
      <c r="H23" s="14"/>
      <c r="I23" s="14">
        <f>1046.8255504558*1.019</f>
        <v>1066.7152359144602</v>
      </c>
      <c r="J23" s="14"/>
      <c r="K23" s="14">
        <f t="shared" si="9"/>
        <v>1860.7990580659484</v>
      </c>
      <c r="L23" s="14">
        <f>4195.62192692567*1.019</f>
        <v>4275.338743537257</v>
      </c>
      <c r="M23" s="14"/>
      <c r="N23" s="14">
        <v>-4756.0066521810286</v>
      </c>
      <c r="O23" s="14"/>
      <c r="P23" s="127"/>
      <c r="Q23" s="14">
        <v>-450</v>
      </c>
      <c r="R23" s="14"/>
      <c r="S23" s="14">
        <v>750</v>
      </c>
      <c r="T23" s="14"/>
      <c r="U23" s="14">
        <v>5835</v>
      </c>
      <c r="V23" s="53">
        <f t="shared" si="2"/>
        <v>22751.710314271637</v>
      </c>
      <c r="W23" s="91"/>
      <c r="X23" s="144">
        <f>-1581.45434402313*1.019</f>
        <v>-1611.5019765595694</v>
      </c>
      <c r="Y23" s="168">
        <f>-354.906368585272*1.019</f>
        <v>-361.64958958839213</v>
      </c>
      <c r="Z23" s="168">
        <f>-596.939819374159*1.019</f>
        <v>-608.28167594226795</v>
      </c>
      <c r="AA23" s="190"/>
      <c r="AB23" s="125">
        <f t="shared" si="3"/>
        <v>-2581.4332420902297</v>
      </c>
      <c r="AC23" s="18"/>
      <c r="AD23" s="42" t="s">
        <v>62</v>
      </c>
      <c r="AE23" s="211">
        <v>2.6876255583124207E-2</v>
      </c>
      <c r="AF23" s="211">
        <v>4.3837465066748849E-2</v>
      </c>
      <c r="AG23" s="211">
        <v>3.8812785388127852E-2</v>
      </c>
      <c r="AH23" s="211">
        <v>4.2021407084702839E-2</v>
      </c>
      <c r="AI23" s="211">
        <v>3.2274368231046929E-2</v>
      </c>
      <c r="AJ23" s="58">
        <f>SUM(AE23*'Översikt fördelning'!$C$33)</f>
        <v>41549.667279034009</v>
      </c>
      <c r="AK23" s="5">
        <f>SUM(AF23*'Översikt fördelning'!$C$34)</f>
        <v>11786.26973956234</v>
      </c>
      <c r="AL23" s="5">
        <f>SUM(AG23*'Översikt fördelning'!$C$35)</f>
        <v>8348.2556709275595</v>
      </c>
      <c r="AM23" s="5">
        <f>SUM(AH23*'Översikt fördelning'!$C$36)</f>
        <v>14687.398766711893</v>
      </c>
      <c r="AN23" s="5">
        <f>SUM(AI23*'Översikt fördelning'!$C$37)</f>
        <v>9978.9887582632036</v>
      </c>
      <c r="AO23" s="59">
        <f t="shared" si="4"/>
        <v>86350.580214499001</v>
      </c>
      <c r="AQ23" s="3" t="s">
        <v>62</v>
      </c>
      <c r="AR23" s="4">
        <f t="shared" si="10"/>
        <v>22751.710314271637</v>
      </c>
      <c r="AS23" s="14">
        <f t="shared" si="5"/>
        <v>-2581.4332420902297</v>
      </c>
      <c r="AT23" s="14">
        <f t="shared" si="6"/>
        <v>47080.056778945276</v>
      </c>
      <c r="AU23" s="14">
        <f>3000</f>
        <v>3000</v>
      </c>
      <c r="AV23" s="14">
        <f t="shared" si="11"/>
        <v>86350.580214499001</v>
      </c>
      <c r="AW23" s="214">
        <f t="shared" si="7"/>
        <v>156600.91406562569</v>
      </c>
      <c r="AX23" s="215">
        <f t="shared" si="8"/>
        <v>3.5443029412583128E-2</v>
      </c>
      <c r="AY23" s="156">
        <f t="shared" si="0"/>
        <v>3.2116951565603298E-2</v>
      </c>
      <c r="BA23" s="221"/>
    </row>
    <row r="24" spans="1:53" ht="10.5" x14ac:dyDescent="0.25">
      <c r="A24" s="42" t="s">
        <v>63</v>
      </c>
      <c r="B24" s="14">
        <v>5700</v>
      </c>
      <c r="C24" s="4"/>
      <c r="D24" s="14"/>
      <c r="E24" s="14">
        <f t="shared" si="13"/>
        <v>1454.921328135003</v>
      </c>
      <c r="F24" s="14"/>
      <c r="G24" s="14"/>
      <c r="H24" s="14"/>
      <c r="I24" s="14">
        <f>2093.6511009116*1.019</f>
        <v>2133.4304718289204</v>
      </c>
      <c r="J24" s="14">
        <f>3165.8707226397*1.019</f>
        <v>3226.0222663698542</v>
      </c>
      <c r="K24" s="14">
        <f t="shared" si="9"/>
        <v>1860.7990580659484</v>
      </c>
      <c r="L24" s="14"/>
      <c r="M24" s="14"/>
      <c r="N24" s="14">
        <v>-9915.7961115141734</v>
      </c>
      <c r="O24" s="14"/>
      <c r="P24" s="127"/>
      <c r="Q24" s="14">
        <v>-513</v>
      </c>
      <c r="R24" s="14"/>
      <c r="S24" s="14"/>
      <c r="T24" s="14"/>
      <c r="U24" s="14">
        <f>6108+1350</f>
        <v>7458</v>
      </c>
      <c r="V24" s="53">
        <f t="shared" si="2"/>
        <v>11404.377012885552</v>
      </c>
      <c r="W24" s="91"/>
      <c r="X24" s="144">
        <f>1944.1046309517*1.019</f>
        <v>1981.0426189397822</v>
      </c>
      <c r="Y24" s="168">
        <f>267.13382581607*1.019</f>
        <v>272.20936850657529</v>
      </c>
      <c r="Z24" s="168">
        <f>638.065109644194*1.019</f>
        <v>650.18834672743355</v>
      </c>
      <c r="AA24" s="190">
        <f>-1937*1.019</f>
        <v>-1973.8029999999999</v>
      </c>
      <c r="AB24" s="125">
        <f t="shared" si="3"/>
        <v>929.6373341737908</v>
      </c>
      <c r="AC24" s="18"/>
      <c r="AD24" s="42" t="s">
        <v>63</v>
      </c>
      <c r="AE24" s="211">
        <v>2.2805498072765499E-2</v>
      </c>
      <c r="AF24" s="211">
        <v>5.1306661641693084E-2</v>
      </c>
      <c r="AG24" s="211">
        <v>2.5114155251141551E-2</v>
      </c>
      <c r="AH24" s="211">
        <v>5.999973849703135E-2</v>
      </c>
      <c r="AI24" s="211">
        <v>3.1588447653429601E-2</v>
      </c>
      <c r="AJ24" s="58">
        <f>SUM(AE24*'Översikt fördelning'!$C$33)</f>
        <v>35256.431243756968</v>
      </c>
      <c r="AK24" s="5">
        <f>SUM(AF24*'Översikt fördelning'!$C$34)</f>
        <v>13794.459890066333</v>
      </c>
      <c r="AL24" s="5">
        <f>SUM(AG24*'Översikt fördelning'!$C$35)</f>
        <v>5401.8124929531277</v>
      </c>
      <c r="AM24" s="5">
        <f>SUM(AH24*'Översikt fördelning'!$C$36)</f>
        <v>20971.217918238974</v>
      </c>
      <c r="AN24" s="5">
        <f>SUM(AI24*'Översikt fördelning'!$C$37)</f>
        <v>9766.907341700562</v>
      </c>
      <c r="AO24" s="59">
        <f t="shared" si="4"/>
        <v>85190.828886715957</v>
      </c>
      <c r="AQ24" s="3" t="s">
        <v>63</v>
      </c>
      <c r="AR24" s="4">
        <f t="shared" si="10"/>
        <v>11404.377012885552</v>
      </c>
      <c r="AS24" s="14">
        <f>SUM(AB24)</f>
        <v>929.6373341737908</v>
      </c>
      <c r="AT24" s="14">
        <f t="shared" si="6"/>
        <v>47080.056778945276</v>
      </c>
      <c r="AU24" s="14">
        <f>300+1000+3500</f>
        <v>4800</v>
      </c>
      <c r="AV24" s="14">
        <f t="shared" si="11"/>
        <v>85190.828886715957</v>
      </c>
      <c r="AW24" s="214">
        <f>SUM(AR24:AV24)</f>
        <v>149404.90001272058</v>
      </c>
      <c r="AX24" s="215">
        <f t="shared" si="8"/>
        <v>3.3814376481326319E-2</v>
      </c>
      <c r="AY24" s="156">
        <f t="shared" si="0"/>
        <v>3.168559746085927E-2</v>
      </c>
      <c r="AZ24" s="230"/>
      <c r="BA24" s="221"/>
    </row>
    <row r="25" spans="1:53" ht="10.5" x14ac:dyDescent="0.25">
      <c r="A25" s="42" t="s">
        <v>64</v>
      </c>
      <c r="B25" s="88"/>
      <c r="C25" s="4"/>
      <c r="D25" s="14">
        <f>4586.3209789518*1.019</f>
        <v>4673.4610775518831</v>
      </c>
      <c r="E25" s="14">
        <f t="shared" si="13"/>
        <v>1454.921328135003</v>
      </c>
      <c r="F25" s="14">
        <f>5756.58881122507*1.019</f>
        <v>5865.9639986383454</v>
      </c>
      <c r="G25" s="14"/>
      <c r="H25" s="14"/>
      <c r="I25" s="14"/>
      <c r="J25" s="14"/>
      <c r="K25" s="14">
        <f t="shared" si="9"/>
        <v>1860.7990580659484</v>
      </c>
      <c r="L25" s="14"/>
      <c r="M25" s="14"/>
      <c r="N25" s="14">
        <v>-5290.273979710546</v>
      </c>
      <c r="O25" s="14"/>
      <c r="P25" s="127"/>
      <c r="Q25" s="14">
        <v>-621</v>
      </c>
      <c r="R25" s="14">
        <f>2000*1.019</f>
        <v>2037.9999999999998</v>
      </c>
      <c r="S25" s="14"/>
      <c r="T25" s="14"/>
      <c r="U25" s="14">
        <v>7211</v>
      </c>
      <c r="V25" s="53">
        <f t="shared" si="2"/>
        <v>17192.871482680632</v>
      </c>
      <c r="W25" s="91"/>
      <c r="X25" s="144">
        <f>-1944.1046309517*1.019</f>
        <v>-1981.0426189397822</v>
      </c>
      <c r="Y25" s="168">
        <f>-353.634302756218*1.019</f>
        <v>-360.35335450858611</v>
      </c>
      <c r="Z25" s="168">
        <f>-638.065109644194*1.019</f>
        <v>-650.18834672743355</v>
      </c>
      <c r="AA25" s="190"/>
      <c r="AB25" s="125">
        <f t="shared" si="3"/>
        <v>-2991.5843201758016</v>
      </c>
      <c r="AC25" s="18"/>
      <c r="AD25" s="42" t="s">
        <v>64</v>
      </c>
      <c r="AE25" s="211">
        <v>1.2546528002750358E-2</v>
      </c>
      <c r="AF25" s="211">
        <v>0.12010747547408834</v>
      </c>
      <c r="AG25" s="211">
        <v>3.4246575342465752E-2</v>
      </c>
      <c r="AH25" s="211">
        <v>2.2970507961424833E-2</v>
      </c>
      <c r="AI25" s="211">
        <v>2.236462093862816E-2</v>
      </c>
      <c r="AJ25" s="58">
        <f>SUM(AE25*'Översikt fördelning'!$C$33)</f>
        <v>19396.454331558412</v>
      </c>
      <c r="AK25" s="5">
        <f>SUM(AF25*'Översikt fördelning'!$C$34)</f>
        <v>32292.448970760273</v>
      </c>
      <c r="AL25" s="5">
        <f>SUM(AG25*'Översikt fördelning'!$C$35)</f>
        <v>7366.1079449360823</v>
      </c>
      <c r="AM25" s="5">
        <f>SUM(AH25*'Översikt fördelning'!$C$36)</f>
        <v>8028.6937946490852</v>
      </c>
      <c r="AN25" s="5">
        <f>SUM(AI25*'Översikt fördelning'!$C$37)</f>
        <v>6914.9703979239985</v>
      </c>
      <c r="AO25" s="59">
        <f t="shared" si="4"/>
        <v>73998.675439827857</v>
      </c>
      <c r="AQ25" s="3" t="s">
        <v>64</v>
      </c>
      <c r="AR25" s="4">
        <f t="shared" si="10"/>
        <v>17192.871482680632</v>
      </c>
      <c r="AS25" s="14">
        <f t="shared" si="5"/>
        <v>-2991.5843201758016</v>
      </c>
      <c r="AT25" s="14">
        <f t="shared" si="6"/>
        <v>47080.056778945276</v>
      </c>
      <c r="AU25" s="14"/>
      <c r="AV25" s="14">
        <f t="shared" si="11"/>
        <v>73998.675439827857</v>
      </c>
      <c r="AW25" s="214">
        <f>SUM(AR25:AV25)</f>
        <v>135280.01938127796</v>
      </c>
      <c r="AX25" s="215">
        <f t="shared" si="8"/>
        <v>3.0617533329697896E-2</v>
      </c>
      <c r="AY25" s="156">
        <f t="shared" si="0"/>
        <v>2.7522824619315017E-2</v>
      </c>
      <c r="AZ25" s="230"/>
      <c r="BA25" s="221"/>
    </row>
    <row r="26" spans="1:53" ht="10.5" x14ac:dyDescent="0.25">
      <c r="A26" s="42" t="s">
        <v>65</v>
      </c>
      <c r="B26" s="88"/>
      <c r="C26" s="14"/>
      <c r="D26" s="14">
        <f>4881.1847381101*1.019</f>
        <v>4973.9272481341914</v>
      </c>
      <c r="E26" s="14">
        <f t="shared" si="13"/>
        <v>1454.921328135003</v>
      </c>
      <c r="F26" s="14">
        <f>3564.68437399306*1.019</f>
        <v>3632.4133770989279</v>
      </c>
      <c r="G26" s="14"/>
      <c r="H26" s="14"/>
      <c r="I26" s="14">
        <f>1046.8255504558*1.019</f>
        <v>1066.7152359144602</v>
      </c>
      <c r="J26" s="14"/>
      <c r="K26" s="14">
        <f t="shared" si="9"/>
        <v>1860.7990580659484</v>
      </c>
      <c r="L26" s="14"/>
      <c r="M26" s="14"/>
      <c r="N26" s="14">
        <v>-8229.7717182912165</v>
      </c>
      <c r="O26" s="14"/>
      <c r="P26" s="127"/>
      <c r="Q26" s="14">
        <v>-636</v>
      </c>
      <c r="R26" s="14">
        <f>2000*1.019</f>
        <v>2037.9999999999998</v>
      </c>
      <c r="S26" s="14"/>
      <c r="T26" s="14"/>
      <c r="U26" s="14">
        <v>7128</v>
      </c>
      <c r="V26" s="53">
        <f t="shared" si="2"/>
        <v>13289.004529057314</v>
      </c>
      <c r="W26" s="91"/>
      <c r="X26" s="144"/>
      <c r="Y26" s="168">
        <f>-181.905414726276*1.019</f>
        <v>-185.36161760607524</v>
      </c>
      <c r="Z26" s="168">
        <f>-756.456096785208*1.019</f>
        <v>-770.82876262412697</v>
      </c>
      <c r="AA26" s="190"/>
      <c r="AB26" s="125">
        <f t="shared" si="3"/>
        <v>-956.19038023020221</v>
      </c>
      <c r="AC26" s="18"/>
      <c r="AD26" s="42" t="s">
        <v>65</v>
      </c>
      <c r="AE26" s="211">
        <v>2.6553239557940291E-2</v>
      </c>
      <c r="AF26" s="211">
        <v>0.13167105518556493</v>
      </c>
      <c r="AG26" s="211">
        <v>6.1643835616438353E-2</v>
      </c>
      <c r="AH26" s="211">
        <v>5.2066841689844282E-2</v>
      </c>
      <c r="AI26" s="211">
        <v>3.7382671480144403E-2</v>
      </c>
      <c r="AJ26" s="58">
        <f>SUM(AE26*'Översikt fördelning'!$C$33)</f>
        <v>41050.296809413419</v>
      </c>
      <c r="AK26" s="5">
        <f>SUM(AF26*'Översikt fördelning'!$C$34)</f>
        <v>35401.467008798514</v>
      </c>
      <c r="AL26" s="5">
        <f>SUM(AG26*'Översikt fördelning'!$C$35)</f>
        <v>13258.99430088495</v>
      </c>
      <c r="AM26" s="5">
        <f>SUM(AH26*'Översikt fördelning'!$C$36)</f>
        <v>18198.497372554371</v>
      </c>
      <c r="AN26" s="5">
        <f>SUM(AI26*'Översikt fördelning'!$C$37)</f>
        <v>11558.437202663923</v>
      </c>
      <c r="AO26" s="59">
        <f t="shared" si="4"/>
        <v>119467.69269431518</v>
      </c>
      <c r="AQ26" s="60" t="s">
        <v>65</v>
      </c>
      <c r="AR26" s="14">
        <f t="shared" si="10"/>
        <v>13289.004529057314</v>
      </c>
      <c r="AS26" s="14">
        <f t="shared" si="5"/>
        <v>-956.19038023020221</v>
      </c>
      <c r="AT26" s="14">
        <f t="shared" si="6"/>
        <v>47080.056778945276</v>
      </c>
      <c r="AU26" s="14">
        <f>2500+10000+3500+3334</f>
        <v>19334</v>
      </c>
      <c r="AV26" s="14">
        <f t="shared" si="11"/>
        <v>119467.69269431518</v>
      </c>
      <c r="AW26" s="214">
        <f>SUM(AR26:AV26)</f>
        <v>198214.56362208759</v>
      </c>
      <c r="AX26" s="215">
        <f t="shared" si="8"/>
        <v>4.486132568495689E-2</v>
      </c>
      <c r="AY26" s="156">
        <f>AV26/$AV$28</f>
        <v>4.4434421753583593E-2</v>
      </c>
      <c r="AZ26" s="230"/>
      <c r="BA26" s="221"/>
    </row>
    <row r="27" spans="1:53" ht="10.5" x14ac:dyDescent="0.25">
      <c r="A27" s="42" t="s">
        <v>66</v>
      </c>
      <c r="B27" s="14"/>
      <c r="C27" s="14"/>
      <c r="D27" s="14">
        <f>7134.128475407*1.019</f>
        <v>7269.6769164397328</v>
      </c>
      <c r="E27" s="14">
        <f t="shared" si="13"/>
        <v>1454.921328135003</v>
      </c>
      <c r="F27" s="14">
        <f>7223.12434962133*1.019</f>
        <v>7360.3637122641348</v>
      </c>
      <c r="G27" s="14"/>
      <c r="H27" s="14"/>
      <c r="I27" s="14">
        <f>1046.8255504558*1.019</f>
        <v>1066.7152359144602</v>
      </c>
      <c r="J27" s="14">
        <f>3775.81956631*1.019</f>
        <v>3847.5601380698895</v>
      </c>
      <c r="K27" s="14">
        <f t="shared" si="9"/>
        <v>1860.7990580659484</v>
      </c>
      <c r="L27" s="14">
        <f>4195.62192692567*1.019</f>
        <v>4275.338743537257</v>
      </c>
      <c r="M27" s="14">
        <f>3261.2347981979*1.019</f>
        <v>3323.1982593636599</v>
      </c>
      <c r="N27" s="14">
        <v>-5249.1764929775063</v>
      </c>
      <c r="O27" s="14"/>
      <c r="P27" s="127">
        <f>22920.2346*1.019</f>
        <v>23355.719057399998</v>
      </c>
      <c r="Q27" s="14">
        <v>-594</v>
      </c>
      <c r="R27" s="14">
        <f>4000*1.019</f>
        <v>4075.9999999999995</v>
      </c>
      <c r="S27" s="217"/>
      <c r="T27" s="14">
        <v>4666.666666666667</v>
      </c>
      <c r="U27" s="217">
        <f>4526+1350</f>
        <v>5876</v>
      </c>
      <c r="V27" s="53">
        <f t="shared" si="2"/>
        <v>62589.782622879247</v>
      </c>
      <c r="W27" s="91"/>
      <c r="X27" s="144"/>
      <c r="Y27" s="168">
        <f>296.39134007549*1.019</f>
        <v>302.02277553692431</v>
      </c>
      <c r="Z27" s="168">
        <f>756.456096785208*1.019</f>
        <v>770.82876262412697</v>
      </c>
      <c r="AA27" s="190">
        <f>1937*1.019</f>
        <v>1973.8029999999999</v>
      </c>
      <c r="AB27" s="197">
        <f t="shared" si="3"/>
        <v>3046.6545381610513</v>
      </c>
      <c r="AC27" s="18"/>
      <c r="AD27" s="42" t="s">
        <v>66</v>
      </c>
      <c r="AE27" s="211">
        <v>2.3481942743048309E-2</v>
      </c>
      <c r="AF27" s="211">
        <v>0.23557930171607214</v>
      </c>
      <c r="AG27" s="211">
        <v>5.0228310502283102E-2</v>
      </c>
      <c r="AH27" s="211">
        <v>4.8287591054343798E-2</v>
      </c>
      <c r="AI27" s="211">
        <v>2.0361010830324908E-2</v>
      </c>
      <c r="AJ27" s="58">
        <f>SUM(AE27*'Översikt fördelning'!$C$33)</f>
        <v>36302.188934816229</v>
      </c>
      <c r="AK27" s="5">
        <f>SUM(AF27*'Översikt fördelning'!$C$34)</f>
        <v>63338.543660213756</v>
      </c>
      <c r="AL27" s="5">
        <f>SUM(AG27*'Översikt fördelning'!$C$35)</f>
        <v>10803.624985906255</v>
      </c>
      <c r="AM27" s="5">
        <f>SUM(AH27*'Översikt fördelning'!$C$36)</f>
        <v>16877.566804687893</v>
      </c>
      <c r="AN27" s="5">
        <f>SUM(AI27*'Översikt fördelning'!$C$37)</f>
        <v>6295.4694179647049</v>
      </c>
      <c r="AO27" s="59">
        <f t="shared" si="4"/>
        <v>133617.39380358881</v>
      </c>
      <c r="AQ27" s="60" t="s">
        <v>66</v>
      </c>
      <c r="AR27" s="14">
        <f t="shared" si="10"/>
        <v>62589.782622879247</v>
      </c>
      <c r="AS27" s="14">
        <f t="shared" si="5"/>
        <v>3046.6545381610513</v>
      </c>
      <c r="AT27" s="14">
        <f t="shared" si="6"/>
        <v>47080.056778945276</v>
      </c>
      <c r="AU27" s="14">
        <f>2500+1500</f>
        <v>4000</v>
      </c>
      <c r="AV27" s="14">
        <f t="shared" si="11"/>
        <v>133617.39380358881</v>
      </c>
      <c r="AW27" s="214">
        <f t="shared" si="7"/>
        <v>250333.88774357439</v>
      </c>
      <c r="AX27" s="215">
        <f>AW27/$AW$28</f>
        <v>5.6657340726271967E-2</v>
      </c>
      <c r="AY27" s="156">
        <f>AV27/$AV$28</f>
        <v>4.9697215171594686E-2</v>
      </c>
      <c r="AZ27" s="230"/>
      <c r="BA27" s="221"/>
    </row>
    <row r="28" spans="1:53" ht="10.5" x14ac:dyDescent="0.25">
      <c r="A28" s="61" t="s">
        <v>30</v>
      </c>
      <c r="B28" s="80">
        <f>SUM(B7:B27)</f>
        <v>179818.5666008</v>
      </c>
      <c r="C28" s="64">
        <f>SUM(C7:C27)</f>
        <v>18000</v>
      </c>
      <c r="D28" s="80">
        <f>SUM(D7:D27)</f>
        <v>16917.065242125809</v>
      </c>
      <c r="E28" s="62">
        <f t="shared" ref="E28:P28" si="14">SUM(E7:E27)</f>
        <v>14887.567076241936</v>
      </c>
      <c r="F28" s="62">
        <f t="shared" si="14"/>
        <v>16858.741088001407</v>
      </c>
      <c r="G28" s="62">
        <f t="shared" si="14"/>
        <v>22247.712577811428</v>
      </c>
      <c r="H28" s="62">
        <f t="shared" si="14"/>
        <v>0</v>
      </c>
      <c r="I28" s="62">
        <f>SUM(I7:I27)</f>
        <v>19048.486385674201</v>
      </c>
      <c r="J28" s="62">
        <f t="shared" si="14"/>
        <v>9651.6429591743654</v>
      </c>
      <c r="K28" s="62">
        <f t="shared" si="14"/>
        <v>41867.97896429275</v>
      </c>
      <c r="L28" s="62">
        <f t="shared" si="14"/>
        <v>23282.270928441169</v>
      </c>
      <c r="M28" s="62">
        <f t="shared" si="14"/>
        <v>16561.733541711299</v>
      </c>
      <c r="N28" s="80">
        <f t="shared" si="14"/>
        <v>-99400.43628686665</v>
      </c>
      <c r="O28" s="80">
        <f t="shared" si="14"/>
        <v>1500</v>
      </c>
      <c r="P28" s="80">
        <f t="shared" si="14"/>
        <v>141612.07866307109</v>
      </c>
      <c r="Q28" s="62">
        <f>SUM(Q7:Q27)</f>
        <v>-12224</v>
      </c>
      <c r="R28" s="62">
        <f>SUM(R7:R27)</f>
        <v>26493.999999999996</v>
      </c>
      <c r="S28" s="62">
        <f t="shared" ref="S28:U28" si="15">SUM(S7:S27)</f>
        <v>10000</v>
      </c>
      <c r="T28" s="62">
        <f t="shared" si="15"/>
        <v>28000.000000000004</v>
      </c>
      <c r="U28" s="62">
        <f t="shared" si="15"/>
        <v>110000</v>
      </c>
      <c r="V28" s="229">
        <f>SUM(V7:V27)</f>
        <v>585123.40774047875</v>
      </c>
      <c r="W28" s="91"/>
      <c r="X28" s="63">
        <f t="shared" ref="X28:Y28" si="16">SUM(X7:X27)</f>
        <v>-6.9434619945241138E-5</v>
      </c>
      <c r="Y28" s="126">
        <f t="shared" si="16"/>
        <v>-5.4569682106375694E-10</v>
      </c>
      <c r="Z28" s="126">
        <f>SUM(Z7:Z27)</f>
        <v>-4.0813574742060155E-11</v>
      </c>
      <c r="AA28" s="64">
        <f>SUM(AA7:AA27)</f>
        <v>0</v>
      </c>
      <c r="AB28" s="196">
        <f>SUM(X28:AA28)</f>
        <v>-6.9435206455636944E-5</v>
      </c>
      <c r="AC28" s="18"/>
      <c r="AD28" s="70" t="s">
        <v>30</v>
      </c>
      <c r="AE28" s="172">
        <f t="shared" ref="AE28:AI28" si="17">SUM(AE7:AE27)</f>
        <v>1</v>
      </c>
      <c r="AF28" s="172">
        <f t="shared" si="17"/>
        <v>0.99999999999999978</v>
      </c>
      <c r="AG28" s="172">
        <f t="shared" si="17"/>
        <v>1</v>
      </c>
      <c r="AH28" s="172">
        <f t="shared" si="17"/>
        <v>0.99999999999999989</v>
      </c>
      <c r="AI28" s="173">
        <f t="shared" si="17"/>
        <v>1</v>
      </c>
      <c r="AJ28" s="63">
        <f>SUM(AJ7:AJ27)</f>
        <v>1545961.9049434606</v>
      </c>
      <c r="AK28" s="64">
        <f t="shared" ref="AK28:AM28" si="18">SUM(AK7:AK27)</f>
        <v>268862.93999016698</v>
      </c>
      <c r="AL28" s="64">
        <f t="shared" si="18"/>
        <v>215090.3519921336</v>
      </c>
      <c r="AM28" s="64">
        <f t="shared" si="18"/>
        <v>349521.82198721718</v>
      </c>
      <c r="AN28" s="64">
        <f>SUM(AN7:AN27)</f>
        <v>309192.38098869211</v>
      </c>
      <c r="AO28" s="65">
        <f>SUM(AO7:AO27)</f>
        <v>2688629.3999016704</v>
      </c>
      <c r="AQ28" s="66" t="s">
        <v>67</v>
      </c>
      <c r="AR28" s="64">
        <f t="shared" ref="AR28:AY28" si="19">SUM(AR7:AR27)</f>
        <v>585123.40774047875</v>
      </c>
      <c r="AS28" s="64">
        <f t="shared" si="19"/>
        <v>-6.9435205205081729E-5</v>
      </c>
      <c r="AT28" s="64">
        <f t="shared" si="19"/>
        <v>988681.19235785061</v>
      </c>
      <c r="AU28" s="64">
        <f>SUM(AU7:AU27)</f>
        <v>155950</v>
      </c>
      <c r="AV28" s="64">
        <f t="shared" si="19"/>
        <v>2688629.3999016704</v>
      </c>
      <c r="AW28" s="63">
        <f>SUM(AW7:AW27)</f>
        <v>4418383.9999305643</v>
      </c>
      <c r="AX28" s="216">
        <f t="shared" si="19"/>
        <v>1.0000000000000002</v>
      </c>
      <c r="AY28" s="176">
        <f t="shared" si="19"/>
        <v>1</v>
      </c>
      <c r="AZ28" s="222"/>
      <c r="BA28" s="223"/>
    </row>
    <row r="29" spans="1:53" ht="13" x14ac:dyDescent="0.3">
      <c r="A29" s="225" t="s">
        <v>6</v>
      </c>
      <c r="B29" s="225"/>
      <c r="C29" s="103"/>
      <c r="D29" s="92"/>
      <c r="E29" s="92"/>
      <c r="F29" s="92"/>
      <c r="G29" s="189"/>
      <c r="H29" s="226"/>
      <c r="I29" s="189"/>
      <c r="J29" s="14"/>
      <c r="K29" s="92"/>
      <c r="L29" s="92"/>
      <c r="M29" s="92"/>
      <c r="N29" s="92"/>
      <c r="O29" s="92"/>
      <c r="P29" s="92"/>
      <c r="R29" s="227"/>
      <c r="S29" s="227"/>
      <c r="T29" s="227"/>
      <c r="U29" s="227"/>
      <c r="V29" s="227"/>
      <c r="W29" s="92"/>
      <c r="X29" s="225" t="s">
        <v>6</v>
      </c>
      <c r="Y29" s="92"/>
      <c r="Z29" s="92"/>
      <c r="AA29" s="92"/>
      <c r="AB29" s="92"/>
      <c r="AC29" s="18"/>
      <c r="AD29" s="225"/>
      <c r="AE29" s="67"/>
      <c r="AF29" s="67"/>
      <c r="AG29" s="67"/>
      <c r="AH29" s="67"/>
      <c r="AI29" s="67"/>
      <c r="AP29" s="223"/>
      <c r="AQ29" s="225" t="s">
        <v>6</v>
      </c>
      <c r="AR29" s="103"/>
      <c r="AS29" s="103"/>
      <c r="AT29" s="103"/>
      <c r="AU29" s="103"/>
      <c r="AV29" s="190"/>
      <c r="AW29" s="190"/>
      <c r="AX29" s="190"/>
      <c r="AY29" s="103"/>
      <c r="AZ29" s="228"/>
      <c r="BA29" s="223"/>
    </row>
    <row r="30" spans="1:53" x14ac:dyDescent="0.25">
      <c r="D30" s="163"/>
      <c r="E30" s="189"/>
      <c r="G30" s="14"/>
      <c r="I30" s="189"/>
      <c r="J30" s="14"/>
      <c r="K30" s="164"/>
      <c r="L30" s="166"/>
      <c r="P30" s="128"/>
      <c r="Q30" s="91"/>
      <c r="V30" s="190"/>
      <c r="AC30" s="18"/>
      <c r="AD30" s="18"/>
      <c r="AE30" s="6"/>
      <c r="AF30" s="6"/>
      <c r="AH30" s="6"/>
      <c r="AI30" s="6"/>
      <c r="AW30" s="79"/>
      <c r="AX30" s="79"/>
    </row>
    <row r="31" spans="1:53" ht="12.75" customHeight="1" x14ac:dyDescent="0.25">
      <c r="B31" s="103"/>
      <c r="C31" s="10"/>
      <c r="D31" s="163"/>
      <c r="G31" s="127"/>
      <c r="H31" s="166"/>
      <c r="I31" s="181"/>
      <c r="J31" s="164"/>
      <c r="K31" s="164"/>
      <c r="W31" s="128"/>
      <c r="X31" s="242"/>
      <c r="Y31" s="242"/>
      <c r="Z31" s="242"/>
      <c r="AA31" s="242"/>
      <c r="AB31" s="242"/>
      <c r="AC31" s="18"/>
      <c r="AD31" s="18"/>
      <c r="AH31" s="84"/>
      <c r="AI31" s="8"/>
      <c r="AQ31" s="10"/>
      <c r="AR31" s="10"/>
      <c r="AS31" s="10"/>
      <c r="AT31" s="10"/>
      <c r="AU31" s="10"/>
      <c r="AV31" s="15"/>
      <c r="AW31" s="15"/>
      <c r="AX31" s="15"/>
      <c r="AY31" s="15"/>
    </row>
    <row r="32" spans="1:53" ht="11.25" customHeight="1" x14ac:dyDescent="0.25">
      <c r="B32" s="102"/>
      <c r="C32" s="10"/>
      <c r="D32" s="163"/>
      <c r="E32" s="7"/>
      <c r="F32" s="169"/>
      <c r="G32" s="127"/>
      <c r="I32" s="166"/>
      <c r="J32" s="164"/>
      <c r="M32" s="167"/>
      <c r="U32" s="219"/>
      <c r="V32" s="128"/>
      <c r="W32" s="128"/>
      <c r="X32" s="242"/>
      <c r="Y32" s="242"/>
      <c r="Z32" s="242"/>
      <c r="AA32" s="242"/>
      <c r="AB32" s="242"/>
      <c r="AC32" s="18"/>
      <c r="AD32" s="18"/>
      <c r="AH32" s="84"/>
      <c r="AI32" s="9"/>
      <c r="AQ32" s="10"/>
      <c r="AR32" s="10"/>
      <c r="AS32" s="10"/>
      <c r="AT32" s="10"/>
      <c r="AU32" s="10"/>
      <c r="AV32" s="16"/>
      <c r="AW32" s="15"/>
      <c r="AX32" s="15"/>
      <c r="AY32" s="10"/>
    </row>
    <row r="33" spans="1:51" ht="16.5" customHeight="1" x14ac:dyDescent="0.35">
      <c r="B33" s="184"/>
      <c r="C33" s="206"/>
      <c r="E33" s="85"/>
      <c r="H33" s="201"/>
      <c r="U33" s="219"/>
      <c r="V33" s="128"/>
      <c r="W33" s="128"/>
      <c r="X33" s="88"/>
      <c r="Y33" s="129"/>
      <c r="Z33" s="180"/>
      <c r="AA33" s="180"/>
      <c r="AB33" s="182"/>
      <c r="AC33" s="18"/>
      <c r="AD33" s="184"/>
      <c r="AH33" s="84"/>
      <c r="AI33" s="9"/>
      <c r="AQ33" s="10"/>
      <c r="AR33" s="10"/>
      <c r="AS33" s="199"/>
      <c r="AT33" s="10"/>
      <c r="AU33" s="10"/>
    </row>
    <row r="34" spans="1:51" ht="17.5" x14ac:dyDescent="0.25">
      <c r="C34" s="18"/>
      <c r="D34" s="85"/>
      <c r="E34" s="1"/>
      <c r="F34" s="20"/>
      <c r="P34" s="118"/>
      <c r="Q34" s="128"/>
      <c r="R34" s="118"/>
      <c r="S34" s="118"/>
      <c r="T34" s="118"/>
      <c r="U34" s="219"/>
      <c r="V34" s="128"/>
      <c r="W34" s="88"/>
      <c r="X34" s="129"/>
      <c r="Y34" s="5"/>
      <c r="Z34" s="180"/>
      <c r="AA34" s="180"/>
      <c r="AB34" s="182"/>
      <c r="AC34" s="18"/>
      <c r="AD34" s="164"/>
      <c r="AG34" s="84"/>
      <c r="AH34" s="9"/>
      <c r="AJ34" s="6"/>
      <c r="AK34" s="6"/>
      <c r="AL34" s="6"/>
      <c r="AM34" s="6"/>
      <c r="AN34" s="6"/>
      <c r="AO34" s="6"/>
      <c r="AP34" s="16"/>
      <c r="AQ34" s="16"/>
      <c r="AR34" s="16"/>
      <c r="AS34" s="16"/>
      <c r="AT34" s="16"/>
      <c r="AU34" s="16"/>
      <c r="AV34" s="17"/>
      <c r="AW34" s="16"/>
      <c r="AX34" s="16"/>
    </row>
    <row r="35" spans="1:51" ht="17.5" x14ac:dyDescent="0.35">
      <c r="B35" s="7"/>
      <c r="C35" s="18"/>
      <c r="D35" s="85"/>
      <c r="E35" s="1"/>
      <c r="F35" s="20"/>
      <c r="P35" s="118"/>
      <c r="Q35" s="128"/>
      <c r="R35" s="118"/>
      <c r="S35" s="75"/>
      <c r="T35" s="212"/>
      <c r="U35" s="219"/>
      <c r="V35" s="128"/>
      <c r="W35" s="88"/>
      <c r="X35" s="129"/>
      <c r="Y35" s="5"/>
      <c r="Z35" s="180"/>
      <c r="AA35" s="180"/>
      <c r="AB35" s="182"/>
      <c r="AC35" s="18"/>
      <c r="AD35" s="164"/>
      <c r="AG35" s="84"/>
      <c r="AH35" s="9"/>
    </row>
    <row r="36" spans="1:51" ht="17.5" x14ac:dyDescent="0.25">
      <c r="E36" s="85"/>
      <c r="P36" s="118"/>
      <c r="R36" s="118"/>
      <c r="S36" s="118"/>
      <c r="T36" s="118"/>
      <c r="U36" s="219"/>
      <c r="V36" s="128"/>
      <c r="W36" s="128"/>
      <c r="X36" s="88"/>
      <c r="Y36" s="129"/>
      <c r="Z36" s="180"/>
      <c r="AA36" s="180"/>
      <c r="AB36" s="182"/>
      <c r="AC36" s="18"/>
      <c r="AD36" s="164"/>
      <c r="AE36" s="10"/>
      <c r="AH36" s="84"/>
      <c r="AI36" s="9"/>
    </row>
    <row r="37" spans="1:51" x14ac:dyDescent="0.25">
      <c r="E37" s="82"/>
      <c r="F37" s="83"/>
      <c r="J37" s="14"/>
      <c r="P37" s="118"/>
      <c r="R37" s="118"/>
      <c r="S37" s="118"/>
      <c r="T37" s="118"/>
      <c r="U37" s="219"/>
      <c r="V37" s="128"/>
      <c r="W37" s="128"/>
      <c r="X37" s="88"/>
      <c r="Y37" s="129"/>
      <c r="Z37" s="180"/>
      <c r="AA37" s="180"/>
      <c r="AB37" s="182"/>
      <c r="AC37" s="18"/>
      <c r="AD37" s="164"/>
      <c r="AE37" s="10"/>
      <c r="AH37" s="84"/>
      <c r="AI37" s="9"/>
    </row>
    <row r="38" spans="1:51" x14ac:dyDescent="0.25">
      <c r="E38" s="82"/>
      <c r="F38" s="83"/>
      <c r="P38" s="118"/>
      <c r="R38" s="118"/>
      <c r="S38" s="118"/>
      <c r="T38" s="118"/>
      <c r="U38" s="219"/>
      <c r="V38" s="128"/>
      <c r="W38" s="128"/>
      <c r="X38" s="88"/>
      <c r="Y38" s="129"/>
      <c r="Z38" s="180"/>
      <c r="AA38" s="180"/>
      <c r="AB38" s="182"/>
      <c r="AC38" s="18"/>
      <c r="AD38" s="164"/>
      <c r="AH38" s="84"/>
      <c r="AI38" s="9"/>
    </row>
    <row r="39" spans="1:51" x14ac:dyDescent="0.25">
      <c r="P39" s="118"/>
      <c r="R39" s="118"/>
      <c r="S39" s="118"/>
      <c r="T39" s="118"/>
      <c r="U39" s="220"/>
      <c r="V39" s="128"/>
      <c r="W39" s="128"/>
      <c r="X39" s="88"/>
      <c r="Y39" s="129"/>
      <c r="Z39" s="180"/>
      <c r="AA39" s="180"/>
      <c r="AB39" s="182"/>
      <c r="AC39" s="18"/>
      <c r="AD39" s="164"/>
      <c r="AH39" s="84"/>
      <c r="AI39" s="9"/>
    </row>
    <row r="40" spans="1:51" x14ac:dyDescent="0.25">
      <c r="P40" s="118"/>
      <c r="R40" s="118"/>
      <c r="S40" s="118"/>
      <c r="T40" s="118"/>
      <c r="U40" s="219"/>
      <c r="V40" s="128"/>
      <c r="W40" s="128"/>
      <c r="X40" s="88"/>
      <c r="Y40" s="129"/>
      <c r="Z40" s="180"/>
      <c r="AA40" s="180"/>
      <c r="AB40" s="182"/>
      <c r="AC40" s="18"/>
      <c r="AD40" s="164"/>
      <c r="AE40" s="11"/>
      <c r="AF40" s="12"/>
      <c r="AH40" s="84"/>
      <c r="AI40" s="9"/>
    </row>
    <row r="41" spans="1:51" s="6" customFormat="1" x14ac:dyDescent="0.25">
      <c r="A41" s="18"/>
      <c r="B41" s="18"/>
      <c r="C41" s="7"/>
      <c r="D41" s="18"/>
      <c r="E41" s="18"/>
      <c r="F41" s="1"/>
      <c r="G41" s="20"/>
      <c r="H41" s="20"/>
      <c r="I41" s="20"/>
      <c r="J41" s="20"/>
      <c r="K41" s="20"/>
      <c r="L41" s="20"/>
      <c r="M41" s="20"/>
      <c r="N41" s="20"/>
      <c r="O41" s="20"/>
      <c r="P41" s="118"/>
      <c r="Q41" s="20"/>
      <c r="R41" s="118"/>
      <c r="S41" s="118"/>
      <c r="T41" s="118"/>
      <c r="U41" s="219"/>
      <c r="V41" s="128"/>
      <c r="W41" s="128"/>
      <c r="X41" s="88"/>
      <c r="Y41" s="129"/>
      <c r="Z41" s="180"/>
      <c r="AA41" s="180"/>
      <c r="AB41" s="182"/>
      <c r="AC41" s="18"/>
      <c r="AD41" s="164"/>
      <c r="AE41" s="13"/>
      <c r="AF41" s="13"/>
      <c r="AG41" s="7"/>
      <c r="AH41" s="84"/>
      <c r="AI41" s="9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</row>
    <row r="42" spans="1:51" x14ac:dyDescent="0.25">
      <c r="P42" s="118"/>
      <c r="R42" s="118"/>
      <c r="S42" s="118"/>
      <c r="T42" s="118"/>
      <c r="U42" s="219"/>
      <c r="V42" s="128"/>
      <c r="W42" s="128"/>
      <c r="X42" s="88"/>
      <c r="Y42" s="129"/>
      <c r="Z42" s="180"/>
      <c r="AA42" s="180"/>
      <c r="AB42" s="182"/>
      <c r="AC42" s="18"/>
      <c r="AD42" s="164"/>
      <c r="AH42" s="84"/>
    </row>
    <row r="43" spans="1:51" x14ac:dyDescent="0.25">
      <c r="P43" s="118"/>
      <c r="R43" s="118"/>
      <c r="S43" s="118"/>
      <c r="T43" s="118"/>
      <c r="U43" s="219"/>
      <c r="V43" s="128"/>
      <c r="W43" s="128"/>
      <c r="X43" s="88"/>
      <c r="Y43" s="129"/>
      <c r="Z43" s="180"/>
      <c r="AA43" s="180"/>
      <c r="AB43" s="182"/>
      <c r="AC43" s="18"/>
      <c r="AD43" s="164"/>
      <c r="AH43" s="84"/>
    </row>
    <row r="44" spans="1:51" ht="15" customHeight="1" x14ac:dyDescent="0.25">
      <c r="P44" s="118"/>
      <c r="R44" s="118"/>
      <c r="S44" s="118"/>
      <c r="T44" s="118"/>
      <c r="U44" s="219"/>
      <c r="V44" s="128"/>
      <c r="W44" s="128"/>
      <c r="X44" s="88"/>
      <c r="Y44" s="129"/>
      <c r="Z44" s="180"/>
      <c r="AA44" s="180"/>
      <c r="AB44" s="182"/>
      <c r="AC44" s="18"/>
      <c r="AD44" s="164"/>
      <c r="AH44" s="84"/>
    </row>
    <row r="45" spans="1:51" x14ac:dyDescent="0.25">
      <c r="P45" s="118"/>
      <c r="R45" s="118"/>
      <c r="S45" s="118"/>
      <c r="T45" s="118"/>
      <c r="U45" s="219"/>
      <c r="V45" s="128"/>
      <c r="W45" s="128"/>
      <c r="X45" s="88"/>
      <c r="Y45" s="129"/>
      <c r="Z45" s="180"/>
      <c r="AA45" s="180"/>
      <c r="AB45" s="182"/>
      <c r="AC45" s="18"/>
      <c r="AD45" s="164"/>
      <c r="AH45" s="84"/>
    </row>
    <row r="46" spans="1:51" x14ac:dyDescent="0.25">
      <c r="P46" s="118"/>
      <c r="R46" s="118"/>
      <c r="S46" s="118"/>
      <c r="T46" s="118"/>
      <c r="U46" s="219"/>
      <c r="V46" s="128"/>
      <c r="W46" s="128"/>
      <c r="X46" s="88"/>
      <c r="Y46" s="129"/>
      <c r="Z46" s="180"/>
      <c r="AA46" s="180"/>
      <c r="AB46" s="182"/>
      <c r="AC46" s="18"/>
      <c r="AD46" s="164"/>
      <c r="AH46" s="84"/>
    </row>
    <row r="47" spans="1:51" x14ac:dyDescent="0.25">
      <c r="P47" s="118"/>
      <c r="R47" s="118"/>
      <c r="S47" s="118"/>
      <c r="T47" s="118"/>
      <c r="U47" s="219"/>
      <c r="V47" s="128"/>
      <c r="W47" s="128"/>
      <c r="X47" s="88"/>
      <c r="Y47" s="129"/>
      <c r="Z47" s="180"/>
      <c r="AA47" s="180"/>
      <c r="AB47" s="182"/>
      <c r="AC47" s="18"/>
      <c r="AD47" s="164"/>
      <c r="AH47" s="84"/>
    </row>
    <row r="48" spans="1:51" x14ac:dyDescent="0.25">
      <c r="B48" s="7"/>
      <c r="P48" s="118"/>
      <c r="R48" s="118"/>
      <c r="S48" s="118"/>
      <c r="T48" s="118"/>
      <c r="U48" s="219"/>
      <c r="V48" s="128"/>
      <c r="W48" s="128"/>
      <c r="X48" s="88"/>
      <c r="Y48" s="129"/>
      <c r="Z48" s="180"/>
      <c r="AA48" s="180"/>
      <c r="AB48" s="182"/>
      <c r="AC48" s="18"/>
      <c r="AD48" s="164"/>
      <c r="AH48" s="84"/>
    </row>
    <row r="49" spans="1:51" x14ac:dyDescent="0.25">
      <c r="A49" s="7"/>
      <c r="B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118"/>
      <c r="Q49" s="7"/>
      <c r="R49" s="118"/>
      <c r="S49" s="118"/>
      <c r="T49" s="118"/>
      <c r="U49" s="219"/>
      <c r="V49" s="130"/>
      <c r="W49" s="130"/>
      <c r="X49" s="88"/>
      <c r="Y49" s="129"/>
      <c r="Z49" s="180"/>
      <c r="AA49" s="180"/>
      <c r="AB49" s="182"/>
      <c r="AD49" s="165"/>
      <c r="AG49" s="84"/>
    </row>
    <row r="50" spans="1:51" x14ac:dyDescent="0.25">
      <c r="A50" s="7"/>
      <c r="B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118"/>
      <c r="Q50" s="7"/>
      <c r="R50" s="118"/>
      <c r="S50" s="118"/>
      <c r="T50" s="118"/>
      <c r="U50" s="219"/>
      <c r="V50" s="130"/>
      <c r="W50" s="130"/>
      <c r="X50" s="88"/>
      <c r="Y50" s="129"/>
      <c r="Z50" s="180"/>
      <c r="AA50" s="180"/>
      <c r="AB50" s="182"/>
      <c r="AD50" s="164"/>
      <c r="AG50" s="84"/>
    </row>
    <row r="51" spans="1:51" x14ac:dyDescent="0.25">
      <c r="A51" s="7"/>
      <c r="B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118"/>
      <c r="Q51" s="7"/>
      <c r="R51" s="118"/>
      <c r="S51" s="118"/>
      <c r="T51" s="118"/>
      <c r="U51" s="219"/>
      <c r="V51" s="130"/>
      <c r="W51" s="130"/>
      <c r="X51" s="88"/>
      <c r="Y51" s="129"/>
      <c r="Z51" s="180"/>
      <c r="AA51" s="180"/>
      <c r="AB51" s="182"/>
      <c r="AD51" s="164"/>
      <c r="AG51" s="84"/>
    </row>
    <row r="52" spans="1:51" x14ac:dyDescent="0.25">
      <c r="A52" s="7"/>
      <c r="B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118"/>
      <c r="Q52" s="7"/>
      <c r="R52" s="118"/>
      <c r="S52" s="118"/>
      <c r="T52" s="118"/>
      <c r="U52" s="219"/>
      <c r="V52" s="7"/>
      <c r="W52" s="7"/>
      <c r="Y52" s="118"/>
      <c r="Z52" s="180"/>
      <c r="AA52" s="180"/>
      <c r="AB52" s="183"/>
      <c r="AD52" s="164"/>
    </row>
    <row r="53" spans="1:51" x14ac:dyDescent="0.25">
      <c r="A53" s="7"/>
      <c r="B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118"/>
      <c r="Q53" s="7"/>
      <c r="R53" s="118"/>
      <c r="S53" s="118"/>
      <c r="T53" s="118"/>
      <c r="U53" s="218"/>
      <c r="V53" s="7"/>
      <c r="W53" s="7"/>
      <c r="X53" s="7"/>
      <c r="Y53" s="7"/>
      <c r="Z53" s="180"/>
      <c r="AA53" s="180"/>
      <c r="AB53" s="182"/>
      <c r="AD53" s="164"/>
    </row>
    <row r="54" spans="1:51" x14ac:dyDescent="0.25">
      <c r="A54" s="7"/>
      <c r="B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118"/>
      <c r="Q54" s="7"/>
      <c r="R54" s="118"/>
      <c r="S54" s="118"/>
      <c r="T54" s="118"/>
      <c r="U54" s="218"/>
      <c r="V54" s="7"/>
      <c r="W54" s="7"/>
      <c r="X54" s="7"/>
      <c r="Y54" s="7"/>
      <c r="Z54" s="157"/>
      <c r="AA54" s="157"/>
      <c r="AB54" s="181"/>
      <c r="AD54" s="164"/>
    </row>
    <row r="55" spans="1:51" x14ac:dyDescent="0.25">
      <c r="A55" s="7"/>
      <c r="B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118"/>
      <c r="Q55" s="7"/>
      <c r="R55" s="118"/>
      <c r="S55" s="118"/>
      <c r="T55" s="118"/>
      <c r="U55" s="218"/>
      <c r="V55" s="7"/>
      <c r="W55" s="7"/>
      <c r="X55" s="7"/>
      <c r="Y55" s="7"/>
      <c r="Z55" s="7"/>
      <c r="AA55" s="7"/>
      <c r="AB55" s="18"/>
    </row>
    <row r="56" spans="1:51" ht="10" x14ac:dyDescent="0.2">
      <c r="A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130"/>
      <c r="V56" s="7"/>
      <c r="W56" s="7"/>
      <c r="X56" s="7"/>
      <c r="Y56" s="7"/>
      <c r="Z56" s="7"/>
      <c r="AA56" s="7"/>
      <c r="AB56" s="18"/>
    </row>
    <row r="57" spans="1:51" x14ac:dyDescent="0.25">
      <c r="AB57" s="7"/>
      <c r="AU57" s="20"/>
      <c r="AY57" s="5"/>
    </row>
    <row r="58" spans="1:51" x14ac:dyDescent="0.25">
      <c r="AB58" s="7"/>
      <c r="AU58" s="20"/>
      <c r="AY58" s="5"/>
    </row>
    <row r="59" spans="1:51" x14ac:dyDescent="0.25">
      <c r="AB59" s="7"/>
      <c r="AU59" s="20"/>
      <c r="AY59" s="5"/>
    </row>
    <row r="60" spans="1:51" x14ac:dyDescent="0.25">
      <c r="AB60" s="7"/>
      <c r="AU60" s="20"/>
      <c r="AY60" s="5"/>
    </row>
    <row r="61" spans="1:51" x14ac:dyDescent="0.25">
      <c r="AB61" s="7"/>
      <c r="AU61" s="20"/>
      <c r="AY61" s="5"/>
    </row>
    <row r="62" spans="1:51" x14ac:dyDescent="0.25">
      <c r="AB62" s="7"/>
      <c r="AU62" s="20"/>
      <c r="AY62" s="5"/>
    </row>
    <row r="63" spans="1:51" x14ac:dyDescent="0.25">
      <c r="AB63" s="7"/>
      <c r="AU63" s="20"/>
      <c r="AY63" s="5"/>
    </row>
    <row r="64" spans="1:51" x14ac:dyDescent="0.25">
      <c r="AB64" s="7"/>
      <c r="AU64" s="20"/>
      <c r="AY64" s="5"/>
    </row>
    <row r="65" spans="28:51" x14ac:dyDescent="0.25">
      <c r="AB65" s="7"/>
      <c r="AU65" s="20"/>
      <c r="AY65" s="5"/>
    </row>
    <row r="66" spans="28:51" x14ac:dyDescent="0.25">
      <c r="AB66" s="7"/>
      <c r="AU66" s="20"/>
      <c r="AY66" s="5"/>
    </row>
    <row r="67" spans="28:51" x14ac:dyDescent="0.25">
      <c r="AB67" s="7"/>
      <c r="AU67" s="20"/>
      <c r="AY67" s="5"/>
    </row>
    <row r="68" spans="28:51" x14ac:dyDescent="0.25">
      <c r="AB68" s="7"/>
      <c r="AU68" s="20"/>
      <c r="AY68" s="5"/>
    </row>
    <row r="69" spans="28:51" x14ac:dyDescent="0.25">
      <c r="AB69" s="7"/>
      <c r="AU69" s="20"/>
      <c r="AY69" s="5"/>
    </row>
  </sheetData>
  <mergeCells count="7">
    <mergeCell ref="X31:AB32"/>
    <mergeCell ref="A3:A4"/>
    <mergeCell ref="AD3:AI4"/>
    <mergeCell ref="AJ3:AO4"/>
    <mergeCell ref="AQ3:AV4"/>
    <mergeCell ref="B3:V4"/>
    <mergeCell ref="X3:AB4"/>
  </mergeCells>
  <pageMargins left="0.23622047244094491" right="0.23622047244094491" top="0.74803149606299213" bottom="0.74803149606299213" header="0.31496062992125984" footer="0.31496062992125984"/>
  <pageSetup paperSize="9" scale="65" fitToHeight="0" orientation="landscape" r:id="rId1"/>
  <headerFooter>
    <oddHeader>&amp;LBilaga 3 till regleringsbrev för budgetåret 2026 avseende länsstyrelserna</oddHeader>
    <oddFooter>&amp;RSida &amp;P av &amp;N</oddFooter>
  </headerFooter>
  <colBreaks count="2" manualBreakCount="2">
    <brk id="23" max="32" man="1"/>
    <brk id="41" max="32" man="1"/>
  </col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D86733-1B09-4A04-B9A9-0CD23E0B7C78}">
  <sheetPr codeName="Blad3"/>
  <dimension ref="A1:P31"/>
  <sheetViews>
    <sheetView zoomScale="89" zoomScaleNormal="89" workbookViewId="0">
      <selection activeCell="C38" sqref="C38"/>
    </sheetView>
  </sheetViews>
  <sheetFormatPr defaultColWidth="9.1796875" defaultRowHeight="14.5" x14ac:dyDescent="0.35"/>
  <cols>
    <col min="1" max="1" width="24" style="112" customWidth="1"/>
    <col min="2" max="2" width="19.54296875" style="112" customWidth="1"/>
    <col min="3" max="3" width="14.81640625" style="112" customWidth="1"/>
    <col min="4" max="4" width="15.26953125" style="112" customWidth="1"/>
    <col min="5" max="5" width="17.1796875" style="112" customWidth="1"/>
    <col min="6" max="6" width="3.453125" style="112" customWidth="1"/>
    <col min="7" max="7" width="20.453125" style="112" customWidth="1"/>
    <col min="8" max="8" width="16.1796875" style="112" customWidth="1"/>
    <col min="9" max="9" width="19.81640625" style="112" customWidth="1"/>
    <col min="10" max="10" width="17.26953125" style="112" customWidth="1"/>
    <col min="11" max="11" width="12.26953125" style="112" customWidth="1"/>
    <col min="12" max="22" width="12.7265625" style="112" customWidth="1"/>
    <col min="23" max="16384" width="9.1796875" style="112"/>
  </cols>
  <sheetData>
    <row r="1" spans="1:12" ht="15.5" x14ac:dyDescent="0.35">
      <c r="A1" s="135" t="s">
        <v>84</v>
      </c>
      <c r="B1" s="136" t="s">
        <v>16</v>
      </c>
    </row>
    <row r="4" spans="1:12" s="136" customFormat="1" ht="31.5" customHeight="1" x14ac:dyDescent="0.35">
      <c r="A4" s="137"/>
      <c r="B4" s="109"/>
      <c r="C4" s="257" t="s">
        <v>110</v>
      </c>
      <c r="D4" s="258"/>
      <c r="E4" s="259"/>
    </row>
    <row r="5" spans="1:12" x14ac:dyDescent="0.35">
      <c r="B5" s="109" t="s">
        <v>85</v>
      </c>
      <c r="C5" s="110" t="s">
        <v>93</v>
      </c>
      <c r="D5" s="110" t="s">
        <v>94</v>
      </c>
      <c r="E5" s="111" t="s">
        <v>86</v>
      </c>
      <c r="G5" s="158"/>
      <c r="H5" s="158"/>
      <c r="I5" s="158"/>
      <c r="J5" s="158"/>
      <c r="K5" s="158"/>
    </row>
    <row r="6" spans="1:12" ht="15.75" customHeight="1" x14ac:dyDescent="0.35">
      <c r="A6" s="115"/>
      <c r="B6" s="140" t="s">
        <v>87</v>
      </c>
      <c r="C6" s="138"/>
      <c r="D6" s="113"/>
      <c r="E6" s="113"/>
      <c r="G6" s="95"/>
      <c r="H6" s="159"/>
      <c r="I6" s="158"/>
      <c r="J6" s="158"/>
      <c r="K6" s="158"/>
    </row>
    <row r="7" spans="1:12" x14ac:dyDescent="0.35">
      <c r="A7" s="115"/>
      <c r="B7" s="141" t="s">
        <v>88</v>
      </c>
      <c r="C7" s="151"/>
      <c r="D7" s="150">
        <v>2860</v>
      </c>
      <c r="E7" s="114">
        <f>C7-D7</f>
        <v>-2860</v>
      </c>
      <c r="G7" s="95"/>
      <c r="H7" s="159"/>
      <c r="I7" s="160"/>
      <c r="J7" s="158"/>
      <c r="K7" s="158"/>
    </row>
    <row r="8" spans="1:12" x14ac:dyDescent="0.35">
      <c r="A8" s="115"/>
      <c r="B8" s="141" t="s">
        <v>46</v>
      </c>
      <c r="C8" s="117">
        <v>461105.03982618498</v>
      </c>
      <c r="D8" s="150">
        <v>461204</v>
      </c>
      <c r="E8" s="114">
        <f>C8-D8</f>
        <v>-98.960173815023154</v>
      </c>
      <c r="F8" s="152"/>
      <c r="G8" s="95"/>
      <c r="H8" s="159"/>
      <c r="I8" s="160"/>
      <c r="J8" s="158"/>
      <c r="K8" s="161"/>
      <c r="L8" s="152"/>
    </row>
    <row r="9" spans="1:12" x14ac:dyDescent="0.35">
      <c r="A9" s="115" t="s">
        <v>97</v>
      </c>
      <c r="B9" s="141" t="s">
        <v>47</v>
      </c>
      <c r="C9" s="117">
        <v>134231.31888406706</v>
      </c>
      <c r="D9" s="150">
        <v>132662</v>
      </c>
      <c r="E9" s="114">
        <f t="shared" ref="E9:E28" si="0">C9-D9</f>
        <v>1569.3188840670628</v>
      </c>
      <c r="F9" s="152"/>
      <c r="G9" s="95"/>
      <c r="H9" s="159"/>
      <c r="I9" s="160"/>
      <c r="J9" s="158"/>
      <c r="K9" s="161"/>
      <c r="L9" s="152"/>
    </row>
    <row r="10" spans="1:12" x14ac:dyDescent="0.35">
      <c r="A10" s="115"/>
      <c r="B10" s="141" t="s">
        <v>48</v>
      </c>
      <c r="C10" s="117">
        <v>107350.31980093609</v>
      </c>
      <c r="D10" s="150">
        <v>107696</v>
      </c>
      <c r="E10" s="114">
        <f t="shared" si="0"/>
        <v>-345.68019906390691</v>
      </c>
      <c r="F10" s="152"/>
      <c r="G10" s="95"/>
      <c r="H10" s="159"/>
      <c r="I10" s="160"/>
      <c r="J10" s="158"/>
      <c r="K10" s="161"/>
      <c r="L10" s="152"/>
    </row>
    <row r="11" spans="1:12" x14ac:dyDescent="0.35">
      <c r="A11" s="115"/>
      <c r="B11" s="141" t="s">
        <v>49</v>
      </c>
      <c r="C11" s="117">
        <v>216327.65217890509</v>
      </c>
      <c r="D11" s="150">
        <v>217139</v>
      </c>
      <c r="E11" s="114">
        <f t="shared" si="0"/>
        <v>-811.34782109491061</v>
      </c>
      <c r="F11" s="152"/>
      <c r="G11" s="95"/>
      <c r="H11" s="159"/>
      <c r="I11" s="160"/>
      <c r="J11" s="158"/>
      <c r="K11" s="161"/>
      <c r="L11" s="152"/>
    </row>
    <row r="12" spans="1:12" x14ac:dyDescent="0.35">
      <c r="A12" s="115" t="s">
        <v>97</v>
      </c>
      <c r="B12" s="141" t="s">
        <v>50</v>
      </c>
      <c r="C12" s="117">
        <v>138358.18170990574</v>
      </c>
      <c r="D12" s="150">
        <v>138751</v>
      </c>
      <c r="E12" s="114">
        <f t="shared" si="0"/>
        <v>-392.81829009426292</v>
      </c>
      <c r="F12" s="152"/>
      <c r="G12" s="95"/>
      <c r="H12" s="159"/>
      <c r="I12" s="160"/>
      <c r="J12" s="158"/>
      <c r="K12" s="161"/>
      <c r="L12" s="152"/>
    </row>
    <row r="13" spans="1:12" x14ac:dyDescent="0.35">
      <c r="A13" s="115"/>
      <c r="B13" s="141" t="s">
        <v>51</v>
      </c>
      <c r="C13" s="117">
        <v>96653.395823294006</v>
      </c>
      <c r="D13" s="150">
        <v>97047</v>
      </c>
      <c r="E13" s="114">
        <f t="shared" si="0"/>
        <v>-393.60417670599418</v>
      </c>
      <c r="F13" s="152"/>
      <c r="G13" s="95"/>
      <c r="H13" s="159"/>
      <c r="I13" s="160"/>
      <c r="J13" s="158"/>
      <c r="K13" s="161"/>
      <c r="L13" s="152"/>
    </row>
    <row r="14" spans="1:12" x14ac:dyDescent="0.35">
      <c r="A14" s="115"/>
      <c r="B14" s="141" t="s">
        <v>52</v>
      </c>
      <c r="C14" s="117">
        <v>116986.89845409909</v>
      </c>
      <c r="D14" s="150">
        <v>115716</v>
      </c>
      <c r="E14" s="114">
        <f t="shared" si="0"/>
        <v>1270.8984540990932</v>
      </c>
      <c r="F14" s="152"/>
      <c r="G14" s="95"/>
      <c r="H14" s="159"/>
      <c r="I14" s="160"/>
      <c r="J14" s="158"/>
      <c r="K14" s="161"/>
      <c r="L14" s="152"/>
    </row>
    <row r="15" spans="1:12" x14ac:dyDescent="0.35">
      <c r="A15" s="115"/>
      <c r="B15" s="141" t="s">
        <v>53</v>
      </c>
      <c r="C15" s="117">
        <v>74371.207456814867</v>
      </c>
      <c r="D15" s="150">
        <v>74310</v>
      </c>
      <c r="E15" s="114">
        <f t="shared" si="0"/>
        <v>61.207456814867328</v>
      </c>
      <c r="F15" s="152"/>
      <c r="G15" s="95"/>
      <c r="H15" s="159"/>
      <c r="I15" s="160"/>
      <c r="J15" s="158"/>
      <c r="K15" s="161"/>
      <c r="L15" s="152"/>
    </row>
    <row r="16" spans="1:12" x14ac:dyDescent="0.35">
      <c r="A16" s="115"/>
      <c r="B16" s="141" t="s">
        <v>54</v>
      </c>
      <c r="C16" s="117">
        <v>74297.089791339196</v>
      </c>
      <c r="D16" s="150">
        <v>74303</v>
      </c>
      <c r="E16" s="114">
        <f t="shared" si="0"/>
        <v>-5.9102086608036188</v>
      </c>
      <c r="F16" s="152"/>
      <c r="G16" s="95"/>
      <c r="H16" s="159"/>
      <c r="I16" s="160"/>
      <c r="J16" s="158"/>
      <c r="K16" s="161"/>
      <c r="L16" s="152"/>
    </row>
    <row r="17" spans="1:16" x14ac:dyDescent="0.35">
      <c r="A17" s="115"/>
      <c r="B17" s="141" t="s">
        <v>55</v>
      </c>
      <c r="C17" s="117">
        <v>381605.00971874414</v>
      </c>
      <c r="D17" s="150">
        <v>381058</v>
      </c>
      <c r="E17" s="114">
        <f t="shared" si="0"/>
        <v>547.00971874414245</v>
      </c>
      <c r="F17" s="152"/>
      <c r="G17" s="95"/>
      <c r="H17" s="159"/>
      <c r="I17" s="160"/>
      <c r="J17" s="158"/>
      <c r="K17" s="161"/>
      <c r="L17" s="152"/>
    </row>
    <row r="18" spans="1:16" x14ac:dyDescent="0.35">
      <c r="A18" s="115"/>
      <c r="B18" s="141" t="s">
        <v>56</v>
      </c>
      <c r="C18" s="117">
        <v>121919.59911575855</v>
      </c>
      <c r="D18" s="150">
        <v>120497</v>
      </c>
      <c r="E18" s="114">
        <f t="shared" si="0"/>
        <v>1422.5991157585522</v>
      </c>
      <c r="F18" s="152"/>
      <c r="G18" s="95"/>
      <c r="H18" s="159"/>
      <c r="I18" s="160"/>
      <c r="J18" s="158"/>
      <c r="K18" s="161"/>
      <c r="L18" s="152"/>
    </row>
    <row r="19" spans="1:16" x14ac:dyDescent="0.35">
      <c r="A19" s="115"/>
      <c r="B19" s="141" t="s">
        <v>57</v>
      </c>
      <c r="C19" s="117">
        <v>594098.90809480229</v>
      </c>
      <c r="D19" s="150">
        <v>592153</v>
      </c>
      <c r="E19" s="114">
        <f t="shared" si="0"/>
        <v>1945.9080948022893</v>
      </c>
      <c r="F19" s="152"/>
      <c r="G19" s="95"/>
      <c r="H19" s="159"/>
      <c r="I19" s="160"/>
      <c r="J19" s="158"/>
      <c r="K19" s="161"/>
      <c r="L19" s="152"/>
    </row>
    <row r="20" spans="1:16" x14ac:dyDescent="0.35">
      <c r="A20" s="115"/>
      <c r="B20" s="141" t="s">
        <v>58</v>
      </c>
      <c r="C20" s="117">
        <v>130513.22696329813</v>
      </c>
      <c r="D20" s="150">
        <v>130382</v>
      </c>
      <c r="E20" s="114">
        <f t="shared" si="0"/>
        <v>131.22696329813334</v>
      </c>
      <c r="F20" s="152"/>
      <c r="G20" s="95"/>
      <c r="H20" s="159"/>
      <c r="I20" s="160"/>
      <c r="J20" s="158"/>
      <c r="K20" s="161"/>
      <c r="L20" s="152"/>
    </row>
    <row r="21" spans="1:16" x14ac:dyDescent="0.35">
      <c r="A21" s="115"/>
      <c r="B21" s="141" t="s">
        <v>59</v>
      </c>
      <c r="C21" s="117">
        <v>185180.71007107242</v>
      </c>
      <c r="D21" s="150">
        <v>185037</v>
      </c>
      <c r="E21" s="114">
        <f t="shared" si="0"/>
        <v>143.71007107241894</v>
      </c>
      <c r="F21" s="152"/>
      <c r="G21" s="95"/>
      <c r="H21" s="159"/>
      <c r="I21" s="160"/>
      <c r="J21" s="158"/>
      <c r="K21" s="161"/>
      <c r="L21" s="152"/>
    </row>
    <row r="22" spans="1:16" x14ac:dyDescent="0.35">
      <c r="A22" s="115"/>
      <c r="B22" s="141" t="s">
        <v>60</v>
      </c>
      <c r="C22" s="117">
        <v>133956.10554959864</v>
      </c>
      <c r="D22" s="150">
        <v>136452</v>
      </c>
      <c r="E22" s="114">
        <f t="shared" si="0"/>
        <v>-2495.8944504013634</v>
      </c>
      <c r="F22" s="152"/>
      <c r="G22" s="95"/>
      <c r="H22" s="159"/>
      <c r="I22" s="160"/>
      <c r="J22" s="158"/>
      <c r="K22" s="161"/>
      <c r="L22" s="152"/>
    </row>
    <row r="23" spans="1:16" x14ac:dyDescent="0.35">
      <c r="A23" s="115"/>
      <c r="B23" s="141" t="s">
        <v>61</v>
      </c>
      <c r="C23" s="117">
        <v>135361.90382401866</v>
      </c>
      <c r="D23" s="150">
        <v>135569</v>
      </c>
      <c r="E23" s="114">
        <f t="shared" si="0"/>
        <v>-207.09617598133627</v>
      </c>
      <c r="F23" s="152"/>
      <c r="G23" s="95"/>
      <c r="H23" s="159"/>
      <c r="I23" s="160"/>
      <c r="J23" s="158"/>
      <c r="K23" s="161"/>
      <c r="L23" s="152"/>
    </row>
    <row r="24" spans="1:16" x14ac:dyDescent="0.35">
      <c r="A24" s="115"/>
      <c r="B24" s="141" t="s">
        <v>62</v>
      </c>
      <c r="C24" s="117">
        <v>130612.80232943771</v>
      </c>
      <c r="D24" s="150">
        <v>130427</v>
      </c>
      <c r="E24" s="114">
        <f t="shared" si="0"/>
        <v>185.80232943770534</v>
      </c>
      <c r="F24" s="152"/>
      <c r="G24" s="95"/>
      <c r="H24" s="159"/>
      <c r="I24" s="160"/>
      <c r="J24" s="158"/>
      <c r="K24" s="161"/>
      <c r="L24" s="152"/>
    </row>
    <row r="25" spans="1:16" x14ac:dyDescent="0.35">
      <c r="A25" s="115"/>
      <c r="B25" s="141" t="s">
        <v>63</v>
      </c>
      <c r="C25" s="117">
        <v>129992.84391789199</v>
      </c>
      <c r="D25" s="150">
        <v>129411</v>
      </c>
      <c r="E25" s="114">
        <f t="shared" si="0"/>
        <v>581.84391789199435</v>
      </c>
      <c r="F25" s="152"/>
      <c r="G25" s="95"/>
      <c r="H25" s="159"/>
      <c r="I25" s="160"/>
      <c r="J25" s="158"/>
      <c r="K25" s="161"/>
      <c r="L25" s="152"/>
    </row>
    <row r="26" spans="1:16" x14ac:dyDescent="0.35">
      <c r="A26" s="115"/>
      <c r="B26" s="141" t="s">
        <v>64</v>
      </c>
      <c r="C26" s="117">
        <v>117852.1047710667</v>
      </c>
      <c r="D26" s="150">
        <v>117296</v>
      </c>
      <c r="E26" s="114">
        <f t="shared" si="0"/>
        <v>556.10477106670442</v>
      </c>
      <c r="F26" s="152"/>
      <c r="G26" s="95"/>
      <c r="H26" s="159"/>
      <c r="I26" s="160"/>
      <c r="J26" s="158"/>
      <c r="K26" s="161"/>
      <c r="L26" s="152"/>
    </row>
    <row r="27" spans="1:16" x14ac:dyDescent="0.35">
      <c r="A27" s="115"/>
      <c r="B27" s="141" t="s">
        <v>65</v>
      </c>
      <c r="C27" s="117">
        <v>168811.46056709025</v>
      </c>
      <c r="D27" s="150">
        <v>170851</v>
      </c>
      <c r="E27" s="114">
        <f t="shared" si="0"/>
        <v>-2039.5394329097471</v>
      </c>
      <c r="F27" s="152" t="s">
        <v>118</v>
      </c>
      <c r="G27" s="95"/>
      <c r="H27" s="159"/>
      <c r="I27" s="160"/>
      <c r="J27" s="158"/>
      <c r="K27" s="161"/>
      <c r="L27" s="152"/>
    </row>
    <row r="28" spans="1:16" x14ac:dyDescent="0.35">
      <c r="A28" s="115"/>
      <c r="B28" s="141" t="s">
        <v>66</v>
      </c>
      <c r="C28" s="117">
        <v>218004.22115473787</v>
      </c>
      <c r="D28" s="150">
        <v>216769</v>
      </c>
      <c r="E28" s="114">
        <f t="shared" si="0"/>
        <v>1235.2211547378683</v>
      </c>
      <c r="F28" s="152"/>
      <c r="G28" s="95"/>
      <c r="H28" s="159"/>
      <c r="I28" s="160"/>
      <c r="J28" s="158"/>
      <c r="K28" s="161"/>
      <c r="L28" s="152"/>
    </row>
    <row r="29" spans="1:16" x14ac:dyDescent="0.35">
      <c r="A29" s="115"/>
      <c r="B29" s="142" t="s">
        <v>89</v>
      </c>
      <c r="C29" s="139"/>
      <c r="D29" s="150">
        <v>0</v>
      </c>
      <c r="E29" s="114"/>
      <c r="F29" s="152"/>
      <c r="G29" s="95"/>
      <c r="H29" s="159"/>
      <c r="I29" s="160"/>
      <c r="J29" s="158"/>
      <c r="K29" s="158"/>
    </row>
    <row r="30" spans="1:16" x14ac:dyDescent="0.35">
      <c r="A30" s="115"/>
      <c r="B30" s="109" t="s">
        <v>30</v>
      </c>
      <c r="C30" s="179">
        <f>SUM(C8:C29)</f>
        <v>3867590.0000030636</v>
      </c>
      <c r="D30" s="177">
        <f>SUM(D7:D29)</f>
        <v>3867590</v>
      </c>
      <c r="E30" s="116"/>
      <c r="G30" s="158"/>
      <c r="H30" s="158"/>
      <c r="I30" s="158"/>
      <c r="J30" s="158"/>
      <c r="K30" s="162"/>
    </row>
    <row r="31" spans="1:16" x14ac:dyDescent="0.35">
      <c r="L31" s="158"/>
      <c r="M31" s="158"/>
      <c r="N31" s="158"/>
      <c r="O31" s="158"/>
      <c r="P31" s="158"/>
    </row>
  </sheetData>
  <mergeCells count="1">
    <mergeCell ref="C4:E4"/>
  </mergeCells>
  <pageMargins left="0.7" right="0.7" top="0.75" bottom="0.75" header="0.3" footer="0.3"/>
  <pageSetup paperSize="9" scale="45" orientation="portrait" r:id="rId1"/>
  <colBreaks count="1" manualBreakCount="1">
    <brk id="12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D7F033-9B26-419A-9AED-3D4A5FE36AF4}">
  <sheetPr codeName="Blad4"/>
  <dimension ref="B2:R31"/>
  <sheetViews>
    <sheetView workbookViewId="0">
      <selection activeCell="R18" sqref="R18"/>
    </sheetView>
  </sheetViews>
  <sheetFormatPr defaultRowHeight="14.5" x14ac:dyDescent="0.35"/>
  <cols>
    <col min="4" max="4" width="14" customWidth="1"/>
    <col min="5" max="5" width="12.7265625" customWidth="1"/>
    <col min="15" max="15" width="14.7265625" bestFit="1" customWidth="1"/>
    <col min="18" max="18" width="13.26953125" customWidth="1"/>
  </cols>
  <sheetData>
    <row r="2" spans="2:18" x14ac:dyDescent="0.35">
      <c r="D2" t="s">
        <v>30</v>
      </c>
      <c r="E2" t="s">
        <v>43</v>
      </c>
    </row>
    <row r="3" spans="2:18" x14ac:dyDescent="0.35">
      <c r="B3" t="s">
        <v>76</v>
      </c>
      <c r="D3" s="106">
        <f>'Översikt fördelning'!C3</f>
        <v>4418384</v>
      </c>
    </row>
    <row r="5" spans="2:18" x14ac:dyDescent="0.35">
      <c r="B5" t="s">
        <v>2</v>
      </c>
      <c r="D5" s="106">
        <f>-'Översikt fördelning'!C6</f>
        <v>988681.19235785061</v>
      </c>
      <c r="E5" s="107">
        <f>D5/$D$3</f>
        <v>0.22376533872063872</v>
      </c>
      <c r="I5" s="106"/>
    </row>
    <row r="6" spans="2:18" x14ac:dyDescent="0.35">
      <c r="B6" t="s">
        <v>77</v>
      </c>
      <c r="D6" s="106" t="e">
        <f>-('Översikt fördelning'!#REF!+'Översikt fördelning'!C8+'Översikt fördelning'!C9+'Översikt fördelning'!#REF!+'Översikt fördelning'!#REF!+'Översikt fördelning'!#REF!+'Översikt fördelning'!#REF!+'Översikt fördelning'!C10+'Översikt fördelning'!#REF!+'Översikt fördelning'!C11+'Översikt fördelning'!#REF!+'Översikt fördelning'!#REF!+'Översikt fördelning'!#REF!+'Översikt fördelning'!#REF!+'Översikt fördelning'!#REF!)</f>
        <v>#REF!</v>
      </c>
      <c r="E6" s="107" t="e">
        <f t="shared" ref="E6:E9" si="0">D6/$D$3</f>
        <v>#REF!</v>
      </c>
      <c r="L6" t="s">
        <v>117</v>
      </c>
      <c r="M6" t="s">
        <v>81</v>
      </c>
      <c r="N6" t="s">
        <v>91</v>
      </c>
    </row>
    <row r="7" spans="2:18" x14ac:dyDescent="0.35">
      <c r="B7" t="s">
        <v>78</v>
      </c>
      <c r="D7" s="106">
        <f>'Översikt fördelning'!C26</f>
        <v>2688629.3999016704</v>
      </c>
      <c r="E7" s="107">
        <f t="shared" si="0"/>
        <v>0.60850967229232911</v>
      </c>
      <c r="I7" s="106"/>
      <c r="J7" s="107"/>
      <c r="K7" t="s">
        <v>119</v>
      </c>
      <c r="L7">
        <v>594098.90809480101</v>
      </c>
      <c r="N7">
        <v>17822</v>
      </c>
    </row>
    <row r="8" spans="2:18" x14ac:dyDescent="0.35">
      <c r="B8" t="s">
        <v>1</v>
      </c>
      <c r="D8" s="106">
        <f>-'Översikt fördelning'!C5</f>
        <v>585123.40774047875</v>
      </c>
      <c r="E8" s="107">
        <f t="shared" si="0"/>
        <v>0.13242927906231752</v>
      </c>
      <c r="I8" s="106"/>
      <c r="J8" s="107"/>
      <c r="K8" t="s">
        <v>120</v>
      </c>
      <c r="L8">
        <v>101000</v>
      </c>
      <c r="M8">
        <f>L8/$L$7</f>
        <v>0.17000536211031603</v>
      </c>
      <c r="N8">
        <f>$N$7*M$8</f>
        <v>3029.8355635300522</v>
      </c>
    </row>
    <row r="9" spans="2:18" x14ac:dyDescent="0.35">
      <c r="B9" t="s">
        <v>79</v>
      </c>
      <c r="D9" s="106" t="e">
        <f>-'Översikt fördelning'!#REF!</f>
        <v>#REF!</v>
      </c>
      <c r="E9" s="108" t="e">
        <f t="shared" si="0"/>
        <v>#REF!</v>
      </c>
      <c r="I9" s="106"/>
      <c r="J9" s="107"/>
      <c r="L9">
        <f>L7-L8</f>
        <v>493098.90809480101</v>
      </c>
      <c r="M9">
        <f>L9/$L$7</f>
        <v>0.82999463788968397</v>
      </c>
      <c r="N9">
        <f>N7*M9</f>
        <v>14792.164436469948</v>
      </c>
    </row>
    <row r="10" spans="2:18" x14ac:dyDescent="0.35">
      <c r="I10" s="106"/>
      <c r="J10" s="107"/>
    </row>
    <row r="11" spans="2:18" x14ac:dyDescent="0.35">
      <c r="I11" s="106"/>
      <c r="J11" s="108"/>
      <c r="N11">
        <v>14792</v>
      </c>
    </row>
    <row r="12" spans="2:18" x14ac:dyDescent="0.35">
      <c r="N12">
        <v>3029</v>
      </c>
      <c r="R12" s="188">
        <v>12633167</v>
      </c>
    </row>
    <row r="13" spans="2:18" x14ac:dyDescent="0.35">
      <c r="R13">
        <f>R12/21</f>
        <v>601579.38095238095</v>
      </c>
    </row>
    <row r="16" spans="2:18" x14ac:dyDescent="0.35">
      <c r="M16" t="s">
        <v>117</v>
      </c>
      <c r="N16" t="s">
        <v>81</v>
      </c>
      <c r="O16" t="s">
        <v>91</v>
      </c>
    </row>
    <row r="17" spans="6:15" x14ac:dyDescent="0.35">
      <c r="G17" t="s">
        <v>90</v>
      </c>
      <c r="H17" t="s">
        <v>80</v>
      </c>
      <c r="L17" t="s">
        <v>119</v>
      </c>
      <c r="M17">
        <v>185180.71007106992</v>
      </c>
      <c r="O17">
        <v>5555</v>
      </c>
    </row>
    <row r="18" spans="6:15" x14ac:dyDescent="0.35">
      <c r="G18" s="106">
        <v>7288</v>
      </c>
      <c r="H18" s="106">
        <v>242959</v>
      </c>
      <c r="L18" t="s">
        <v>99</v>
      </c>
      <c r="M18">
        <v>15000</v>
      </c>
      <c r="N18">
        <f>M18/$M$17</f>
        <v>8.1001957462217306E-2</v>
      </c>
      <c r="O18" s="178">
        <f>N18*$O$17</f>
        <v>449.96587370261716</v>
      </c>
    </row>
    <row r="19" spans="6:15" x14ac:dyDescent="0.35">
      <c r="L19" t="s">
        <v>83</v>
      </c>
      <c r="M19">
        <f>9431.28316*1.031457</f>
        <v>9727.963034364122</v>
      </c>
      <c r="N19">
        <f t="shared" ref="N19:N22" si="1">M19/$M$17</f>
        <v>5.2532269860238998E-2</v>
      </c>
      <c r="O19" s="178">
        <f t="shared" ref="O19:O22" si="2">N19*$O$17</f>
        <v>291.81675907362762</v>
      </c>
    </row>
    <row r="20" spans="6:15" x14ac:dyDescent="0.35">
      <c r="L20" t="s">
        <v>82</v>
      </c>
      <c r="M20">
        <v>100</v>
      </c>
      <c r="N20">
        <f t="shared" si="1"/>
        <v>5.4001304974811534E-4</v>
      </c>
      <c r="O20" s="178">
        <f t="shared" si="2"/>
        <v>2.9997724913507806</v>
      </c>
    </row>
    <row r="21" spans="6:15" x14ac:dyDescent="0.35">
      <c r="L21" t="s">
        <v>102</v>
      </c>
      <c r="M21">
        <f>11000*1.031457</f>
        <v>11346.027</v>
      </c>
      <c r="N21">
        <f t="shared" si="1"/>
        <v>6.1270026427944595E-2</v>
      </c>
      <c r="O21" s="178">
        <f t="shared" si="2"/>
        <v>340.35499680723223</v>
      </c>
    </row>
    <row r="22" spans="6:15" x14ac:dyDescent="0.35">
      <c r="H22" t="s">
        <v>81</v>
      </c>
      <c r="I22" t="s">
        <v>91</v>
      </c>
      <c r="M22">
        <f>M17-M18-M19-M20-M21</f>
        <v>149006.72003670578</v>
      </c>
      <c r="N22">
        <f t="shared" si="1"/>
        <v>0.80465573319985095</v>
      </c>
      <c r="O22" s="178">
        <f t="shared" si="2"/>
        <v>4469.8625979251719</v>
      </c>
    </row>
    <row r="23" spans="6:15" x14ac:dyDescent="0.35">
      <c r="F23" t="s">
        <v>99</v>
      </c>
      <c r="G23">
        <v>15000</v>
      </c>
      <c r="H23">
        <f>G23/H18</f>
        <v>6.1738811898303832E-2</v>
      </c>
      <c r="I23">
        <f>H23*G$18</f>
        <v>449.95246111483834</v>
      </c>
    </row>
    <row r="24" spans="6:15" x14ac:dyDescent="0.35">
      <c r="F24" t="s">
        <v>83</v>
      </c>
      <c r="G24" s="153">
        <f>9239.047046988*1.0108*1.0099</f>
        <v>9431.2831597709155</v>
      </c>
      <c r="H24">
        <f>G24/H18</f>
        <v>3.8818414464049142E-2</v>
      </c>
      <c r="I24">
        <f>H24*G$18</f>
        <v>282.90860461399012</v>
      </c>
    </row>
    <row r="25" spans="6:15" x14ac:dyDescent="0.35">
      <c r="F25" t="s">
        <v>82</v>
      </c>
      <c r="G25">
        <v>200</v>
      </c>
      <c r="H25">
        <f>G25/H18</f>
        <v>8.2318415864405105E-4</v>
      </c>
      <c r="I25">
        <f t="shared" ref="I25" si="3">H25*G$18</f>
        <v>5.9993661481978444</v>
      </c>
      <c r="N25">
        <v>149006</v>
      </c>
    </row>
    <row r="26" spans="6:15" x14ac:dyDescent="0.35">
      <c r="F26" t="s">
        <v>100</v>
      </c>
      <c r="G26">
        <v>60000</v>
      </c>
      <c r="H26">
        <f>G26/$H$18</f>
        <v>0.24695524759321533</v>
      </c>
      <c r="I26">
        <f>H26*G$18</f>
        <v>1799.8098444593534</v>
      </c>
      <c r="N26">
        <v>15000</v>
      </c>
    </row>
    <row r="27" spans="6:15" x14ac:dyDescent="0.35">
      <c r="F27" t="s">
        <v>101</v>
      </c>
      <c r="G27">
        <v>0</v>
      </c>
      <c r="H27">
        <f t="shared" ref="H27:H28" si="4">G27/$H$18</f>
        <v>0</v>
      </c>
      <c r="I27">
        <f t="shared" ref="I27" si="5">H27*G$18</f>
        <v>0</v>
      </c>
      <c r="N27">
        <v>9728</v>
      </c>
    </row>
    <row r="28" spans="6:15" x14ac:dyDescent="0.35">
      <c r="F28" t="s">
        <v>102</v>
      </c>
      <c r="G28">
        <v>11000</v>
      </c>
      <c r="H28">
        <f t="shared" si="4"/>
        <v>4.527512872542281E-2</v>
      </c>
      <c r="I28">
        <f>H28*G$18</f>
        <v>329.96513815088144</v>
      </c>
      <c r="N28">
        <v>100</v>
      </c>
    </row>
    <row r="29" spans="6:15" x14ac:dyDescent="0.35">
      <c r="K29">
        <f>I28+I30</f>
        <v>329.96513815088144</v>
      </c>
      <c r="N29">
        <v>11346</v>
      </c>
    </row>
    <row r="30" spans="6:15" x14ac:dyDescent="0.35">
      <c r="I30" s="106"/>
    </row>
    <row r="31" spans="6:15" x14ac:dyDescent="0.35">
      <c r="H31" s="106" t="s">
        <v>103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?mso-contentType ?>
<SharedContentType xmlns="Microsoft.SharePoint.Taxonomy.ContentTypeSync" SourceId="d07acfae-4dfa-4949-99a8-259efd31a6ae" ContentTypeId="0x010100BBA312BF02777149882D207184EC35C032" PreviousValue="false"/>
</file>

<file path=customXml/item2.xml><?xml version="1.0" encoding="utf-8"?>
<?mso-contentType ?>
<customXsn xmlns="http://schemas.microsoft.com/office/2006/metadata/customXsn">
  <xsnLocation/>
  <cached>True</cached>
  <openByDefault>False</openByDefault>
  <xsnScope/>
</customXsn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c625d36-bb37-4650-91b9-0c96159295ba"/>
    <edbe0b5c82304c8e847ab7b8c02a77c3 xmlns="cc625d36-bb37-4650-91b9-0c96159295ba">
      <Terms xmlns="http://schemas.microsoft.com/office/infopath/2007/PartnerControls"/>
    </edbe0b5c82304c8e847ab7b8c02a77c3>
    <DirtyMigration xmlns="4e9c2f0c-7bf8-49af-8356-cbf363fc78a7">false</DirtyMigration>
    <k46d94c0acf84ab9a79866a9d8b1905f xmlns="cc625d36-bb37-4650-91b9-0c96159295ba">
      <Terms xmlns="http://schemas.microsoft.com/office/infopath/2007/PartnerControls"/>
    </k46d94c0acf84ab9a79866a9d8b1905f>
    <RKNyckelord xmlns="18f3d968-6251-40b0-9f11-012b293496c2" xsi:nil="true"/>
    <IconOverlay xmlns="http://schemas.microsoft.com/sharepoint/v4" xsi:nil="true"/>
    <_dlc_DocId xmlns="eec14d05-b663-4c4f-ba9e-f91ce218b26b">JMV6WU277ZYR-1834298216-40339</_dlc_DocId>
    <_dlc_DocIdUrl xmlns="eec14d05-b663-4c4f-ba9e-f91ce218b26b">
      <Url>https://dhs.sp.regeringskansliet.se/yta/fi-ofa/sfo/_layouts/15/DocIdRedir.aspx?ID=JMV6WU277ZYR-1834298216-40339</Url>
      <Description>JMV6WU277ZYR-1834298216-40339</Description>
    </_dlc_DocIdUrl>
  </documentManagement>
</p:properties>
</file>

<file path=customXml/item6.xml><?xml version="1.0" encoding="utf-8"?>
<ct:contentTypeSchema xmlns:ct="http://schemas.microsoft.com/office/2006/metadata/contentType" xmlns:ma="http://schemas.microsoft.com/office/2006/metadata/properties/metaAttributes" ct:_="" ma:_="" ma:contentTypeName="RK Word" ma:contentTypeID="0x010100BBA312BF02777149882D207184EC35C03200CF5593F4490C0D4196725A57CBAFD07F" ma:contentTypeVersion="73" ma:contentTypeDescription="Skapa nytt dokument med möjlighet att välja RK-mall" ma:contentTypeScope="" ma:versionID="0b3bb73c448d25a7f063df66907e9038">
  <xsd:schema xmlns:xsd="http://www.w3.org/2001/XMLSchema" xmlns:xs="http://www.w3.org/2001/XMLSchema" xmlns:p="http://schemas.microsoft.com/office/2006/metadata/properties" xmlns:ns2="4e9c2f0c-7bf8-49af-8356-cbf363fc78a7" xmlns:ns3="cc625d36-bb37-4650-91b9-0c96159295ba" xmlns:ns5="18f3d968-6251-40b0-9f11-012b293496c2" xmlns:ns6="9c9941df-7074-4a92-bf99-225d24d78d61" xmlns:ns7="http://schemas.microsoft.com/sharepoint/v4" xmlns:ns8="eec14d05-b663-4c4f-ba9e-f91ce218b26b" targetNamespace="http://schemas.microsoft.com/office/2006/metadata/properties" ma:root="true" ma:fieldsID="cf63978305062f979a8dac6e606a6156" ns2:_="" ns3:_="" ns5:_="" ns6:_="" ns7:_="" ns8:_="">
    <xsd:import namespace="4e9c2f0c-7bf8-49af-8356-cbf363fc78a7"/>
    <xsd:import namespace="cc625d36-bb37-4650-91b9-0c96159295ba"/>
    <xsd:import namespace="18f3d968-6251-40b0-9f11-012b293496c2"/>
    <xsd:import namespace="9c9941df-7074-4a92-bf99-225d24d78d61"/>
    <xsd:import namespace="http://schemas.microsoft.com/sharepoint/v4"/>
    <xsd:import namespace="eec14d05-b663-4c4f-ba9e-f91ce218b26b"/>
    <xsd:element name="properties">
      <xsd:complexType>
        <xsd:sequence>
          <xsd:element name="documentManagement">
            <xsd:complexType>
              <xsd:all>
                <xsd:element ref="ns2:DirtyMigration" minOccurs="0"/>
                <xsd:element ref="ns3:TaxCatchAllLabel" minOccurs="0"/>
                <xsd:element ref="ns3:TaxCatchAll" minOccurs="0"/>
                <xsd:element ref="ns3:k46d94c0acf84ab9a79866a9d8b1905f" minOccurs="0"/>
                <xsd:element ref="ns3:edbe0b5c82304c8e847ab7b8c02a77c3" minOccurs="0"/>
                <xsd:element ref="ns5:RKNyckelord" minOccurs="0"/>
                <xsd:element ref="ns6:SharedWithUsers" minOccurs="0"/>
                <xsd:element ref="ns7:IconOverlay" minOccurs="0"/>
                <xsd:element ref="ns8:_dlc_DocId" minOccurs="0"/>
                <xsd:element ref="ns8:_dlc_DocIdUrl" minOccurs="0"/>
                <xsd:element ref="ns8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9c2f0c-7bf8-49af-8356-cbf363fc78a7" elementFormDefault="qualified">
    <xsd:import namespace="http://schemas.microsoft.com/office/2006/documentManagement/types"/>
    <xsd:import namespace="http://schemas.microsoft.com/office/infopath/2007/PartnerControls"/>
    <xsd:element name="DirtyMigration" ma:index="5" nillable="true" ma:displayName="Migrerad inte uppdaterad" ma:default="0" ma:internalName="DirtyMigration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625d36-bb37-4650-91b9-0c96159295ba" elementFormDefault="qualified">
    <xsd:import namespace="http://schemas.microsoft.com/office/2006/documentManagement/types"/>
    <xsd:import namespace="http://schemas.microsoft.com/office/infopath/2007/PartnerControls"/>
    <xsd:element name="TaxCatchAllLabel" ma:index="6" nillable="true" ma:displayName="Taxonomy Catch All Column1" ma:hidden="true" ma:list="{e1938cba-2959-43c3-a77f-283ab2a63118}" ma:internalName="TaxCatchAllLabel" ma:readOnly="true" ma:showField="CatchAllDataLabel" ma:web="4b1ee199-d7fd-46f7-a307-e08bcedd68a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" ma:index="8" nillable="true" ma:displayName="Taxonomy Catch All Column" ma:hidden="true" ma:list="{e1938cba-2959-43c3-a77f-283ab2a63118}" ma:internalName="TaxCatchAll" ma:showField="CatchAllData" ma:web="4b1ee199-d7fd-46f7-a307-e08bcedd68a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k46d94c0acf84ab9a79866a9d8b1905f" ma:index="11" nillable="true" ma:taxonomy="true" ma:internalName="k46d94c0acf84ab9a79866a9d8b1905f" ma:taxonomyFieldName="Organisation" ma:displayName="Organisatorisk enhet" ma:fieldId="{446d94c0-acf8-4ab9-a798-66a9d8b1905f}" ma:sspId="d07acfae-4dfa-4949-99a8-259efd31a6ae" ma:termSetId="8c1436be-a8c9-4c8f-93bb-07dc2d5595bf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dbe0b5c82304c8e847ab7b8c02a77c3" ma:index="14" nillable="true" ma:taxonomy="true" ma:internalName="edbe0b5c82304c8e847ab7b8c02a77c3" ma:taxonomyFieldName="ActivityCategory" ma:displayName="Aktivitetskategori" ma:default="" ma:fieldId="{edbe0b5c-8230-4c8e-847a-b7b8c02a77c3}" ma:sspId="d07acfae-4dfa-4949-99a8-259efd31a6ae" ma:termSetId="8bf97125-e7b6-456b-9da4-c0e62cf3e5a7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f3d968-6251-40b0-9f11-012b293496c2" elementFormDefault="qualified">
    <xsd:import namespace="http://schemas.microsoft.com/office/2006/documentManagement/types"/>
    <xsd:import namespace="http://schemas.microsoft.com/office/infopath/2007/PartnerControls"/>
    <xsd:element name="RKNyckelord" ma:index="16" nillable="true" ma:displayName="Nyckelord" ma:internalName="RKNyckelord0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9941df-7074-4a92-bf99-225d24d78d61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Delat med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8" nillable="true" ma:displayName="IconOverlay" ma:hidden="true" ma:internalName="IconOverlay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c14d05-b663-4c4f-ba9e-f91ce218b26b" elementFormDefault="qualified">
    <xsd:import namespace="http://schemas.microsoft.com/office/2006/documentManagement/types"/>
    <xsd:import namespace="http://schemas.microsoft.com/office/infopath/2007/PartnerControls"/>
    <xsd:element name="_dlc_DocId" ma:index="19" nillable="true" ma:displayName="Dokument-ID-värde" ma:description="Värdet för dokument-ID som tilldelats till det här objektet." ma:internalName="_dlc_DocId" ma:readOnly="true">
      <xsd:simpleType>
        <xsd:restriction base="dms:Text"/>
      </xsd:simpleType>
    </xsd:element>
    <xsd:element name="_dlc_DocIdUrl" ma:index="20" nillable="true" ma:displayName="Dokument-ID" ma:description="Permanent länk till det här dokumente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1" nillable="true" ma:displayName="Spara ID" ma:description="Behåll ID vid tillägg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Innehållstyp"/>
        <xsd:element ref="dc:title" minOccurs="0" maxOccurs="1" ma:index="1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3660909-6AA9-43DA-9438-C29B74F72C58}">
  <ds:schemaRefs>
    <ds:schemaRef ds:uri="Microsoft.SharePoint.Taxonomy.ContentTypeSync"/>
  </ds:schemaRefs>
</ds:datastoreItem>
</file>

<file path=customXml/itemProps2.xml><?xml version="1.0" encoding="utf-8"?>
<ds:datastoreItem xmlns:ds="http://schemas.openxmlformats.org/officeDocument/2006/customXml" ds:itemID="{2BEDB698-98B2-4C6F-9978-456290C38CC5}">
  <ds:schemaRefs>
    <ds:schemaRef ds:uri="http://schemas.microsoft.com/office/2006/metadata/customXsn"/>
  </ds:schemaRefs>
</ds:datastoreItem>
</file>

<file path=customXml/itemProps3.xml><?xml version="1.0" encoding="utf-8"?>
<ds:datastoreItem xmlns:ds="http://schemas.openxmlformats.org/officeDocument/2006/customXml" ds:itemID="{A598A73B-AE04-440F-98EE-22473E716DE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124A9B6E-5A85-45CE-8F93-2AE1796C1F28}">
  <ds:schemaRefs>
    <ds:schemaRef ds:uri="http://schemas.microsoft.com/sharepoint/events"/>
  </ds:schemaRefs>
</ds:datastoreItem>
</file>

<file path=customXml/itemProps5.xml><?xml version="1.0" encoding="utf-8"?>
<ds:datastoreItem xmlns:ds="http://schemas.openxmlformats.org/officeDocument/2006/customXml" ds:itemID="{9B8D2156-5A19-4662-9644-6C41E2DC58EE}">
  <ds:schemaRefs>
    <ds:schemaRef ds:uri="http://purl.org/dc/elements/1.1/"/>
    <ds:schemaRef ds:uri="9c9941df-7074-4a92-bf99-225d24d78d61"/>
    <ds:schemaRef ds:uri="http://schemas.microsoft.com/office/infopath/2007/PartnerControls"/>
    <ds:schemaRef ds:uri="4e9c2f0c-7bf8-49af-8356-cbf363fc78a7"/>
    <ds:schemaRef ds:uri="http://schemas.microsoft.com/office/2006/metadata/properties"/>
    <ds:schemaRef ds:uri="cc625d36-bb37-4650-91b9-0c96159295ba"/>
    <ds:schemaRef ds:uri="http://purl.org/dc/terms/"/>
    <ds:schemaRef ds:uri="http://schemas.openxmlformats.org/package/2006/metadata/core-properties"/>
    <ds:schemaRef ds:uri="http://schemas.microsoft.com/sharepoint/v4"/>
    <ds:schemaRef ds:uri="http://schemas.microsoft.com/office/2006/documentManagement/types"/>
    <ds:schemaRef ds:uri="eec14d05-b663-4c4f-ba9e-f91ce218b26b"/>
    <ds:schemaRef ds:uri="18f3d968-6251-40b0-9f11-012b293496c2"/>
    <ds:schemaRef ds:uri="http://www.w3.org/XML/1998/namespace"/>
    <ds:schemaRef ds:uri="http://purl.org/dc/dcmitype/"/>
  </ds:schemaRefs>
</ds:datastoreItem>
</file>

<file path=customXml/itemProps6.xml><?xml version="1.0" encoding="utf-8"?>
<ds:datastoreItem xmlns:ds="http://schemas.openxmlformats.org/officeDocument/2006/customXml" ds:itemID="{0B8245B1-1BCD-46C8-AE16-33ECE8629E3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e9c2f0c-7bf8-49af-8356-cbf363fc78a7"/>
    <ds:schemaRef ds:uri="cc625d36-bb37-4650-91b9-0c96159295ba"/>
    <ds:schemaRef ds:uri="18f3d968-6251-40b0-9f11-012b293496c2"/>
    <ds:schemaRef ds:uri="9c9941df-7074-4a92-bf99-225d24d78d61"/>
    <ds:schemaRef ds:uri="http://schemas.microsoft.com/sharepoint/v4"/>
    <ds:schemaRef ds:uri="eec14d05-b663-4c4f-ba9e-f91ce218b26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4</vt:i4>
      </vt:variant>
      <vt:variant>
        <vt:lpstr>Namngivna områden</vt:lpstr>
      </vt:variant>
      <vt:variant>
        <vt:i4>2</vt:i4>
      </vt:variant>
    </vt:vector>
  </HeadingPairs>
  <TitlesOfParts>
    <vt:vector size="6" baseType="lpstr">
      <vt:lpstr>Översikt fördelning</vt:lpstr>
      <vt:lpstr>Riktade medel och parametrar</vt:lpstr>
      <vt:lpstr>Omdisponering av anslag</vt:lpstr>
      <vt:lpstr>Fördelning av anslaget</vt:lpstr>
      <vt:lpstr>'Riktade medel och parametrar'!Utskriftsområde</vt:lpstr>
      <vt:lpstr>'Översikt fördelning'!Utskriftsområde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Julia Hagberg</dc:creator>
  <cp:keywords/>
  <dc:description/>
  <cp:lastModifiedBy>Madeleine Ehlin</cp:lastModifiedBy>
  <cp:revision/>
  <cp:lastPrinted>2025-01-13T12:10:20Z</cp:lastPrinted>
  <dcterms:created xsi:type="dcterms:W3CDTF">2020-10-23T14:25:55Z</dcterms:created>
  <dcterms:modified xsi:type="dcterms:W3CDTF">2026-01-07T15:17:49Z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0x010100BBA312BF02777149882D207184EC35C03200CF5593F4490C0D4196725A57CBAFD07F</vt:lpwstr>
  </property>
  <property fmtid="{D5CDD505-2E9C-101B-9397-08002B2CF9AE}" pid="3" name="Organisation">
    <vt:lpwstr/>
  </property>
  <property fmtid="{D5CDD505-2E9C-101B-9397-08002B2CF9AE}" pid="4" name="ActivityCategory">
    <vt:lpwstr/>
  </property>
  <property fmtid="{D5CDD505-2E9C-101B-9397-08002B2CF9AE}" pid="5" name="_dlc_DocIdItemGuid">
    <vt:lpwstr>b0ff7fd5-3f69-48f5-ad2e-fa78996d17ff</vt:lpwstr>
  </property>
  <property fmtid="{D5CDD505-2E9C-101B-9397-08002B2CF9AE}" pid="6" name="_dlc_DocId">
    <vt:lpwstr>JMV6WU277ZYR-1834298216-38711</vt:lpwstr>
  </property>
  <property fmtid="{D5CDD505-2E9C-101B-9397-08002B2CF9AE}" pid="7" name="_dlc_DocIdUrl">
    <vt:lpwstr>https://dhs.sp.regeringskansliet.se/yta/fi-ofa/sfo/_layouts/15/DocIdRedir.aspx?ID=JMV6WU277ZYR-1834298216-38711, JMV6WU277ZYR-1834298216-38711</vt:lpwstr>
  </property>
</Properties>
</file>