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795" windowHeight="8325" tabRatio="598"/>
  </bookViews>
  <sheets>
    <sheet name="RB 2013" sheetId="3" r:id="rId1"/>
    <sheet name="Utvecklingsmedel" sheetId="6" r:id="rId2"/>
    <sheet name="Blad1" sheetId="7" r:id="rId3"/>
  </sheets>
  <definedNames>
    <definedName name="_xlnm.Print_Titles" localSheetId="0">'RB 2013'!$H:$I</definedName>
  </definedNames>
  <calcPr calcId="145621"/>
</workbook>
</file>

<file path=xl/calcChain.xml><?xml version="1.0" encoding="utf-8"?>
<calcChain xmlns="http://schemas.openxmlformats.org/spreadsheetml/2006/main">
  <c r="M21" i="3" l="1"/>
  <c r="AL16" i="3" l="1"/>
  <c r="AL21" i="3"/>
  <c r="AL27" i="3"/>
  <c r="AL30" i="3"/>
  <c r="AL29" i="3"/>
  <c r="AL26" i="3"/>
  <c r="AL20" i="3"/>
  <c r="AL19" i="3"/>
  <c r="AL18" i="3"/>
  <c r="AL17" i="3"/>
  <c r="AL13" i="3"/>
  <c r="AL12" i="3"/>
  <c r="AL11" i="3"/>
  <c r="AL10" i="3"/>
  <c r="AP30" i="3"/>
  <c r="AP27" i="3"/>
  <c r="AP2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N28" i="3"/>
  <c r="AN27" i="3"/>
  <c r="AN26" i="3"/>
  <c r="AN25" i="3"/>
  <c r="AN24" i="3"/>
  <c r="AN23" i="3"/>
  <c r="AN22" i="3"/>
  <c r="AN19" i="3"/>
  <c r="AN18" i="3"/>
  <c r="AN17" i="3"/>
  <c r="AN16" i="3"/>
  <c r="AN15" i="3"/>
  <c r="AN14" i="3"/>
  <c r="AN13" i="3"/>
  <c r="AN12" i="3"/>
  <c r="AN11" i="3"/>
  <c r="AN10" i="3"/>
  <c r="AC10" i="3"/>
  <c r="C11" i="3" l="1"/>
  <c r="AJ30" i="3"/>
  <c r="AJ26" i="3"/>
  <c r="AJ21" i="3"/>
  <c r="AJ19" i="3"/>
  <c r="AJ10" i="3"/>
  <c r="AI19" i="3"/>
  <c r="AI18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R11" i="3" s="1"/>
  <c r="CS11" i="3" s="1"/>
  <c r="AF10" i="3"/>
  <c r="AF31" i="3" s="1"/>
  <c r="AF37" i="3" s="1"/>
  <c r="AD23" i="3"/>
  <c r="AC21" i="3"/>
  <c r="AC19" i="3"/>
  <c r="Z30" i="3"/>
  <c r="Z29" i="3"/>
  <c r="Z28" i="3"/>
  <c r="T15" i="3"/>
  <c r="T31" i="3" s="1"/>
  <c r="T37" i="3" s="1"/>
  <c r="S30" i="3"/>
  <c r="S29" i="3"/>
  <c r="S28" i="3"/>
  <c r="S27" i="3"/>
  <c r="S26" i="3"/>
  <c r="S25" i="3"/>
  <c r="S24" i="3"/>
  <c r="S23" i="3"/>
  <c r="S22" i="3"/>
  <c r="S21" i="3"/>
  <c r="S11" i="3"/>
  <c r="R21" i="3"/>
  <c r="R31" i="3" s="1"/>
  <c r="R37" i="3" s="1"/>
  <c r="P30" i="3"/>
  <c r="P29" i="3"/>
  <c r="P28" i="3"/>
  <c r="P27" i="3"/>
  <c r="P26" i="3"/>
  <c r="P25" i="3"/>
  <c r="P23" i="3"/>
  <c r="P22" i="3"/>
  <c r="P21" i="3"/>
  <c r="O10" i="3"/>
  <c r="O31" i="3" s="1"/>
  <c r="O37" i="3" s="1"/>
  <c r="M31" i="3"/>
  <c r="M37" i="3" s="1"/>
  <c r="L30" i="3"/>
  <c r="L29" i="3"/>
  <c r="L28" i="3"/>
  <c r="AQ31" i="3"/>
  <c r="AQ37" i="3" s="1"/>
  <c r="AP31" i="3"/>
  <c r="AP37" i="3" s="1"/>
  <c r="AN31" i="3"/>
  <c r="AN37" i="3" s="1"/>
  <c r="AM31" i="3"/>
  <c r="AM37" i="3" s="1"/>
  <c r="AR35" i="3"/>
  <c r="AR34" i="3"/>
  <c r="AR32" i="3"/>
  <c r="AR33" i="3"/>
  <c r="CX35" i="3" s="1"/>
  <c r="CX34" i="3"/>
  <c r="AL31" i="3"/>
  <c r="AL37" i="3" s="1"/>
  <c r="AG11" i="3"/>
  <c r="AG12" i="3"/>
  <c r="AR12" i="3" s="1"/>
  <c r="CS12" i="3" s="1"/>
  <c r="AG13" i="3"/>
  <c r="AG14" i="3"/>
  <c r="AG15" i="3"/>
  <c r="AG16" i="3"/>
  <c r="AR16" i="3" s="1"/>
  <c r="CS16" i="3" s="1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10" i="3"/>
  <c r="AO31" i="3"/>
  <c r="AO37" i="3" s="1"/>
  <c r="AK31" i="3"/>
  <c r="AK37" i="3" s="1"/>
  <c r="C7" i="3"/>
  <c r="AR18" i="3"/>
  <c r="CS18" i="3" s="1"/>
  <c r="C10" i="3"/>
  <c r="CA10" i="3"/>
  <c r="CA13" i="3"/>
  <c r="CA15" i="3"/>
  <c r="CA17" i="3"/>
  <c r="CA19" i="3"/>
  <c r="CT19" i="3"/>
  <c r="CA20" i="3"/>
  <c r="CA21" i="3"/>
  <c r="CT21" i="3"/>
  <c r="CA22" i="3"/>
  <c r="CA23" i="3"/>
  <c r="CA24" i="3"/>
  <c r="CA25" i="3"/>
  <c r="CA26" i="3"/>
  <c r="CA27" i="3"/>
  <c r="CA28" i="3"/>
  <c r="CA29" i="3"/>
  <c r="CA30" i="3"/>
  <c r="AI31" i="3"/>
  <c r="AI37" i="3" s="1"/>
  <c r="AH31" i="3"/>
  <c r="AH37" i="3" s="1"/>
  <c r="Z31" i="3"/>
  <c r="Z37" i="3"/>
  <c r="BN49" i="3"/>
  <c r="BN46" i="3"/>
  <c r="BS31" i="3"/>
  <c r="AD31" i="3"/>
  <c r="AD37" i="3" s="1"/>
  <c r="AE31" i="3"/>
  <c r="AE37" i="3" s="1"/>
  <c r="AB31" i="3"/>
  <c r="AB37" i="3" s="1"/>
  <c r="Y31" i="3"/>
  <c r="Y37" i="3" s="1"/>
  <c r="AR36" i="3"/>
  <c r="X31" i="3"/>
  <c r="X37" i="3" s="1"/>
  <c r="Q31" i="3"/>
  <c r="Q37" i="3"/>
  <c r="BN48" i="3"/>
  <c r="N31" i="3"/>
  <c r="N37" i="3" s="1"/>
  <c r="U31" i="3"/>
  <c r="U37" i="3" s="1"/>
  <c r="V31" i="3"/>
  <c r="V37" i="3" s="1"/>
  <c r="W31" i="3"/>
  <c r="W37" i="3" s="1"/>
  <c r="CH11" i="3"/>
  <c r="CI11" i="3"/>
  <c r="CH10" i="3"/>
  <c r="CI10" i="3"/>
  <c r="CL10" i="3" s="1"/>
  <c r="CH12" i="3"/>
  <c r="CI12" i="3"/>
  <c r="CH13" i="3"/>
  <c r="CI13" i="3"/>
  <c r="CH14" i="3"/>
  <c r="CI14" i="3"/>
  <c r="CL14" i="3" s="1"/>
  <c r="CH15" i="3"/>
  <c r="CI15" i="3"/>
  <c r="CL15" i="3" s="1"/>
  <c r="CH16" i="3"/>
  <c r="CI16" i="3"/>
  <c r="CH17" i="3"/>
  <c r="CI17" i="3"/>
  <c r="CH18" i="3"/>
  <c r="CI18" i="3"/>
  <c r="CH19" i="3"/>
  <c r="CI19" i="3"/>
  <c r="CL19" i="3" s="1"/>
  <c r="CH20" i="3"/>
  <c r="CL20" i="3"/>
  <c r="CI20" i="3"/>
  <c r="CH21" i="3"/>
  <c r="CI21" i="3"/>
  <c r="CH22" i="3"/>
  <c r="CI22" i="3"/>
  <c r="CH23" i="3"/>
  <c r="CI23" i="3"/>
  <c r="CH24" i="3"/>
  <c r="CL24" i="3" s="1"/>
  <c r="CI24" i="3"/>
  <c r="CH25" i="3"/>
  <c r="CL25" i="3" s="1"/>
  <c r="CI25" i="3"/>
  <c r="CH26" i="3"/>
  <c r="CI26" i="3"/>
  <c r="CL26" i="3" s="1"/>
  <c r="CH27" i="3"/>
  <c r="CL27" i="3" s="1"/>
  <c r="CI27" i="3"/>
  <c r="CH28" i="3"/>
  <c r="CI28" i="3"/>
  <c r="CL28" i="3" s="1"/>
  <c r="CH29" i="3"/>
  <c r="CI29" i="3"/>
  <c r="CH30" i="3"/>
  <c r="CI30" i="3"/>
  <c r="AT10" i="3"/>
  <c r="AU8" i="3"/>
  <c r="AT11" i="3"/>
  <c r="AU11" i="3" s="1"/>
  <c r="AT12" i="3"/>
  <c r="AT13" i="3"/>
  <c r="AU13" i="3" s="1"/>
  <c r="AT14" i="3"/>
  <c r="AT15" i="3"/>
  <c r="AT16" i="3"/>
  <c r="AU16" i="3" s="1"/>
  <c r="AT17" i="3"/>
  <c r="AT18" i="3"/>
  <c r="AT19" i="3"/>
  <c r="AT20" i="3"/>
  <c r="AT21" i="3"/>
  <c r="AU21" i="3" s="1"/>
  <c r="AT22" i="3"/>
  <c r="AT23" i="3"/>
  <c r="AT24" i="3"/>
  <c r="AU24" i="3" s="1"/>
  <c r="AT25" i="3"/>
  <c r="AU25" i="3" s="1"/>
  <c r="AT26" i="3"/>
  <c r="AT27" i="3"/>
  <c r="AT28" i="3"/>
  <c r="AT29" i="3"/>
  <c r="AU29" i="3" s="1"/>
  <c r="AT30" i="3"/>
  <c r="AT31" i="3"/>
  <c r="CN9" i="3"/>
  <c r="CU31" i="3"/>
  <c r="BM31" i="3"/>
  <c r="BN31" i="3"/>
  <c r="BO31" i="3"/>
  <c r="BP31" i="3"/>
  <c r="BQ31" i="3"/>
  <c r="BR31" i="3"/>
  <c r="AU12" i="3"/>
  <c r="AU14" i="3"/>
  <c r="AU18" i="3"/>
  <c r="AU20" i="3"/>
  <c r="AU22" i="3"/>
  <c r="AU26" i="3"/>
  <c r="AU28" i="3"/>
  <c r="AU30" i="3"/>
  <c r="BL31" i="3"/>
  <c r="CL29" i="3"/>
  <c r="CL22" i="3"/>
  <c r="CA18" i="3"/>
  <c r="CA16" i="3"/>
  <c r="CA14" i="3"/>
  <c r="CA11" i="3"/>
  <c r="AR22" i="3"/>
  <c r="CS22" i="3" s="1"/>
  <c r="CA12" i="3"/>
  <c r="AA31" i="3"/>
  <c r="AA37" i="3" s="1"/>
  <c r="CL21" i="3"/>
  <c r="CL16" i="3"/>
  <c r="CL12" i="3"/>
  <c r="CT31" i="3"/>
  <c r="AR26" i="3"/>
  <c r="CS26" i="3" s="1"/>
  <c r="AG31" i="3"/>
  <c r="AG37" i="3" s="1"/>
  <c r="AU10" i="3"/>
  <c r="AU31" i="3" s="1"/>
  <c r="CH31" i="3"/>
  <c r="AU27" i="3"/>
  <c r="AU23" i="3"/>
  <c r="AU19" i="3"/>
  <c r="AU17" i="3"/>
  <c r="AU15" i="3"/>
  <c r="CL18" i="3" l="1"/>
  <c r="CM18" i="3" s="1"/>
  <c r="CN18" i="3" s="1"/>
  <c r="CL11" i="3"/>
  <c r="CM11" i="3" s="1"/>
  <c r="CN11" i="3" s="1"/>
  <c r="CL30" i="3"/>
  <c r="CL23" i="3"/>
  <c r="CL17" i="3"/>
  <c r="CM17" i="3" s="1"/>
  <c r="CN17" i="3" s="1"/>
  <c r="CL13" i="3"/>
  <c r="CM13" i="3" s="1"/>
  <c r="CN13" i="3" s="1"/>
  <c r="CA31" i="3"/>
  <c r="CM19" i="3"/>
  <c r="CN19" i="3" s="1"/>
  <c r="CL31" i="3"/>
  <c r="CM23" i="3" s="1"/>
  <c r="CN23" i="3" s="1"/>
  <c r="CM10" i="3"/>
  <c r="CM12" i="3"/>
  <c r="CN12" i="3" s="1"/>
  <c r="CM21" i="3"/>
  <c r="CN21" i="3" s="1"/>
  <c r="CM26" i="3"/>
  <c r="CN26" i="3" s="1"/>
  <c r="CM16" i="3"/>
  <c r="CN16" i="3" s="1"/>
  <c r="CM25" i="3"/>
  <c r="CN25" i="3" s="1"/>
  <c r="CM20" i="3"/>
  <c r="CN20" i="3" s="1"/>
  <c r="CM14" i="3"/>
  <c r="CN14" i="3" s="1"/>
  <c r="AR24" i="3"/>
  <c r="CS24" i="3" s="1"/>
  <c r="CI31" i="3"/>
  <c r="AR25" i="3"/>
  <c r="CS25" i="3" s="1"/>
  <c r="AR29" i="3"/>
  <c r="CS29" i="3" s="1"/>
  <c r="AC31" i="3"/>
  <c r="AC37" i="3" s="1"/>
  <c r="AR20" i="3"/>
  <c r="CS20" i="3" s="1"/>
  <c r="AR15" i="3"/>
  <c r="CS15" i="3" s="1"/>
  <c r="AR30" i="3"/>
  <c r="CS30" i="3" s="1"/>
  <c r="AR13" i="3"/>
  <c r="CS13" i="3" s="1"/>
  <c r="AR17" i="3"/>
  <c r="CS17" i="3" s="1"/>
  <c r="AR10" i="3"/>
  <c r="CS10" i="3" s="1"/>
  <c r="AJ31" i="3"/>
  <c r="AJ37" i="3" s="1"/>
  <c r="AR27" i="3"/>
  <c r="CS27" i="3" s="1"/>
  <c r="AR14" i="3"/>
  <c r="CS14" i="3" s="1"/>
  <c r="AR21" i="3"/>
  <c r="CS21" i="3" s="1"/>
  <c r="AR19" i="3"/>
  <c r="CS19" i="3" s="1"/>
  <c r="AR23" i="3"/>
  <c r="CS23" i="3" s="1"/>
  <c r="S31" i="3"/>
  <c r="S37" i="3" s="1"/>
  <c r="AR28" i="3"/>
  <c r="CS28" i="3" s="1"/>
  <c r="P31" i="3"/>
  <c r="P37" i="3" s="1"/>
  <c r="L31" i="3"/>
  <c r="L37" i="3" s="1"/>
  <c r="CM28" i="3" l="1"/>
  <c r="CN28" i="3" s="1"/>
  <c r="CM24" i="3"/>
  <c r="CN24" i="3" s="1"/>
  <c r="CM27" i="3"/>
  <c r="CN27" i="3" s="1"/>
  <c r="CM15" i="3"/>
  <c r="CN15" i="3" s="1"/>
  <c r="CM31" i="3"/>
  <c r="CN10" i="3"/>
  <c r="CN31" i="3" s="1"/>
  <c r="CM22" i="3"/>
  <c r="CN22" i="3" s="1"/>
  <c r="CM29" i="3"/>
  <c r="CN29" i="3" s="1"/>
  <c r="CM30" i="3"/>
  <c r="CN30" i="3" s="1"/>
  <c r="CS31" i="3"/>
  <c r="AR31" i="3"/>
  <c r="AR37" i="3" s="1"/>
  <c r="C9" i="3" s="1"/>
  <c r="C13" i="3" s="1"/>
  <c r="C16" i="3" s="1"/>
  <c r="BP35" i="3" s="1"/>
  <c r="BP43" i="3" s="1"/>
  <c r="CC13" i="3" s="1"/>
  <c r="CC11" i="3" l="1"/>
  <c r="CC18" i="3"/>
  <c r="CC12" i="3"/>
  <c r="CC21" i="3"/>
  <c r="CC17" i="3"/>
  <c r="CC10" i="3"/>
  <c r="CC30" i="3"/>
  <c r="CC19" i="3"/>
  <c r="BP40" i="3"/>
  <c r="BZ26" i="3" s="1"/>
  <c r="CC29" i="3"/>
  <c r="CC24" i="3"/>
  <c r="CC20" i="3"/>
  <c r="BP41" i="3"/>
  <c r="CC26" i="3"/>
  <c r="CC23" i="3"/>
  <c r="BP39" i="3"/>
  <c r="BY27" i="3" s="1"/>
  <c r="CC15" i="3"/>
  <c r="BP42" i="3"/>
  <c r="CB15" i="3" s="1"/>
  <c r="CC25" i="3"/>
  <c r="CC16" i="3"/>
  <c r="CC27" i="3"/>
  <c r="CC14" i="3"/>
  <c r="BP45" i="3"/>
  <c r="CE13" i="3" s="1"/>
  <c r="CC28" i="3"/>
  <c r="CC22" i="3"/>
  <c r="BP37" i="3"/>
  <c r="BX17" i="3" s="1"/>
  <c r="BP44" i="3"/>
  <c r="CD10" i="3" s="1"/>
  <c r="BY25" i="3"/>
  <c r="BZ30" i="3"/>
  <c r="BZ13" i="3" l="1"/>
  <c r="BY20" i="3"/>
  <c r="BZ17" i="3"/>
  <c r="BZ25" i="3"/>
  <c r="CD12" i="3"/>
  <c r="CB23" i="3"/>
  <c r="BZ14" i="3"/>
  <c r="BZ28" i="3"/>
  <c r="BZ15" i="3"/>
  <c r="BZ16" i="3"/>
  <c r="BY29" i="3"/>
  <c r="BX22" i="3"/>
  <c r="BY22" i="3"/>
  <c r="BY11" i="3"/>
  <c r="BY16" i="3"/>
  <c r="BY24" i="3"/>
  <c r="CE21" i="3"/>
  <c r="CE30" i="3"/>
  <c r="BY12" i="3"/>
  <c r="BY30" i="3"/>
  <c r="CD27" i="3"/>
  <c r="CD21" i="3"/>
  <c r="CE10" i="3"/>
  <c r="CB20" i="3"/>
  <c r="CB22" i="3"/>
  <c r="BX14" i="3"/>
  <c r="BZ27" i="3"/>
  <c r="BZ24" i="3"/>
  <c r="BX18" i="3"/>
  <c r="BZ18" i="3"/>
  <c r="CB27" i="3"/>
  <c r="BZ23" i="3"/>
  <c r="BY17" i="3"/>
  <c r="BY23" i="3"/>
  <c r="BZ22" i="3"/>
  <c r="BZ20" i="3"/>
  <c r="BX26" i="3"/>
  <c r="BZ10" i="3"/>
  <c r="BY19" i="3"/>
  <c r="BZ19" i="3"/>
  <c r="CE29" i="3"/>
  <c r="CE24" i="3"/>
  <c r="CD16" i="3"/>
  <c r="CE27" i="3"/>
  <c r="CD25" i="3"/>
  <c r="CD15" i="3"/>
  <c r="CE16" i="3"/>
  <c r="CE12" i="3"/>
  <c r="CD24" i="3"/>
  <c r="CE15" i="3"/>
  <c r="CD11" i="3"/>
  <c r="CE28" i="3"/>
  <c r="CD13" i="3"/>
  <c r="CE25" i="3"/>
  <c r="CE11" i="3"/>
  <c r="CD28" i="3"/>
  <c r="CE20" i="3"/>
  <c r="CE19" i="3"/>
  <c r="BP46" i="3"/>
  <c r="CE14" i="3"/>
  <c r="BZ29" i="3"/>
  <c r="CD17" i="3"/>
  <c r="BZ12" i="3"/>
  <c r="BZ21" i="3"/>
  <c r="CD18" i="3"/>
  <c r="CE17" i="3"/>
  <c r="CD22" i="3"/>
  <c r="BX20" i="3"/>
  <c r="CD14" i="3"/>
  <c r="BZ11" i="3"/>
  <c r="CB29" i="3"/>
  <c r="CB13" i="3"/>
  <c r="CB25" i="3"/>
  <c r="BX16" i="3"/>
  <c r="BX12" i="3"/>
  <c r="BX13" i="3"/>
  <c r="CB14" i="3"/>
  <c r="BX28" i="3"/>
  <c r="BX11" i="3"/>
  <c r="BX21" i="3"/>
  <c r="CB21" i="3"/>
  <c r="CC31" i="3"/>
  <c r="CB16" i="3"/>
  <c r="CB26" i="3"/>
  <c r="BX29" i="3"/>
  <c r="BX25" i="3"/>
  <c r="BX23" i="3"/>
  <c r="BX10" i="3"/>
  <c r="BX27" i="3"/>
  <c r="CB19" i="3"/>
  <c r="CB10" i="3"/>
  <c r="CB24" i="3"/>
  <c r="CB17" i="3"/>
  <c r="BY14" i="3"/>
  <c r="BY28" i="3"/>
  <c r="CB30" i="3"/>
  <c r="BY15" i="3"/>
  <c r="BX30" i="3"/>
  <c r="BX15" i="3"/>
  <c r="BX19" i="3"/>
  <c r="BX24" i="3"/>
  <c r="CB18" i="3"/>
  <c r="BY21" i="3"/>
  <c r="CB12" i="3"/>
  <c r="BY13" i="3"/>
  <c r="CE22" i="3"/>
  <c r="CE23" i="3"/>
  <c r="CD30" i="3"/>
  <c r="CE18" i="3"/>
  <c r="CD26" i="3"/>
  <c r="CE26" i="3"/>
  <c r="CD23" i="3"/>
  <c r="CD19" i="3"/>
  <c r="BY10" i="3"/>
  <c r="BY26" i="3"/>
  <c r="BY18" i="3"/>
  <c r="CB11" i="3"/>
  <c r="CB28" i="3"/>
  <c r="CD20" i="3"/>
  <c r="CD29" i="3"/>
  <c r="CF13" i="3" l="1"/>
  <c r="CV13" i="3" s="1"/>
  <c r="CX13" i="3" s="1"/>
  <c r="DB13" i="3" s="1"/>
  <c r="CF23" i="3"/>
  <c r="F18" i="6" s="1"/>
  <c r="CF16" i="3"/>
  <c r="CV16" i="3" s="1"/>
  <c r="CX16" i="3" s="1"/>
  <c r="DB16" i="3" s="1"/>
  <c r="BZ31" i="3"/>
  <c r="CF27" i="3"/>
  <c r="F22" i="6" s="1"/>
  <c r="CF20" i="3"/>
  <c r="F15" i="6" s="1"/>
  <c r="CF21" i="3"/>
  <c r="CV21" i="3" s="1"/>
  <c r="CF28" i="3"/>
  <c r="CV28" i="3" s="1"/>
  <c r="CX28" i="3" s="1"/>
  <c r="DB28" i="3" s="1"/>
  <c r="CB31" i="3"/>
  <c r="CF12" i="3"/>
  <c r="F7" i="6" s="1"/>
  <c r="CF22" i="3"/>
  <c r="F17" i="6" s="1"/>
  <c r="CF11" i="3"/>
  <c r="CV11" i="3" s="1"/>
  <c r="CX11" i="3" s="1"/>
  <c r="DB11" i="3" s="1"/>
  <c r="CE31" i="3"/>
  <c r="CF24" i="3"/>
  <c r="F19" i="6" s="1"/>
  <c r="CF15" i="3"/>
  <c r="F10" i="6" s="1"/>
  <c r="CF17" i="3"/>
  <c r="CV17" i="3" s="1"/>
  <c r="CX17" i="3" s="1"/>
  <c r="DB17" i="3" s="1"/>
  <c r="CF14" i="3"/>
  <c r="F9" i="6" s="1"/>
  <c r="CF25" i="3"/>
  <c r="F20" i="6" s="1"/>
  <c r="CF18" i="3"/>
  <c r="F13" i="6" s="1"/>
  <c r="CF30" i="3"/>
  <c r="F25" i="6" s="1"/>
  <c r="CF19" i="3"/>
  <c r="F14" i="6" s="1"/>
  <c r="BX31" i="3"/>
  <c r="CF10" i="3"/>
  <c r="F5" i="6" s="1"/>
  <c r="BY31" i="3"/>
  <c r="CF29" i="3"/>
  <c r="F24" i="6" s="1"/>
  <c r="CD31" i="3"/>
  <c r="CF26" i="3"/>
  <c r="F21" i="6" s="1"/>
  <c r="CX21" i="3" l="1"/>
  <c r="DB21" i="3" s="1"/>
  <c r="CV27" i="3"/>
  <c r="CX27" i="3" s="1"/>
  <c r="DB27" i="3" s="1"/>
  <c r="CV10" i="3"/>
  <c r="CV24" i="3"/>
  <c r="CX24" i="3" s="1"/>
  <c r="DB24" i="3" s="1"/>
  <c r="F8" i="6"/>
  <c r="CV23" i="3"/>
  <c r="CX23" i="3" s="1"/>
  <c r="DB23" i="3" s="1"/>
  <c r="CV19" i="3"/>
  <c r="CX19" i="3" s="1"/>
  <c r="DB19" i="3" s="1"/>
  <c r="CV20" i="3"/>
  <c r="CX20" i="3" s="1"/>
  <c r="DB20" i="3" s="1"/>
  <c r="CV12" i="3"/>
  <c r="CX12" i="3" s="1"/>
  <c r="DB12" i="3" s="1"/>
  <c r="CV15" i="3"/>
  <c r="CX15" i="3" s="1"/>
  <c r="DB15" i="3" s="1"/>
  <c r="CV22" i="3"/>
  <c r="CX22" i="3" s="1"/>
  <c r="DB22" i="3" s="1"/>
  <c r="F11" i="6"/>
  <c r="CV18" i="3"/>
  <c r="CX18" i="3" s="1"/>
  <c r="DB18" i="3" s="1"/>
  <c r="F6" i="6"/>
  <c r="F23" i="6"/>
  <c r="F12" i="6"/>
  <c r="F16" i="6"/>
  <c r="CV29" i="3"/>
  <c r="CX29" i="3" s="1"/>
  <c r="DB29" i="3" s="1"/>
  <c r="CV25" i="3"/>
  <c r="CX25" i="3" s="1"/>
  <c r="DB25" i="3" s="1"/>
  <c r="CF31" i="3"/>
  <c r="CV14" i="3"/>
  <c r="CX14" i="3" s="1"/>
  <c r="DB14" i="3" s="1"/>
  <c r="CV30" i="3"/>
  <c r="CX30" i="3" s="1"/>
  <c r="DB30" i="3" s="1"/>
  <c r="CV26" i="3"/>
  <c r="CX26" i="3" s="1"/>
  <c r="DB26" i="3" s="1"/>
  <c r="CX10" i="3" l="1"/>
  <c r="DB10" i="3" s="1"/>
  <c r="DB31" i="3" s="1"/>
  <c r="F32" i="6"/>
  <c r="G25" i="6" s="1"/>
  <c r="H25" i="6" s="1"/>
  <c r="CV31" i="3"/>
  <c r="CX31" i="3" l="1"/>
  <c r="CY10" i="3" s="1"/>
  <c r="G11" i="6"/>
  <c r="H11" i="6" s="1"/>
  <c r="G7" i="6"/>
  <c r="H7" i="6" s="1"/>
  <c r="G19" i="6"/>
  <c r="H19" i="6" s="1"/>
  <c r="G18" i="6"/>
  <c r="H18" i="6" s="1"/>
  <c r="G17" i="6"/>
  <c r="H17" i="6" s="1"/>
  <c r="G16" i="6"/>
  <c r="H16" i="6" s="1"/>
  <c r="G13" i="6"/>
  <c r="H13" i="6" s="1"/>
  <c r="G23" i="6"/>
  <c r="H23" i="6" s="1"/>
  <c r="G6" i="6"/>
  <c r="H6" i="6" s="1"/>
  <c r="G10" i="6"/>
  <c r="H10" i="6" s="1"/>
  <c r="G15" i="6"/>
  <c r="H15" i="6" s="1"/>
  <c r="G5" i="6"/>
  <c r="H5" i="6" s="1"/>
  <c r="G24" i="6"/>
  <c r="H24" i="6" s="1"/>
  <c r="G22" i="6"/>
  <c r="H22" i="6" s="1"/>
  <c r="G8" i="6"/>
  <c r="H8" i="6" s="1"/>
  <c r="G12" i="6"/>
  <c r="H12" i="6" s="1"/>
  <c r="G21" i="6"/>
  <c r="H21" i="6" s="1"/>
  <c r="G9" i="6"/>
  <c r="H9" i="6" s="1"/>
  <c r="G32" i="6"/>
  <c r="G14" i="6"/>
  <c r="H14" i="6" s="1"/>
  <c r="G20" i="6"/>
  <c r="H20" i="6" s="1"/>
  <c r="CY14" i="3" l="1"/>
  <c r="CY18" i="3"/>
  <c r="CY28" i="3"/>
  <c r="CY30" i="3"/>
  <c r="CY26" i="3"/>
  <c r="CY15" i="3"/>
  <c r="CY23" i="3"/>
  <c r="CY25" i="3"/>
  <c r="CY19" i="3"/>
  <c r="CY21" i="3"/>
  <c r="CY12" i="3"/>
  <c r="CY20" i="3"/>
  <c r="CY17" i="3"/>
  <c r="CY22" i="3"/>
  <c r="CY13" i="3"/>
  <c r="CY29" i="3"/>
  <c r="CY16" i="3"/>
  <c r="CY31" i="3"/>
  <c r="CY11" i="3"/>
  <c r="CX37" i="3"/>
  <c r="CY27" i="3"/>
  <c r="CY24" i="3"/>
  <c r="H32" i="6"/>
</calcChain>
</file>

<file path=xl/sharedStrings.xml><?xml version="1.0" encoding="utf-8"?>
<sst xmlns="http://schemas.openxmlformats.org/spreadsheetml/2006/main" count="322" uniqueCount="193">
  <si>
    <t>Summa</t>
  </si>
  <si>
    <t>Kronoberg</t>
  </si>
  <si>
    <t>Uppsala</t>
  </si>
  <si>
    <t>Kalmar</t>
  </si>
  <si>
    <t>Blekinge</t>
  </si>
  <si>
    <t>Skåne</t>
  </si>
  <si>
    <t>Dalarna</t>
  </si>
  <si>
    <t>Gotland</t>
  </si>
  <si>
    <t>Stockholm</t>
  </si>
  <si>
    <t>Gävleborg</t>
  </si>
  <si>
    <t>O</t>
  </si>
  <si>
    <t>Avgår riktade medel</t>
  </si>
  <si>
    <t>AB</t>
  </si>
  <si>
    <t>C</t>
  </si>
  <si>
    <t>D</t>
  </si>
  <si>
    <t>Södermanland</t>
  </si>
  <si>
    <t>E</t>
  </si>
  <si>
    <t>Östergötland</t>
  </si>
  <si>
    <t>F</t>
  </si>
  <si>
    <t>Jönköping</t>
  </si>
  <si>
    <t>G</t>
  </si>
  <si>
    <t>H</t>
  </si>
  <si>
    <t>I</t>
  </si>
  <si>
    <t>K</t>
  </si>
  <si>
    <t>M</t>
  </si>
  <si>
    <t>N</t>
  </si>
  <si>
    <t>Halland</t>
  </si>
  <si>
    <t>Västra Götaland</t>
  </si>
  <si>
    <t>S</t>
  </si>
  <si>
    <t>Värmland</t>
  </si>
  <si>
    <t>T</t>
  </si>
  <si>
    <t>Örebro</t>
  </si>
  <si>
    <t>U</t>
  </si>
  <si>
    <t>Västmanland</t>
  </si>
  <si>
    <t>W</t>
  </si>
  <si>
    <t>X</t>
  </si>
  <si>
    <t>Y</t>
  </si>
  <si>
    <t>Västernorrland</t>
  </si>
  <si>
    <t>Z</t>
  </si>
  <si>
    <t>Jämtland</t>
  </si>
  <si>
    <t>AC</t>
  </si>
  <si>
    <t>Västerbotten</t>
  </si>
  <si>
    <t>BD</t>
  </si>
  <si>
    <t>Norrbotten</t>
  </si>
  <si>
    <t>Ofördelat</t>
  </si>
  <si>
    <t>Reg. disp</t>
  </si>
  <si>
    <t>RK-disp</t>
  </si>
  <si>
    <t>Rennäring</t>
  </si>
  <si>
    <t>medel</t>
  </si>
  <si>
    <t>Att fördela</t>
  </si>
  <si>
    <t>6*3 mnkr</t>
  </si>
  <si>
    <t>Till modellen</t>
  </si>
  <si>
    <t>Gammal modell</t>
  </si>
  <si>
    <t>Andel</t>
  </si>
  <si>
    <t>Summa tot</t>
  </si>
  <si>
    <t>Summa lst</t>
  </si>
  <si>
    <t>Medel att fördela</t>
  </si>
  <si>
    <t xml:space="preserve"> </t>
  </si>
  <si>
    <t>VIKT</t>
  </si>
  <si>
    <t xml:space="preserve">folkmängd </t>
  </si>
  <si>
    <t>landyta inkl sjöar &amp; hav</t>
  </si>
  <si>
    <t>kommunantal</t>
  </si>
  <si>
    <t>naturreservat</t>
  </si>
  <si>
    <t>länsanslag</t>
  </si>
  <si>
    <t>Miljöavgifter</t>
  </si>
  <si>
    <t>folkmängd</t>
  </si>
  <si>
    <t xml:space="preserve">areal </t>
  </si>
  <si>
    <t>kommun-</t>
  </si>
  <si>
    <t>reser-</t>
  </si>
  <si>
    <t>läns-</t>
  </si>
  <si>
    <t>miljöavgift</t>
  </si>
  <si>
    <t>inkl strand</t>
  </si>
  <si>
    <t>antal</t>
  </si>
  <si>
    <t>vat</t>
  </si>
  <si>
    <t>anslag</t>
  </si>
  <si>
    <t>SUMMA</t>
  </si>
  <si>
    <t>miljö-</t>
  </si>
  <si>
    <t>avgifter</t>
  </si>
  <si>
    <t xml:space="preserve">GIS </t>
  </si>
  <si>
    <t xml:space="preserve">Integration </t>
  </si>
  <si>
    <t xml:space="preserve">Stiftelserev </t>
  </si>
  <si>
    <t xml:space="preserve">Jaktbrott </t>
  </si>
  <si>
    <t xml:space="preserve">L-h nätverk </t>
  </si>
  <si>
    <t xml:space="preserve">Rovdjursförv </t>
  </si>
  <si>
    <t xml:space="preserve">Åsnen </t>
  </si>
  <si>
    <t xml:space="preserve">Sametinget </t>
  </si>
  <si>
    <t>Summa totalt</t>
  </si>
  <si>
    <t xml:space="preserve">Riktade </t>
  </si>
  <si>
    <t>Extra</t>
  </si>
  <si>
    <t>orter</t>
  </si>
  <si>
    <t>Grund-</t>
  </si>
  <si>
    <t>belopp</t>
  </si>
  <si>
    <t>modell</t>
  </si>
  <si>
    <t>Avgår riktade</t>
  </si>
  <si>
    <t xml:space="preserve">2/3 gammal </t>
  </si>
  <si>
    <t>Extra orter</t>
  </si>
  <si>
    <t>Grundblopp</t>
  </si>
  <si>
    <t>Inkl KSO</t>
  </si>
  <si>
    <t>32:2</t>
  </si>
  <si>
    <t>Strukturfond</t>
  </si>
  <si>
    <t>RB 2007</t>
  </si>
  <si>
    <t xml:space="preserve">Adm chefer </t>
  </si>
  <si>
    <t xml:space="preserve">Hämtat från </t>
  </si>
  <si>
    <t>Statistik fördelningsmodell.xls</t>
  </si>
  <si>
    <t>Från villkor</t>
  </si>
  <si>
    <t>32:1</t>
  </si>
  <si>
    <t>Från anslag</t>
  </si>
  <si>
    <t>parametrar</t>
  </si>
  <si>
    <t xml:space="preserve"> Miljösam. </t>
  </si>
  <si>
    <t xml:space="preserve">Sverige </t>
  </si>
  <si>
    <t xml:space="preserve">Avgår extra orter </t>
  </si>
  <si>
    <t>Avgår grundbelopp</t>
  </si>
  <si>
    <t>1-3</t>
  </si>
  <si>
    <t>omf 2009 KSO</t>
  </si>
  <si>
    <t>Att fördela i modell</t>
  </si>
  <si>
    <t>inkl PLO</t>
  </si>
  <si>
    <t>ej PLO</t>
  </si>
  <si>
    <t>Till parametrar</t>
  </si>
  <si>
    <t>Avgår ap 22 utvanslag</t>
  </si>
  <si>
    <t>Ap 22</t>
  </si>
  <si>
    <t>Gem utv medel</t>
  </si>
  <si>
    <t>Terrr.prgrm</t>
  </si>
  <si>
    <t>konc.</t>
  </si>
  <si>
    <t>stiftelser</t>
  </si>
  <si>
    <t>Kamp</t>
  </si>
  <si>
    <t>sport</t>
  </si>
  <si>
    <t>Kostnm</t>
  </si>
  <si>
    <t>avräkn</t>
  </si>
  <si>
    <t>jordbrukar</t>
  </si>
  <si>
    <t>landsb. stöd</t>
  </si>
  <si>
    <t>djurskydds</t>
  </si>
  <si>
    <t>kontr</t>
  </si>
  <si>
    <t>7 parameter</t>
  </si>
  <si>
    <t>jordbr. landsb. stöd</t>
  </si>
  <si>
    <t>djurskyddskontr</t>
  </si>
  <si>
    <t>4-7</t>
  </si>
  <si>
    <t>medel till Z,AC</t>
  </si>
  <si>
    <t>och BD för</t>
  </si>
  <si>
    <t>neddraget med motsv. belopp</t>
  </si>
  <si>
    <t>i villkor till resp. anslagspost</t>
  </si>
  <si>
    <t>Terrr.prgrm*</t>
  </si>
  <si>
    <t>omf 2009 KSO*</t>
  </si>
  <si>
    <t>*Utbet. till KSO.</t>
  </si>
  <si>
    <t xml:space="preserve">modellen </t>
  </si>
  <si>
    <t>extra djur</t>
  </si>
  <si>
    <t>skyddsmedel</t>
  </si>
  <si>
    <t>samordning</t>
  </si>
  <si>
    <t>flyktingmott/</t>
  </si>
  <si>
    <t>ensamkomm.</t>
  </si>
  <si>
    <t>överföring</t>
  </si>
  <si>
    <t>jordbr stöd</t>
  </si>
  <si>
    <t>Skåne/Blekinge</t>
  </si>
  <si>
    <t>a-kredit</t>
  </si>
  <si>
    <t>Avfallstransp.</t>
  </si>
  <si>
    <t>BP11</t>
  </si>
  <si>
    <t>plo</t>
  </si>
  <si>
    <t>ok</t>
  </si>
  <si>
    <t>U-län</t>
  </si>
  <si>
    <t>Havs</t>
  </si>
  <si>
    <t>planering</t>
  </si>
  <si>
    <t>sju</t>
  </si>
  <si>
    <t>De sju ingångsparametrarna:</t>
  </si>
  <si>
    <t>ofördelat</t>
  </si>
  <si>
    <t>extra medel</t>
  </si>
  <si>
    <t>Penningtv</t>
  </si>
  <si>
    <t>och 2012</t>
  </si>
  <si>
    <t>2009 och</t>
  </si>
  <si>
    <t>satsning på</t>
  </si>
  <si>
    <t>MPD lst</t>
  </si>
  <si>
    <t>2013-2014</t>
  </si>
  <si>
    <t>utrednings</t>
  </si>
  <si>
    <t xml:space="preserve">kontoren </t>
  </si>
  <si>
    <t>centralmynd</t>
  </si>
  <si>
    <t>för intern delg</t>
  </si>
  <si>
    <t>grundbeloppet = 34,0 - 0,1 * 1,0057. 2012 drogs 100 tkr från varje lst för</t>
  </si>
  <si>
    <t xml:space="preserve">slopanden av Hermesavgiften. From 2013 regleras detta genom att </t>
  </si>
  <si>
    <t>Rresultat per parameter:</t>
  </si>
  <si>
    <t>grundbeloppet justeras isf egen kolumn under riktade medel.</t>
  </si>
  <si>
    <t>konc. av</t>
  </si>
  <si>
    <t>MPD</t>
  </si>
  <si>
    <t xml:space="preserve">konc. av </t>
  </si>
  <si>
    <t>div. verks.</t>
  </si>
  <si>
    <t>att fördela</t>
  </si>
  <si>
    <t>2012-15</t>
  </si>
  <si>
    <t>Att fördela enligt BP 13</t>
  </si>
  <si>
    <t>Avrundningsfel</t>
  </si>
  <si>
    <t>PLO:</t>
  </si>
  <si>
    <t>Modell 2014, avgår riktade medel som fördelats sedan 1998 (berörda poster uppräknat i 2014-års nivå)</t>
  </si>
  <si>
    <t>21* 35,0 mnkr</t>
  </si>
  <si>
    <t>ej plo</t>
  </si>
  <si>
    <t>tom 2014</t>
  </si>
  <si>
    <t>Fördelning 2014</t>
  </si>
  <si>
    <t>2014-2017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</si>
</sst>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OrigGarmnd BT"/>
      <family val="1"/>
    </font>
    <font>
      <sz val="8"/>
      <name val="OrigGarmnd BT"/>
      <family val="1"/>
    </font>
    <font>
      <sz val="8"/>
      <color indexed="10"/>
      <name val="OrigGarmnd BT"/>
      <family val="1"/>
    </font>
    <font>
      <b/>
      <sz val="8"/>
      <name val="Arial"/>
      <family val="2"/>
    </font>
    <font>
      <b/>
      <sz val="8"/>
      <name val="OrigGarmnd BT"/>
      <family val="1"/>
    </font>
    <font>
      <u/>
      <sz val="10"/>
      <color indexed="12"/>
      <name val="Arial"/>
      <family val="2"/>
    </font>
    <font>
      <sz val="8"/>
      <color indexed="11"/>
      <name val="Arial"/>
      <family val="2"/>
    </font>
    <font>
      <b/>
      <sz val="11"/>
      <name val="OrigGarmnd BT"/>
      <family val="1"/>
    </font>
    <font>
      <sz val="8"/>
      <color indexed="10"/>
      <name val="Arial"/>
      <family val="2"/>
    </font>
    <font>
      <b/>
      <i/>
      <sz val="8"/>
      <name val="Arial"/>
      <family val="2"/>
    </font>
    <font>
      <i/>
      <sz val="8"/>
      <color indexed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color rgb="FFFFFF00"/>
      <name val="Arial"/>
      <family val="2"/>
    </font>
    <font>
      <sz val="10"/>
      <color rgb="FFFFFF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4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54">
    <xf numFmtId="0" fontId="0" fillId="0" borderId="0" xfId="0"/>
    <xf numFmtId="3" fontId="0" fillId="0" borderId="0" xfId="0" applyNumberFormat="1"/>
    <xf numFmtId="0" fontId="4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8" fillId="0" borderId="0" xfId="0" applyNumberFormat="1" applyFont="1" applyBorder="1"/>
    <xf numFmtId="0" fontId="9" fillId="0" borderId="0" xfId="0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/>
    <xf numFmtId="0" fontId="2" fillId="0" borderId="3" xfId="0" applyFont="1" applyFill="1" applyBorder="1" applyAlignment="1">
      <alignment horizontal="right"/>
    </xf>
    <xf numFmtId="0" fontId="2" fillId="0" borderId="4" xfId="0" applyFont="1" applyFill="1" applyBorder="1"/>
    <xf numFmtId="3" fontId="2" fillId="0" borderId="4" xfId="0" applyNumberFormat="1" applyFont="1" applyFill="1" applyBorder="1"/>
    <xf numFmtId="3" fontId="2" fillId="0" borderId="3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0" fontId="2" fillId="0" borderId="8" xfId="0" applyFont="1" applyFill="1" applyBorder="1"/>
    <xf numFmtId="0" fontId="2" fillId="0" borderId="3" xfId="0" applyFont="1" applyFill="1" applyBorder="1"/>
    <xf numFmtId="10" fontId="2" fillId="0" borderId="3" xfId="2" applyNumberFormat="1" applyFont="1" applyFill="1" applyBorder="1"/>
    <xf numFmtId="3" fontId="2" fillId="0" borderId="4" xfId="0" applyNumberFormat="1" applyFont="1" applyFill="1" applyBorder="1" applyAlignment="1">
      <alignment horizontal="right"/>
    </xf>
    <xf numFmtId="3" fontId="4" fillId="0" borderId="0" xfId="0" applyNumberFormat="1" applyFont="1"/>
    <xf numFmtId="0" fontId="9" fillId="0" borderId="0" xfId="0" applyFont="1" applyAlignment="1">
      <alignment horizontal="center"/>
    </xf>
    <xf numFmtId="165" fontId="4" fillId="0" borderId="9" xfId="2" applyNumberFormat="1" applyFont="1" applyBorder="1"/>
    <xf numFmtId="0" fontId="7" fillId="0" borderId="0" xfId="0" applyFont="1"/>
    <xf numFmtId="3" fontId="7" fillId="0" borderId="0" xfId="0" applyNumberFormat="1" applyFont="1"/>
    <xf numFmtId="0" fontId="4" fillId="0" borderId="0" xfId="0" applyFont="1" applyBorder="1"/>
    <xf numFmtId="3" fontId="4" fillId="0" borderId="0" xfId="0" applyNumberFormat="1" applyFont="1" applyBorder="1"/>
    <xf numFmtId="3" fontId="4" fillId="0" borderId="0" xfId="0" applyNumberFormat="1" applyFont="1" applyFill="1" applyBorder="1"/>
    <xf numFmtId="9" fontId="4" fillId="0" borderId="0" xfId="0" applyNumberFormat="1" applyFont="1" applyBorder="1"/>
    <xf numFmtId="165" fontId="2" fillId="0" borderId="0" xfId="2" applyNumberFormat="1" applyFont="1" applyFill="1" applyBorder="1"/>
    <xf numFmtId="0" fontId="9" fillId="0" borderId="0" xfId="0" applyFont="1" applyBorder="1"/>
    <xf numFmtId="0" fontId="9" fillId="0" borderId="0" xfId="0" applyFont="1" applyFill="1" applyBorder="1"/>
    <xf numFmtId="165" fontId="2" fillId="0" borderId="0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165" fontId="2" fillId="0" borderId="6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9" fillId="0" borderId="0" xfId="0" quotePrefix="1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right"/>
    </xf>
    <xf numFmtId="0" fontId="0" fillId="0" borderId="0" xfId="0" applyAlignment="1">
      <alignment horizontal="right"/>
    </xf>
    <xf numFmtId="3" fontId="2" fillId="2" borderId="0" xfId="0" applyNumberFormat="1" applyFont="1" applyFill="1" applyBorder="1"/>
    <xf numFmtId="165" fontId="9" fillId="0" borderId="0" xfId="2" applyNumberFormat="1" applyFont="1" applyFill="1" applyBorder="1" applyAlignment="1">
      <alignment horizontal="right"/>
    </xf>
    <xf numFmtId="165" fontId="2" fillId="0" borderId="0" xfId="2" applyNumberFormat="1" applyFont="1" applyFill="1" applyBorder="1" applyAlignment="1">
      <alignment horizontal="right"/>
    </xf>
    <xf numFmtId="165" fontId="12" fillId="0" borderId="0" xfId="2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2" fillId="0" borderId="0" xfId="0" quotePrefix="1" applyFont="1" applyFill="1" applyBorder="1"/>
    <xf numFmtId="3" fontId="4" fillId="0" borderId="0" xfId="0" applyNumberFormat="1" applyFont="1" applyFill="1" applyBorder="1" applyAlignment="1">
      <alignment horizontal="right"/>
    </xf>
    <xf numFmtId="0" fontId="0" fillId="0" borderId="0" xfId="0" applyBorder="1"/>
    <xf numFmtId="0" fontId="2" fillId="3" borderId="11" xfId="0" applyFont="1" applyFill="1" applyBorder="1" applyAlignment="1">
      <alignment horizontal="right"/>
    </xf>
    <xf numFmtId="0" fontId="0" fillId="3" borderId="11" xfId="0" applyFill="1" applyBorder="1"/>
    <xf numFmtId="0" fontId="2" fillId="3" borderId="0" xfId="0" applyFont="1" applyFill="1" applyBorder="1" applyAlignment="1">
      <alignment horizontal="right"/>
    </xf>
    <xf numFmtId="0" fontId="0" fillId="3" borderId="0" xfId="0" applyFill="1" applyBorder="1"/>
    <xf numFmtId="46" fontId="2" fillId="3" borderId="0" xfId="0" quotePrefix="1" applyNumberFormat="1" applyFont="1" applyFill="1" applyBorder="1" applyAlignment="1">
      <alignment horizontal="right"/>
    </xf>
    <xf numFmtId="3" fontId="0" fillId="3" borderId="0" xfId="0" applyNumberForma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2" fillId="2" borderId="12" xfId="0" applyFont="1" applyFill="1" applyBorder="1"/>
    <xf numFmtId="0" fontId="2" fillId="2" borderId="0" xfId="0" applyFont="1" applyFill="1" applyBorder="1"/>
    <xf numFmtId="0" fontId="11" fillId="2" borderId="0" xfId="1" applyFill="1" applyBorder="1" applyAlignment="1" applyProtection="1"/>
    <xf numFmtId="0" fontId="2" fillId="2" borderId="14" xfId="0" applyFont="1" applyFill="1" applyBorder="1"/>
    <xf numFmtId="0" fontId="17" fillId="2" borderId="0" xfId="0" applyFont="1" applyFill="1" applyBorder="1"/>
    <xf numFmtId="0" fontId="10" fillId="2" borderId="15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3" fontId="2" fillId="2" borderId="12" xfId="0" applyNumberFormat="1" applyFont="1" applyFill="1" applyBorder="1"/>
    <xf numFmtId="3" fontId="4" fillId="2" borderId="15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horizontal="right"/>
    </xf>
    <xf numFmtId="0" fontId="4" fillId="2" borderId="15" xfId="0" applyFont="1" applyFill="1" applyBorder="1" applyAlignment="1">
      <alignment horizontal="center"/>
    </xf>
    <xf numFmtId="3" fontId="4" fillId="2" borderId="15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right"/>
    </xf>
    <xf numFmtId="3" fontId="7" fillId="2" borderId="15" xfId="0" applyNumberFormat="1" applyFont="1" applyFill="1" applyBorder="1"/>
    <xf numFmtId="0" fontId="7" fillId="2" borderId="15" xfId="0" applyFont="1" applyFill="1" applyBorder="1" applyAlignment="1">
      <alignment horizontal="right"/>
    </xf>
    <xf numFmtId="0" fontId="7" fillId="2" borderId="15" xfId="0" applyFont="1" applyFill="1" applyBorder="1" applyAlignment="1">
      <alignment horizontal="center"/>
    </xf>
    <xf numFmtId="0" fontId="10" fillId="2" borderId="16" xfId="0" applyFont="1" applyFill="1" applyBorder="1"/>
    <xf numFmtId="165" fontId="2" fillId="2" borderId="0" xfId="2" applyNumberFormat="1" applyFont="1" applyFill="1" applyBorder="1"/>
    <xf numFmtId="3" fontId="2" fillId="2" borderId="15" xfId="0" applyNumberFormat="1" applyFont="1" applyFill="1" applyBorder="1"/>
    <xf numFmtId="3" fontId="10" fillId="2" borderId="16" xfId="0" applyNumberFormat="1" applyFont="1" applyFill="1" applyBorder="1"/>
    <xf numFmtId="165" fontId="2" fillId="2" borderId="0" xfId="0" applyNumberFormat="1" applyFont="1" applyFill="1" applyBorder="1"/>
    <xf numFmtId="3" fontId="10" fillId="2" borderId="15" xfId="0" applyNumberFormat="1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17" fillId="4" borderId="10" xfId="0" applyFont="1" applyFill="1" applyBorder="1"/>
    <xf numFmtId="0" fontId="2" fillId="4" borderId="11" xfId="0" applyFont="1" applyFill="1" applyBorder="1"/>
    <xf numFmtId="3" fontId="2" fillId="4" borderId="11" xfId="0" applyNumberFormat="1" applyFont="1" applyFill="1" applyBorder="1"/>
    <xf numFmtId="0" fontId="2" fillId="4" borderId="12" xfId="0" applyFont="1" applyFill="1" applyBorder="1"/>
    <xf numFmtId="0" fontId="2" fillId="4" borderId="0" xfId="0" applyFont="1" applyFill="1" applyBorder="1"/>
    <xf numFmtId="3" fontId="2" fillId="4" borderId="0" xfId="0" applyNumberFormat="1" applyFont="1" applyFill="1" applyBorder="1"/>
    <xf numFmtId="3" fontId="2" fillId="4" borderId="0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165" fontId="5" fillId="4" borderId="0" xfId="2" applyNumberFormat="1" applyFont="1" applyFill="1" applyBorder="1" applyAlignment="1">
      <alignment horizontal="right"/>
    </xf>
    <xf numFmtId="0" fontId="9" fillId="4" borderId="0" xfId="0" applyFont="1" applyFill="1" applyBorder="1"/>
    <xf numFmtId="3" fontId="9" fillId="4" borderId="0" xfId="0" applyNumberFormat="1" applyFont="1" applyFill="1" applyBorder="1" applyAlignment="1">
      <alignment horizontal="right"/>
    </xf>
    <xf numFmtId="165" fontId="5" fillId="4" borderId="0" xfId="2" quotePrefix="1" applyNumberFormat="1" applyFont="1" applyFill="1" applyBorder="1" applyAlignment="1">
      <alignment horizontal="right"/>
    </xf>
    <xf numFmtId="0" fontId="9" fillId="4" borderId="0" xfId="0" applyFont="1" applyFill="1" applyBorder="1" applyAlignment="1">
      <alignment horizontal="right"/>
    </xf>
    <xf numFmtId="1" fontId="9" fillId="4" borderId="0" xfId="0" applyNumberFormat="1" applyFont="1" applyFill="1" applyBorder="1" applyAlignment="1">
      <alignment horizontal="right"/>
    </xf>
    <xf numFmtId="3" fontId="4" fillId="4" borderId="0" xfId="0" quotePrefix="1" applyNumberFormat="1" applyFont="1" applyFill="1" applyBorder="1" applyAlignment="1">
      <alignment horizontal="right"/>
    </xf>
    <xf numFmtId="165" fontId="15" fillId="4" borderId="0" xfId="2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9" fontId="2" fillId="4" borderId="0" xfId="2" applyFont="1" applyFill="1" applyBorder="1" applyAlignment="1">
      <alignment horizontal="right"/>
    </xf>
    <xf numFmtId="9" fontId="4" fillId="4" borderId="0" xfId="2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10" fontId="2" fillId="4" borderId="0" xfId="0" applyNumberFormat="1" applyFont="1" applyFill="1" applyBorder="1" applyAlignment="1">
      <alignment horizontal="right"/>
    </xf>
    <xf numFmtId="3" fontId="2" fillId="4" borderId="0" xfId="2" applyNumberFormat="1" applyFont="1" applyFill="1" applyBorder="1" applyAlignment="1">
      <alignment horizontal="right"/>
    </xf>
    <xf numFmtId="3" fontId="4" fillId="4" borderId="0" xfId="2" applyNumberFormat="1" applyFont="1" applyFill="1" applyBorder="1" applyAlignment="1">
      <alignment horizontal="right"/>
    </xf>
    <xf numFmtId="10" fontId="5" fillId="4" borderId="0" xfId="2" applyNumberFormat="1" applyFont="1" applyFill="1" applyBorder="1" applyAlignment="1">
      <alignment horizontal="right"/>
    </xf>
    <xf numFmtId="0" fontId="2" fillId="4" borderId="17" xfId="0" applyFont="1" applyFill="1" applyBorder="1"/>
    <xf numFmtId="0" fontId="2" fillId="4" borderId="18" xfId="0" applyFont="1" applyFill="1" applyBorder="1" applyAlignment="1">
      <alignment horizontal="right"/>
    </xf>
    <xf numFmtId="3" fontId="2" fillId="4" borderId="18" xfId="0" applyNumberFormat="1" applyFont="1" applyFill="1" applyBorder="1" applyAlignment="1">
      <alignment horizontal="right"/>
    </xf>
    <xf numFmtId="0" fontId="9" fillId="4" borderId="8" xfId="0" applyFont="1" applyFill="1" applyBorder="1" applyAlignment="1">
      <alignment horizontal="right"/>
    </xf>
    <xf numFmtId="0" fontId="2" fillId="4" borderId="2" xfId="0" applyFont="1" applyFill="1" applyBorder="1"/>
    <xf numFmtId="0" fontId="9" fillId="4" borderId="3" xfId="0" applyFont="1" applyFill="1" applyBorder="1" applyAlignment="1">
      <alignment horizontal="left"/>
    </xf>
    <xf numFmtId="0" fontId="2" fillId="5" borderId="4" xfId="0" applyFont="1" applyFill="1" applyBorder="1"/>
    <xf numFmtId="0" fontId="9" fillId="4" borderId="3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3" fontId="2" fillId="4" borderId="3" xfId="0" applyNumberFormat="1" applyFont="1" applyFill="1" applyBorder="1" applyAlignment="1">
      <alignment horizontal="right"/>
    </xf>
    <xf numFmtId="10" fontId="2" fillId="4" borderId="4" xfId="0" applyNumberFormat="1" applyFont="1" applyFill="1" applyBorder="1" applyAlignment="1">
      <alignment horizontal="right"/>
    </xf>
    <xf numFmtId="3" fontId="4" fillId="4" borderId="5" xfId="0" applyNumberFormat="1" applyFont="1" applyFill="1" applyBorder="1" applyAlignment="1">
      <alignment horizontal="right"/>
    </xf>
    <xf numFmtId="10" fontId="4" fillId="4" borderId="7" xfId="0" applyNumberFormat="1" applyFont="1" applyFill="1" applyBorder="1" applyAlignment="1">
      <alignment horizontal="right"/>
    </xf>
    <xf numFmtId="10" fontId="4" fillId="4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10" fontId="2" fillId="2" borderId="0" xfId="2" applyNumberFormat="1" applyFont="1" applyFill="1" applyBorder="1" applyAlignment="1">
      <alignment horizontal="right"/>
    </xf>
    <xf numFmtId="165" fontId="2" fillId="2" borderId="0" xfId="2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/>
    <xf numFmtId="3" fontId="8" fillId="0" borderId="0" xfId="0" applyNumberFormat="1" applyFont="1" applyFill="1" applyBorder="1"/>
    <xf numFmtId="3" fontId="7" fillId="0" borderId="0" xfId="0" applyNumberFormat="1" applyFont="1" applyFill="1" applyBorder="1"/>
    <xf numFmtId="165" fontId="5" fillId="4" borderId="0" xfId="2" applyNumberFormat="1" applyFont="1" applyFill="1" applyBorder="1"/>
    <xf numFmtId="0" fontId="5" fillId="4" borderId="0" xfId="0" applyFont="1" applyFill="1" applyBorder="1"/>
    <xf numFmtId="165" fontId="16" fillId="4" borderId="0" xfId="2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9" fillId="2" borderId="0" xfId="0" applyFont="1" applyFill="1" applyBorder="1" applyAlignment="1">
      <alignment horizontal="right"/>
    </xf>
    <xf numFmtId="165" fontId="4" fillId="0" borderId="20" xfId="2" applyNumberFormat="1" applyFont="1" applyFill="1" applyBorder="1"/>
    <xf numFmtId="165" fontId="4" fillId="0" borderId="9" xfId="2" quotePrefix="1" applyNumberFormat="1" applyFont="1" applyFill="1" applyBorder="1"/>
    <xf numFmtId="165" fontId="4" fillId="0" borderId="9" xfId="2" applyNumberFormat="1" applyFont="1" applyFill="1" applyBorder="1"/>
    <xf numFmtId="9" fontId="2" fillId="0" borderId="0" xfId="0" applyNumberFormat="1" applyFont="1" applyFill="1" applyBorder="1" applyAlignment="1">
      <alignment horizontal="right"/>
    </xf>
    <xf numFmtId="9" fontId="2" fillId="0" borderId="0" xfId="2" applyFont="1" applyFill="1" applyBorder="1"/>
    <xf numFmtId="1" fontId="3" fillId="0" borderId="0" xfId="0" quotePrefix="1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0" xfId="0" quotePrefix="1" applyNumberFormat="1" applyFont="1" applyFill="1" applyBorder="1" applyAlignment="1">
      <alignment horizontal="right"/>
    </xf>
    <xf numFmtId="9" fontId="3" fillId="0" borderId="0" xfId="2" applyFont="1" applyFill="1" applyBorder="1" applyAlignment="1">
      <alignment horizontal="right"/>
    </xf>
    <xf numFmtId="9" fontId="2" fillId="0" borderId="0" xfId="2" applyFont="1" applyFill="1" applyBorder="1" applyAlignment="1">
      <alignment horizontal="right"/>
    </xf>
    <xf numFmtId="10" fontId="2" fillId="0" borderId="0" xfId="2" applyNumberFormat="1" applyFon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0" fontId="18" fillId="0" borderId="0" xfId="0" applyFont="1" applyFill="1" applyBorder="1"/>
    <xf numFmtId="3" fontId="9" fillId="0" borderId="0" xfId="0" applyNumberFormat="1" applyFont="1" applyFill="1" applyBorder="1"/>
    <xf numFmtId="9" fontId="9" fillId="0" borderId="0" xfId="2" applyFont="1" applyFill="1" applyBorder="1" applyAlignment="1">
      <alignment horizontal="right"/>
    </xf>
    <xf numFmtId="1" fontId="9" fillId="0" borderId="0" xfId="0" quotePrefix="1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left"/>
    </xf>
    <xf numFmtId="10" fontId="2" fillId="0" borderId="0" xfId="2" quotePrefix="1" applyNumberFormat="1" applyFont="1" applyFill="1" applyBorder="1" applyAlignment="1">
      <alignment horizontal="right"/>
    </xf>
    <xf numFmtId="4" fontId="2" fillId="0" borderId="0" xfId="2" applyNumberFormat="1" applyFont="1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3" fontId="9" fillId="3" borderId="18" xfId="0" applyNumberFormat="1" applyFont="1" applyFill="1" applyBorder="1" applyAlignment="1">
      <alignment horizontal="right"/>
    </xf>
    <xf numFmtId="0" fontId="2" fillId="0" borderId="10" xfId="0" applyFont="1" applyFill="1" applyBorder="1"/>
    <xf numFmtId="3" fontId="9" fillId="0" borderId="11" xfId="0" applyNumberFormat="1" applyFont="1" applyFill="1" applyBorder="1" applyAlignment="1">
      <alignment horizontal="right"/>
    </xf>
    <xf numFmtId="0" fontId="2" fillId="0" borderId="12" xfId="0" applyFont="1" applyFill="1" applyBorder="1"/>
    <xf numFmtId="0" fontId="2" fillId="0" borderId="14" xfId="0" applyFont="1" applyFill="1" applyBorder="1" applyAlignment="1">
      <alignment horizontal="right"/>
    </xf>
    <xf numFmtId="0" fontId="2" fillId="0" borderId="17" xfId="0" applyFont="1" applyFill="1" applyBorder="1"/>
    <xf numFmtId="1" fontId="17" fillId="0" borderId="0" xfId="0" applyNumberFormat="1" applyFont="1" applyFill="1" applyBorder="1" applyAlignment="1">
      <alignment horizontal="right"/>
    </xf>
    <xf numFmtId="3" fontId="17" fillId="0" borderId="0" xfId="2" applyNumberFormat="1" applyFont="1" applyFill="1" applyBorder="1" applyAlignment="1">
      <alignment horizontal="right"/>
    </xf>
    <xf numFmtId="0" fontId="9" fillId="0" borderId="5" xfId="0" applyFont="1" applyFill="1" applyBorder="1"/>
    <xf numFmtId="0" fontId="9" fillId="0" borderId="7" xfId="0" applyFont="1" applyFill="1" applyBorder="1"/>
    <xf numFmtId="0" fontId="9" fillId="0" borderId="0" xfId="0" applyFont="1"/>
    <xf numFmtId="3" fontId="9" fillId="0" borderId="0" xfId="0" applyNumberFormat="1" applyFont="1"/>
    <xf numFmtId="165" fontId="9" fillId="0" borderId="0" xfId="0" applyNumberFormat="1" applyFont="1" applyFill="1" applyBorder="1" applyAlignment="1">
      <alignment horizontal="right"/>
    </xf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1" fontId="3" fillId="5" borderId="14" xfId="0" quotePrefix="1" applyNumberFormat="1" applyFont="1" applyFill="1" applyBorder="1" applyAlignment="1">
      <alignment horizontal="right"/>
    </xf>
    <xf numFmtId="1" fontId="3" fillId="5" borderId="14" xfId="0" applyNumberFormat="1" applyFont="1" applyFill="1" applyBorder="1" applyAlignment="1">
      <alignment horizontal="right"/>
    </xf>
    <xf numFmtId="3" fontId="2" fillId="5" borderId="14" xfId="0" applyNumberFormat="1" applyFont="1" applyFill="1" applyBorder="1" applyAlignment="1">
      <alignment horizontal="right"/>
    </xf>
    <xf numFmtId="3" fontId="2" fillId="5" borderId="19" xfId="0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0" fontId="2" fillId="0" borderId="11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8" xfId="0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right"/>
    </xf>
    <xf numFmtId="2" fontId="2" fillId="0" borderId="18" xfId="0" applyNumberFormat="1" applyFont="1" applyFill="1" applyBorder="1" applyAlignment="1">
      <alignment horizontal="right"/>
    </xf>
    <xf numFmtId="0" fontId="2" fillId="0" borderId="19" xfId="0" applyFont="1" applyFill="1" applyBorder="1" applyAlignment="1">
      <alignment horizontal="right"/>
    </xf>
    <xf numFmtId="0" fontId="0" fillId="3" borderId="13" xfId="0" applyFill="1" applyBorder="1"/>
    <xf numFmtId="0" fontId="0" fillId="3" borderId="14" xfId="0" applyFill="1" applyBorder="1"/>
    <xf numFmtId="0" fontId="2" fillId="3" borderId="14" xfId="0" applyFont="1" applyFill="1" applyBorder="1" applyAlignment="1">
      <alignment horizontal="right"/>
    </xf>
    <xf numFmtId="3" fontId="9" fillId="3" borderId="19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1" fontId="20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9" fontId="21" fillId="0" borderId="0" xfId="2" applyFont="1" applyFill="1" applyBorder="1" applyAlignment="1">
      <alignment horizontal="right"/>
    </xf>
    <xf numFmtId="3" fontId="20" fillId="0" borderId="0" xfId="2" applyNumberFormat="1" applyFont="1" applyFill="1" applyBorder="1" applyAlignment="1">
      <alignment horizontal="right"/>
    </xf>
    <xf numFmtId="165" fontId="21" fillId="0" borderId="0" xfId="2" applyNumberFormat="1" applyFont="1" applyFill="1" applyBorder="1" applyAlignment="1">
      <alignment horizontal="right"/>
    </xf>
    <xf numFmtId="3" fontId="21" fillId="0" borderId="0" xfId="2" applyNumberFormat="1" applyFont="1" applyFill="1" applyBorder="1" applyAlignment="1">
      <alignment horizontal="right"/>
    </xf>
    <xf numFmtId="0" fontId="2" fillId="2" borderId="21" xfId="0" applyFont="1" applyFill="1" applyBorder="1"/>
    <xf numFmtId="3" fontId="4" fillId="2" borderId="21" xfId="0" applyNumberFormat="1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3" fontId="10" fillId="2" borderId="21" xfId="0" applyNumberFormat="1" applyFont="1" applyFill="1" applyBorder="1"/>
    <xf numFmtId="165" fontId="7" fillId="0" borderId="9" xfId="0" applyNumberFormat="1" applyFont="1" applyBorder="1"/>
    <xf numFmtId="165" fontId="7" fillId="0" borderId="22" xfId="0" applyNumberFormat="1" applyFont="1" applyBorder="1"/>
    <xf numFmtId="16" fontId="2" fillId="0" borderId="0" xfId="0" quotePrefix="1" applyNumberFormat="1" applyFont="1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right"/>
    </xf>
    <xf numFmtId="3" fontId="0" fillId="0" borderId="11" xfId="0" applyNumberFormat="1" applyBorder="1"/>
    <xf numFmtId="0" fontId="0" fillId="0" borderId="13" xfId="0" applyBorder="1"/>
    <xf numFmtId="0" fontId="0" fillId="0" borderId="12" xfId="0" applyBorder="1"/>
    <xf numFmtId="0" fontId="0" fillId="0" borderId="0" xfId="0" applyBorder="1" applyAlignment="1">
      <alignment horizontal="right"/>
    </xf>
    <xf numFmtId="3" fontId="0" fillId="0" borderId="0" xfId="0" applyNumberFormat="1" applyBorder="1"/>
    <xf numFmtId="0" fontId="0" fillId="0" borderId="14" xfId="0" applyBorder="1"/>
    <xf numFmtId="3" fontId="0" fillId="0" borderId="0" xfId="0" applyNumberFormat="1" applyBorder="1" applyAlignment="1">
      <alignment horizontal="right"/>
    </xf>
    <xf numFmtId="165" fontId="0" fillId="0" borderId="0" xfId="2" applyNumberFormat="1" applyFont="1" applyBorder="1"/>
    <xf numFmtId="0" fontId="0" fillId="0" borderId="17" xfId="0" applyBorder="1"/>
    <xf numFmtId="0" fontId="0" fillId="0" borderId="18" xfId="0" applyBorder="1"/>
    <xf numFmtId="0" fontId="0" fillId="0" borderId="18" xfId="0" applyBorder="1" applyAlignment="1">
      <alignment horizontal="right"/>
    </xf>
    <xf numFmtId="3" fontId="0" fillId="0" borderId="18" xfId="0" applyNumberFormat="1" applyBorder="1"/>
    <xf numFmtId="0" fontId="0" fillId="0" borderId="19" xfId="0" applyBorder="1"/>
    <xf numFmtId="0" fontId="2" fillId="0" borderId="0" xfId="0" applyFont="1"/>
    <xf numFmtId="0" fontId="2" fillId="3" borderId="0" xfId="0" applyFont="1" applyFill="1" applyBorder="1"/>
    <xf numFmtId="10" fontId="2" fillId="2" borderId="0" xfId="0" applyNumberFormat="1" applyFont="1" applyFill="1" applyBorder="1"/>
    <xf numFmtId="10" fontId="2" fillId="2" borderId="0" xfId="0" applyNumberFormat="1" applyFont="1" applyFill="1" applyBorder="1" applyAlignment="1">
      <alignment horizontal="right"/>
    </xf>
    <xf numFmtId="9" fontId="9" fillId="4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22" fillId="3" borderId="0" xfId="0" applyFont="1" applyFill="1" applyBorder="1" applyAlignment="1">
      <alignment horizontal="right"/>
    </xf>
    <xf numFmtId="0" fontId="4" fillId="2" borderId="0" xfId="0" applyFont="1" applyFill="1" applyBorder="1"/>
    <xf numFmtId="3" fontId="0" fillId="0" borderId="14" xfId="0" applyNumberFormat="1" applyBorder="1"/>
    <xf numFmtId="3" fontId="2" fillId="3" borderId="14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center"/>
    </xf>
    <xf numFmtId="164" fontId="9" fillId="0" borderId="0" xfId="0" applyNumberFormat="1" applyFont="1" applyBorder="1"/>
    <xf numFmtId="1" fontId="9" fillId="0" borderId="0" xfId="0" applyNumberFormat="1" applyFont="1" applyBorder="1"/>
    <xf numFmtId="3" fontId="9" fillId="0" borderId="0" xfId="0" applyNumberFormat="1" applyFont="1" applyBorder="1"/>
    <xf numFmtId="0" fontId="23" fillId="3" borderId="0" xfId="0" applyFont="1" applyFill="1" applyBorder="1" applyAlignment="1">
      <alignment horizontal="right"/>
    </xf>
    <xf numFmtId="0" fontId="24" fillId="3" borderId="14" xfId="0" applyFont="1" applyFill="1" applyBorder="1"/>
    <xf numFmtId="0" fontId="4" fillId="0" borderId="0" xfId="0" applyFont="1" applyFill="1" applyBorder="1"/>
    <xf numFmtId="0" fontId="25" fillId="3" borderId="0" xfId="0" applyFont="1" applyFill="1" applyBorder="1"/>
    <xf numFmtId="0" fontId="4" fillId="0" borderId="0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right"/>
    </xf>
    <xf numFmtId="0" fontId="22" fillId="2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/>
    </xf>
    <xf numFmtId="17" fontId="4" fillId="3" borderId="0" xfId="0" applyNumberFormat="1" applyFont="1" applyFill="1" applyBorder="1"/>
    <xf numFmtId="0" fontId="17" fillId="3" borderId="23" xfId="0" applyFont="1" applyFill="1" applyBorder="1" applyAlignment="1">
      <alignment horizontal="left"/>
    </xf>
    <xf numFmtId="0" fontId="17" fillId="3" borderId="24" xfId="0" applyFont="1" applyFill="1" applyBorder="1" applyAlignment="1">
      <alignment horizontal="left"/>
    </xf>
    <xf numFmtId="0" fontId="22" fillId="3" borderId="24" xfId="0" applyFont="1" applyFill="1" applyBorder="1" applyAlignment="1">
      <alignment horizontal="right"/>
    </xf>
    <xf numFmtId="0" fontId="2" fillId="3" borderId="24" xfId="0" applyFont="1" applyFill="1" applyBorder="1" applyAlignment="1">
      <alignment horizontal="right"/>
    </xf>
    <xf numFmtId="3" fontId="2" fillId="3" borderId="24" xfId="0" applyNumberFormat="1" applyFont="1" applyFill="1" applyBorder="1" applyAlignment="1">
      <alignment horizontal="right"/>
    </xf>
    <xf numFmtId="3" fontId="6" fillId="3" borderId="24" xfId="0" applyNumberFormat="1" applyFont="1" applyFill="1" applyBorder="1" applyAlignment="1">
      <alignment horizontal="right" vertical="top" wrapText="1"/>
    </xf>
    <xf numFmtId="3" fontId="9" fillId="3" borderId="25" xfId="0" applyNumberFormat="1" applyFont="1" applyFill="1" applyBorder="1" applyAlignment="1">
      <alignment horizontal="right"/>
    </xf>
  </cellXfs>
  <cellStyles count="3">
    <cellStyle name="Hyperlänk" xfId="1" builtinId="8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L&#228;nsstyrelserna%2010/L&#228;nsstyrelserna%2009/Beslutat%20ex/Statistik%20f&#246;rdelningsmodell.xl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50"/>
  <sheetViews>
    <sheetView showGridLines="0" tabSelected="1" view="pageLayout" zoomScaleNormal="75" zoomScaleSheetLayoutView="90" workbookViewId="0">
      <selection activeCell="AD3" sqref="AD3:AF3"/>
    </sheetView>
  </sheetViews>
  <sheetFormatPr defaultRowHeight="15.75" x14ac:dyDescent="0.25"/>
  <cols>
    <col min="1" max="1" width="15.140625" style="3" bestFit="1" customWidth="1"/>
    <col min="2" max="2" width="9.140625" style="3"/>
    <col min="3" max="3" width="10.5703125" style="3" bestFit="1" customWidth="1"/>
    <col min="4" max="4" width="12.140625" style="3" customWidth="1"/>
    <col min="5" max="5" width="9.140625" style="3"/>
    <col min="6" max="6" width="3.85546875" style="3" customWidth="1"/>
    <col min="7" max="7" width="2.7109375" style="3" customWidth="1"/>
    <col min="8" max="8" width="8.85546875" style="3" bestFit="1" customWidth="1"/>
    <col min="9" max="9" width="14.5703125" style="3" bestFit="1" customWidth="1"/>
    <col min="10" max="10" width="2.28515625" style="4" customWidth="1"/>
    <col min="11" max="11" width="1.42578125" style="4" customWidth="1"/>
    <col min="12" max="12" width="8.7109375" style="4" customWidth="1"/>
    <col min="13" max="13" width="5.28515625" style="4" bestFit="1" customWidth="1"/>
    <col min="14" max="14" width="0" style="4" hidden="1" customWidth="1"/>
    <col min="15" max="15" width="10.5703125" style="4" bestFit="1" customWidth="1"/>
    <col min="16" max="16" width="8" style="4" bestFit="1" customWidth="1"/>
    <col min="17" max="17" width="9.42578125" style="4" bestFit="1" customWidth="1"/>
    <col min="18" max="18" width="9.42578125" style="4" customWidth="1"/>
    <col min="19" max="19" width="10.85546875" style="4" bestFit="1" customWidth="1"/>
    <col min="20" max="20" width="6" style="4" bestFit="1" customWidth="1"/>
    <col min="21" max="21" width="9.28515625" style="4" bestFit="1" customWidth="1"/>
    <col min="22" max="22" width="9.28515625" style="4" hidden="1" customWidth="1"/>
    <col min="23" max="23" width="11.28515625" style="4" hidden="1" customWidth="1"/>
    <col min="24" max="26" width="11.140625" customWidth="1"/>
    <col min="27" max="28" width="11.28515625" bestFit="1" customWidth="1"/>
    <col min="29" max="29" width="7.42578125" customWidth="1"/>
    <col min="30" max="31" width="6.85546875" customWidth="1"/>
    <col min="32" max="32" width="8.140625" customWidth="1"/>
    <col min="33" max="33" width="10" bestFit="1" customWidth="1"/>
    <col min="34" max="34" width="10" customWidth="1"/>
    <col min="35" max="35" width="11.42578125" bestFit="1" customWidth="1"/>
    <col min="36" max="36" width="11.42578125" customWidth="1"/>
    <col min="37" max="37" width="9" bestFit="1" customWidth="1"/>
    <col min="38" max="38" width="8.140625" customWidth="1"/>
    <col min="39" max="41" width="8.7109375" customWidth="1"/>
    <col min="42" max="42" width="8.140625" customWidth="1"/>
    <col min="43" max="43" width="9.85546875" customWidth="1"/>
    <col min="44" max="44" width="7.7109375" bestFit="1" customWidth="1"/>
    <col min="45" max="45" width="2.28515625" style="3" customWidth="1"/>
    <col min="46" max="47" width="11.5703125" style="3" hidden="1" customWidth="1"/>
    <col min="48" max="48" width="6.5703125" style="3" customWidth="1"/>
    <col min="49" max="54" width="11.5703125" style="3" hidden="1" customWidth="1"/>
    <col min="55" max="57" width="3" style="3" customWidth="1"/>
    <col min="58" max="58" width="5.140625" style="3" customWidth="1"/>
    <col min="59" max="62" width="11.5703125" style="3" hidden="1" customWidth="1"/>
    <col min="63" max="63" width="3.85546875" style="3" customWidth="1"/>
    <col min="64" max="66" width="9.140625" style="3"/>
    <col min="67" max="67" width="0.140625" style="3" customWidth="1"/>
    <col min="68" max="68" width="11.7109375" style="3" bestFit="1" customWidth="1"/>
    <col min="69" max="70" width="9.140625" style="3"/>
    <col min="71" max="71" width="9.7109375" style="3" customWidth="1"/>
    <col min="72" max="72" width="9.140625" style="3"/>
    <col min="73" max="75" width="9.140625" style="3" hidden="1" customWidth="1"/>
    <col min="76" max="76" width="9.7109375" style="3" customWidth="1"/>
    <col min="77" max="77" width="8.5703125" style="3" bestFit="1" customWidth="1"/>
    <col min="78" max="78" width="8.7109375" style="3" bestFit="1" customWidth="1"/>
    <col min="79" max="79" width="5.28515625" style="3" hidden="1" customWidth="1"/>
    <col min="80" max="80" width="7.5703125" style="3" bestFit="1" customWidth="1"/>
    <col min="81" max="83" width="9.28515625" style="3" bestFit="1" customWidth="1"/>
    <col min="84" max="84" width="11.140625" style="3" bestFit="1" customWidth="1"/>
    <col min="85" max="85" width="3.5703125" style="3" customWidth="1"/>
    <col min="86" max="86" width="11.5703125" style="4" hidden="1" customWidth="1"/>
    <col min="87" max="89" width="10.5703125" style="4" hidden="1" customWidth="1"/>
    <col min="90" max="90" width="8.7109375" style="4" hidden="1" customWidth="1"/>
    <col min="91" max="91" width="6.28515625" style="35" hidden="1" customWidth="1"/>
    <col min="92" max="92" width="9.7109375" style="4" hidden="1" customWidth="1"/>
    <col min="93" max="93" width="2.85546875" style="3" hidden="1" customWidth="1"/>
    <col min="94" max="94" width="4.5703125" style="3" customWidth="1"/>
    <col min="95" max="95" width="2" style="3" customWidth="1"/>
    <col min="96" max="96" width="12.5703125" style="3" bestFit="1" customWidth="1"/>
    <col min="97" max="97" width="9.28515625" style="3" bestFit="1" customWidth="1"/>
    <col min="98" max="98" width="6.42578125" style="3" bestFit="1" customWidth="1"/>
    <col min="99" max="99" width="7.85546875" style="3" bestFit="1" customWidth="1"/>
    <col min="100" max="100" width="10.85546875" style="3" bestFit="1" customWidth="1"/>
    <col min="101" max="101" width="2.140625" style="3" customWidth="1"/>
    <col min="102" max="102" width="9.42578125" style="3" customWidth="1"/>
    <col min="103" max="103" width="7.28515625" style="3" bestFit="1" customWidth="1"/>
    <col min="104" max="104" width="1.28515625" style="3" customWidth="1"/>
    <col min="105" max="105" width="2.28515625" style="42" customWidth="1"/>
    <col min="106" max="106" width="7.5703125" style="42" customWidth="1"/>
    <col min="107" max="107" width="2.28515625" style="42" customWidth="1"/>
    <col min="108" max="109" width="10.5703125" style="5" customWidth="1"/>
    <col min="110" max="110" width="15.42578125" style="180" customWidth="1"/>
    <col min="111" max="111" width="12.140625" style="160" customWidth="1"/>
    <col min="112" max="112" width="15.7109375" style="160" bestFit="1" customWidth="1"/>
    <col min="113" max="113" width="12.140625" style="160" customWidth="1"/>
    <col min="114" max="114" width="10.5703125" style="42" customWidth="1"/>
    <col min="115" max="115" width="11.5703125" style="5" customWidth="1"/>
    <col min="116" max="116" width="6.28515625" style="42" bestFit="1" customWidth="1"/>
    <col min="117" max="117" width="2.42578125" style="42" customWidth="1"/>
    <col min="118" max="118" width="8.5703125" style="42" customWidth="1"/>
    <col min="119" max="119" width="2.28515625" style="42" customWidth="1"/>
    <col min="120" max="120" width="8.140625" style="42" customWidth="1"/>
    <col min="121" max="121" width="5.7109375" style="42" bestFit="1" customWidth="1"/>
    <col min="122" max="122" width="5.42578125" style="42" bestFit="1" customWidth="1"/>
    <col min="123" max="123" width="1.5703125" style="42" customWidth="1"/>
    <col min="124" max="124" width="9.5703125" style="52" hidden="1" customWidth="1"/>
    <col min="125" max="125" width="2.140625" style="42" hidden="1" customWidth="1"/>
    <col min="126" max="126" width="9.42578125" style="4" hidden="1" customWidth="1"/>
    <col min="127" max="127" width="1.5703125" style="3" hidden="1" customWidth="1"/>
    <col min="128" max="128" width="10.7109375" style="3" customWidth="1"/>
    <col min="129" max="129" width="12.140625" style="3" hidden="1" customWidth="1"/>
    <col min="130" max="130" width="6" style="3" hidden="1" customWidth="1"/>
    <col min="131" max="131" width="8.5703125" style="3" hidden="1" customWidth="1"/>
    <col min="132" max="132" width="2.85546875" style="3" hidden="1" customWidth="1"/>
    <col min="133" max="133" width="6.5703125" style="3" hidden="1" customWidth="1"/>
    <col min="134" max="134" width="2.28515625" style="3" hidden="1" customWidth="1"/>
    <col min="135" max="135" width="12.28515625" style="3" hidden="1" customWidth="1"/>
    <col min="136" max="136" width="10.28515625" style="4" hidden="1" customWidth="1"/>
    <col min="137" max="137" width="2.7109375" style="4" hidden="1" customWidth="1"/>
    <col min="138" max="138" width="0" style="4" hidden="1" customWidth="1"/>
    <col min="139" max="139" width="7" style="4" hidden="1" customWidth="1"/>
    <col min="140" max="140" width="3.28515625" style="4" hidden="1" customWidth="1"/>
    <col min="141" max="141" width="13.7109375" style="4" hidden="1" customWidth="1"/>
    <col min="142" max="144" width="0" style="3" hidden="1" customWidth="1"/>
    <col min="145" max="145" width="12.42578125" style="3" bestFit="1" customWidth="1"/>
    <col min="146" max="147" width="12.140625" style="3" bestFit="1" customWidth="1"/>
    <col min="148" max="148" width="9.140625" style="3"/>
    <col min="149" max="149" width="2.5703125" style="3" customWidth="1"/>
    <col min="150" max="150" width="11.5703125" style="4" hidden="1" customWidth="1"/>
    <col min="151" max="151" width="12.28515625" style="4" hidden="1" customWidth="1"/>
    <col min="152" max="152" width="0" style="3" hidden="1" customWidth="1"/>
    <col min="153" max="153" width="10.7109375" style="4" bestFit="1" customWidth="1"/>
    <col min="154" max="154" width="7.5703125" style="42" customWidth="1"/>
    <col min="155" max="16384" width="9.140625" style="3"/>
  </cols>
  <sheetData>
    <row r="1" spans="1:155" ht="16.5" thickBot="1" x14ac:dyDescent="0.3">
      <c r="I1" s="51"/>
      <c r="J1" s="3"/>
      <c r="L1" s="50"/>
    </row>
    <row r="2" spans="1:155" ht="16.5" thickBot="1" x14ac:dyDescent="0.3">
      <c r="I2" s="51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BF2" s="61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3"/>
      <c r="DF2" s="193"/>
      <c r="DG2" s="194"/>
      <c r="DH2" s="194"/>
    </row>
    <row r="3" spans="1:155" ht="16.5" thickBot="1" x14ac:dyDescent="0.3">
      <c r="A3" s="162" t="s">
        <v>184</v>
      </c>
      <c r="B3" s="182"/>
      <c r="C3" s="163">
        <v>2522517</v>
      </c>
      <c r="D3" s="182"/>
      <c r="E3" s="183"/>
      <c r="X3" s="53"/>
      <c r="Y3" s="53"/>
      <c r="Z3" s="53"/>
      <c r="AA3" s="53"/>
      <c r="AB3" s="53"/>
      <c r="AC3" s="53"/>
      <c r="AD3" s="53"/>
      <c r="AE3" s="53"/>
      <c r="AF3" s="53"/>
      <c r="AG3" s="220"/>
      <c r="AH3" s="220"/>
      <c r="AI3" s="53"/>
      <c r="AJ3" s="53"/>
      <c r="AK3" s="53"/>
      <c r="AL3" s="53"/>
      <c r="AM3" s="53"/>
      <c r="AN3" s="53"/>
      <c r="AO3" s="53"/>
      <c r="AP3" s="53"/>
      <c r="AQ3" s="53"/>
      <c r="AR3" s="53"/>
      <c r="BF3" s="64"/>
      <c r="BG3" s="65"/>
      <c r="BH3" s="65"/>
      <c r="BI3" s="65"/>
      <c r="BJ3" s="65"/>
      <c r="BK3" s="65"/>
      <c r="BL3" s="65" t="s">
        <v>102</v>
      </c>
      <c r="BM3" s="66" t="s">
        <v>103</v>
      </c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7"/>
      <c r="CR3" s="90" t="s">
        <v>191</v>
      </c>
      <c r="CS3" s="91"/>
      <c r="CT3" s="91"/>
      <c r="CU3" s="91"/>
      <c r="CV3" s="91"/>
      <c r="CW3" s="91"/>
      <c r="CX3" s="91"/>
      <c r="CY3" s="91"/>
      <c r="CZ3" s="91"/>
      <c r="DA3" s="92"/>
      <c r="DB3" s="92"/>
      <c r="DC3" s="174"/>
      <c r="DF3" s="193"/>
      <c r="DG3" s="194"/>
      <c r="DH3" s="194"/>
      <c r="DT3" s="97"/>
      <c r="DU3" s="95"/>
      <c r="DV3" s="98"/>
      <c r="DW3" s="135"/>
      <c r="DX3" s="32"/>
    </row>
    <row r="4" spans="1:155" x14ac:dyDescent="0.25">
      <c r="A4" s="164"/>
      <c r="E4" s="184"/>
      <c r="L4" s="247" t="s">
        <v>187</v>
      </c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/>
      <c r="Y4" s="55"/>
      <c r="Z4" s="55"/>
      <c r="AA4" s="55"/>
      <c r="AB4" s="55"/>
      <c r="AC4" s="55"/>
      <c r="AD4" s="55"/>
      <c r="AE4" s="55"/>
      <c r="AF4" s="55"/>
      <c r="AG4" s="230" t="s">
        <v>182</v>
      </c>
      <c r="AH4" s="230"/>
      <c r="AI4" s="55"/>
      <c r="AJ4" s="55"/>
      <c r="AK4" s="55"/>
      <c r="AL4" s="55"/>
      <c r="AM4" s="55"/>
      <c r="AN4" s="55"/>
      <c r="AO4" s="55"/>
      <c r="AP4" s="55"/>
      <c r="AQ4" s="55"/>
      <c r="AR4" s="189"/>
      <c r="AT4" s="19" t="s">
        <v>100</v>
      </c>
      <c r="AU4" s="11" t="s">
        <v>52</v>
      </c>
      <c r="BF4" s="64"/>
      <c r="BG4" s="65"/>
      <c r="BH4" s="65"/>
      <c r="BI4" s="65"/>
      <c r="BJ4" s="65"/>
      <c r="BK4" s="65"/>
      <c r="BL4" s="68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7"/>
      <c r="CR4" s="93"/>
      <c r="CS4" s="94"/>
      <c r="CT4" s="94"/>
      <c r="CU4" s="94"/>
      <c r="CV4" s="94"/>
      <c r="CW4" s="94"/>
      <c r="CX4" s="94"/>
      <c r="CY4" s="94"/>
      <c r="CZ4" s="94"/>
      <c r="DA4" s="95"/>
      <c r="DB4" s="95"/>
      <c r="DC4" s="175"/>
      <c r="DF4" s="193"/>
      <c r="DG4" s="194"/>
      <c r="DH4" s="194"/>
      <c r="DT4" s="97" t="s">
        <v>101</v>
      </c>
      <c r="DU4" s="95"/>
      <c r="DV4" s="98"/>
      <c r="DW4" s="135"/>
      <c r="DX4" s="32"/>
      <c r="ET4" s="8"/>
    </row>
    <row r="5" spans="1:155" x14ac:dyDescent="0.25">
      <c r="A5" s="164" t="s">
        <v>118</v>
      </c>
      <c r="C5" s="3">
        <v>-2000</v>
      </c>
      <c r="E5" s="184"/>
      <c r="L5" s="248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7"/>
      <c r="Y5" s="57"/>
      <c r="Z5" s="57"/>
      <c r="AA5" s="57"/>
      <c r="AB5" s="57"/>
      <c r="AC5" s="57"/>
      <c r="AD5" s="57"/>
      <c r="AE5" s="57"/>
      <c r="AF5" s="57"/>
      <c r="AG5" s="230">
        <v>25000</v>
      </c>
      <c r="AH5" s="230"/>
      <c r="AI5" s="57"/>
      <c r="AJ5" s="238"/>
      <c r="AK5" s="230"/>
      <c r="AL5" s="238"/>
      <c r="AM5" s="238"/>
      <c r="AN5" s="238"/>
      <c r="AO5" s="238"/>
      <c r="AP5" s="238"/>
      <c r="AQ5" s="241"/>
      <c r="AR5" s="190"/>
      <c r="AT5" s="20"/>
      <c r="AU5" s="13"/>
      <c r="BF5" s="64"/>
      <c r="BG5" s="65"/>
      <c r="BH5" s="65"/>
      <c r="BI5" s="65"/>
      <c r="BJ5" s="65"/>
      <c r="BK5" s="65"/>
      <c r="BL5" s="68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7"/>
      <c r="CR5" s="93"/>
      <c r="CS5" s="94"/>
      <c r="CT5" s="94"/>
      <c r="CU5" s="94"/>
      <c r="CV5" s="94"/>
      <c r="CW5" s="94"/>
      <c r="CX5" s="94"/>
      <c r="CY5" s="94"/>
      <c r="CZ5" s="94"/>
      <c r="DA5" s="95"/>
      <c r="DB5" s="95"/>
      <c r="DC5" s="175"/>
      <c r="DF5" s="193"/>
      <c r="DG5" s="194"/>
      <c r="DH5" s="194"/>
      <c r="DT5" s="97"/>
      <c r="DU5" s="95"/>
      <c r="DV5" s="98"/>
      <c r="DW5" s="135"/>
      <c r="DX5" s="32"/>
      <c r="ET5" s="8"/>
    </row>
    <row r="6" spans="1:155" x14ac:dyDescent="0.25">
      <c r="A6" s="164"/>
      <c r="E6" s="184"/>
      <c r="J6" s="157"/>
      <c r="L6" s="249" t="s">
        <v>155</v>
      </c>
      <c r="M6" s="230" t="s">
        <v>155</v>
      </c>
      <c r="N6" s="238"/>
      <c r="O6" s="230" t="s">
        <v>155</v>
      </c>
      <c r="P6" s="230" t="s">
        <v>155</v>
      </c>
      <c r="Q6" s="230" t="s">
        <v>189</v>
      </c>
      <c r="R6" s="230" t="s">
        <v>155</v>
      </c>
      <c r="S6" s="230" t="s">
        <v>155</v>
      </c>
      <c r="T6" s="230" t="s">
        <v>155</v>
      </c>
      <c r="U6" s="230" t="s">
        <v>189</v>
      </c>
      <c r="V6" s="230"/>
      <c r="W6" s="230"/>
      <c r="X6" s="230" t="s">
        <v>189</v>
      </c>
      <c r="Y6" s="230" t="s">
        <v>189</v>
      </c>
      <c r="Z6" s="230" t="s">
        <v>155</v>
      </c>
      <c r="AA6" s="230" t="s">
        <v>189</v>
      </c>
      <c r="AB6" s="230" t="s">
        <v>189</v>
      </c>
      <c r="AC6" s="230" t="s">
        <v>155</v>
      </c>
      <c r="AD6" s="230" t="s">
        <v>155</v>
      </c>
      <c r="AE6" s="230" t="s">
        <v>156</v>
      </c>
      <c r="AF6" s="230" t="s">
        <v>155</v>
      </c>
      <c r="AG6" s="230" t="s">
        <v>189</v>
      </c>
      <c r="AH6" s="230" t="s">
        <v>156</v>
      </c>
      <c r="AI6" s="230" t="s">
        <v>155</v>
      </c>
      <c r="AJ6" s="230" t="s">
        <v>155</v>
      </c>
      <c r="AK6" s="230" t="s">
        <v>189</v>
      </c>
      <c r="AL6" s="230" t="s">
        <v>155</v>
      </c>
      <c r="AM6" s="230" t="s">
        <v>189</v>
      </c>
      <c r="AN6" s="230" t="s">
        <v>155</v>
      </c>
      <c r="AO6" s="230" t="s">
        <v>155</v>
      </c>
      <c r="AP6" s="230" t="s">
        <v>155</v>
      </c>
      <c r="AQ6" s="230" t="s">
        <v>155</v>
      </c>
      <c r="AR6" s="239"/>
      <c r="AT6" s="20"/>
      <c r="AU6" s="13"/>
      <c r="BF6" s="64"/>
      <c r="BG6" s="65"/>
      <c r="BH6" s="65"/>
      <c r="BI6" s="65"/>
      <c r="BJ6" s="65"/>
      <c r="BK6" s="65"/>
      <c r="BL6" s="244" t="s">
        <v>156</v>
      </c>
      <c r="BM6" s="244" t="s">
        <v>156</v>
      </c>
      <c r="BN6" s="244" t="s">
        <v>156</v>
      </c>
      <c r="BO6" s="243"/>
      <c r="BP6" s="244" t="s">
        <v>156</v>
      </c>
      <c r="BQ6" s="244" t="s">
        <v>156</v>
      </c>
      <c r="BR6" s="244" t="s">
        <v>156</v>
      </c>
      <c r="BS6" s="244" t="s">
        <v>156</v>
      </c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7"/>
      <c r="CR6" s="93"/>
      <c r="CS6" s="94"/>
      <c r="CT6" s="94"/>
      <c r="CU6" s="94"/>
      <c r="CV6" s="94"/>
      <c r="CW6" s="94"/>
      <c r="CX6" s="94"/>
      <c r="CY6" s="94"/>
      <c r="CZ6" s="94"/>
      <c r="DA6" s="95"/>
      <c r="DB6" s="95"/>
      <c r="DC6" s="175"/>
      <c r="DF6" s="193"/>
      <c r="DG6" s="194"/>
      <c r="DH6" s="194"/>
      <c r="DK6" s="147"/>
      <c r="DL6" s="147"/>
      <c r="DM6" s="147"/>
      <c r="DN6" s="147"/>
      <c r="DO6" s="147"/>
      <c r="DQ6" s="147"/>
      <c r="DR6" s="147"/>
      <c r="DT6" s="97"/>
      <c r="DU6" s="95"/>
      <c r="DV6" s="98"/>
      <c r="DW6" s="135"/>
      <c r="DX6" s="32"/>
      <c r="EO6" s="153"/>
      <c r="EP6" s="138"/>
      <c r="EQ6" s="154"/>
      <c r="ER6" s="34"/>
      <c r="ET6" s="8"/>
      <c r="EU6" s="8"/>
      <c r="EV6" s="8"/>
      <c r="EW6" s="143"/>
    </row>
    <row r="7" spans="1:155" x14ac:dyDescent="0.25">
      <c r="A7" s="164" t="s">
        <v>114</v>
      </c>
      <c r="B7" s="4"/>
      <c r="C7" s="138">
        <f>SUM(C3:C6)</f>
        <v>2520517</v>
      </c>
      <c r="D7" s="4" t="s">
        <v>97</v>
      </c>
      <c r="E7" s="165"/>
      <c r="F7" s="181"/>
      <c r="L7" s="250" t="s">
        <v>47</v>
      </c>
      <c r="M7" s="56" t="s">
        <v>78</v>
      </c>
      <c r="N7" s="56" t="s">
        <v>79</v>
      </c>
      <c r="O7" s="56" t="s">
        <v>80</v>
      </c>
      <c r="P7" s="56" t="s">
        <v>81</v>
      </c>
      <c r="Q7" s="56" t="s">
        <v>82</v>
      </c>
      <c r="R7" s="56" t="s">
        <v>108</v>
      </c>
      <c r="S7" s="56" t="s">
        <v>83</v>
      </c>
      <c r="T7" s="56" t="s">
        <v>84</v>
      </c>
      <c r="U7" s="56" t="s">
        <v>85</v>
      </c>
      <c r="V7" s="56" t="s">
        <v>104</v>
      </c>
      <c r="W7" s="56" t="s">
        <v>106</v>
      </c>
      <c r="X7" s="56" t="s">
        <v>99</v>
      </c>
      <c r="Y7" s="56" t="s">
        <v>99</v>
      </c>
      <c r="Z7" s="56" t="s">
        <v>136</v>
      </c>
      <c r="AA7" s="56" t="s">
        <v>120</v>
      </c>
      <c r="AB7" s="56" t="s">
        <v>120</v>
      </c>
      <c r="AC7" s="229" t="s">
        <v>164</v>
      </c>
      <c r="AD7" s="56" t="s">
        <v>124</v>
      </c>
      <c r="AE7" s="56" t="s">
        <v>126</v>
      </c>
      <c r="AF7" s="56" t="s">
        <v>122</v>
      </c>
      <c r="AG7" s="56" t="s">
        <v>144</v>
      </c>
      <c r="AH7" s="56" t="s">
        <v>146</v>
      </c>
      <c r="AI7" s="56" t="s">
        <v>149</v>
      </c>
      <c r="AJ7" s="56" t="s">
        <v>153</v>
      </c>
      <c r="AK7" s="56" t="s">
        <v>163</v>
      </c>
      <c r="AL7" s="56" t="s">
        <v>158</v>
      </c>
      <c r="AM7" s="56" t="s">
        <v>167</v>
      </c>
      <c r="AN7" s="56" t="s">
        <v>178</v>
      </c>
      <c r="AO7" s="56" t="s">
        <v>180</v>
      </c>
      <c r="AP7" s="56" t="s">
        <v>170</v>
      </c>
      <c r="AQ7" s="56" t="s">
        <v>172</v>
      </c>
      <c r="AR7" s="191" t="s">
        <v>0</v>
      </c>
      <c r="AT7" s="20" t="s">
        <v>53</v>
      </c>
      <c r="AU7" s="13" t="s">
        <v>49</v>
      </c>
      <c r="BF7" s="64"/>
      <c r="BG7" s="65"/>
      <c r="BH7" s="65"/>
      <c r="BI7" s="65"/>
      <c r="BJ7" s="65"/>
      <c r="BK7" s="65"/>
      <c r="BL7" s="65" t="s">
        <v>161</v>
      </c>
      <c r="BM7" s="65"/>
      <c r="BN7" s="231"/>
      <c r="BO7" s="65"/>
      <c r="BP7" s="231"/>
      <c r="BQ7" s="231"/>
      <c r="BR7" s="65"/>
      <c r="BS7" s="231"/>
      <c r="BT7" s="65"/>
      <c r="BU7" s="65"/>
      <c r="BV7" s="65"/>
      <c r="BW7" s="65"/>
      <c r="BX7" s="69" t="s">
        <v>176</v>
      </c>
      <c r="BY7" s="70"/>
      <c r="BZ7" s="70"/>
      <c r="CA7" s="70"/>
      <c r="CB7" s="70"/>
      <c r="CC7" s="70"/>
      <c r="CD7" s="70"/>
      <c r="CE7" s="201"/>
      <c r="CF7" s="71"/>
      <c r="CH7" s="36" t="s">
        <v>52</v>
      </c>
      <c r="CI7" s="10" t="s">
        <v>93</v>
      </c>
      <c r="CJ7" s="10" t="s">
        <v>93</v>
      </c>
      <c r="CK7" s="10" t="s">
        <v>93</v>
      </c>
      <c r="CL7" s="10" t="s">
        <v>0</v>
      </c>
      <c r="CM7" s="37" t="s">
        <v>53</v>
      </c>
      <c r="CN7" s="38" t="s">
        <v>94</v>
      </c>
      <c r="CR7" s="93"/>
      <c r="CS7" s="99" t="s">
        <v>86</v>
      </c>
      <c r="CT7" s="99"/>
      <c r="CU7" s="99"/>
      <c r="CV7" s="99"/>
      <c r="CW7" s="99"/>
      <c r="CX7" s="117" t="s">
        <v>0</v>
      </c>
      <c r="CY7" s="118"/>
      <c r="CZ7" s="94"/>
      <c r="DA7" s="95"/>
      <c r="DB7" s="95"/>
      <c r="DC7" s="175"/>
      <c r="DD7" s="148"/>
      <c r="DE7" s="148"/>
      <c r="DF7" s="193"/>
      <c r="DG7" s="194"/>
      <c r="DH7" s="194"/>
      <c r="DK7" s="145"/>
      <c r="DL7" s="146"/>
      <c r="DM7" s="146"/>
      <c r="DN7" s="146"/>
      <c r="DO7" s="5"/>
      <c r="DP7" s="148"/>
      <c r="DQ7" s="149"/>
      <c r="DR7" s="149"/>
      <c r="DT7" s="97"/>
      <c r="DU7" s="95"/>
      <c r="DV7" s="101"/>
      <c r="DW7" s="135"/>
      <c r="DX7" s="32"/>
      <c r="EP7" s="138"/>
      <c r="EQ7" s="155"/>
      <c r="ER7" s="34"/>
      <c r="ET7" s="8"/>
      <c r="EU7" s="8"/>
    </row>
    <row r="8" spans="1:155" x14ac:dyDescent="0.25">
      <c r="A8" s="164"/>
      <c r="B8" s="4"/>
      <c r="C8" s="5"/>
      <c r="D8" s="4"/>
      <c r="E8" s="165"/>
      <c r="F8" s="4"/>
      <c r="L8" s="250">
        <v>2004</v>
      </c>
      <c r="M8" s="56">
        <v>1999</v>
      </c>
      <c r="N8" s="56">
        <v>1999</v>
      </c>
      <c r="O8" s="56">
        <v>2004</v>
      </c>
      <c r="P8" s="56">
        <v>2004</v>
      </c>
      <c r="Q8" s="56">
        <v>2005</v>
      </c>
      <c r="R8" s="56" t="s">
        <v>109</v>
      </c>
      <c r="S8" s="56">
        <v>2007</v>
      </c>
      <c r="T8" s="56">
        <v>2007</v>
      </c>
      <c r="U8" s="56">
        <v>2007</v>
      </c>
      <c r="V8" s="58" t="s">
        <v>105</v>
      </c>
      <c r="W8" s="58" t="s">
        <v>98</v>
      </c>
      <c r="X8" s="56" t="s">
        <v>113</v>
      </c>
      <c r="Y8" s="56" t="s">
        <v>141</v>
      </c>
      <c r="Z8" s="56" t="s">
        <v>137</v>
      </c>
      <c r="AA8" s="56" t="s">
        <v>157</v>
      </c>
      <c r="AB8" s="56" t="s">
        <v>157</v>
      </c>
      <c r="AC8" s="229" t="s">
        <v>166</v>
      </c>
      <c r="AD8" s="56" t="s">
        <v>125</v>
      </c>
      <c r="AE8" s="56" t="s">
        <v>127</v>
      </c>
      <c r="AF8" s="56" t="s">
        <v>123</v>
      </c>
      <c r="AG8" s="56" t="s">
        <v>145</v>
      </c>
      <c r="AH8" s="56" t="s">
        <v>147</v>
      </c>
      <c r="AI8" s="56" t="s">
        <v>150</v>
      </c>
      <c r="AJ8" s="56" t="s">
        <v>154</v>
      </c>
      <c r="AK8" s="56" t="s">
        <v>192</v>
      </c>
      <c r="AL8" s="56" t="s">
        <v>159</v>
      </c>
      <c r="AM8" s="56" t="s">
        <v>168</v>
      </c>
      <c r="AN8" s="56" t="s">
        <v>179</v>
      </c>
      <c r="AO8" s="56" t="s">
        <v>181</v>
      </c>
      <c r="AP8" s="56" t="s">
        <v>171</v>
      </c>
      <c r="AQ8" s="56" t="s">
        <v>173</v>
      </c>
      <c r="AR8" s="191"/>
      <c r="AT8" s="20"/>
      <c r="AU8" s="14">
        <f>C15</f>
        <v>0</v>
      </c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72"/>
      <c r="BG8" s="46"/>
      <c r="BH8" s="46"/>
      <c r="BI8" s="46"/>
      <c r="BJ8" s="46"/>
      <c r="BK8" s="65"/>
      <c r="BL8" s="128" t="s">
        <v>65</v>
      </c>
      <c r="BM8" s="128" t="s">
        <v>66</v>
      </c>
      <c r="BN8" s="128" t="s">
        <v>67</v>
      </c>
      <c r="BO8" s="128" t="s">
        <v>68</v>
      </c>
      <c r="BP8" s="128" t="s">
        <v>69</v>
      </c>
      <c r="BQ8" s="139" t="s">
        <v>70</v>
      </c>
      <c r="BR8" s="139" t="s">
        <v>128</v>
      </c>
      <c r="BS8" s="65" t="s">
        <v>130</v>
      </c>
      <c r="BT8" s="65"/>
      <c r="BU8" s="65"/>
      <c r="BV8" s="65"/>
      <c r="BW8" s="65"/>
      <c r="BX8" s="73" t="s">
        <v>65</v>
      </c>
      <c r="BY8" s="74" t="s">
        <v>66</v>
      </c>
      <c r="BZ8" s="75" t="s">
        <v>67</v>
      </c>
      <c r="CA8" s="75" t="s">
        <v>68</v>
      </c>
      <c r="CB8" s="75" t="s">
        <v>69</v>
      </c>
      <c r="CC8" s="75" t="s">
        <v>76</v>
      </c>
      <c r="CD8" s="76" t="s">
        <v>128</v>
      </c>
      <c r="CE8" s="202" t="s">
        <v>130</v>
      </c>
      <c r="CF8" s="77" t="s">
        <v>75</v>
      </c>
      <c r="CH8" s="12"/>
      <c r="CI8" s="4" t="s">
        <v>48</v>
      </c>
      <c r="CJ8" s="4" t="s">
        <v>95</v>
      </c>
      <c r="CK8" s="4" t="s">
        <v>96</v>
      </c>
      <c r="CN8" s="39" t="s">
        <v>92</v>
      </c>
      <c r="CR8" s="93"/>
      <c r="CS8" s="102" t="s">
        <v>87</v>
      </c>
      <c r="CT8" s="102" t="s">
        <v>88</v>
      </c>
      <c r="CU8" s="102" t="s">
        <v>90</v>
      </c>
      <c r="CV8" s="102" t="s">
        <v>160</v>
      </c>
      <c r="CW8" s="102"/>
      <c r="CX8" s="119" t="s">
        <v>143</v>
      </c>
      <c r="CY8" s="120"/>
      <c r="CZ8" s="102"/>
      <c r="DA8" s="103"/>
      <c r="DB8" s="103" t="s">
        <v>152</v>
      </c>
      <c r="DC8" s="176"/>
      <c r="DD8" s="146"/>
      <c r="DE8" s="146"/>
      <c r="DF8" s="195"/>
      <c r="DG8" s="196"/>
      <c r="DH8" s="197"/>
      <c r="DI8" s="167"/>
      <c r="DJ8" s="146"/>
      <c r="DL8" s="151"/>
      <c r="DM8" s="151"/>
      <c r="DN8" s="48"/>
      <c r="DO8" s="151"/>
      <c r="DP8" s="152"/>
      <c r="DQ8" s="152"/>
      <c r="DR8" s="152"/>
      <c r="DS8" s="147"/>
      <c r="DT8" s="104"/>
      <c r="DU8" s="100"/>
      <c r="DV8" s="105"/>
      <c r="DW8" s="105"/>
      <c r="DX8" s="47"/>
      <c r="DY8" s="8"/>
      <c r="DZ8" s="4"/>
      <c r="EA8" s="4"/>
      <c r="EB8" s="8"/>
      <c r="EC8" s="43"/>
      <c r="ED8" s="8"/>
      <c r="EF8" s="44"/>
      <c r="EP8" s="138"/>
      <c r="EQ8" s="34"/>
      <c r="ER8" s="34"/>
      <c r="ET8" s="8"/>
      <c r="EU8" s="8"/>
    </row>
    <row r="9" spans="1:155" x14ac:dyDescent="0.25">
      <c r="A9" s="164" t="s">
        <v>11</v>
      </c>
      <c r="B9" s="4"/>
      <c r="C9" s="5">
        <f>SUM(-AR37)</f>
        <v>-115926.00925817189</v>
      </c>
      <c r="D9" s="4" t="s">
        <v>115</v>
      </c>
      <c r="E9" s="165"/>
      <c r="F9" s="4"/>
      <c r="L9" s="250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 t="s">
        <v>140</v>
      </c>
      <c r="Y9" s="57"/>
      <c r="Z9" s="56" t="s">
        <v>121</v>
      </c>
      <c r="AA9" s="57"/>
      <c r="AB9" s="57"/>
      <c r="AC9" s="229" t="s">
        <v>165</v>
      </c>
      <c r="AD9" s="225">
        <v>2010</v>
      </c>
      <c r="AE9" s="246" t="s">
        <v>190</v>
      </c>
      <c r="AF9" s="57"/>
      <c r="AG9" s="56" t="s">
        <v>183</v>
      </c>
      <c r="AH9" s="225" t="s">
        <v>148</v>
      </c>
      <c r="AI9" s="225" t="s">
        <v>151</v>
      </c>
      <c r="AJ9" s="56"/>
      <c r="AK9" s="225"/>
      <c r="AL9" s="225">
        <v>2012</v>
      </c>
      <c r="AM9" s="225" t="s">
        <v>169</v>
      </c>
      <c r="AN9" s="225">
        <v>2013</v>
      </c>
      <c r="AO9" s="225">
        <v>2013</v>
      </c>
      <c r="AP9" s="225">
        <v>2013</v>
      </c>
      <c r="AQ9" s="225">
        <v>2014</v>
      </c>
      <c r="AR9" s="233"/>
      <c r="AT9" s="20"/>
      <c r="AU9" s="13"/>
      <c r="BF9" s="64"/>
      <c r="BG9" s="65"/>
      <c r="BH9" s="65"/>
      <c r="BI9" s="65"/>
      <c r="BJ9" s="65"/>
      <c r="BK9" s="65"/>
      <c r="BL9" s="128"/>
      <c r="BM9" s="128" t="s">
        <v>71</v>
      </c>
      <c r="BN9" s="128" t="s">
        <v>72</v>
      </c>
      <c r="BO9" s="128" t="s">
        <v>73</v>
      </c>
      <c r="BP9" s="128" t="s">
        <v>74</v>
      </c>
      <c r="BQ9" s="128" t="s">
        <v>57</v>
      </c>
      <c r="BR9" s="128" t="s">
        <v>129</v>
      </c>
      <c r="BS9" s="65" t="s">
        <v>131</v>
      </c>
      <c r="BT9" s="65"/>
      <c r="BU9" s="65"/>
      <c r="BV9" s="65"/>
      <c r="BW9" s="65"/>
      <c r="BX9" s="78"/>
      <c r="BY9" s="79" t="s">
        <v>71</v>
      </c>
      <c r="BZ9" s="80" t="s">
        <v>72</v>
      </c>
      <c r="CA9" s="80" t="s">
        <v>73</v>
      </c>
      <c r="CB9" s="80" t="s">
        <v>74</v>
      </c>
      <c r="CC9" s="80" t="s">
        <v>77</v>
      </c>
      <c r="CD9" s="80" t="s">
        <v>129</v>
      </c>
      <c r="CE9" s="203" t="s">
        <v>131</v>
      </c>
      <c r="CF9" s="81" t="s">
        <v>132</v>
      </c>
      <c r="CH9" s="12"/>
      <c r="CN9" s="40">
        <f>2/3</f>
        <v>0.66666666666666663</v>
      </c>
      <c r="CR9" s="93"/>
      <c r="CS9" s="102" t="s">
        <v>48</v>
      </c>
      <c r="CT9" s="102" t="s">
        <v>89</v>
      </c>
      <c r="CU9" s="102" t="s">
        <v>91</v>
      </c>
      <c r="CV9" s="102" t="s">
        <v>107</v>
      </c>
      <c r="CW9" s="102"/>
      <c r="CX9" s="121">
        <v>2014</v>
      </c>
      <c r="CY9" s="122"/>
      <c r="CZ9" s="106"/>
      <c r="DA9" s="103"/>
      <c r="DB9" s="228">
        <v>0.04</v>
      </c>
      <c r="DC9" s="177"/>
      <c r="DD9" s="146"/>
      <c r="DE9" s="146"/>
      <c r="DF9" s="195"/>
      <c r="DG9" s="196"/>
      <c r="DH9" s="196"/>
      <c r="DI9" s="167"/>
      <c r="DJ9" s="146"/>
      <c r="DL9" s="158"/>
      <c r="DM9" s="151"/>
      <c r="DN9" s="48"/>
      <c r="DO9" s="151"/>
      <c r="DP9" s="152"/>
      <c r="DQ9" s="159"/>
      <c r="DR9" s="159"/>
      <c r="DS9" s="150"/>
      <c r="DT9" s="108"/>
      <c r="DU9" s="107"/>
      <c r="DV9" s="109"/>
      <c r="DW9" s="136"/>
      <c r="DY9" s="8"/>
      <c r="DZ9" s="4"/>
      <c r="EA9" s="4"/>
      <c r="EB9" s="4"/>
      <c r="EC9" s="4"/>
      <c r="ED9" s="4"/>
      <c r="EP9" s="156"/>
    </row>
    <row r="10" spans="1:155" x14ac:dyDescent="0.25">
      <c r="A10" s="164" t="s">
        <v>110</v>
      </c>
      <c r="B10" s="4"/>
      <c r="C10" s="5">
        <f>-6*3000</f>
        <v>-18000</v>
      </c>
      <c r="D10" s="4" t="s">
        <v>50</v>
      </c>
      <c r="E10" s="165" t="s">
        <v>116</v>
      </c>
      <c r="F10" s="8"/>
      <c r="H10" s="3" t="s">
        <v>12</v>
      </c>
      <c r="I10" s="3" t="s">
        <v>8</v>
      </c>
      <c r="J10" s="42"/>
      <c r="K10" s="6"/>
      <c r="L10" s="251"/>
      <c r="M10" s="60"/>
      <c r="N10" s="60">
        <v>0</v>
      </c>
      <c r="O10" s="60">
        <f>105.024303130357*1.0362*1.006*1.0089*1.0057*1.0276</f>
        <v>114.14898258717035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>
        <v>-4355.2143862668199</v>
      </c>
      <c r="AB10" s="60"/>
      <c r="AC10" s="60">
        <f>2280*1.0057*1.0276</f>
        <v>2356.2826896000001</v>
      </c>
      <c r="AD10" s="60"/>
      <c r="AE10" s="60">
        <v>50</v>
      </c>
      <c r="AF10" s="60">
        <f>1616*1.006*1.0089*1.0057*1.0276</f>
        <v>1695.0402094332428</v>
      </c>
      <c r="AG10" s="60">
        <f>$AG$5*BS10</f>
        <v>1801.6666666666667</v>
      </c>
      <c r="AH10" s="60"/>
      <c r="AI10" s="60"/>
      <c r="AJ10" s="60">
        <f>1200*1.0057*1.0276</f>
        <v>1240.1487840000002</v>
      </c>
      <c r="AK10" s="60"/>
      <c r="AL10" s="60">
        <f>840*1.0276</f>
        <v>863.18400000000008</v>
      </c>
      <c r="AM10" s="60">
        <v>1102</v>
      </c>
      <c r="AN10" s="60">
        <f>872*1.0276</f>
        <v>896.06720000000007</v>
      </c>
      <c r="AO10" s="60">
        <f>1999*1.0276</f>
        <v>2054.1723999999999</v>
      </c>
      <c r="AP10" s="60"/>
      <c r="AQ10" s="60">
        <v>1700</v>
      </c>
      <c r="AR10" s="233">
        <f t="shared" ref="AR10:AR30" si="0">SUM(L10:AQ10)</f>
        <v>9517.4965460202602</v>
      </c>
      <c r="AT10" s="21" t="e">
        <f>(J10+#REF!)/($J$31+#REF!)</f>
        <v>#REF!</v>
      </c>
      <c r="AU10" s="14" t="e">
        <f>AT10*$AU$8</f>
        <v>#REF!</v>
      </c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72"/>
      <c r="BG10" s="46"/>
      <c r="BH10" s="46"/>
      <c r="BI10" s="46"/>
      <c r="BJ10" s="46"/>
      <c r="BK10" s="65"/>
      <c r="BL10" s="129">
        <v>0.22022256335519896</v>
      </c>
      <c r="BM10" s="129">
        <v>1.6345688618650489E-2</v>
      </c>
      <c r="BN10" s="129">
        <v>8.9655172413793102E-2</v>
      </c>
      <c r="BO10" s="130">
        <v>4.8595550095447332E-2</v>
      </c>
      <c r="BP10" s="129">
        <v>7.3979440251946051E-3</v>
      </c>
      <c r="BQ10" s="129">
        <v>5.8297141479786152E-2</v>
      </c>
      <c r="BR10" s="129">
        <v>2.47E-2</v>
      </c>
      <c r="BS10" s="129">
        <v>7.2066666666666668E-2</v>
      </c>
      <c r="BT10" s="82"/>
      <c r="BU10" s="82"/>
      <c r="BV10" s="82"/>
      <c r="BW10" s="82"/>
      <c r="BX10" s="83">
        <f>SUM(BL10*$BP$37)</f>
        <v>209137.62091742287</v>
      </c>
      <c r="BY10" s="83">
        <f t="shared" ref="BY10:BY30" si="1">SUM(BM10*$BP$39)</f>
        <v>2294.6933251029232</v>
      </c>
      <c r="BZ10" s="83">
        <f t="shared" ref="BZ10:BZ30" si="2">SUM(BN10*$BP$40)</f>
        <v>9624.788877081688</v>
      </c>
      <c r="CA10" s="83">
        <f t="shared" ref="CA10:CA30" si="3">BO10*$BS$41*$BT$41</f>
        <v>0</v>
      </c>
      <c r="CB10" s="83">
        <f t="shared" ref="CB10:CB30" si="4">SUM(BP10*$BP$42)</f>
        <v>549.82699659106856</v>
      </c>
      <c r="CC10" s="83">
        <f t="shared" ref="CC10:CC30" si="5">SUM(BQ10*$BP$43)</f>
        <v>12516.794375022149</v>
      </c>
      <c r="CD10" s="83">
        <f>SUM(BR10*$BP$44)</f>
        <v>3263.5437977058523</v>
      </c>
      <c r="CE10" s="83">
        <f>SUM(BS10*$BP$45)</f>
        <v>2380.4931479892216</v>
      </c>
      <c r="CF10" s="84">
        <f>SUM(BX10:CE10)</f>
        <v>239767.76143691572</v>
      </c>
      <c r="CH10" s="15">
        <f t="shared" ref="CH10:CH30" si="6">J10</f>
        <v>0</v>
      </c>
      <c r="CI10" s="5" t="e">
        <f>-#REF!</f>
        <v>#REF!</v>
      </c>
      <c r="CK10" s="4">
        <v>32000</v>
      </c>
      <c r="CL10" s="5" t="e">
        <f>CH10-CI10-CJ10-CK10</f>
        <v>#REF!</v>
      </c>
      <c r="CM10" s="35" t="e">
        <f>CL10/$CL$31</f>
        <v>#REF!</v>
      </c>
      <c r="CN10" s="22" t="e">
        <f t="shared" ref="CN10:CN30" si="7">CM10*$C$15</f>
        <v>#REF!</v>
      </c>
      <c r="CR10" s="93" t="s">
        <v>8</v>
      </c>
      <c r="CS10" s="96">
        <f>SUM(AR10)</f>
        <v>9517.4965460202602</v>
      </c>
      <c r="CT10" s="96"/>
      <c r="CU10" s="96">
        <v>35000</v>
      </c>
      <c r="CV10" s="96">
        <f>CF10</f>
        <v>239767.76143691572</v>
      </c>
      <c r="CW10" s="96"/>
      <c r="CX10" s="123">
        <f>SUM(CS10:CV10)</f>
        <v>284285.25798293599</v>
      </c>
      <c r="CY10" s="124">
        <f>CX10/$CX$31</f>
        <v>0.11278847077124893</v>
      </c>
      <c r="CZ10" s="110"/>
      <c r="DA10" s="96"/>
      <c r="DB10" s="96">
        <f>SUM(CX10*0.04)</f>
        <v>11371.41031931744</v>
      </c>
      <c r="DC10" s="178"/>
      <c r="DD10" s="152"/>
      <c r="DE10" s="152"/>
      <c r="DF10" s="198"/>
      <c r="DG10" s="199"/>
      <c r="DH10" s="200"/>
      <c r="DI10" s="168"/>
      <c r="DJ10" s="5"/>
      <c r="DL10" s="151"/>
      <c r="DM10" s="151"/>
      <c r="DN10" s="48"/>
      <c r="DO10" s="151"/>
      <c r="DP10" s="152"/>
      <c r="DQ10" s="152"/>
      <c r="DR10" s="152"/>
      <c r="DS10" s="152"/>
      <c r="DT10" s="112"/>
      <c r="DU10" s="111"/>
      <c r="DV10" s="113"/>
      <c r="DW10" s="137"/>
      <c r="DX10" s="49"/>
      <c r="DY10" s="5"/>
      <c r="DZ10" s="4"/>
      <c r="EA10" s="5"/>
      <c r="EB10" s="5"/>
      <c r="EC10" s="42"/>
      <c r="ED10" s="5"/>
      <c r="EF10" s="5"/>
      <c r="EG10" s="5"/>
      <c r="EH10" s="5"/>
      <c r="EI10" s="5"/>
      <c r="EK10" s="5"/>
      <c r="EL10" s="42"/>
      <c r="EP10" s="42"/>
      <c r="EQ10" s="42"/>
      <c r="ER10" s="42"/>
      <c r="EV10" s="42"/>
      <c r="EW10" s="5"/>
      <c r="EY10" s="32"/>
    </row>
    <row r="11" spans="1:155" x14ac:dyDescent="0.25">
      <c r="A11" s="164" t="s">
        <v>111</v>
      </c>
      <c r="B11" s="4"/>
      <c r="C11" s="52">
        <f>-21*35000</f>
        <v>-735000</v>
      </c>
      <c r="D11" s="242" t="s">
        <v>188</v>
      </c>
      <c r="E11" s="165" t="s">
        <v>115</v>
      </c>
      <c r="F11" s="8"/>
      <c r="H11" s="3" t="s">
        <v>13</v>
      </c>
      <c r="I11" s="3" t="s">
        <v>2</v>
      </c>
      <c r="J11" s="42"/>
      <c r="K11" s="7"/>
      <c r="L11" s="251"/>
      <c r="M11" s="60"/>
      <c r="N11" s="60"/>
      <c r="O11" s="60"/>
      <c r="P11" s="60"/>
      <c r="Q11" s="60"/>
      <c r="R11" s="60"/>
      <c r="S11" s="60">
        <f>806.108818303748*1.0362*1.006*1.0089*1.0057*1.0276</f>
        <v>876.14484192013504</v>
      </c>
      <c r="T11" s="60"/>
      <c r="U11" s="60"/>
      <c r="V11" s="60"/>
      <c r="W11" s="60"/>
      <c r="X11" s="60"/>
      <c r="Y11" s="60"/>
      <c r="Z11" s="60"/>
      <c r="AA11" s="60">
        <v>-931.81485160059697</v>
      </c>
      <c r="AB11" s="60"/>
      <c r="AC11" s="60"/>
      <c r="AD11" s="60"/>
      <c r="AE11" s="60"/>
      <c r="AF11" s="60">
        <f>-389*1.006*1.0089*1.0057*1.0276</f>
        <v>-408.02638704797744</v>
      </c>
      <c r="AG11" s="60">
        <f t="shared" ref="AG11:AG30" si="8">$AG$5*BS11</f>
        <v>919.16666666666674</v>
      </c>
      <c r="AH11" s="60"/>
      <c r="AI11" s="60"/>
      <c r="AJ11" s="60"/>
      <c r="AK11" s="60"/>
      <c r="AL11" s="60">
        <f>840*1.0276</f>
        <v>863.18400000000008</v>
      </c>
      <c r="AM11" s="60">
        <v>1429</v>
      </c>
      <c r="AN11" s="245">
        <f>3110*1.0276</f>
        <v>3195.8360000000002</v>
      </c>
      <c r="AO11" s="60">
        <f>-450*1.0276</f>
        <v>-462.42</v>
      </c>
      <c r="AP11" s="60"/>
      <c r="AQ11" s="60"/>
      <c r="AR11" s="233">
        <f t="shared" si="0"/>
        <v>5481.0702699382273</v>
      </c>
      <c r="AT11" s="21" t="e">
        <f>(J11+#REF!)/($J$31+#REF!)</f>
        <v>#REF!</v>
      </c>
      <c r="AU11" s="14" t="e">
        <f t="shared" ref="AU11:AU30" si="9">AT11*$AU$8</f>
        <v>#REF!</v>
      </c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72"/>
      <c r="BG11" s="46"/>
      <c r="BH11" s="46"/>
      <c r="BI11" s="46"/>
      <c r="BJ11" s="46"/>
      <c r="BK11" s="65"/>
      <c r="BL11" s="129">
        <v>3.5719880321144475E-2</v>
      </c>
      <c r="BM11" s="129">
        <v>1.9138455203796999E-2</v>
      </c>
      <c r="BN11" s="129">
        <v>2.7586206896551724E-2</v>
      </c>
      <c r="BO11" s="130">
        <v>1.9131968855911435E-2</v>
      </c>
      <c r="BP11" s="129">
        <v>8.8240537167983846E-3</v>
      </c>
      <c r="BQ11" s="129">
        <v>2.3209815211594525E-2</v>
      </c>
      <c r="BR11" s="129">
        <v>3.6900000000000002E-2</v>
      </c>
      <c r="BS11" s="129">
        <v>3.676666666666667E-2</v>
      </c>
      <c r="BT11" s="82"/>
      <c r="BU11" s="82"/>
      <c r="BV11" s="82"/>
      <c r="BW11" s="82"/>
      <c r="BX11" s="83">
        <f t="shared" ref="BX11:BX30" si="10">SUM(BL11*$BP$37)</f>
        <v>33921.913704047649</v>
      </c>
      <c r="BY11" s="83">
        <f t="shared" si="1"/>
        <v>2686.7565162611108</v>
      </c>
      <c r="BZ11" s="83">
        <f t="shared" si="2"/>
        <v>2961.4735006405194</v>
      </c>
      <c r="CA11" s="83">
        <f t="shared" si="3"/>
        <v>0</v>
      </c>
      <c r="CB11" s="83">
        <f t="shared" si="4"/>
        <v>655.81774292187697</v>
      </c>
      <c r="CC11" s="83">
        <f t="shared" si="5"/>
        <v>4983.3058210327799</v>
      </c>
      <c r="CD11" s="83">
        <f t="shared" ref="CD11:CD30" si="11">SUM(BR11*$BP$44)</f>
        <v>4875.4966046698773</v>
      </c>
      <c r="CE11" s="83">
        <f t="shared" ref="CE11:CE30" si="12">SUM(BS11*$BP$45)</f>
        <v>1214.4699085254911</v>
      </c>
      <c r="CF11" s="84">
        <f t="shared" ref="CF11:CF30" si="13">SUM(BX11:CE11)</f>
        <v>51299.233798099303</v>
      </c>
      <c r="CH11" s="15">
        <f t="shared" si="6"/>
        <v>0</v>
      </c>
      <c r="CI11" s="5" t="e">
        <f>-#REF!</f>
        <v>#REF!</v>
      </c>
      <c r="CK11" s="4">
        <v>32000</v>
      </c>
      <c r="CL11" s="5" t="e">
        <f t="shared" ref="CL11:CL30" si="14">CH11-CI11-CJ11-CK11</f>
        <v>#REF!</v>
      </c>
      <c r="CM11" s="35" t="e">
        <f t="shared" ref="CM11:CM30" si="15">CL11/$CL$31</f>
        <v>#REF!</v>
      </c>
      <c r="CN11" s="22" t="e">
        <f t="shared" si="7"/>
        <v>#REF!</v>
      </c>
      <c r="CR11" s="93" t="s">
        <v>2</v>
      </c>
      <c r="CS11" s="96">
        <f t="shared" ref="CS11:CS30" si="16">SUM(AR11)</f>
        <v>5481.0702699382273</v>
      </c>
      <c r="CT11" s="96"/>
      <c r="CU11" s="96">
        <v>35000</v>
      </c>
      <c r="CV11" s="96">
        <f>CF11</f>
        <v>51299.233798099303</v>
      </c>
      <c r="CW11" s="96"/>
      <c r="CX11" s="123">
        <f t="shared" ref="CX11:CX30" si="17">SUM(CS11:CV11)</f>
        <v>91780.304068037527</v>
      </c>
      <c r="CY11" s="124">
        <f t="shared" ref="CY11:CY31" si="18">CX11/$CX$31</f>
        <v>3.6413285079226816E-2</v>
      </c>
      <c r="CZ11" s="110"/>
      <c r="DA11" s="96"/>
      <c r="DB11" s="96">
        <f t="shared" ref="DB11:DB30" si="19">SUM(CX11*0.04)</f>
        <v>3671.212162721501</v>
      </c>
      <c r="DC11" s="178"/>
      <c r="DD11" s="152"/>
      <c r="DE11" s="152"/>
      <c r="DF11" s="198"/>
      <c r="DG11" s="199"/>
      <c r="DH11" s="200"/>
      <c r="DI11" s="168"/>
      <c r="DJ11" s="5"/>
      <c r="DL11" s="151"/>
      <c r="DM11" s="151"/>
      <c r="DN11" s="48"/>
      <c r="DO11" s="151"/>
      <c r="DP11" s="152"/>
      <c r="DQ11" s="152"/>
      <c r="DR11" s="152"/>
      <c r="DS11" s="152"/>
      <c r="DT11" s="112"/>
      <c r="DU11" s="111"/>
      <c r="DV11" s="113"/>
      <c r="DW11" s="137"/>
      <c r="DX11" s="48"/>
      <c r="DY11" s="5"/>
      <c r="DZ11" s="133"/>
      <c r="EA11" s="5"/>
      <c r="EB11" s="5"/>
      <c r="EC11" s="42"/>
      <c r="ED11" s="5"/>
      <c r="EF11" s="5"/>
      <c r="EG11" s="5"/>
      <c r="EH11" s="5"/>
      <c r="EI11" s="5"/>
      <c r="EK11" s="5"/>
      <c r="EL11" s="42"/>
      <c r="EP11" s="42"/>
      <c r="EQ11" s="42"/>
      <c r="ER11" s="42"/>
      <c r="EV11" s="42"/>
      <c r="EW11" s="5"/>
      <c r="EY11" s="32"/>
    </row>
    <row r="12" spans="1:155" x14ac:dyDescent="0.25">
      <c r="A12" s="164"/>
      <c r="B12" s="4"/>
      <c r="C12" s="4"/>
      <c r="D12" s="4"/>
      <c r="E12" s="165"/>
      <c r="F12" s="4"/>
      <c r="H12" s="3" t="s">
        <v>14</v>
      </c>
      <c r="I12" s="3" t="s">
        <v>15</v>
      </c>
      <c r="J12" s="42"/>
      <c r="K12" s="7"/>
      <c r="L12" s="251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>
        <v>-801.13490229569402</v>
      </c>
      <c r="AB12" s="60"/>
      <c r="AC12" s="60"/>
      <c r="AD12" s="60"/>
      <c r="AE12" s="60"/>
      <c r="AF12" s="60">
        <f>-275*1.006*1.0089*1.0057*1.0276</f>
        <v>-288.45053068944418</v>
      </c>
      <c r="AG12" s="60">
        <f t="shared" si="8"/>
        <v>720.00000000000011</v>
      </c>
      <c r="AH12" s="60"/>
      <c r="AI12" s="60"/>
      <c r="AJ12" s="60"/>
      <c r="AK12" s="60"/>
      <c r="AL12" s="60">
        <f>840*1.0276</f>
        <v>863.18400000000008</v>
      </c>
      <c r="AM12" s="60"/>
      <c r="AN12" s="60">
        <f>-1862*1.0276</f>
        <v>-1913.3912</v>
      </c>
      <c r="AO12" s="60">
        <f>-815*1.0276</f>
        <v>-837.49400000000003</v>
      </c>
      <c r="AP12" s="60"/>
      <c r="AQ12" s="60"/>
      <c r="AR12" s="233">
        <f t="shared" si="0"/>
        <v>-2257.2866329851381</v>
      </c>
      <c r="AT12" s="21" t="e">
        <f>(J12+#REF!)/($J$31+#REF!)</f>
        <v>#REF!</v>
      </c>
      <c r="AU12" s="14" t="e">
        <f t="shared" si="9"/>
        <v>#REF!</v>
      </c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72"/>
      <c r="BG12" s="46"/>
      <c r="BH12" s="46"/>
      <c r="BI12" s="46"/>
      <c r="BJ12" s="46"/>
      <c r="BK12" s="65"/>
      <c r="BL12" s="129">
        <v>2.8737832841396832E-2</v>
      </c>
      <c r="BM12" s="129">
        <v>1.5728989792262355E-2</v>
      </c>
      <c r="BN12" s="129">
        <v>3.1034482758620689E-2</v>
      </c>
      <c r="BO12" s="130">
        <v>2.4052688932675932E-2</v>
      </c>
      <c r="BP12" s="129">
        <v>1.3904569493136848E-2</v>
      </c>
      <c r="BQ12" s="129">
        <v>2.5787167081098503E-2</v>
      </c>
      <c r="BR12" s="129">
        <v>2.8400000000000002E-2</v>
      </c>
      <c r="BS12" s="129">
        <v>2.8800000000000003E-2</v>
      </c>
      <c r="BT12" s="82"/>
      <c r="BU12" s="82"/>
      <c r="BV12" s="82"/>
      <c r="BW12" s="82"/>
      <c r="BX12" s="83">
        <f t="shared" si="10"/>
        <v>27291.308843219987</v>
      </c>
      <c r="BY12" s="83">
        <f t="shared" si="1"/>
        <v>2208.1179159215085</v>
      </c>
      <c r="BZ12" s="83">
        <f t="shared" si="2"/>
        <v>3331.6576882205841</v>
      </c>
      <c r="CA12" s="83">
        <f t="shared" si="3"/>
        <v>0</v>
      </c>
      <c r="CB12" s="83">
        <f t="shared" si="4"/>
        <v>1033.4097767253818</v>
      </c>
      <c r="CC12" s="83">
        <f t="shared" si="5"/>
        <v>5536.6808676265491</v>
      </c>
      <c r="CD12" s="83">
        <f t="shared" si="11"/>
        <v>3752.4147309654336</v>
      </c>
      <c r="CE12" s="83">
        <f t="shared" si="12"/>
        <v>951.3164106672931</v>
      </c>
      <c r="CF12" s="84">
        <f t="shared" si="13"/>
        <v>44104.906233346745</v>
      </c>
      <c r="CH12" s="15">
        <f t="shared" si="6"/>
        <v>0</v>
      </c>
      <c r="CI12" s="5" t="e">
        <f>-#REF!</f>
        <v>#REF!</v>
      </c>
      <c r="CK12" s="4">
        <v>32000</v>
      </c>
      <c r="CL12" s="5" t="e">
        <f t="shared" si="14"/>
        <v>#REF!</v>
      </c>
      <c r="CM12" s="35" t="e">
        <f t="shared" si="15"/>
        <v>#REF!</v>
      </c>
      <c r="CN12" s="22" t="e">
        <f t="shared" si="7"/>
        <v>#REF!</v>
      </c>
      <c r="CR12" s="93" t="s">
        <v>15</v>
      </c>
      <c r="CS12" s="96">
        <f t="shared" si="16"/>
        <v>-2257.2866329851381</v>
      </c>
      <c r="CT12" s="96"/>
      <c r="CU12" s="96">
        <v>35000</v>
      </c>
      <c r="CV12" s="96">
        <f t="shared" ref="CV12:CV29" si="20">CF12</f>
        <v>44104.906233346745</v>
      </c>
      <c r="CW12" s="96"/>
      <c r="CX12" s="123">
        <f t="shared" si="17"/>
        <v>76847.619600361606</v>
      </c>
      <c r="CY12" s="124">
        <f t="shared" si="18"/>
        <v>3.0488832092924436E-2</v>
      </c>
      <c r="CZ12" s="110"/>
      <c r="DA12" s="96"/>
      <c r="DB12" s="96">
        <f t="shared" si="19"/>
        <v>3073.9047840144644</v>
      </c>
      <c r="DC12" s="178"/>
      <c r="DD12" s="152"/>
      <c r="DE12" s="152"/>
      <c r="DF12" s="198"/>
      <c r="DG12" s="199"/>
      <c r="DH12" s="200"/>
      <c r="DI12" s="168"/>
      <c r="DJ12" s="5"/>
      <c r="DL12" s="151"/>
      <c r="DM12" s="151"/>
      <c r="DN12" s="48"/>
      <c r="DO12" s="151"/>
      <c r="DP12" s="152"/>
      <c r="DQ12" s="152"/>
      <c r="DR12" s="152"/>
      <c r="DS12" s="152"/>
      <c r="DT12" s="112"/>
      <c r="DU12" s="111"/>
      <c r="DV12" s="113"/>
      <c r="DW12" s="98"/>
      <c r="DX12" s="48"/>
      <c r="DY12" s="5"/>
      <c r="DZ12" s="133"/>
      <c r="EA12" s="5"/>
      <c r="EB12" s="5"/>
      <c r="EC12" s="42"/>
      <c r="ED12" s="5"/>
      <c r="EF12" s="5"/>
      <c r="EG12" s="5"/>
      <c r="EH12" s="5"/>
      <c r="EI12" s="5"/>
      <c r="EK12" s="5"/>
      <c r="EL12" s="42"/>
      <c r="EP12" s="42"/>
      <c r="EQ12" s="42"/>
      <c r="ER12" s="42"/>
      <c r="EV12" s="42"/>
      <c r="EW12" s="5"/>
      <c r="EY12" s="32"/>
    </row>
    <row r="13" spans="1:155" x14ac:dyDescent="0.25">
      <c r="A13" s="164" t="s">
        <v>51</v>
      </c>
      <c r="B13" s="4"/>
      <c r="C13" s="5">
        <f>SUM(C7:C12)</f>
        <v>1651590.990741828</v>
      </c>
      <c r="D13" s="4"/>
      <c r="E13" s="165"/>
      <c r="F13" s="4"/>
      <c r="H13" s="3" t="s">
        <v>16</v>
      </c>
      <c r="I13" s="3" t="s">
        <v>17</v>
      </c>
      <c r="J13" s="42"/>
      <c r="K13" s="7"/>
      <c r="L13" s="251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>
        <v>-1364.91826301678</v>
      </c>
      <c r="AB13" s="60"/>
      <c r="AC13" s="60"/>
      <c r="AD13" s="60"/>
      <c r="AE13" s="60"/>
      <c r="AF13" s="60">
        <f>577*1.006*1.0089*1.0057*1.0276</f>
        <v>605.22165893748831</v>
      </c>
      <c r="AG13" s="60">
        <f t="shared" si="8"/>
        <v>1162.5000000000002</v>
      </c>
      <c r="AH13" s="60"/>
      <c r="AI13" s="60"/>
      <c r="AJ13" s="60"/>
      <c r="AK13" s="60"/>
      <c r="AL13" s="60">
        <f>840*1.0276</f>
        <v>863.18400000000008</v>
      </c>
      <c r="AM13" s="60">
        <v>1267</v>
      </c>
      <c r="AN13" s="60">
        <f>1143*1.0276</f>
        <v>1174.5468000000001</v>
      </c>
      <c r="AO13" s="60">
        <f>1374*1.0276</f>
        <v>1411.9224000000002</v>
      </c>
      <c r="AP13" s="60"/>
      <c r="AQ13" s="60"/>
      <c r="AR13" s="233">
        <f t="shared" si="0"/>
        <v>5119.4565959207093</v>
      </c>
      <c r="AT13" s="21" t="e">
        <f>(J13+#REF!)/($J$31+#REF!)</f>
        <v>#REF!</v>
      </c>
      <c r="AU13" s="14" t="e">
        <f t="shared" si="9"/>
        <v>#REF!</v>
      </c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72"/>
      <c r="BG13" s="46"/>
      <c r="BH13" s="46"/>
      <c r="BI13" s="46"/>
      <c r="BJ13" s="46"/>
      <c r="BK13" s="65"/>
      <c r="BL13" s="129">
        <v>4.5523385284070121E-2</v>
      </c>
      <c r="BM13" s="129">
        <v>2.7386508308964917E-2</v>
      </c>
      <c r="BN13" s="129">
        <v>4.4827586206896551E-2</v>
      </c>
      <c r="BO13" s="130">
        <v>3.0626396143953967E-2</v>
      </c>
      <c r="BP13" s="129">
        <v>1.8272030423673421E-2</v>
      </c>
      <c r="BQ13" s="129">
        <v>5.9995701667513265E-2</v>
      </c>
      <c r="BR13" s="129">
        <v>5.6599999999999998E-2</v>
      </c>
      <c r="BS13" s="129">
        <v>4.6500000000000007E-2</v>
      </c>
      <c r="BT13" s="82"/>
      <c r="BU13" s="82"/>
      <c r="BV13" s="82"/>
      <c r="BW13" s="82"/>
      <c r="BX13" s="83">
        <f t="shared" si="10"/>
        <v>43231.957476862612</v>
      </c>
      <c r="BY13" s="83">
        <f t="shared" si="1"/>
        <v>3844.6613832318276</v>
      </c>
      <c r="BZ13" s="83">
        <f t="shared" si="2"/>
        <v>4812.394438540844</v>
      </c>
      <c r="CA13" s="83">
        <f t="shared" si="3"/>
        <v>0</v>
      </c>
      <c r="CB13" s="83">
        <f t="shared" si="4"/>
        <v>1358.0064373634825</v>
      </c>
      <c r="CC13" s="83">
        <f t="shared" si="5"/>
        <v>12881.486846448919</v>
      </c>
      <c r="CD13" s="83">
        <f t="shared" si="11"/>
        <v>7478.4040060789976</v>
      </c>
      <c r="CE13" s="83">
        <f t="shared" si="12"/>
        <v>1535.9796213899003</v>
      </c>
      <c r="CF13" s="84">
        <f t="shared" si="13"/>
        <v>75142.890209916572</v>
      </c>
      <c r="CH13" s="15">
        <f t="shared" si="6"/>
        <v>0</v>
      </c>
      <c r="CI13" s="5" t="e">
        <f>-#REF!</f>
        <v>#REF!</v>
      </c>
      <c r="CK13" s="4">
        <v>32000</v>
      </c>
      <c r="CL13" s="5" t="e">
        <f t="shared" si="14"/>
        <v>#REF!</v>
      </c>
      <c r="CM13" s="35" t="e">
        <f t="shared" si="15"/>
        <v>#REF!</v>
      </c>
      <c r="CN13" s="22" t="e">
        <f t="shared" si="7"/>
        <v>#REF!</v>
      </c>
      <c r="CR13" s="93" t="s">
        <v>17</v>
      </c>
      <c r="CS13" s="96">
        <f t="shared" si="16"/>
        <v>5119.4565959207093</v>
      </c>
      <c r="CT13" s="96"/>
      <c r="CU13" s="96">
        <v>35000</v>
      </c>
      <c r="CV13" s="96">
        <f t="shared" si="20"/>
        <v>75142.890209916572</v>
      </c>
      <c r="CW13" s="96"/>
      <c r="CX13" s="123">
        <f t="shared" si="17"/>
        <v>115262.34680583728</v>
      </c>
      <c r="CY13" s="124">
        <f t="shared" si="18"/>
        <v>4.5729644674420887E-2</v>
      </c>
      <c r="CZ13" s="110"/>
      <c r="DA13" s="96"/>
      <c r="DB13" s="96">
        <f t="shared" si="19"/>
        <v>4610.4938722334909</v>
      </c>
      <c r="DC13" s="178"/>
      <c r="DD13" s="152"/>
      <c r="DE13" s="152"/>
      <c r="DF13" s="198"/>
      <c r="DG13" s="199"/>
      <c r="DH13" s="200"/>
      <c r="DI13" s="168"/>
      <c r="DJ13" s="5"/>
      <c r="DL13" s="151"/>
      <c r="DM13" s="151"/>
      <c r="DN13" s="48"/>
      <c r="DO13" s="151"/>
      <c r="DP13" s="152"/>
      <c r="DQ13" s="152"/>
      <c r="DR13" s="152"/>
      <c r="DS13" s="152"/>
      <c r="DT13" s="112"/>
      <c r="DU13" s="111"/>
      <c r="DV13" s="113"/>
      <c r="DW13" s="137"/>
      <c r="DX13" s="49"/>
      <c r="DY13" s="5"/>
      <c r="DZ13" s="133"/>
      <c r="EA13" s="5"/>
      <c r="EB13" s="5"/>
      <c r="EC13" s="42"/>
      <c r="ED13" s="5"/>
      <c r="EF13" s="5"/>
      <c r="EG13" s="5"/>
      <c r="EH13" s="5"/>
      <c r="EI13" s="5"/>
      <c r="EK13" s="5"/>
      <c r="EL13" s="42"/>
      <c r="EP13" s="42"/>
      <c r="EQ13" s="42"/>
      <c r="ER13" s="42"/>
      <c r="EV13" s="42"/>
      <c r="EW13" s="5"/>
      <c r="EY13" s="32"/>
    </row>
    <row r="14" spans="1:155" x14ac:dyDescent="0.25">
      <c r="A14" s="164"/>
      <c r="B14" s="4"/>
      <c r="C14" s="4"/>
      <c r="D14" s="4"/>
      <c r="E14" s="165"/>
      <c r="F14" s="4"/>
      <c r="H14" s="3" t="s">
        <v>18</v>
      </c>
      <c r="I14" s="3" t="s">
        <v>19</v>
      </c>
      <c r="J14" s="42"/>
      <c r="K14" s="6"/>
      <c r="L14" s="251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>
        <v>-1225.13126584875</v>
      </c>
      <c r="AB14" s="60"/>
      <c r="AC14" s="60"/>
      <c r="AD14" s="60"/>
      <c r="AE14" s="60"/>
      <c r="AF14" s="60">
        <f>-960*1.006*1.0089*1.0057*1.0276</f>
        <v>-1006.9545798613325</v>
      </c>
      <c r="AG14" s="60">
        <f t="shared" si="8"/>
        <v>1316.6666666666667</v>
      </c>
      <c r="AH14" s="60">
        <v>3000</v>
      </c>
      <c r="AI14" s="60"/>
      <c r="AJ14" s="60"/>
      <c r="AK14" s="60"/>
      <c r="AL14" s="60"/>
      <c r="AM14" s="60"/>
      <c r="AN14" s="60">
        <f>-1143*1.0276</f>
        <v>-1174.5468000000001</v>
      </c>
      <c r="AO14" s="60">
        <f>-800*1.0276</f>
        <v>-822.08</v>
      </c>
      <c r="AP14" s="60"/>
      <c r="AQ14" s="60"/>
      <c r="AR14" s="233">
        <f t="shared" si="0"/>
        <v>87.954020956583804</v>
      </c>
      <c r="AT14" s="21" t="e">
        <f>(J14+#REF!)/($J$31+#REF!)</f>
        <v>#REF!</v>
      </c>
      <c r="AU14" s="14" t="e">
        <f t="shared" si="9"/>
        <v>#REF!</v>
      </c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72"/>
      <c r="BG14" s="46"/>
      <c r="BH14" s="46"/>
      <c r="BI14" s="46"/>
      <c r="BJ14" s="46"/>
      <c r="BK14" s="65"/>
      <c r="BL14" s="129">
        <v>3.5652540616872272E-2</v>
      </c>
      <c r="BM14" s="129">
        <v>2.6053763228258541E-2</v>
      </c>
      <c r="BN14" s="129">
        <v>4.4827586206896551E-2</v>
      </c>
      <c r="BO14" s="130">
        <v>1.5973392651191336E-2</v>
      </c>
      <c r="BP14" s="129">
        <v>2.0767722383980038E-2</v>
      </c>
      <c r="BQ14" s="129">
        <v>6.256349375739087E-2</v>
      </c>
      <c r="BR14" s="129">
        <v>6.3600000000000004E-2</v>
      </c>
      <c r="BS14" s="129">
        <v>5.2666666666666667E-2</v>
      </c>
      <c r="BT14" s="82"/>
      <c r="BU14" s="82"/>
      <c r="BV14" s="82"/>
      <c r="BW14" s="82"/>
      <c r="BX14" s="83">
        <f t="shared" si="10"/>
        <v>33857.963555932918</v>
      </c>
      <c r="BY14" s="83">
        <f t="shared" si="1"/>
        <v>3657.5636529305657</v>
      </c>
      <c r="BZ14" s="83">
        <f t="shared" si="2"/>
        <v>4812.394438540844</v>
      </c>
      <c r="CA14" s="83">
        <f t="shared" si="3"/>
        <v>0</v>
      </c>
      <c r="CB14" s="83">
        <f t="shared" si="4"/>
        <v>1543.4902434423973</v>
      </c>
      <c r="CC14" s="83">
        <f t="shared" si="5"/>
        <v>13432.809343075118</v>
      </c>
      <c r="CD14" s="83">
        <f t="shared" si="11"/>
        <v>8403.2949608944218</v>
      </c>
      <c r="CE14" s="83">
        <f t="shared" si="12"/>
        <v>1739.6758435813924</v>
      </c>
      <c r="CF14" s="84">
        <f t="shared" si="13"/>
        <v>67447.192038397669</v>
      </c>
      <c r="CH14" s="15">
        <f t="shared" si="6"/>
        <v>0</v>
      </c>
      <c r="CI14" s="5" t="e">
        <f>-#REF!</f>
        <v>#REF!</v>
      </c>
      <c r="CK14" s="4">
        <v>32000</v>
      </c>
      <c r="CL14" s="5" t="e">
        <f t="shared" si="14"/>
        <v>#REF!</v>
      </c>
      <c r="CM14" s="35" t="e">
        <f t="shared" si="15"/>
        <v>#REF!</v>
      </c>
      <c r="CN14" s="22" t="e">
        <f t="shared" si="7"/>
        <v>#REF!</v>
      </c>
      <c r="CR14" s="93" t="s">
        <v>19</v>
      </c>
      <c r="CS14" s="96">
        <f t="shared" si="16"/>
        <v>87.954020956583804</v>
      </c>
      <c r="CT14" s="96"/>
      <c r="CU14" s="96">
        <v>35000</v>
      </c>
      <c r="CV14" s="96">
        <f t="shared" si="20"/>
        <v>67447.192038397669</v>
      </c>
      <c r="CW14" s="96"/>
      <c r="CX14" s="123">
        <f t="shared" si="17"/>
        <v>102535.14605935424</v>
      </c>
      <c r="CY14" s="124">
        <f t="shared" si="18"/>
        <v>4.0680204124532493E-2</v>
      </c>
      <c r="CZ14" s="110"/>
      <c r="DA14" s="96"/>
      <c r="DB14" s="96">
        <f t="shared" si="19"/>
        <v>4101.4058423741699</v>
      </c>
      <c r="DC14" s="178"/>
      <c r="DD14" s="152"/>
      <c r="DE14" s="152"/>
      <c r="DF14" s="198"/>
      <c r="DG14" s="199"/>
      <c r="DH14" s="200"/>
      <c r="DI14" s="168"/>
      <c r="DJ14" s="5"/>
      <c r="DL14" s="151"/>
      <c r="DM14" s="151"/>
      <c r="DN14" s="48"/>
      <c r="DO14" s="151"/>
      <c r="DP14" s="152"/>
      <c r="DQ14" s="152"/>
      <c r="DR14" s="152"/>
      <c r="DS14" s="152"/>
      <c r="DT14" s="112"/>
      <c r="DU14" s="111"/>
      <c r="DV14" s="113"/>
      <c r="DW14" s="137"/>
      <c r="DX14" s="49"/>
      <c r="DY14" s="5"/>
      <c r="DZ14" s="134"/>
      <c r="EA14" s="5"/>
      <c r="EB14" s="5"/>
      <c r="EC14" s="42"/>
      <c r="ED14" s="5"/>
      <c r="EF14" s="5"/>
      <c r="EG14" s="5"/>
      <c r="EH14" s="5"/>
      <c r="EI14" s="5"/>
      <c r="EK14" s="5"/>
      <c r="EL14" s="42"/>
      <c r="EP14" s="42"/>
      <c r="EQ14" s="42"/>
      <c r="ER14" s="42"/>
      <c r="EV14" s="42"/>
      <c r="EW14" s="5"/>
      <c r="EY14" s="32"/>
    </row>
    <row r="15" spans="1:155" x14ac:dyDescent="0.25">
      <c r="A15" s="164"/>
      <c r="B15" s="4"/>
      <c r="C15" s="5"/>
      <c r="D15" s="9"/>
      <c r="E15" s="165"/>
      <c r="F15" s="4"/>
      <c r="H15" s="3" t="s">
        <v>20</v>
      </c>
      <c r="I15" s="3" t="s">
        <v>1</v>
      </c>
      <c r="J15" s="42"/>
      <c r="K15" s="6"/>
      <c r="L15" s="251"/>
      <c r="M15" s="60"/>
      <c r="N15" s="60"/>
      <c r="O15" s="60"/>
      <c r="P15" s="60"/>
      <c r="Q15" s="60"/>
      <c r="R15" s="60"/>
      <c r="S15" s="60"/>
      <c r="T15" s="60">
        <f>332.519887550296*1.0362*1.006*1.0089*1.0057*1.0276</f>
        <v>361.40974729205573</v>
      </c>
      <c r="U15" s="60"/>
      <c r="V15" s="60"/>
      <c r="W15" s="60"/>
      <c r="X15" s="60"/>
      <c r="Y15" s="60"/>
      <c r="Z15" s="60"/>
      <c r="AA15" s="60">
        <v>-690.18542337402903</v>
      </c>
      <c r="AB15" s="60"/>
      <c r="AC15" s="60"/>
      <c r="AD15" s="60"/>
      <c r="AE15" s="60"/>
      <c r="AF15" s="60">
        <f>-98*1.006*1.0089*1.0057*1.0276</f>
        <v>-102.79328002751102</v>
      </c>
      <c r="AG15" s="60">
        <f t="shared" si="8"/>
        <v>913.33333333333337</v>
      </c>
      <c r="AH15" s="60"/>
      <c r="AI15" s="60"/>
      <c r="AJ15" s="60"/>
      <c r="AK15" s="60">
        <v>1000</v>
      </c>
      <c r="AL15" s="60"/>
      <c r="AM15" s="60"/>
      <c r="AN15" s="60">
        <f>-1272*1.0276</f>
        <v>-1307.1072000000001</v>
      </c>
      <c r="AO15" s="60">
        <f>-551*1.0276</f>
        <v>-566.20760000000007</v>
      </c>
      <c r="AP15" s="60"/>
      <c r="AQ15" s="60"/>
      <c r="AR15" s="233">
        <f t="shared" si="0"/>
        <v>-391.55042277615109</v>
      </c>
      <c r="AT15" s="21" t="e">
        <f>(J15+#REF!)/($J$31+#REF!)</f>
        <v>#REF!</v>
      </c>
      <c r="AU15" s="14" t="e">
        <f t="shared" si="9"/>
        <v>#REF!</v>
      </c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72"/>
      <c r="BG15" s="46"/>
      <c r="BH15" s="46"/>
      <c r="BI15" s="46"/>
      <c r="BJ15" s="46"/>
      <c r="BK15" s="65"/>
      <c r="BL15" s="129">
        <v>1.949068969332789E-2</v>
      </c>
      <c r="BM15" s="129">
        <v>2.0902415113363795E-2</v>
      </c>
      <c r="BN15" s="129">
        <v>2.7586206896551724E-2</v>
      </c>
      <c r="BO15" s="130">
        <v>1.7083418914716986E-2</v>
      </c>
      <c r="BP15" s="129">
        <v>1.5419811040465864E-2</v>
      </c>
      <c r="BQ15" s="129">
        <v>2.6928210069779718E-2</v>
      </c>
      <c r="BR15" s="129">
        <v>4.1300000000000003E-2</v>
      </c>
      <c r="BS15" s="129">
        <v>3.6533333333333334E-2</v>
      </c>
      <c r="BT15" s="82"/>
      <c r="BU15" s="82"/>
      <c r="BV15" s="82"/>
      <c r="BW15" s="82"/>
      <c r="BX15" s="83">
        <f t="shared" si="10"/>
        <v>18509.622312985841</v>
      </c>
      <c r="BY15" s="83">
        <f t="shared" si="1"/>
        <v>2934.3904413080854</v>
      </c>
      <c r="BZ15" s="83">
        <f t="shared" si="2"/>
        <v>2961.4735006405194</v>
      </c>
      <c r="CA15" s="83">
        <f t="shared" si="3"/>
        <v>0</v>
      </c>
      <c r="CB15" s="83">
        <f t="shared" si="4"/>
        <v>1146.0249447018657</v>
      </c>
      <c r="CC15" s="83">
        <f t="shared" si="5"/>
        <v>5781.6705892467025</v>
      </c>
      <c r="CD15" s="83">
        <f t="shared" si="11"/>
        <v>5456.856633411001</v>
      </c>
      <c r="CE15" s="83">
        <f t="shared" si="12"/>
        <v>1206.7624839020291</v>
      </c>
      <c r="CF15" s="84">
        <f t="shared" si="13"/>
        <v>37996.800906196047</v>
      </c>
      <c r="CH15" s="15">
        <f t="shared" si="6"/>
        <v>0</v>
      </c>
      <c r="CI15" s="5" t="e">
        <f>-#REF!</f>
        <v>#REF!</v>
      </c>
      <c r="CK15" s="4">
        <v>32000</v>
      </c>
      <c r="CL15" s="5" t="e">
        <f t="shared" si="14"/>
        <v>#REF!</v>
      </c>
      <c r="CM15" s="35" t="e">
        <f t="shared" si="15"/>
        <v>#REF!</v>
      </c>
      <c r="CN15" s="22" t="e">
        <f t="shared" si="7"/>
        <v>#REF!</v>
      </c>
      <c r="CR15" s="93" t="s">
        <v>1</v>
      </c>
      <c r="CS15" s="96">
        <f t="shared" si="16"/>
        <v>-391.55042277615109</v>
      </c>
      <c r="CT15" s="96"/>
      <c r="CU15" s="96">
        <v>35000</v>
      </c>
      <c r="CV15" s="96">
        <f t="shared" si="20"/>
        <v>37996.800906196047</v>
      </c>
      <c r="CW15" s="96"/>
      <c r="CX15" s="123">
        <f t="shared" si="17"/>
        <v>72605.250483419892</v>
      </c>
      <c r="CY15" s="124">
        <f t="shared" si="18"/>
        <v>2.8805697594350647E-2</v>
      </c>
      <c r="CZ15" s="110"/>
      <c r="DA15" s="96"/>
      <c r="DB15" s="96">
        <f t="shared" si="19"/>
        <v>2904.2100193367955</v>
      </c>
      <c r="DC15" s="178"/>
      <c r="DD15" s="152"/>
      <c r="DE15" s="152"/>
      <c r="DF15" s="198"/>
      <c r="DG15" s="199"/>
      <c r="DH15" s="200"/>
      <c r="DI15" s="168"/>
      <c r="DJ15" s="5"/>
      <c r="DL15" s="151"/>
      <c r="DM15" s="151"/>
      <c r="DN15" s="48"/>
      <c r="DO15" s="151"/>
      <c r="DP15" s="152"/>
      <c r="DQ15" s="152"/>
      <c r="DR15" s="152"/>
      <c r="DS15" s="152"/>
      <c r="DT15" s="112"/>
      <c r="DU15" s="111"/>
      <c r="DV15" s="113"/>
      <c r="DW15" s="98"/>
      <c r="DX15" s="48"/>
      <c r="DY15" s="5"/>
      <c r="DZ15" s="134"/>
      <c r="EA15" s="5"/>
      <c r="EB15" s="5"/>
      <c r="EC15" s="42"/>
      <c r="ED15" s="5"/>
      <c r="EF15" s="5"/>
      <c r="EG15" s="5"/>
      <c r="EH15" s="5"/>
      <c r="EI15" s="5"/>
      <c r="EK15" s="5"/>
      <c r="EL15" s="42"/>
      <c r="EP15" s="42"/>
      <c r="EQ15" s="42"/>
      <c r="ER15" s="42"/>
      <c r="EV15" s="42"/>
      <c r="EW15" s="5"/>
      <c r="EY15" s="32"/>
    </row>
    <row r="16" spans="1:155" ht="16.5" thickBot="1" x14ac:dyDescent="0.3">
      <c r="A16" s="166" t="s">
        <v>117</v>
      </c>
      <c r="B16" s="185"/>
      <c r="C16" s="186">
        <f>C13*D16</f>
        <v>1651590.990741828</v>
      </c>
      <c r="D16" s="187">
        <v>1</v>
      </c>
      <c r="E16" s="188"/>
      <c r="F16" s="4"/>
      <c r="H16" s="3" t="s">
        <v>21</v>
      </c>
      <c r="I16" s="3" t="s">
        <v>3</v>
      </c>
      <c r="J16" s="42"/>
      <c r="K16" s="7"/>
      <c r="L16" s="251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>
        <v>-280</v>
      </c>
      <c r="Y16" s="60">
        <v>-334</v>
      </c>
      <c r="Z16" s="60"/>
      <c r="AA16" s="60">
        <v>-961.17013799764197</v>
      </c>
      <c r="AB16" s="60"/>
      <c r="AC16" s="60"/>
      <c r="AD16" s="60"/>
      <c r="AE16" s="60"/>
      <c r="AF16" s="60">
        <f>-257*1.006*1.0089*1.0057*1.0276</f>
        <v>-269.57013231704423</v>
      </c>
      <c r="AG16" s="60">
        <f t="shared" si="8"/>
        <v>1192.5</v>
      </c>
      <c r="AH16" s="60"/>
      <c r="AI16" s="60"/>
      <c r="AJ16" s="60"/>
      <c r="AK16" s="60"/>
      <c r="AL16" s="60">
        <f>1680*1.0276</f>
        <v>1726.3680000000002</v>
      </c>
      <c r="AM16" s="60">
        <v>1580</v>
      </c>
      <c r="AN16" s="60">
        <f>1272*1.0276</f>
        <v>1307.1072000000001</v>
      </c>
      <c r="AO16" s="60">
        <f>-574*1.0276</f>
        <v>-589.8424</v>
      </c>
      <c r="AP16" s="60"/>
      <c r="AQ16" s="60"/>
      <c r="AR16" s="233">
        <f t="shared" si="0"/>
        <v>3371.3925296853145</v>
      </c>
      <c r="AT16" s="21" t="e">
        <f>(J16+#REF!)/($J$31+#REF!)</f>
        <v>#REF!</v>
      </c>
      <c r="AU16" s="14" t="e">
        <f t="shared" si="9"/>
        <v>#REF!</v>
      </c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72"/>
      <c r="BG16" s="46"/>
      <c r="BH16" s="46"/>
      <c r="BI16" s="46"/>
      <c r="BJ16" s="46"/>
      <c r="BK16" s="65"/>
      <c r="BL16" s="129">
        <v>2.4622055303087059E-2</v>
      </c>
      <c r="BM16" s="129">
        <v>2.6144864952665672E-2</v>
      </c>
      <c r="BN16" s="129">
        <v>4.1379310344827586E-2</v>
      </c>
      <c r="BO16" s="130">
        <v>3.1567035798027852E-2</v>
      </c>
      <c r="BP16" s="129">
        <v>3.7702774971774912E-2</v>
      </c>
      <c r="BQ16" s="129">
        <v>4.2574840257892925E-2</v>
      </c>
      <c r="BR16" s="129">
        <v>5.9799999999999999E-2</v>
      </c>
      <c r="BS16" s="129">
        <v>4.7699999999999999E-2</v>
      </c>
      <c r="BT16" s="82"/>
      <c r="BU16" s="82"/>
      <c r="BV16" s="82"/>
      <c r="BW16" s="82"/>
      <c r="BX16" s="83">
        <f t="shared" si="10"/>
        <v>23382.699709472239</v>
      </c>
      <c r="BY16" s="83">
        <f t="shared" si="1"/>
        <v>3670.352989848674</v>
      </c>
      <c r="BZ16" s="83">
        <f t="shared" si="2"/>
        <v>4442.2102509607785</v>
      </c>
      <c r="CA16" s="83">
        <f t="shared" si="3"/>
        <v>0</v>
      </c>
      <c r="CB16" s="83">
        <f t="shared" si="4"/>
        <v>2802.1303561207465</v>
      </c>
      <c r="CC16" s="83">
        <f t="shared" si="5"/>
        <v>9141.1089382870978</v>
      </c>
      <c r="CD16" s="83">
        <f t="shared" si="11"/>
        <v>7901.2112997089052</v>
      </c>
      <c r="CE16" s="83">
        <f t="shared" si="12"/>
        <v>1575.6178051677041</v>
      </c>
      <c r="CF16" s="84">
        <f t="shared" si="13"/>
        <v>52915.33134956615</v>
      </c>
      <c r="CH16" s="15">
        <f t="shared" si="6"/>
        <v>0</v>
      </c>
      <c r="CI16" s="5" t="e">
        <f>-#REF!</f>
        <v>#REF!</v>
      </c>
      <c r="CK16" s="4">
        <v>32000</v>
      </c>
      <c r="CL16" s="5" t="e">
        <f t="shared" si="14"/>
        <v>#REF!</v>
      </c>
      <c r="CM16" s="35" t="e">
        <f t="shared" si="15"/>
        <v>#REF!</v>
      </c>
      <c r="CN16" s="22" t="e">
        <f t="shared" si="7"/>
        <v>#REF!</v>
      </c>
      <c r="CR16" s="93" t="s">
        <v>3</v>
      </c>
      <c r="CS16" s="96">
        <f t="shared" si="16"/>
        <v>3371.3925296853145</v>
      </c>
      <c r="CT16" s="96"/>
      <c r="CU16" s="96">
        <v>35000</v>
      </c>
      <c r="CV16" s="96">
        <f t="shared" si="20"/>
        <v>52915.33134956615</v>
      </c>
      <c r="CW16" s="96"/>
      <c r="CX16" s="123">
        <f t="shared" si="17"/>
        <v>91286.723879251454</v>
      </c>
      <c r="CY16" s="124">
        <f t="shared" si="18"/>
        <v>3.6217460100150672E-2</v>
      </c>
      <c r="CZ16" s="110"/>
      <c r="DA16" s="96"/>
      <c r="DB16" s="96">
        <f t="shared" si="19"/>
        <v>3651.4689551700581</v>
      </c>
      <c r="DC16" s="178"/>
      <c r="DD16" s="152"/>
      <c r="DE16" s="152"/>
      <c r="DF16" s="198"/>
      <c r="DG16" s="199"/>
      <c r="DH16" s="200"/>
      <c r="DI16" s="168"/>
      <c r="DJ16" s="5"/>
      <c r="DL16" s="151"/>
      <c r="DM16" s="151"/>
      <c r="DN16" s="48"/>
      <c r="DO16" s="151"/>
      <c r="DP16" s="152"/>
      <c r="DQ16" s="152"/>
      <c r="DR16" s="152"/>
      <c r="DS16" s="152"/>
      <c r="DT16" s="112"/>
      <c r="DU16" s="111"/>
      <c r="DV16" s="113"/>
      <c r="DW16" s="98"/>
      <c r="DX16" s="48"/>
      <c r="DY16" s="5"/>
      <c r="DZ16" s="133"/>
      <c r="EA16" s="5"/>
      <c r="EB16" s="5"/>
      <c r="EC16" s="42"/>
      <c r="ED16" s="5"/>
      <c r="EF16" s="5"/>
      <c r="EG16" s="5"/>
      <c r="EH16" s="5"/>
      <c r="EI16" s="5"/>
      <c r="EK16" s="5"/>
      <c r="EL16" s="42"/>
      <c r="EP16" s="42"/>
      <c r="EQ16" s="42"/>
      <c r="ER16" s="42"/>
      <c r="EV16" s="42"/>
      <c r="EW16" s="5"/>
      <c r="EY16" s="32"/>
    </row>
    <row r="17" spans="1:155" x14ac:dyDescent="0.25">
      <c r="A17" s="4"/>
      <c r="B17" s="4"/>
      <c r="C17" s="4"/>
      <c r="D17" s="4"/>
      <c r="E17" s="4"/>
      <c r="F17" s="4"/>
      <c r="H17" s="3" t="s">
        <v>22</v>
      </c>
      <c r="I17" s="3" t="s">
        <v>7</v>
      </c>
      <c r="J17" s="42"/>
      <c r="K17" s="7"/>
      <c r="L17" s="251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>
        <v>-280</v>
      </c>
      <c r="Y17" s="60">
        <v>-334</v>
      </c>
      <c r="Z17" s="60"/>
      <c r="AA17" s="60">
        <v>-275.99855058359299</v>
      </c>
      <c r="AB17" s="60"/>
      <c r="AC17" s="60"/>
      <c r="AD17" s="60"/>
      <c r="AE17" s="60"/>
      <c r="AF17" s="60">
        <f>-128*1.006*1.0089*1.0057*1.0276</f>
        <v>-134.26061064817767</v>
      </c>
      <c r="AG17" s="60">
        <f t="shared" si="8"/>
        <v>542.5</v>
      </c>
      <c r="AH17" s="60"/>
      <c r="AI17" s="60"/>
      <c r="AJ17" s="60"/>
      <c r="AK17" s="60">
        <v>1500</v>
      </c>
      <c r="AL17" s="60">
        <f>840*1.0276</f>
        <v>863.18400000000008</v>
      </c>
      <c r="AM17" s="60"/>
      <c r="AN17" s="60">
        <f>-872*1.0276</f>
        <v>-896.06720000000007</v>
      </c>
      <c r="AO17" s="60">
        <f>-352*1.0276</f>
        <v>-361.71520000000004</v>
      </c>
      <c r="AP17" s="60"/>
      <c r="AQ17" s="60"/>
      <c r="AR17" s="233">
        <f t="shared" si="0"/>
        <v>623.64243876822957</v>
      </c>
      <c r="AT17" s="21" t="e">
        <f>(J17+#REF!)/($J$31+#REF!)</f>
        <v>#REF!</v>
      </c>
      <c r="AU17" s="14" t="e">
        <f t="shared" si="9"/>
        <v>#REF!</v>
      </c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72"/>
      <c r="BG17" s="46"/>
      <c r="BH17" s="46"/>
      <c r="BI17" s="46"/>
      <c r="BJ17" s="46"/>
      <c r="BK17" s="65"/>
      <c r="BL17" s="129">
        <v>6.0458157189625036E-3</v>
      </c>
      <c r="BM17" s="129">
        <v>7.0999053872018349E-3</v>
      </c>
      <c r="BN17" s="129">
        <v>3.4482758620689655E-3</v>
      </c>
      <c r="BO17" s="130">
        <v>2.3554233246670563E-2</v>
      </c>
      <c r="BP17" s="129">
        <v>2.1926436508408108E-2</v>
      </c>
      <c r="BQ17" s="129">
        <v>9.8714470453178833E-3</v>
      </c>
      <c r="BR17" s="129">
        <v>2.7400000000000001E-2</v>
      </c>
      <c r="BS17" s="129">
        <v>2.1700000000000001E-2</v>
      </c>
      <c r="BT17" s="82"/>
      <c r="BU17" s="82"/>
      <c r="BV17" s="82"/>
      <c r="BW17" s="82"/>
      <c r="BX17" s="83">
        <f t="shared" si="10"/>
        <v>5741.4984945461838</v>
      </c>
      <c r="BY17" s="83">
        <f t="shared" si="1"/>
        <v>996.72188067286345</v>
      </c>
      <c r="BZ17" s="83">
        <f t="shared" si="2"/>
        <v>370.18418758006493</v>
      </c>
      <c r="CA17" s="83">
        <f t="shared" si="3"/>
        <v>0</v>
      </c>
      <c r="CB17" s="83">
        <f t="shared" si="4"/>
        <v>1629.6077248361792</v>
      </c>
      <c r="CC17" s="83">
        <f t="shared" si="5"/>
        <v>2119.467090732167</v>
      </c>
      <c r="CD17" s="83">
        <f t="shared" si="11"/>
        <v>3620.2874517060873</v>
      </c>
      <c r="CE17" s="83">
        <f t="shared" si="12"/>
        <v>716.79048998195344</v>
      </c>
      <c r="CF17" s="84">
        <f t="shared" si="13"/>
        <v>15194.557320055499</v>
      </c>
      <c r="CH17" s="15">
        <f t="shared" si="6"/>
        <v>0</v>
      </c>
      <c r="CI17" s="5" t="e">
        <f>-#REF!</f>
        <v>#REF!</v>
      </c>
      <c r="CK17" s="4">
        <v>32000</v>
      </c>
      <c r="CL17" s="5" t="e">
        <f t="shared" si="14"/>
        <v>#REF!</v>
      </c>
      <c r="CM17" s="35" t="e">
        <f t="shared" si="15"/>
        <v>#REF!</v>
      </c>
      <c r="CN17" s="22" t="e">
        <f t="shared" si="7"/>
        <v>#REF!</v>
      </c>
      <c r="CR17" s="93" t="s">
        <v>7</v>
      </c>
      <c r="CS17" s="96">
        <f t="shared" si="16"/>
        <v>623.64243876822957</v>
      </c>
      <c r="CT17" s="96"/>
      <c r="CU17" s="96">
        <v>35000</v>
      </c>
      <c r="CV17" s="96">
        <f t="shared" si="20"/>
        <v>15194.557320055499</v>
      </c>
      <c r="CW17" s="96"/>
      <c r="CX17" s="123">
        <f t="shared" si="17"/>
        <v>50818.199758823728</v>
      </c>
      <c r="CY17" s="124">
        <f t="shared" si="18"/>
        <v>2.0161815912697171E-2</v>
      </c>
      <c r="CZ17" s="110"/>
      <c r="DA17" s="96"/>
      <c r="DB17" s="96">
        <f t="shared" si="19"/>
        <v>2032.7279903529491</v>
      </c>
      <c r="DC17" s="178"/>
      <c r="DD17" s="152"/>
      <c r="DE17" s="152"/>
      <c r="DF17" s="198"/>
      <c r="DG17" s="199"/>
      <c r="DH17" s="200"/>
      <c r="DI17" s="168"/>
      <c r="DJ17" s="5"/>
      <c r="DL17" s="151"/>
      <c r="DM17" s="151"/>
      <c r="DN17" s="48"/>
      <c r="DO17" s="151"/>
      <c r="DP17" s="152"/>
      <c r="DQ17" s="152"/>
      <c r="DR17" s="152"/>
      <c r="DS17" s="152"/>
      <c r="DT17" s="112"/>
      <c r="DU17" s="111"/>
      <c r="DV17" s="113"/>
      <c r="DW17" s="98"/>
      <c r="DX17" s="48"/>
      <c r="DY17" s="5"/>
      <c r="DZ17" s="133"/>
      <c r="EA17" s="5"/>
      <c r="EB17" s="5"/>
      <c r="EC17" s="42"/>
      <c r="ED17" s="5"/>
      <c r="EF17" s="5"/>
      <c r="EG17" s="5"/>
      <c r="EH17" s="5"/>
      <c r="EI17" s="5"/>
      <c r="EK17" s="5"/>
      <c r="EL17" s="42"/>
      <c r="EP17" s="42"/>
      <c r="EQ17" s="42"/>
      <c r="ER17" s="42"/>
      <c r="EV17" s="42"/>
      <c r="EW17" s="5"/>
      <c r="EY17" s="32"/>
    </row>
    <row r="18" spans="1:155" x14ac:dyDescent="0.25">
      <c r="A18" s="3" t="s">
        <v>174</v>
      </c>
      <c r="H18" s="3" t="s">
        <v>23</v>
      </c>
      <c r="I18" s="3" t="s">
        <v>4</v>
      </c>
      <c r="J18" s="42"/>
      <c r="K18" s="7"/>
      <c r="L18" s="251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>
        <v>-524.85755877260101</v>
      </c>
      <c r="AB18" s="60"/>
      <c r="AC18" s="60"/>
      <c r="AD18" s="60"/>
      <c r="AE18" s="60"/>
      <c r="AF18" s="60">
        <f>-76*1.006*1.0089*1.0057*1.0276</f>
        <v>-79.717237572355501</v>
      </c>
      <c r="AG18" s="60">
        <f t="shared" si="8"/>
        <v>633.33333333333337</v>
      </c>
      <c r="AH18" s="60"/>
      <c r="AI18" s="60">
        <f>-4648*1.006*1.0089*1.0057*1.0276</f>
        <v>-4875.3384241619506</v>
      </c>
      <c r="AJ18" s="60"/>
      <c r="AK18" s="60">
        <v>1500</v>
      </c>
      <c r="AL18" s="60">
        <f>840*1.0276</f>
        <v>863.18400000000008</v>
      </c>
      <c r="AM18" s="60"/>
      <c r="AN18" s="60">
        <f>-1610*1.0276</f>
        <v>-1654.4360000000001</v>
      </c>
      <c r="AO18" s="60">
        <f>-363*1.0276</f>
        <v>-373.0188</v>
      </c>
      <c r="AP18" s="60"/>
      <c r="AQ18" s="60"/>
      <c r="AR18" s="233">
        <f t="shared" si="0"/>
        <v>-4510.8506871735735</v>
      </c>
      <c r="AT18" s="21" t="e">
        <f>(J18+#REF!)/($J$31+#REF!)</f>
        <v>#REF!</v>
      </c>
      <c r="AU18" s="14" t="e">
        <f t="shared" si="9"/>
        <v>#REF!</v>
      </c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72"/>
      <c r="BG18" s="46"/>
      <c r="BH18" s="46"/>
      <c r="BI18" s="46"/>
      <c r="BJ18" s="46"/>
      <c r="BK18" s="65"/>
      <c r="BL18" s="129">
        <v>1.6143416796246247E-2</v>
      </c>
      <c r="BM18" s="129">
        <v>6.8434462749413696E-3</v>
      </c>
      <c r="BN18" s="129">
        <v>1.7241379310344827E-2</v>
      </c>
      <c r="BO18" s="130">
        <v>1.5384879115894487E-2</v>
      </c>
      <c r="BP18" s="129">
        <v>3.4137500742765468E-2</v>
      </c>
      <c r="BQ18" s="129">
        <v>2.0519619327781145E-2</v>
      </c>
      <c r="BR18" s="129">
        <v>2.2499999999999999E-2</v>
      </c>
      <c r="BS18" s="129">
        <v>2.5333333333333333E-2</v>
      </c>
      <c r="BT18" s="82"/>
      <c r="BU18" s="82"/>
      <c r="BV18" s="82"/>
      <c r="BW18" s="82"/>
      <c r="BX18" s="83">
        <f t="shared" si="10"/>
        <v>15330.835000770598</v>
      </c>
      <c r="BY18" s="83">
        <f t="shared" si="1"/>
        <v>960.71880813210566</v>
      </c>
      <c r="BZ18" s="83">
        <f t="shared" si="2"/>
        <v>1850.9209379003246</v>
      </c>
      <c r="CA18" s="83">
        <f t="shared" si="3"/>
        <v>0</v>
      </c>
      <c r="CB18" s="83">
        <f t="shared" si="4"/>
        <v>2537.153490293726</v>
      </c>
      <c r="CC18" s="83">
        <f t="shared" si="5"/>
        <v>4405.7023939779792</v>
      </c>
      <c r="CD18" s="83">
        <f t="shared" si="11"/>
        <v>2972.8637833352905</v>
      </c>
      <c r="CE18" s="83">
        <f t="shared" si="12"/>
        <v>836.80610197585952</v>
      </c>
      <c r="CF18" s="84">
        <f t="shared" si="13"/>
        <v>28895.000516385888</v>
      </c>
      <c r="CH18" s="15">
        <f t="shared" si="6"/>
        <v>0</v>
      </c>
      <c r="CI18" s="5" t="e">
        <f>-#REF!</f>
        <v>#REF!</v>
      </c>
      <c r="CK18" s="4">
        <v>32000</v>
      </c>
      <c r="CL18" s="5" t="e">
        <f t="shared" si="14"/>
        <v>#REF!</v>
      </c>
      <c r="CM18" s="35" t="e">
        <f t="shared" si="15"/>
        <v>#REF!</v>
      </c>
      <c r="CN18" s="22" t="e">
        <f t="shared" si="7"/>
        <v>#REF!</v>
      </c>
      <c r="CR18" s="93" t="s">
        <v>4</v>
      </c>
      <c r="CS18" s="96">
        <f t="shared" si="16"/>
        <v>-4510.8506871735735</v>
      </c>
      <c r="CT18" s="96"/>
      <c r="CU18" s="96">
        <v>35000</v>
      </c>
      <c r="CV18" s="96">
        <f t="shared" si="20"/>
        <v>28895.000516385888</v>
      </c>
      <c r="CW18" s="96"/>
      <c r="CX18" s="123">
        <f t="shared" si="17"/>
        <v>59384.149829212314</v>
      </c>
      <c r="CY18" s="124">
        <f t="shared" si="18"/>
        <v>2.3560305218815157E-2</v>
      </c>
      <c r="CZ18" s="110"/>
      <c r="DA18" s="96"/>
      <c r="DB18" s="96">
        <f t="shared" si="19"/>
        <v>2375.3659931684924</v>
      </c>
      <c r="DC18" s="178"/>
      <c r="DD18" s="152"/>
      <c r="DE18" s="152"/>
      <c r="DF18" s="198"/>
      <c r="DG18" s="199"/>
      <c r="DH18" s="200"/>
      <c r="DI18" s="168"/>
      <c r="DJ18" s="5"/>
      <c r="DL18" s="151"/>
      <c r="DM18" s="151"/>
      <c r="DN18" s="48"/>
      <c r="DO18" s="151"/>
      <c r="DP18" s="152"/>
      <c r="DQ18" s="152"/>
      <c r="DR18" s="152"/>
      <c r="DS18" s="152"/>
      <c r="DT18" s="112"/>
      <c r="DU18" s="111"/>
      <c r="DV18" s="113"/>
      <c r="DW18" s="98"/>
      <c r="DX18" s="48"/>
      <c r="DY18" s="5"/>
      <c r="DZ18" s="133"/>
      <c r="EA18" s="5"/>
      <c r="EB18" s="5"/>
      <c r="EC18" s="42"/>
      <c r="ED18" s="5"/>
      <c r="EF18" s="5"/>
      <c r="EG18" s="5"/>
      <c r="EH18" s="5"/>
      <c r="EI18" s="5"/>
      <c r="EK18" s="5"/>
      <c r="EL18" s="42"/>
      <c r="EP18" s="42"/>
      <c r="EQ18" s="42"/>
      <c r="ER18" s="42"/>
      <c r="EV18" s="42"/>
      <c r="EW18" s="5"/>
      <c r="EY18" s="32"/>
    </row>
    <row r="19" spans="1:155" x14ac:dyDescent="0.25">
      <c r="A19" s="3" t="s">
        <v>175</v>
      </c>
      <c r="H19" s="3" t="s">
        <v>24</v>
      </c>
      <c r="I19" s="3" t="s">
        <v>5</v>
      </c>
      <c r="J19" s="42"/>
      <c r="K19" s="7"/>
      <c r="L19" s="251"/>
      <c r="M19" s="60"/>
      <c r="N19" s="60">
        <v>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>
        <v>-3380.7206001487598</v>
      </c>
      <c r="AB19" s="60"/>
      <c r="AC19" s="60">
        <f>2280*1.0057*1.0276</f>
        <v>2356.2826896000001</v>
      </c>
      <c r="AD19" s="60"/>
      <c r="AE19" s="60"/>
      <c r="AF19" s="60">
        <f>339*1.006*1.0089*1.0057*1.0276</f>
        <v>355.58083601353309</v>
      </c>
      <c r="AG19" s="60">
        <f t="shared" si="8"/>
        <v>3273.333333333333</v>
      </c>
      <c r="AH19" s="60"/>
      <c r="AI19" s="60">
        <f>4648*1.006*1.0089*1.0057*1.0276</f>
        <v>4875.3384241619506</v>
      </c>
      <c r="AJ19" s="60">
        <f>1200*1.0057*1.0276</f>
        <v>1240.1487840000002</v>
      </c>
      <c r="AK19" s="60"/>
      <c r="AL19" s="60">
        <f>840*1.0276</f>
        <v>863.18400000000008</v>
      </c>
      <c r="AM19" s="60">
        <v>2241</v>
      </c>
      <c r="AN19" s="60">
        <f>1610*1.0276</f>
        <v>1654.4360000000001</v>
      </c>
      <c r="AO19" s="60">
        <f>914*1.0276</f>
        <v>939.22640000000001</v>
      </c>
      <c r="AP19" s="60"/>
      <c r="AQ19" s="60"/>
      <c r="AR19" s="233">
        <f t="shared" si="0"/>
        <v>14417.809866960057</v>
      </c>
      <c r="AT19" s="21" t="e">
        <f>(J19+#REF!)/($J$31+#REF!)</f>
        <v>#REF!</v>
      </c>
      <c r="AU19" s="14" t="e">
        <f t="shared" si="9"/>
        <v>#REF!</v>
      </c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72"/>
      <c r="BG19" s="46"/>
      <c r="BH19" s="46"/>
      <c r="BI19" s="46"/>
      <c r="BJ19" s="46"/>
      <c r="BK19" s="65"/>
      <c r="BL19" s="129">
        <v>0.13211413953153606</v>
      </c>
      <c r="BM19" s="129">
        <v>2.5234956002078628E-2</v>
      </c>
      <c r="BN19" s="129">
        <v>0.11379310344827587</v>
      </c>
      <c r="BO19" s="130">
        <v>3.9832257577114394E-2</v>
      </c>
      <c r="BP19" s="129">
        <v>1.595460217481728E-2</v>
      </c>
      <c r="BQ19" s="129">
        <v>0.10651468993956964</v>
      </c>
      <c r="BR19" s="129">
        <v>0.125</v>
      </c>
      <c r="BS19" s="129">
        <v>0.13093333333333332</v>
      </c>
      <c r="BT19" s="82"/>
      <c r="BU19" s="82"/>
      <c r="BV19" s="82"/>
      <c r="BW19" s="82"/>
      <c r="BX19" s="83">
        <f t="shared" si="10"/>
        <v>125464.15049493889</v>
      </c>
      <c r="BY19" s="83">
        <f t="shared" si="1"/>
        <v>3542.6152087079563</v>
      </c>
      <c r="BZ19" s="83">
        <f t="shared" si="2"/>
        <v>12216.078190142143</v>
      </c>
      <c r="CA19" s="83">
        <f t="shared" si="3"/>
        <v>0</v>
      </c>
      <c r="CB19" s="83">
        <f t="shared" si="4"/>
        <v>1185.7714745759188</v>
      </c>
      <c r="CC19" s="83">
        <f t="shared" si="5"/>
        <v>22869.43129716082</v>
      </c>
      <c r="CD19" s="83">
        <f t="shared" si="11"/>
        <v>16515.909907418281</v>
      </c>
      <c r="CE19" s="83">
        <f t="shared" si="12"/>
        <v>4324.9662744225998</v>
      </c>
      <c r="CF19" s="84">
        <f t="shared" si="13"/>
        <v>186118.9228473666</v>
      </c>
      <c r="CH19" s="15">
        <f t="shared" si="6"/>
        <v>0</v>
      </c>
      <c r="CI19" s="5" t="e">
        <f>-#REF!</f>
        <v>#REF!</v>
      </c>
      <c r="CJ19" s="4">
        <v>3000</v>
      </c>
      <c r="CK19" s="4">
        <v>32000</v>
      </c>
      <c r="CL19" s="5" t="e">
        <f t="shared" si="14"/>
        <v>#REF!</v>
      </c>
      <c r="CM19" s="35" t="e">
        <f t="shared" si="15"/>
        <v>#REF!</v>
      </c>
      <c r="CN19" s="22" t="e">
        <f t="shared" si="7"/>
        <v>#REF!</v>
      </c>
      <c r="CR19" s="93" t="s">
        <v>5</v>
      </c>
      <c r="CS19" s="96">
        <f t="shared" si="16"/>
        <v>14417.809866960057</v>
      </c>
      <c r="CT19" s="96">
        <f>3000</f>
        <v>3000</v>
      </c>
      <c r="CU19" s="96">
        <v>35000</v>
      </c>
      <c r="CV19" s="96">
        <f t="shared" si="20"/>
        <v>186118.9228473666</v>
      </c>
      <c r="CW19" s="96"/>
      <c r="CX19" s="123">
        <f t="shared" si="17"/>
        <v>238536.73271432664</v>
      </c>
      <c r="CY19" s="124">
        <f t="shared" si="18"/>
        <v>9.4638017801239468E-2</v>
      </c>
      <c r="CZ19" s="110"/>
      <c r="DA19" s="96"/>
      <c r="DB19" s="96">
        <f t="shared" si="19"/>
        <v>9541.4693085730669</v>
      </c>
      <c r="DC19" s="178"/>
      <c r="DD19" s="152"/>
      <c r="DE19" s="152"/>
      <c r="DF19" s="198"/>
      <c r="DG19" s="199"/>
      <c r="DH19" s="200"/>
      <c r="DI19" s="168"/>
      <c r="DJ19" s="5"/>
      <c r="DL19" s="151"/>
      <c r="DM19" s="151"/>
      <c r="DN19" s="48"/>
      <c r="DO19" s="151"/>
      <c r="DP19" s="152"/>
      <c r="DQ19" s="152"/>
      <c r="DR19" s="152"/>
      <c r="DS19" s="152"/>
      <c r="DT19" s="112"/>
      <c r="DU19" s="111"/>
      <c r="DV19" s="113"/>
      <c r="DW19" s="98"/>
      <c r="DX19" s="48"/>
      <c r="DY19" s="5"/>
      <c r="DZ19" s="133"/>
      <c r="EA19" s="5"/>
      <c r="EB19" s="5"/>
      <c r="EC19" s="42"/>
      <c r="ED19" s="5"/>
      <c r="EF19" s="5"/>
      <c r="EG19" s="5"/>
      <c r="EH19" s="5"/>
      <c r="EI19" s="5"/>
      <c r="EK19" s="5"/>
      <c r="EL19" s="42"/>
      <c r="EP19" s="42"/>
      <c r="EQ19" s="42"/>
      <c r="ER19" s="42"/>
      <c r="EV19" s="42"/>
      <c r="EW19" s="5"/>
      <c r="EY19" s="32"/>
    </row>
    <row r="20" spans="1:155" x14ac:dyDescent="0.25">
      <c r="A20" s="3" t="s">
        <v>177</v>
      </c>
      <c r="H20" s="3" t="s">
        <v>25</v>
      </c>
      <c r="I20" s="3" t="s">
        <v>26</v>
      </c>
      <c r="J20" s="42"/>
      <c r="K20" s="7"/>
      <c r="L20" s="251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>
        <v>-905.20473083349498</v>
      </c>
      <c r="AB20" s="60"/>
      <c r="AC20" s="60"/>
      <c r="AD20" s="60"/>
      <c r="AE20" s="60"/>
      <c r="AF20" s="60">
        <f>-203*1.006*1.0089*1.0057*1.0276</f>
        <v>-212.92893719984426</v>
      </c>
      <c r="AG20" s="60">
        <f t="shared" si="8"/>
        <v>1299.1666666666667</v>
      </c>
      <c r="AH20" s="60"/>
      <c r="AI20" s="60"/>
      <c r="AJ20" s="60"/>
      <c r="AK20" s="60"/>
      <c r="AL20" s="60">
        <f>840*1.0276</f>
        <v>863.18400000000008</v>
      </c>
      <c r="AM20" s="60">
        <v>514</v>
      </c>
      <c r="AN20" s="60"/>
      <c r="AO20" s="60">
        <f>-645*1.0276</f>
        <v>-662.80200000000002</v>
      </c>
      <c r="AP20" s="60"/>
      <c r="AQ20" s="60"/>
      <c r="AR20" s="233">
        <f t="shared" si="0"/>
        <v>895.4149986333274</v>
      </c>
      <c r="AT20" s="21" t="e">
        <f>(J20+#REF!)/($J$31+#REF!)</f>
        <v>#REF!</v>
      </c>
      <c r="AU20" s="14" t="e">
        <f t="shared" si="9"/>
        <v>#REF!</v>
      </c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72"/>
      <c r="BG20" s="46"/>
      <c r="BH20" s="46"/>
      <c r="BI20" s="46"/>
      <c r="BJ20" s="46"/>
      <c r="BK20" s="65"/>
      <c r="BL20" s="129">
        <v>3.1809903513535652E-2</v>
      </c>
      <c r="BM20" s="129">
        <v>1.2711771610681148E-2</v>
      </c>
      <c r="BN20" s="129">
        <v>2.0689655172413793E-2</v>
      </c>
      <c r="BO20" s="130">
        <v>2.69264439203722E-2</v>
      </c>
      <c r="BP20" s="129">
        <v>7.932735159546022E-3</v>
      </c>
      <c r="BQ20" s="129">
        <v>3.0008937837480581E-2</v>
      </c>
      <c r="BR20" s="129">
        <v>5.1999999999999998E-2</v>
      </c>
      <c r="BS20" s="129">
        <v>5.1966666666666668E-2</v>
      </c>
      <c r="BT20" s="82"/>
      <c r="BU20" s="82"/>
      <c r="BV20" s="82"/>
      <c r="BW20" s="82"/>
      <c r="BX20" s="83">
        <f t="shared" si="10"/>
        <v>30208.746284110322</v>
      </c>
      <c r="BY20" s="83">
        <f t="shared" si="1"/>
        <v>1784.5450348283416</v>
      </c>
      <c r="BZ20" s="83">
        <f t="shared" si="2"/>
        <v>2221.1051254803892</v>
      </c>
      <c r="CA20" s="83">
        <f t="shared" si="3"/>
        <v>0</v>
      </c>
      <c r="CB20" s="83">
        <f t="shared" si="4"/>
        <v>589.57352646512163</v>
      </c>
      <c r="CC20" s="83">
        <f t="shared" si="5"/>
        <v>6443.1238786348831</v>
      </c>
      <c r="CD20" s="83">
        <f t="shared" si="11"/>
        <v>6870.6185214860043</v>
      </c>
      <c r="CE20" s="83">
        <f t="shared" si="12"/>
        <v>1716.5535697110067</v>
      </c>
      <c r="CF20" s="84">
        <f t="shared" si="13"/>
        <v>49834.265940716068</v>
      </c>
      <c r="CH20" s="15">
        <f t="shared" si="6"/>
        <v>0</v>
      </c>
      <c r="CI20" s="5" t="e">
        <f>-#REF!</f>
        <v>#REF!</v>
      </c>
      <c r="CK20" s="4">
        <v>32000</v>
      </c>
      <c r="CL20" s="5" t="e">
        <f t="shared" si="14"/>
        <v>#REF!</v>
      </c>
      <c r="CM20" s="35" t="e">
        <f t="shared" si="15"/>
        <v>#REF!</v>
      </c>
      <c r="CN20" s="22" t="e">
        <f t="shared" si="7"/>
        <v>#REF!</v>
      </c>
      <c r="CR20" s="93" t="s">
        <v>26</v>
      </c>
      <c r="CS20" s="96">
        <f t="shared" si="16"/>
        <v>895.4149986333274</v>
      </c>
      <c r="CT20" s="96"/>
      <c r="CU20" s="96">
        <v>35000</v>
      </c>
      <c r="CV20" s="96">
        <f t="shared" si="20"/>
        <v>49834.265940716068</v>
      </c>
      <c r="CW20" s="96"/>
      <c r="CX20" s="123">
        <f t="shared" si="17"/>
        <v>85729.680939349404</v>
      </c>
      <c r="CY20" s="124">
        <f t="shared" si="18"/>
        <v>3.4012736648611937E-2</v>
      </c>
      <c r="CZ20" s="110"/>
      <c r="DA20" s="96"/>
      <c r="DB20" s="96">
        <f t="shared" si="19"/>
        <v>3429.1872375739763</v>
      </c>
      <c r="DC20" s="178"/>
      <c r="DD20" s="152"/>
      <c r="DE20" s="152"/>
      <c r="DF20" s="198"/>
      <c r="DG20" s="199"/>
      <c r="DH20" s="200"/>
      <c r="DI20" s="168"/>
      <c r="DJ20" s="5"/>
      <c r="DL20" s="151"/>
      <c r="DM20" s="151"/>
      <c r="DN20" s="48"/>
      <c r="DO20" s="151"/>
      <c r="DP20" s="152"/>
      <c r="DQ20" s="152"/>
      <c r="DR20" s="152"/>
      <c r="DS20" s="152"/>
      <c r="DT20" s="112"/>
      <c r="DU20" s="111"/>
      <c r="DV20" s="113"/>
      <c r="DW20" s="98"/>
      <c r="DX20" s="48"/>
      <c r="DY20" s="5"/>
      <c r="DZ20" s="133"/>
      <c r="EA20" s="5"/>
      <c r="EB20" s="5"/>
      <c r="EC20" s="42"/>
      <c r="ED20" s="5"/>
      <c r="EF20" s="5"/>
      <c r="EG20" s="5"/>
      <c r="EH20" s="5"/>
      <c r="EI20" s="5"/>
      <c r="EK20" s="5"/>
      <c r="EL20" s="42"/>
      <c r="EP20" s="42"/>
      <c r="EQ20" s="42"/>
      <c r="ER20" s="42"/>
      <c r="EV20" s="42"/>
      <c r="EW20" s="5"/>
      <c r="EY20" s="32"/>
    </row>
    <row r="21" spans="1:155" x14ac:dyDescent="0.25">
      <c r="H21" s="3" t="s">
        <v>10</v>
      </c>
      <c r="I21" s="3" t="s">
        <v>27</v>
      </c>
      <c r="J21" s="42"/>
      <c r="K21" s="7"/>
      <c r="L21" s="251"/>
      <c r="M21" s="60">
        <f>814.086210542326*1.0362*1.006*1.0089*1.0057*1.0276</f>
        <v>884.81532275733912</v>
      </c>
      <c r="N21" s="60">
        <v>0</v>
      </c>
      <c r="O21" s="60"/>
      <c r="P21" s="60">
        <f>90.3209006921074*1.0362*1.006*1.0089*1.0057*1.0276</f>
        <v>98.168125024966898</v>
      </c>
      <c r="Q21" s="60"/>
      <c r="R21" s="60">
        <f>608.938616937415*1.0362*1.006*1.0089*1.0057*1.0276</f>
        <v>661.84417805818282</v>
      </c>
      <c r="S21" s="60">
        <f>806.108818303748*1.0362*1.006*1.0089*1.0057*1.0276</f>
        <v>876.14484192013504</v>
      </c>
      <c r="T21" s="60"/>
      <c r="U21" s="60"/>
      <c r="V21" s="60"/>
      <c r="W21" s="60"/>
      <c r="X21" s="60">
        <v>-1160</v>
      </c>
      <c r="Y21" s="60">
        <v>-482</v>
      </c>
      <c r="Z21" s="60"/>
      <c r="AA21" s="60">
        <v>-4647.0984502763404</v>
      </c>
      <c r="AB21" s="60"/>
      <c r="AC21" s="60">
        <f>2280*1.0057*1.0276</f>
        <v>2356.2826896000001</v>
      </c>
      <c r="AD21" s="60"/>
      <c r="AE21" s="60"/>
      <c r="AF21" s="60">
        <f>303*1.006*1.0089*1.0057*1.0276</f>
        <v>317.82003926873301</v>
      </c>
      <c r="AG21" s="60">
        <f t="shared" si="8"/>
        <v>4470.833333333333</v>
      </c>
      <c r="AH21" s="60"/>
      <c r="AI21" s="60"/>
      <c r="AJ21" s="60">
        <f>1200*1.0057*1.0276</f>
        <v>1240.1487840000002</v>
      </c>
      <c r="AK21" s="60"/>
      <c r="AL21" s="60">
        <f>(1680+720)*1.0276</f>
        <v>2466.2400000000002</v>
      </c>
      <c r="AM21" s="60">
        <v>2256</v>
      </c>
      <c r="AN21" s="60"/>
      <c r="AO21" s="60">
        <f>645*1.0276</f>
        <v>662.80200000000002</v>
      </c>
      <c r="AP21" s="60">
        <f>2030*1.0276</f>
        <v>2086.0280000000002</v>
      </c>
      <c r="AQ21" s="60"/>
      <c r="AR21" s="233">
        <f t="shared" si="0"/>
        <v>12088.02886368635</v>
      </c>
      <c r="AT21" s="21" t="e">
        <f>(J21+#REF!)/($J$31+#REF!)</f>
        <v>#REF!</v>
      </c>
      <c r="AU21" s="14" t="e">
        <f t="shared" si="9"/>
        <v>#REF!</v>
      </c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72"/>
      <c r="BG21" s="46"/>
      <c r="BH21" s="46"/>
      <c r="BI21" s="46"/>
      <c r="BJ21" s="46"/>
      <c r="BK21" s="65"/>
      <c r="BL21" s="129">
        <v>0.1676868057401906</v>
      </c>
      <c r="BM21" s="129">
        <v>6.4415568916747754E-2</v>
      </c>
      <c r="BN21" s="129">
        <v>0.16896551724137931</v>
      </c>
      <c r="BO21" s="130">
        <v>7.2167687816114462E-2</v>
      </c>
      <c r="BP21" s="129">
        <v>6.9463426228534075E-2</v>
      </c>
      <c r="BQ21" s="129">
        <v>0.1504212734592652</v>
      </c>
      <c r="BR21" s="129">
        <v>0.1971</v>
      </c>
      <c r="BS21" s="129">
        <v>0.17883333333333332</v>
      </c>
      <c r="BT21" s="82"/>
      <c r="BU21" s="82"/>
      <c r="BV21" s="82"/>
      <c r="BW21" s="82"/>
      <c r="BX21" s="83">
        <f t="shared" si="10"/>
        <v>159246.26013539496</v>
      </c>
      <c r="BY21" s="83">
        <f t="shared" si="1"/>
        <v>9042.994729344844</v>
      </c>
      <c r="BZ21" s="83">
        <f t="shared" si="2"/>
        <v>18139.025191423181</v>
      </c>
      <c r="CA21" s="83">
        <f t="shared" si="3"/>
        <v>0</v>
      </c>
      <c r="CB21" s="83">
        <f t="shared" si="4"/>
        <v>5162.6326025297913</v>
      </c>
      <c r="CC21" s="83">
        <f t="shared" si="5"/>
        <v>32296.474607960583</v>
      </c>
      <c r="CD21" s="83">
        <f t="shared" si="11"/>
        <v>26042.286742017146</v>
      </c>
      <c r="CE21" s="83">
        <f t="shared" si="12"/>
        <v>5907.1904435532715</v>
      </c>
      <c r="CF21" s="84">
        <f t="shared" si="13"/>
        <v>255836.86445222379</v>
      </c>
      <c r="CH21" s="15">
        <f t="shared" si="6"/>
        <v>0</v>
      </c>
      <c r="CI21" s="5" t="e">
        <f>-#REF!</f>
        <v>#REF!</v>
      </c>
      <c r="CJ21" s="4">
        <v>15000</v>
      </c>
      <c r="CK21" s="4">
        <v>32000</v>
      </c>
      <c r="CL21" s="5" t="e">
        <f t="shared" si="14"/>
        <v>#REF!</v>
      </c>
      <c r="CM21" s="35" t="e">
        <f t="shared" si="15"/>
        <v>#REF!</v>
      </c>
      <c r="CN21" s="22" t="e">
        <f t="shared" si="7"/>
        <v>#REF!</v>
      </c>
      <c r="CR21" s="93" t="s">
        <v>27</v>
      </c>
      <c r="CS21" s="96">
        <f t="shared" si="16"/>
        <v>12088.02886368635</v>
      </c>
      <c r="CT21" s="96">
        <f>15000</f>
        <v>15000</v>
      </c>
      <c r="CU21" s="96">
        <v>35000</v>
      </c>
      <c r="CV21" s="96">
        <f t="shared" si="20"/>
        <v>255836.86445222379</v>
      </c>
      <c r="CW21" s="96"/>
      <c r="CX21" s="123">
        <f>SUM(CS21:CV21)</f>
        <v>317924.89331591013</v>
      </c>
      <c r="CY21" s="124">
        <f t="shared" si="18"/>
        <v>0.12613479429653129</v>
      </c>
      <c r="CZ21" s="110"/>
      <c r="DA21" s="96"/>
      <c r="DB21" s="96">
        <f t="shared" si="19"/>
        <v>12716.995732636406</v>
      </c>
      <c r="DC21" s="178"/>
      <c r="DD21" s="152"/>
      <c r="DE21" s="152"/>
      <c r="DF21" s="198"/>
      <c r="DG21" s="199"/>
      <c r="DH21" s="200"/>
      <c r="DI21" s="168"/>
      <c r="DJ21" s="5"/>
      <c r="DL21" s="151"/>
      <c r="DM21" s="151"/>
      <c r="DN21" s="48"/>
      <c r="DO21" s="151"/>
      <c r="DP21" s="152"/>
      <c r="DQ21" s="152"/>
      <c r="DR21" s="152"/>
      <c r="DS21" s="152"/>
      <c r="DT21" s="112"/>
      <c r="DU21" s="111"/>
      <c r="DV21" s="113"/>
      <c r="DW21" s="98"/>
      <c r="DX21" s="48"/>
      <c r="DY21" s="5"/>
      <c r="DZ21" s="133"/>
      <c r="EA21" s="5"/>
      <c r="EB21" s="5"/>
      <c r="EC21" s="42"/>
      <c r="ED21" s="5"/>
      <c r="EF21" s="5"/>
      <c r="EG21" s="5"/>
      <c r="EH21" s="5"/>
      <c r="EI21" s="5"/>
      <c r="EK21" s="5"/>
      <c r="EL21" s="42"/>
      <c r="EP21" s="42"/>
      <c r="EQ21" s="42"/>
      <c r="ER21" s="42"/>
      <c r="EV21" s="42"/>
      <c r="EW21" s="5"/>
      <c r="EY21" s="32"/>
    </row>
    <row r="22" spans="1:155" x14ac:dyDescent="0.25">
      <c r="H22" s="3" t="s">
        <v>28</v>
      </c>
      <c r="I22" s="3" t="s">
        <v>29</v>
      </c>
      <c r="J22" s="42"/>
      <c r="K22" s="6"/>
      <c r="L22" s="251"/>
      <c r="M22" s="60"/>
      <c r="N22" s="60"/>
      <c r="O22" s="60"/>
      <c r="P22" s="60">
        <f>184.842773509429*1.0362*1.006*1.0089*1.0057*1.0276</f>
        <v>200.90220935342055</v>
      </c>
      <c r="Q22" s="60"/>
      <c r="R22" s="60"/>
      <c r="S22" s="60">
        <f>1083.20872459566*1.0362*1.006*1.0089*1.0057*1.0276</f>
        <v>1177.3196313301801</v>
      </c>
      <c r="T22" s="60"/>
      <c r="U22" s="60"/>
      <c r="V22" s="60"/>
      <c r="W22" s="60"/>
      <c r="X22" s="60"/>
      <c r="Y22" s="60"/>
      <c r="Z22" s="60"/>
      <c r="AA22" s="60">
        <v>-1157.29088332684</v>
      </c>
      <c r="AB22" s="60"/>
      <c r="AC22" s="60"/>
      <c r="AD22" s="60"/>
      <c r="AE22" s="60"/>
      <c r="AF22" s="60">
        <f>-649*1.006*1.0089*1.0057*1.0276</f>
        <v>-680.74325242708846</v>
      </c>
      <c r="AG22" s="60">
        <f t="shared" si="8"/>
        <v>951.66666666666663</v>
      </c>
      <c r="AH22" s="60"/>
      <c r="AI22" s="60"/>
      <c r="AJ22" s="60"/>
      <c r="AK22" s="60"/>
      <c r="AL22" s="60"/>
      <c r="AM22" s="60"/>
      <c r="AN22" s="60">
        <f>-1493*1.0276</f>
        <v>-1534.2068000000002</v>
      </c>
      <c r="AO22" s="60">
        <f>-872*1.0276</f>
        <v>-896.06720000000007</v>
      </c>
      <c r="AP22" s="60"/>
      <c r="AQ22" s="60"/>
      <c r="AR22" s="233">
        <f t="shared" si="0"/>
        <v>-1938.4196284036611</v>
      </c>
      <c r="AT22" s="21" t="e">
        <f>(J22+#REF!)/($J$31+#REF!)</f>
        <v>#REF!</v>
      </c>
      <c r="AU22" s="14" t="e">
        <f t="shared" si="9"/>
        <v>#REF!</v>
      </c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72"/>
      <c r="BG22" s="46"/>
      <c r="BH22" s="46"/>
      <c r="BI22" s="46"/>
      <c r="BJ22" s="46"/>
      <c r="BK22" s="65"/>
      <c r="BL22" s="129">
        <v>2.8824002354274583E-2</v>
      </c>
      <c r="BM22" s="129">
        <v>4.8594236111375873E-2</v>
      </c>
      <c r="BN22" s="129">
        <v>5.5172413793103448E-2</v>
      </c>
      <c r="BO22" s="130">
        <v>2.687122043915826E-2</v>
      </c>
      <c r="BP22" s="129">
        <v>6.6492364371026208E-2</v>
      </c>
      <c r="BQ22" s="129">
        <v>5.1787344060039826E-2</v>
      </c>
      <c r="BR22" s="129">
        <v>4.7500000000000001E-2</v>
      </c>
      <c r="BS22" s="129">
        <v>3.8066666666666665E-2</v>
      </c>
      <c r="BT22" s="82"/>
      <c r="BU22" s="82"/>
      <c r="BV22" s="82"/>
      <c r="BW22" s="82"/>
      <c r="BX22" s="83">
        <f t="shared" si="10"/>
        <v>27373.140998128656</v>
      </c>
      <c r="BY22" s="83">
        <f t="shared" si="1"/>
        <v>6821.9132179000162</v>
      </c>
      <c r="BZ22" s="83">
        <f t="shared" si="2"/>
        <v>5922.9470012810389</v>
      </c>
      <c r="CA22" s="83">
        <f t="shared" si="3"/>
        <v>0</v>
      </c>
      <c r="CB22" s="83">
        <f t="shared" si="4"/>
        <v>4941.8185476739409</v>
      </c>
      <c r="CC22" s="83">
        <f t="shared" si="5"/>
        <v>11119.096414921183</v>
      </c>
      <c r="CD22" s="83">
        <f t="shared" si="11"/>
        <v>6276.0457648189467</v>
      </c>
      <c r="CE22" s="83">
        <f t="shared" si="12"/>
        <v>1257.4112742847785</v>
      </c>
      <c r="CF22" s="84">
        <f t="shared" si="13"/>
        <v>63712.373219008557</v>
      </c>
      <c r="CH22" s="15">
        <f t="shared" si="6"/>
        <v>0</v>
      </c>
      <c r="CI22" s="5" t="e">
        <f>-#REF!</f>
        <v>#REF!</v>
      </c>
      <c r="CK22" s="4">
        <v>32000</v>
      </c>
      <c r="CL22" s="5" t="e">
        <f t="shared" si="14"/>
        <v>#REF!</v>
      </c>
      <c r="CM22" s="35" t="e">
        <f t="shared" si="15"/>
        <v>#REF!</v>
      </c>
      <c r="CN22" s="22" t="e">
        <f t="shared" si="7"/>
        <v>#REF!</v>
      </c>
      <c r="CR22" s="93" t="s">
        <v>29</v>
      </c>
      <c r="CS22" s="96">
        <f t="shared" si="16"/>
        <v>-1938.4196284036611</v>
      </c>
      <c r="CT22" s="96"/>
      <c r="CU22" s="96">
        <v>35000</v>
      </c>
      <c r="CV22" s="96">
        <f t="shared" si="20"/>
        <v>63712.373219008557</v>
      </c>
      <c r="CW22" s="96"/>
      <c r="CX22" s="123">
        <f>SUM(CS22:CV22)</f>
        <v>96773.953590604899</v>
      </c>
      <c r="CY22" s="124">
        <f t="shared" si="18"/>
        <v>3.8394485572049275E-2</v>
      </c>
      <c r="CZ22" s="110"/>
      <c r="DA22" s="96"/>
      <c r="DB22" s="96">
        <f t="shared" si="19"/>
        <v>3870.9581436241961</v>
      </c>
      <c r="DC22" s="178"/>
      <c r="DD22" s="152"/>
      <c r="DE22" s="152"/>
      <c r="DF22" s="198"/>
      <c r="DG22" s="199"/>
      <c r="DH22" s="200"/>
      <c r="DI22" s="168"/>
      <c r="DJ22" s="5"/>
      <c r="DL22" s="151"/>
      <c r="DM22" s="151"/>
      <c r="DN22" s="48"/>
      <c r="DO22" s="151"/>
      <c r="DP22" s="152"/>
      <c r="DQ22" s="152"/>
      <c r="DR22" s="152"/>
      <c r="DS22" s="152"/>
      <c r="DT22" s="112"/>
      <c r="DU22" s="111"/>
      <c r="DV22" s="113"/>
      <c r="DW22" s="98"/>
      <c r="DX22" s="48"/>
      <c r="DY22" s="5"/>
      <c r="DZ22" s="134"/>
      <c r="EA22" s="5"/>
      <c r="EB22" s="5"/>
      <c r="EC22" s="42"/>
      <c r="ED22" s="5"/>
      <c r="EF22" s="5"/>
      <c r="EG22" s="5"/>
      <c r="EH22" s="5"/>
      <c r="EI22" s="5"/>
      <c r="EK22" s="5"/>
      <c r="EL22" s="42"/>
      <c r="EP22" s="42"/>
      <c r="EQ22" s="42"/>
      <c r="ER22" s="42"/>
      <c r="EV22" s="42"/>
      <c r="EW22" s="5"/>
      <c r="EY22" s="32"/>
    </row>
    <row r="23" spans="1:155" x14ac:dyDescent="0.25">
      <c r="H23" s="3" t="s">
        <v>30</v>
      </c>
      <c r="I23" s="3" t="s">
        <v>31</v>
      </c>
      <c r="J23" s="42"/>
      <c r="K23" s="6"/>
      <c r="L23" s="251"/>
      <c r="M23" s="60"/>
      <c r="N23" s="60"/>
      <c r="O23" s="60"/>
      <c r="P23" s="60">
        <f>96.6223588799288*1.0362*1.006*1.0089*1.0057*1.0276</f>
        <v>105.01706398019707</v>
      </c>
      <c r="Q23" s="60"/>
      <c r="R23" s="60"/>
      <c r="S23" s="60">
        <f>1083.20872459566*1.0362*1.006*1.0089*1.0057*1.0276</f>
        <v>1177.3196313301801</v>
      </c>
      <c r="T23" s="60"/>
      <c r="U23" s="60"/>
      <c r="V23" s="60"/>
      <c r="W23" s="60"/>
      <c r="X23" s="60"/>
      <c r="Y23" s="60"/>
      <c r="Z23" s="60"/>
      <c r="AA23" s="60">
        <v>-927.43229652463299</v>
      </c>
      <c r="AB23" s="60"/>
      <c r="AC23" s="60"/>
      <c r="AD23" s="60">
        <f>700*1.006*1.0089*1.0057*1.0276</f>
        <v>734.23771448222158</v>
      </c>
      <c r="AE23" s="60"/>
      <c r="AF23" s="60">
        <f>-147*1.006*1.0089*1.0057*1.0276</f>
        <v>-154.18992004126653</v>
      </c>
      <c r="AG23" s="60">
        <f t="shared" si="8"/>
        <v>751.66666666666674</v>
      </c>
      <c r="AH23" s="60"/>
      <c r="AI23" s="60"/>
      <c r="AJ23" s="60"/>
      <c r="AK23" s="60"/>
      <c r="AL23" s="60"/>
      <c r="AM23" s="60">
        <v>1008</v>
      </c>
      <c r="AN23" s="245">
        <f>1493*1.0276</f>
        <v>1534.2068000000002</v>
      </c>
      <c r="AO23" s="60">
        <f>-601*1.0276</f>
        <v>-617.58760000000007</v>
      </c>
      <c r="AP23" s="60"/>
      <c r="AQ23" s="60"/>
      <c r="AR23" s="233">
        <f t="shared" si="0"/>
        <v>3611.238059893366</v>
      </c>
      <c r="AT23" s="21" t="e">
        <f>(J23+#REF!)/($J$31+#REF!)</f>
        <v>#REF!</v>
      </c>
      <c r="AU23" s="14" t="e">
        <f t="shared" si="9"/>
        <v>#REF!</v>
      </c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72"/>
      <c r="BG23" s="46"/>
      <c r="BH23" s="46"/>
      <c r="BI23" s="46"/>
      <c r="BJ23" s="46"/>
      <c r="BK23" s="65"/>
      <c r="BL23" s="129">
        <v>2.9700083897812434E-2</v>
      </c>
      <c r="BM23" s="129">
        <v>2.1467644790342348E-2</v>
      </c>
      <c r="BN23" s="129">
        <v>4.1379310344827586E-2</v>
      </c>
      <c r="BO23" s="130">
        <v>2.2093875704667101E-2</v>
      </c>
      <c r="BP23" s="129">
        <v>3.71679838374235E-2</v>
      </c>
      <c r="BQ23" s="129">
        <v>3.5512031210015303E-2</v>
      </c>
      <c r="BR23" s="129">
        <v>3.04E-2</v>
      </c>
      <c r="BS23" s="129">
        <v>3.0066666666666669E-2</v>
      </c>
      <c r="BT23" s="82"/>
      <c r="BU23" s="82"/>
      <c r="BV23" s="82"/>
      <c r="BW23" s="82"/>
      <c r="BX23" s="83">
        <f t="shared" si="10"/>
        <v>28205.124819194483</v>
      </c>
      <c r="BY23" s="83">
        <f t="shared" si="1"/>
        <v>3013.7403418948893</v>
      </c>
      <c r="BZ23" s="83">
        <f t="shared" si="2"/>
        <v>4442.2102509607785</v>
      </c>
      <c r="CA23" s="83">
        <f t="shared" si="3"/>
        <v>0</v>
      </c>
      <c r="CB23" s="83">
        <f t="shared" si="4"/>
        <v>2762.3838262466938</v>
      </c>
      <c r="CC23" s="83">
        <f t="shared" si="5"/>
        <v>7624.6756052225064</v>
      </c>
      <c r="CD23" s="83">
        <f t="shared" si="11"/>
        <v>4016.6692894841262</v>
      </c>
      <c r="CE23" s="83">
        <f t="shared" si="12"/>
        <v>993.15671576608599</v>
      </c>
      <c r="CF23" s="84">
        <f t="shared" si="13"/>
        <v>51057.960848769559</v>
      </c>
      <c r="CH23" s="15">
        <f t="shared" si="6"/>
        <v>0</v>
      </c>
      <c r="CI23" s="5" t="e">
        <f>-#REF!</f>
        <v>#REF!</v>
      </c>
      <c r="CK23" s="4">
        <v>32000</v>
      </c>
      <c r="CL23" s="5" t="e">
        <f t="shared" si="14"/>
        <v>#REF!</v>
      </c>
      <c r="CM23" s="35" t="e">
        <f t="shared" si="15"/>
        <v>#REF!</v>
      </c>
      <c r="CN23" s="22" t="e">
        <f t="shared" si="7"/>
        <v>#REF!</v>
      </c>
      <c r="CR23" s="93" t="s">
        <v>31</v>
      </c>
      <c r="CS23" s="96">
        <f t="shared" si="16"/>
        <v>3611.238059893366</v>
      </c>
      <c r="CT23" s="96"/>
      <c r="CU23" s="96">
        <v>35000</v>
      </c>
      <c r="CV23" s="96">
        <f t="shared" si="20"/>
        <v>51057.960848769559</v>
      </c>
      <c r="CW23" s="96"/>
      <c r="CX23" s="123">
        <f t="shared" si="17"/>
        <v>89669.198908662918</v>
      </c>
      <c r="CY23" s="124">
        <f t="shared" si="18"/>
        <v>3.5575716771068369E-2</v>
      </c>
      <c r="CZ23" s="110"/>
      <c r="DA23" s="96"/>
      <c r="DB23" s="96">
        <f t="shared" si="19"/>
        <v>3586.7679563465167</v>
      </c>
      <c r="DC23" s="178"/>
      <c r="DD23" s="152"/>
      <c r="DE23" s="152"/>
      <c r="DF23" s="198"/>
      <c r="DG23" s="199"/>
      <c r="DH23" s="200"/>
      <c r="DI23" s="168"/>
      <c r="DJ23" s="5"/>
      <c r="DL23" s="151"/>
      <c r="DM23" s="151"/>
      <c r="DN23" s="48"/>
      <c r="DO23" s="151"/>
      <c r="DP23" s="152"/>
      <c r="DQ23" s="152"/>
      <c r="DR23" s="152"/>
      <c r="DS23" s="152"/>
      <c r="DT23" s="112"/>
      <c r="DU23" s="111"/>
      <c r="DV23" s="113"/>
      <c r="DW23" s="98"/>
      <c r="DX23" s="48"/>
      <c r="DY23" s="5"/>
      <c r="DZ23" s="134"/>
      <c r="EA23" s="5"/>
      <c r="EB23" s="5"/>
      <c r="EC23" s="42"/>
      <c r="ED23" s="5"/>
      <c r="EF23" s="5"/>
      <c r="EG23" s="5"/>
      <c r="EH23" s="5"/>
      <c r="EI23" s="5"/>
      <c r="EK23" s="5"/>
      <c r="EL23" s="42"/>
      <c r="EP23" s="42"/>
      <c r="EQ23" s="42"/>
      <c r="ER23" s="42"/>
      <c r="EV23" s="42"/>
      <c r="EW23" s="5"/>
      <c r="EY23" s="32"/>
    </row>
    <row r="24" spans="1:155" x14ac:dyDescent="0.25">
      <c r="H24" s="3" t="s">
        <v>32</v>
      </c>
      <c r="I24" s="3" t="s">
        <v>33</v>
      </c>
      <c r="J24" s="42"/>
      <c r="K24" s="6"/>
      <c r="L24" s="251"/>
      <c r="M24" s="60"/>
      <c r="N24" s="60"/>
      <c r="O24" s="60"/>
      <c r="P24" s="60"/>
      <c r="Q24" s="60"/>
      <c r="R24" s="60"/>
      <c r="S24" s="60">
        <f>806.108818303748*1.0362*1.006*1.0089*1.0057*1.0276</f>
        <v>876.14484192013504</v>
      </c>
      <c r="T24" s="60"/>
      <c r="U24" s="60"/>
      <c r="V24" s="60"/>
      <c r="W24" s="60"/>
      <c r="X24" s="60"/>
      <c r="Y24" s="60"/>
      <c r="Z24" s="60"/>
      <c r="AA24" s="60">
        <v>-780.72231761962496</v>
      </c>
      <c r="AB24" s="60">
        <v>30000</v>
      </c>
      <c r="AC24" s="60"/>
      <c r="AD24" s="60"/>
      <c r="AE24" s="60"/>
      <c r="AF24" s="60">
        <f>-222*1.006*1.0089*1.0057*1.0276</f>
        <v>-232.85824659293311</v>
      </c>
      <c r="AG24" s="60">
        <f t="shared" si="8"/>
        <v>581.66666666666674</v>
      </c>
      <c r="AH24" s="60"/>
      <c r="AI24" s="60"/>
      <c r="AJ24" s="60"/>
      <c r="AK24" s="60"/>
      <c r="AL24" s="60"/>
      <c r="AM24" s="60"/>
      <c r="AN24" s="60">
        <f>-1248*1.0276</f>
        <v>-1282.4448</v>
      </c>
      <c r="AO24" s="60">
        <f>-382*1.0276</f>
        <v>-392.54320000000001</v>
      </c>
      <c r="AP24" s="60"/>
      <c r="AQ24" s="60"/>
      <c r="AR24" s="233">
        <f t="shared" si="0"/>
        <v>28769.242944374244</v>
      </c>
      <c r="AT24" s="21" t="e">
        <f>(J24+#REF!)/($J$31+#REF!)</f>
        <v>#REF!</v>
      </c>
      <c r="AU24" s="14" t="e">
        <f t="shared" si="9"/>
        <v>#REF!</v>
      </c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72"/>
      <c r="BG24" s="46"/>
      <c r="BH24" s="46"/>
      <c r="BI24" s="46"/>
      <c r="BJ24" s="46"/>
      <c r="BK24" s="65"/>
      <c r="BL24" s="129">
        <v>2.6817256597312031E-2</v>
      </c>
      <c r="BM24" s="129">
        <v>1.2747591656092809E-2</v>
      </c>
      <c r="BN24" s="129">
        <v>3.4482758620689655E-2</v>
      </c>
      <c r="BO24" s="130">
        <v>2.1039722957880997E-2</v>
      </c>
      <c r="BP24" s="129">
        <v>2.9324380533602711E-2</v>
      </c>
      <c r="BQ24" s="129">
        <v>2.8848458862114693E-2</v>
      </c>
      <c r="BR24" s="129">
        <v>2.18E-2</v>
      </c>
      <c r="BS24" s="129">
        <v>2.3266666666666668E-2</v>
      </c>
      <c r="BT24" s="82"/>
      <c r="BU24" s="82"/>
      <c r="BV24" s="82"/>
      <c r="BW24" s="82"/>
      <c r="BX24" s="83">
        <f t="shared" si="10"/>
        <v>25467.405150706127</v>
      </c>
      <c r="BY24" s="83">
        <f t="shared" si="1"/>
        <v>1789.5736402929799</v>
      </c>
      <c r="BZ24" s="83">
        <f t="shared" si="2"/>
        <v>3701.8418758006492</v>
      </c>
      <c r="CA24" s="83">
        <f t="shared" si="3"/>
        <v>0</v>
      </c>
      <c r="CB24" s="83">
        <f t="shared" si="4"/>
        <v>2179.4347214272475</v>
      </c>
      <c r="CC24" s="83">
        <f t="shared" si="5"/>
        <v>6193.9611179491339</v>
      </c>
      <c r="CD24" s="83">
        <f t="shared" si="11"/>
        <v>2880.3746878537481</v>
      </c>
      <c r="CE24" s="83">
        <f t="shared" si="12"/>
        <v>768.54034102519745</v>
      </c>
      <c r="CF24" s="84">
        <f t="shared" si="13"/>
        <v>42981.131535055079</v>
      </c>
      <c r="CH24" s="15">
        <f t="shared" si="6"/>
        <v>0</v>
      </c>
      <c r="CI24" s="5" t="e">
        <f>-#REF!</f>
        <v>#REF!</v>
      </c>
      <c r="CK24" s="4">
        <v>32000</v>
      </c>
      <c r="CL24" s="5" t="e">
        <f t="shared" si="14"/>
        <v>#REF!</v>
      </c>
      <c r="CM24" s="35" t="e">
        <f t="shared" si="15"/>
        <v>#REF!</v>
      </c>
      <c r="CN24" s="22" t="e">
        <f t="shared" si="7"/>
        <v>#REF!</v>
      </c>
      <c r="CR24" s="93" t="s">
        <v>33</v>
      </c>
      <c r="CS24" s="96">
        <f t="shared" si="16"/>
        <v>28769.242944374244</v>
      </c>
      <c r="CT24" s="96"/>
      <c r="CU24" s="96">
        <v>35000</v>
      </c>
      <c r="CV24" s="96">
        <f t="shared" si="20"/>
        <v>42981.131535055079</v>
      </c>
      <c r="CW24" s="96"/>
      <c r="CX24" s="123">
        <f t="shared" si="17"/>
        <v>106750.37447942933</v>
      </c>
      <c r="CY24" s="124">
        <f t="shared" si="18"/>
        <v>4.2352570714432533E-2</v>
      </c>
      <c r="CZ24" s="110"/>
      <c r="DA24" s="96"/>
      <c r="DB24" s="96">
        <f t="shared" si="19"/>
        <v>4270.0149791771737</v>
      </c>
      <c r="DC24" s="178"/>
      <c r="DD24" s="152"/>
      <c r="DE24" s="152"/>
      <c r="DF24" s="198"/>
      <c r="DG24" s="199"/>
      <c r="DH24" s="200"/>
      <c r="DI24" s="168"/>
      <c r="DJ24" s="5"/>
      <c r="DL24" s="151"/>
      <c r="DM24" s="151"/>
      <c r="DN24" s="48"/>
      <c r="DO24" s="151"/>
      <c r="DP24" s="152"/>
      <c r="DQ24" s="152"/>
      <c r="DR24" s="152"/>
      <c r="DS24" s="152"/>
      <c r="DT24" s="112"/>
      <c r="DU24" s="111"/>
      <c r="DV24" s="113"/>
      <c r="DW24" s="98"/>
      <c r="DX24" s="48"/>
      <c r="DY24" s="5"/>
      <c r="DZ24" s="134"/>
      <c r="EA24" s="5"/>
      <c r="EB24" s="5"/>
      <c r="EC24" s="42"/>
      <c r="ED24" s="5"/>
      <c r="EF24" s="5"/>
      <c r="EG24" s="5"/>
      <c r="EH24" s="5"/>
      <c r="EI24" s="5"/>
      <c r="EK24" s="5"/>
      <c r="EL24" s="42"/>
      <c r="EP24" s="42"/>
      <c r="EQ24" s="42"/>
      <c r="ER24" s="42"/>
      <c r="EV24" s="42"/>
      <c r="EW24" s="5"/>
      <c r="EY24" s="32"/>
    </row>
    <row r="25" spans="1:155" x14ac:dyDescent="0.25">
      <c r="H25" s="3" t="s">
        <v>34</v>
      </c>
      <c r="I25" s="3" t="s">
        <v>6</v>
      </c>
      <c r="J25" s="42"/>
      <c r="K25" s="7"/>
      <c r="L25" s="251"/>
      <c r="M25" s="60"/>
      <c r="N25" s="60"/>
      <c r="O25" s="60"/>
      <c r="P25" s="60">
        <f>151.234996507715*1.0362*1.006*1.0089*1.0057*1.0276</f>
        <v>164.37453492552629</v>
      </c>
      <c r="Q25" s="60"/>
      <c r="R25" s="60"/>
      <c r="S25" s="60">
        <f t="shared" ref="S25:S30" si="21">1083.20872459566*1.0362*1.006*1.0089*1.0057*1.0276</f>
        <v>1177.3196313301801</v>
      </c>
      <c r="T25" s="60"/>
      <c r="U25" s="60"/>
      <c r="V25" s="60"/>
      <c r="W25" s="60"/>
      <c r="X25" s="60"/>
      <c r="Y25" s="60"/>
      <c r="Z25" s="60"/>
      <c r="AA25" s="60">
        <v>-1117.57522843691</v>
      </c>
      <c r="AB25" s="60"/>
      <c r="AC25" s="60"/>
      <c r="AD25" s="60"/>
      <c r="AE25" s="60"/>
      <c r="AF25" s="60">
        <f>826*1.006*1.0089*1.0057*1.0276</f>
        <v>866.40050308902153</v>
      </c>
      <c r="AG25" s="60">
        <f t="shared" si="8"/>
        <v>980</v>
      </c>
      <c r="AH25" s="60"/>
      <c r="AI25" s="60"/>
      <c r="AJ25" s="60"/>
      <c r="AK25" s="60"/>
      <c r="AL25" s="60"/>
      <c r="AM25" s="60">
        <v>1121</v>
      </c>
      <c r="AN25" s="60">
        <f>1269*1.0276</f>
        <v>1304.0244</v>
      </c>
      <c r="AO25" s="60">
        <f>1952*1.0276</f>
        <v>2005.8752000000002</v>
      </c>
      <c r="AP25" s="60"/>
      <c r="AQ25" s="60"/>
      <c r="AR25" s="233">
        <f t="shared" si="0"/>
        <v>6501.4190409078183</v>
      </c>
      <c r="AT25" s="21" t="e">
        <f>(J25+#REF!)/($J$31+#REF!)</f>
        <v>#REF!</v>
      </c>
      <c r="AU25" s="14" t="e">
        <f t="shared" si="9"/>
        <v>#REF!</v>
      </c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72"/>
      <c r="BG25" s="46"/>
      <c r="BH25" s="46"/>
      <c r="BI25" s="46"/>
      <c r="BJ25" s="46"/>
      <c r="BK25" s="65"/>
      <c r="BL25" s="129">
        <v>2.9201654812252033E-2</v>
      </c>
      <c r="BM25" s="129">
        <v>6.7393110191592026E-2</v>
      </c>
      <c r="BN25" s="129">
        <v>5.1724137931034482E-2</v>
      </c>
      <c r="BO25" s="130">
        <v>5.7377697999052582E-2</v>
      </c>
      <c r="BP25" s="129">
        <v>6.8275001485530937E-2</v>
      </c>
      <c r="BQ25" s="129">
        <v>3.8482289991287499E-2</v>
      </c>
      <c r="BR25" s="129">
        <v>3.1399999999999997E-2</v>
      </c>
      <c r="BS25" s="129">
        <v>3.9199999999999999E-2</v>
      </c>
      <c r="BT25" s="82"/>
      <c r="BU25" s="82"/>
      <c r="BV25" s="82"/>
      <c r="BW25" s="82"/>
      <c r="BX25" s="83">
        <f t="shared" si="10"/>
        <v>27731.784251534216</v>
      </c>
      <c r="BY25" s="83">
        <f t="shared" si="1"/>
        <v>9460.9975585928969</v>
      </c>
      <c r="BZ25" s="83">
        <f t="shared" si="2"/>
        <v>5552.7628137009733</v>
      </c>
      <c r="CA25" s="83">
        <f t="shared" si="3"/>
        <v>0</v>
      </c>
      <c r="CB25" s="83">
        <f t="shared" si="4"/>
        <v>5074.306980587452</v>
      </c>
      <c r="CC25" s="83">
        <f t="shared" si="5"/>
        <v>8262.4104488542307</v>
      </c>
      <c r="CD25" s="83">
        <f t="shared" si="11"/>
        <v>4148.7965687434717</v>
      </c>
      <c r="CE25" s="83">
        <f t="shared" si="12"/>
        <v>1294.8473367415932</v>
      </c>
      <c r="CF25" s="84">
        <f t="shared" si="13"/>
        <v>61525.905958754833</v>
      </c>
      <c r="CH25" s="15">
        <f t="shared" si="6"/>
        <v>0</v>
      </c>
      <c r="CI25" s="5" t="e">
        <f>-#REF!</f>
        <v>#REF!</v>
      </c>
      <c r="CK25" s="4">
        <v>32000</v>
      </c>
      <c r="CL25" s="5" t="e">
        <f t="shared" si="14"/>
        <v>#REF!</v>
      </c>
      <c r="CM25" s="35" t="e">
        <f t="shared" si="15"/>
        <v>#REF!</v>
      </c>
      <c r="CN25" s="22" t="e">
        <f t="shared" si="7"/>
        <v>#REF!</v>
      </c>
      <c r="CR25" s="93" t="s">
        <v>6</v>
      </c>
      <c r="CS25" s="96">
        <f t="shared" si="16"/>
        <v>6501.4190409078183</v>
      </c>
      <c r="CT25" s="96"/>
      <c r="CU25" s="96">
        <v>35000</v>
      </c>
      <c r="CV25" s="96">
        <f t="shared" si="20"/>
        <v>61525.905958754833</v>
      </c>
      <c r="CW25" s="96"/>
      <c r="CX25" s="123">
        <f t="shared" si="17"/>
        <v>103027.32499966264</v>
      </c>
      <c r="CY25" s="124">
        <f t="shared" si="18"/>
        <v>4.0875473166680748E-2</v>
      </c>
      <c r="CZ25" s="110"/>
      <c r="DA25" s="96"/>
      <c r="DB25" s="96">
        <f t="shared" si="19"/>
        <v>4121.0929999865057</v>
      </c>
      <c r="DC25" s="178"/>
      <c r="DD25" s="152"/>
      <c r="DE25" s="152"/>
      <c r="DF25" s="198"/>
      <c r="DG25" s="199"/>
      <c r="DH25" s="200"/>
      <c r="DI25" s="168"/>
      <c r="DJ25" s="5"/>
      <c r="DL25" s="151"/>
      <c r="DM25" s="151"/>
      <c r="DN25" s="48"/>
      <c r="DO25" s="151"/>
      <c r="DP25" s="152"/>
      <c r="DQ25" s="152"/>
      <c r="DR25" s="152"/>
      <c r="DS25" s="152"/>
      <c r="DT25" s="112"/>
      <c r="DU25" s="111"/>
      <c r="DV25" s="113"/>
      <c r="DW25" s="98"/>
      <c r="DX25" s="48"/>
      <c r="DY25" s="5"/>
      <c r="DZ25" s="133"/>
      <c r="EA25" s="5"/>
      <c r="EB25" s="5"/>
      <c r="EC25" s="42"/>
      <c r="ED25" s="5"/>
      <c r="EF25" s="5"/>
      <c r="EG25" s="5"/>
      <c r="EH25" s="5"/>
      <c r="EI25" s="5"/>
      <c r="EK25" s="5"/>
      <c r="EL25" s="42"/>
      <c r="EP25" s="42"/>
      <c r="EQ25" s="42"/>
      <c r="ER25" s="42"/>
      <c r="EV25" s="42"/>
      <c r="EW25" s="5"/>
      <c r="EY25" s="32"/>
    </row>
    <row r="26" spans="1:155" x14ac:dyDescent="0.25">
      <c r="H26" s="3" t="s">
        <v>35</v>
      </c>
      <c r="I26" s="3" t="s">
        <v>9</v>
      </c>
      <c r="J26" s="42"/>
      <c r="K26" s="6"/>
      <c r="L26" s="251"/>
      <c r="M26" s="60"/>
      <c r="N26" s="60"/>
      <c r="O26" s="60"/>
      <c r="P26" s="60">
        <f>94.5218728173217*1.0362*1.006*1.0089*1.0057*1.0276</f>
        <v>102.73408432845373</v>
      </c>
      <c r="Q26" s="60">
        <v>85</v>
      </c>
      <c r="R26" s="60"/>
      <c r="S26" s="60">
        <f t="shared" si="21"/>
        <v>1177.3196313301801</v>
      </c>
      <c r="T26" s="60"/>
      <c r="U26" s="60"/>
      <c r="V26" s="60"/>
      <c r="W26" s="60"/>
      <c r="X26" s="60"/>
      <c r="Y26" s="60"/>
      <c r="Z26" s="60"/>
      <c r="AA26" s="60">
        <v>-1064.5797032406699</v>
      </c>
      <c r="AB26" s="60"/>
      <c r="AC26" s="60"/>
      <c r="AD26" s="60"/>
      <c r="AE26" s="60"/>
      <c r="AF26" s="60">
        <f>-279*1.006*1.0089*1.0057*1.0276</f>
        <v>-292.64617477219974</v>
      </c>
      <c r="AG26" s="60">
        <f t="shared" si="8"/>
        <v>820.83333333333326</v>
      </c>
      <c r="AH26" s="60"/>
      <c r="AI26" s="60"/>
      <c r="AJ26" s="60">
        <f>700*1.0057*1.0276</f>
        <v>723.4201240000001</v>
      </c>
      <c r="AK26" s="60"/>
      <c r="AL26" s="60">
        <f>840*1.0276</f>
        <v>863.18400000000008</v>
      </c>
      <c r="AM26" s="60"/>
      <c r="AN26" s="60">
        <f>-1269*1.0276</f>
        <v>-1304.0244</v>
      </c>
      <c r="AO26" s="60">
        <f>-479*1.0276</f>
        <v>-492.22040000000004</v>
      </c>
      <c r="AP26" s="60"/>
      <c r="AQ26" s="60"/>
      <c r="AR26" s="233">
        <f t="shared" si="0"/>
        <v>619.02049497909763</v>
      </c>
      <c r="AT26" s="21" t="e">
        <f>(J26+#REF!)/($J$31+#REF!)</f>
        <v>#REF!</v>
      </c>
      <c r="AU26" s="14" t="e">
        <f t="shared" si="9"/>
        <v>#REF!</v>
      </c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72"/>
      <c r="BG26" s="46"/>
      <c r="BH26" s="46"/>
      <c r="BI26" s="46"/>
      <c r="BJ26" s="46"/>
      <c r="BK26" s="65"/>
      <c r="BL26" s="129">
        <v>2.9165145250442757E-2</v>
      </c>
      <c r="BM26" s="129">
        <v>4.3894495425452151E-2</v>
      </c>
      <c r="BN26" s="129">
        <v>3.4482758620689655E-2</v>
      </c>
      <c r="BO26" s="130">
        <v>2.2952255663567345E-2</v>
      </c>
      <c r="BP26" s="129">
        <v>7.9594747162635926E-2</v>
      </c>
      <c r="BQ26" s="129">
        <v>4.4439922142493128E-2</v>
      </c>
      <c r="BR26" s="129">
        <v>3.4099999999999998E-2</v>
      </c>
      <c r="BS26" s="129">
        <v>3.2833333333333332E-2</v>
      </c>
      <c r="BT26" s="82"/>
      <c r="BU26" s="82"/>
      <c r="BV26" s="82"/>
      <c r="BW26" s="82"/>
      <c r="BX26" s="83">
        <f t="shared" si="10"/>
        <v>27697.11240510214</v>
      </c>
      <c r="BY26" s="83">
        <f t="shared" si="1"/>
        <v>6162.1390209659894</v>
      </c>
      <c r="BZ26" s="83">
        <f t="shared" si="2"/>
        <v>3701.8418758006492</v>
      </c>
      <c r="CA26" s="83">
        <f t="shared" si="3"/>
        <v>0</v>
      </c>
      <c r="CB26" s="83">
        <f t="shared" si="4"/>
        <v>5915.6085295882431</v>
      </c>
      <c r="CC26" s="83">
        <f t="shared" si="5"/>
        <v>9541.5547551752916</v>
      </c>
      <c r="CD26" s="83">
        <f t="shared" si="11"/>
        <v>4505.5402227437071</v>
      </c>
      <c r="CE26" s="83">
        <f t="shared" si="12"/>
        <v>1084.5447505871339</v>
      </c>
      <c r="CF26" s="84">
        <f t="shared" si="13"/>
        <v>58608.341559963155</v>
      </c>
      <c r="CH26" s="15">
        <f t="shared" si="6"/>
        <v>0</v>
      </c>
      <c r="CI26" s="5" t="e">
        <f>-#REF!</f>
        <v>#REF!</v>
      </c>
      <c r="CK26" s="4">
        <v>32000</v>
      </c>
      <c r="CL26" s="5" t="e">
        <f t="shared" si="14"/>
        <v>#REF!</v>
      </c>
      <c r="CM26" s="35" t="e">
        <f t="shared" si="15"/>
        <v>#REF!</v>
      </c>
      <c r="CN26" s="22" t="e">
        <f t="shared" si="7"/>
        <v>#REF!</v>
      </c>
      <c r="CR26" s="93" t="s">
        <v>9</v>
      </c>
      <c r="CS26" s="96">
        <f t="shared" si="16"/>
        <v>619.02049497909763</v>
      </c>
      <c r="CT26" s="96"/>
      <c r="CU26" s="96">
        <v>35000</v>
      </c>
      <c r="CV26" s="96">
        <f t="shared" si="20"/>
        <v>58608.341559963155</v>
      </c>
      <c r="CW26" s="96"/>
      <c r="CX26" s="123">
        <f t="shared" si="17"/>
        <v>94227.362054942263</v>
      </c>
      <c r="CY26" s="124">
        <f t="shared" si="18"/>
        <v>3.7384140656437657E-2</v>
      </c>
      <c r="CZ26" s="110"/>
      <c r="DA26" s="96"/>
      <c r="DB26" s="96">
        <f t="shared" si="19"/>
        <v>3769.0944821976905</v>
      </c>
      <c r="DC26" s="178"/>
      <c r="DD26" s="152"/>
      <c r="DE26" s="152"/>
      <c r="DF26" s="198"/>
      <c r="DG26" s="199"/>
      <c r="DH26" s="200"/>
      <c r="DI26" s="168"/>
      <c r="DJ26" s="5"/>
      <c r="DL26" s="151"/>
      <c r="DM26" s="151"/>
      <c r="DN26" s="48"/>
      <c r="DO26" s="151"/>
      <c r="DP26" s="152"/>
      <c r="DQ26" s="152"/>
      <c r="DR26" s="152"/>
      <c r="DS26" s="152"/>
      <c r="DT26" s="112"/>
      <c r="DU26" s="111"/>
      <c r="DV26" s="113"/>
      <c r="DW26" s="98"/>
      <c r="DX26" s="48"/>
      <c r="DY26" s="5"/>
      <c r="DZ26" s="134"/>
      <c r="EA26" s="5"/>
      <c r="EB26" s="5"/>
      <c r="EC26" s="42"/>
      <c r="ED26" s="5"/>
      <c r="EF26" s="5"/>
      <c r="EG26" s="5"/>
      <c r="EH26" s="5"/>
      <c r="EI26" s="5"/>
      <c r="EK26" s="5"/>
      <c r="EL26" s="42"/>
      <c r="EP26" s="42"/>
      <c r="EQ26" s="42"/>
      <c r="ER26" s="42"/>
      <c r="EV26" s="42"/>
      <c r="EW26" s="5"/>
      <c r="EY26" s="32"/>
    </row>
    <row r="27" spans="1:155" x14ac:dyDescent="0.25">
      <c r="H27" s="3" t="s">
        <v>36</v>
      </c>
      <c r="I27" s="3" t="s">
        <v>37</v>
      </c>
      <c r="J27" s="42"/>
      <c r="K27" s="6"/>
      <c r="L27" s="251"/>
      <c r="M27" s="60"/>
      <c r="N27" s="60"/>
      <c r="O27" s="60"/>
      <c r="P27" s="60">
        <f>59.8638527843037*1.0362*1.006*1.0089*1.0057*1.0276</f>
        <v>65.064920074687322</v>
      </c>
      <c r="Q27" s="60"/>
      <c r="R27" s="60"/>
      <c r="S27" s="60">
        <f t="shared" si="21"/>
        <v>1177.3196313301801</v>
      </c>
      <c r="T27" s="60"/>
      <c r="U27" s="60"/>
      <c r="V27" s="60"/>
      <c r="W27" s="60"/>
      <c r="X27" s="60"/>
      <c r="Y27" s="60"/>
      <c r="Z27" s="60"/>
      <c r="AA27" s="60">
        <v>-1055.6503886675</v>
      </c>
      <c r="AB27" s="60"/>
      <c r="AC27" s="60"/>
      <c r="AD27" s="60"/>
      <c r="AE27" s="60"/>
      <c r="AF27" s="60">
        <f>210*1.006*1.0089*1.0057*1.0276</f>
        <v>220.27131434466645</v>
      </c>
      <c r="AG27" s="60">
        <f t="shared" si="8"/>
        <v>750</v>
      </c>
      <c r="AH27" s="60"/>
      <c r="AI27" s="60"/>
      <c r="AJ27" s="60"/>
      <c r="AK27" s="60"/>
      <c r="AL27" s="60">
        <f>1680*1.0276</f>
        <v>1726.3680000000002</v>
      </c>
      <c r="AM27" s="60">
        <v>1455</v>
      </c>
      <c r="AN27" s="60">
        <f>1560*1.0276</f>
        <v>1603.056</v>
      </c>
      <c r="AO27" s="60">
        <f>512*1.0276</f>
        <v>526.13120000000004</v>
      </c>
      <c r="AP27" s="60">
        <f>2540*1.0276</f>
        <v>2610.1040000000003</v>
      </c>
      <c r="AQ27" s="60"/>
      <c r="AR27" s="233">
        <f t="shared" si="0"/>
        <v>9077.6646770820334</v>
      </c>
      <c r="AT27" s="21" t="e">
        <f>(J27+#REF!)/($J$31+#REF!)</f>
        <v>#REF!</v>
      </c>
      <c r="AU27" s="14" t="e">
        <f t="shared" si="9"/>
        <v>#REF!</v>
      </c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72"/>
      <c r="BG27" s="46"/>
      <c r="BH27" s="46"/>
      <c r="BI27" s="46"/>
      <c r="BJ27" s="46"/>
      <c r="BK27" s="65"/>
      <c r="BL27" s="129">
        <v>2.5567579494635766E-2</v>
      </c>
      <c r="BM27" s="129">
        <v>5.1307781878266644E-2</v>
      </c>
      <c r="BN27" s="129">
        <v>2.4137931034482758E-2</v>
      </c>
      <c r="BO27" s="130">
        <v>2.1779868782484425E-2</v>
      </c>
      <c r="BP27" s="129">
        <v>0.10294729336264782</v>
      </c>
      <c r="BQ27" s="129">
        <v>5.5109483856060945E-2</v>
      </c>
      <c r="BR27" s="129">
        <v>2.7E-2</v>
      </c>
      <c r="BS27" s="129">
        <v>0.03</v>
      </c>
      <c r="BT27" s="82"/>
      <c r="BU27" s="82"/>
      <c r="BV27" s="82"/>
      <c r="BW27" s="82"/>
      <c r="BX27" s="83">
        <f t="shared" si="10"/>
        <v>24280.630770339158</v>
      </c>
      <c r="BY27" s="83">
        <f t="shared" si="1"/>
        <v>7202.8549759328225</v>
      </c>
      <c r="BZ27" s="83">
        <f t="shared" si="2"/>
        <v>2591.2893130604543</v>
      </c>
      <c r="CA27" s="83">
        <f t="shared" si="3"/>
        <v>0</v>
      </c>
      <c r="CB27" s="83">
        <f t="shared" si="4"/>
        <v>7651.2070007552311</v>
      </c>
      <c r="CC27" s="83">
        <f t="shared" si="5"/>
        <v>11832.382515343323</v>
      </c>
      <c r="CD27" s="83">
        <f t="shared" si="11"/>
        <v>3567.4365400023489</v>
      </c>
      <c r="CE27" s="83">
        <f t="shared" si="12"/>
        <v>990.95459444509686</v>
      </c>
      <c r="CF27" s="84">
        <f t="shared" si="13"/>
        <v>58116.755709878431</v>
      </c>
      <c r="CH27" s="15">
        <f t="shared" si="6"/>
        <v>0</v>
      </c>
      <c r="CI27" s="5" t="e">
        <f>-#REF!</f>
        <v>#REF!</v>
      </c>
      <c r="CK27" s="4">
        <v>32000</v>
      </c>
      <c r="CL27" s="5" t="e">
        <f t="shared" si="14"/>
        <v>#REF!</v>
      </c>
      <c r="CM27" s="35" t="e">
        <f t="shared" si="15"/>
        <v>#REF!</v>
      </c>
      <c r="CN27" s="22" t="e">
        <f t="shared" si="7"/>
        <v>#REF!</v>
      </c>
      <c r="CR27" s="93" t="s">
        <v>37</v>
      </c>
      <c r="CS27" s="96">
        <f t="shared" si="16"/>
        <v>9077.6646770820334</v>
      </c>
      <c r="CT27" s="96"/>
      <c r="CU27" s="96">
        <v>35000</v>
      </c>
      <c r="CV27" s="96">
        <f t="shared" si="20"/>
        <v>58116.755709878431</v>
      </c>
      <c r="CW27" s="96"/>
      <c r="CX27" s="123">
        <f t="shared" si="17"/>
        <v>102194.42038696047</v>
      </c>
      <c r="CY27" s="124">
        <f t="shared" si="18"/>
        <v>4.0545023257911171E-2</v>
      </c>
      <c r="CZ27" s="110"/>
      <c r="DA27" s="96"/>
      <c r="DB27" s="96">
        <f t="shared" si="19"/>
        <v>4087.7768154784189</v>
      </c>
      <c r="DC27" s="178"/>
      <c r="DD27" s="152"/>
      <c r="DE27" s="152"/>
      <c r="DF27" s="198"/>
      <c r="DG27" s="199"/>
      <c r="DH27" s="200"/>
      <c r="DI27" s="168"/>
      <c r="DJ27" s="5"/>
      <c r="DL27" s="151"/>
      <c r="DM27" s="151"/>
      <c r="DN27" s="48"/>
      <c r="DO27" s="151"/>
      <c r="DP27" s="152"/>
      <c r="DQ27" s="152"/>
      <c r="DR27" s="152"/>
      <c r="DS27" s="152"/>
      <c r="DT27" s="112"/>
      <c r="DU27" s="111"/>
      <c r="DV27" s="113"/>
      <c r="DW27" s="98"/>
      <c r="DX27" s="48"/>
      <c r="DY27" s="5"/>
      <c r="DZ27" s="134"/>
      <c r="EA27" s="5"/>
      <c r="EB27" s="5"/>
      <c r="EC27" s="42"/>
      <c r="ED27" s="5"/>
      <c r="EF27" s="5"/>
      <c r="EG27" s="5"/>
      <c r="EH27" s="5"/>
      <c r="EI27" s="5"/>
      <c r="EK27" s="5"/>
      <c r="EL27" s="42"/>
      <c r="EP27" s="42"/>
      <c r="EQ27" s="42"/>
      <c r="ER27" s="42"/>
      <c r="EV27" s="42"/>
      <c r="EW27" s="5"/>
      <c r="EY27" s="32"/>
    </row>
    <row r="28" spans="1:155" x14ac:dyDescent="0.25">
      <c r="A28" s="240" t="s">
        <v>186</v>
      </c>
      <c r="B28" s="3">
        <v>1.0276000000000001</v>
      </c>
      <c r="H28" s="3" t="s">
        <v>38</v>
      </c>
      <c r="I28" s="3" t="s">
        <v>39</v>
      </c>
      <c r="J28" s="42"/>
      <c r="K28" s="6"/>
      <c r="L28" s="251">
        <f>3479.45516270874*1.0362*1.006*1.0089*1.0057*1.0276</f>
        <v>3781.7557931129668</v>
      </c>
      <c r="M28" s="60"/>
      <c r="N28" s="60"/>
      <c r="O28" s="60"/>
      <c r="P28" s="60">
        <f>79.8184703790716*1.0362*1.006*1.0089*1.0057*1.0276</f>
        <v>86.753226766249767</v>
      </c>
      <c r="Q28" s="60"/>
      <c r="R28" s="60"/>
      <c r="S28" s="60">
        <f t="shared" si="21"/>
        <v>1177.3196313301801</v>
      </c>
      <c r="T28" s="60"/>
      <c r="U28" s="60">
        <v>-45.343621029585826</v>
      </c>
      <c r="V28" s="60"/>
      <c r="W28" s="60"/>
      <c r="X28" s="60"/>
      <c r="Y28" s="60"/>
      <c r="Z28" s="60">
        <f>2598*1.0089*1.0057*1.0276</f>
        <v>2708.8179242045039</v>
      </c>
      <c r="AA28" s="60">
        <v>-911.27175272859404</v>
      </c>
      <c r="AB28" s="60"/>
      <c r="AC28" s="60"/>
      <c r="AD28" s="60"/>
      <c r="AE28" s="60"/>
      <c r="AF28" s="60">
        <f>-278*1.006*1.0089*1.0057*1.0276</f>
        <v>-291.59726375151087</v>
      </c>
      <c r="AG28" s="60">
        <f t="shared" si="8"/>
        <v>610.83333333333337</v>
      </c>
      <c r="AH28" s="60"/>
      <c r="AI28" s="60"/>
      <c r="AJ28" s="60"/>
      <c r="AK28" s="60">
        <v>1000</v>
      </c>
      <c r="AL28" s="60"/>
      <c r="AM28" s="60"/>
      <c r="AN28" s="60">
        <f>-1560*1.0276</f>
        <v>-1603.056</v>
      </c>
      <c r="AO28" s="60">
        <f>-512*1.0276</f>
        <v>-526.13120000000004</v>
      </c>
      <c r="AP28" s="60"/>
      <c r="AQ28" s="60"/>
      <c r="AR28" s="233">
        <f t="shared" si="0"/>
        <v>5988.080071237544</v>
      </c>
      <c r="AT28" s="21" t="e">
        <f>(J28+#REF!)/($J$31+#REF!)</f>
        <v>#REF!</v>
      </c>
      <c r="AU28" s="14" t="e">
        <f t="shared" si="9"/>
        <v>#REF!</v>
      </c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72"/>
      <c r="BG28" s="46"/>
      <c r="BH28" s="46"/>
      <c r="BI28" s="46"/>
      <c r="BJ28" s="46"/>
      <c r="BK28" s="65"/>
      <c r="BL28" s="129">
        <v>1.3333772498499786E-2</v>
      </c>
      <c r="BM28" s="129">
        <v>0.11991735499819527</v>
      </c>
      <c r="BN28" s="129">
        <v>2.7586206896551724E-2</v>
      </c>
      <c r="BO28" s="130">
        <v>7.3230435498111271E-2</v>
      </c>
      <c r="BP28" s="129">
        <v>0.1078495454275358</v>
      </c>
      <c r="BQ28" s="129">
        <v>2.5329469771442511E-2</v>
      </c>
      <c r="BR28" s="129">
        <v>2.6100000000000002E-2</v>
      </c>
      <c r="BS28" s="129">
        <v>2.4433333333333335E-2</v>
      </c>
      <c r="BT28" s="82"/>
      <c r="BU28" s="82"/>
      <c r="BV28" s="82"/>
      <c r="BW28" s="82"/>
      <c r="BX28" s="83">
        <f t="shared" si="10"/>
        <v>12662.614655395953</v>
      </c>
      <c r="BY28" s="83">
        <f t="shared" si="1"/>
        <v>16834.625967631753</v>
      </c>
      <c r="BZ28" s="83">
        <f t="shared" si="2"/>
        <v>2961.4735006405194</v>
      </c>
      <c r="CA28" s="83">
        <f t="shared" si="3"/>
        <v>0</v>
      </c>
      <c r="CB28" s="83">
        <f t="shared" si="4"/>
        <v>8015.5501912673844</v>
      </c>
      <c r="CC28" s="83">
        <f t="shared" si="5"/>
        <v>5438.4101297216503</v>
      </c>
      <c r="CD28" s="83">
        <f t="shared" si="11"/>
        <v>3448.5219886689374</v>
      </c>
      <c r="CE28" s="83">
        <f t="shared" si="12"/>
        <v>807.07746414250676</v>
      </c>
      <c r="CF28" s="84">
        <f t="shared" si="13"/>
        <v>50168.273897468702</v>
      </c>
      <c r="CH28" s="15">
        <f t="shared" si="6"/>
        <v>0</v>
      </c>
      <c r="CI28" s="5" t="e">
        <f>-#REF!</f>
        <v>#REF!</v>
      </c>
      <c r="CK28" s="4">
        <v>32000</v>
      </c>
      <c r="CL28" s="5" t="e">
        <f t="shared" si="14"/>
        <v>#REF!</v>
      </c>
      <c r="CM28" s="35" t="e">
        <f t="shared" si="15"/>
        <v>#REF!</v>
      </c>
      <c r="CN28" s="22" t="e">
        <f t="shared" si="7"/>
        <v>#REF!</v>
      </c>
      <c r="CR28" s="93" t="s">
        <v>39</v>
      </c>
      <c r="CS28" s="96">
        <f t="shared" si="16"/>
        <v>5988.080071237544</v>
      </c>
      <c r="CT28" s="96"/>
      <c r="CU28" s="96">
        <v>35000</v>
      </c>
      <c r="CV28" s="96">
        <f t="shared" si="20"/>
        <v>50168.273897468702</v>
      </c>
      <c r="CW28" s="96"/>
      <c r="CX28" s="123">
        <f t="shared" si="17"/>
        <v>91156.353968706244</v>
      </c>
      <c r="CY28" s="124">
        <f t="shared" si="18"/>
        <v>3.6165736620187947E-2</v>
      </c>
      <c r="CZ28" s="110"/>
      <c r="DA28" s="96"/>
      <c r="DB28" s="96">
        <f t="shared" si="19"/>
        <v>3646.2541587482497</v>
      </c>
      <c r="DC28" s="178"/>
      <c r="DD28" s="152"/>
      <c r="DE28" s="152"/>
      <c r="DF28" s="198"/>
      <c r="DG28" s="199"/>
      <c r="DH28" s="200"/>
      <c r="DI28" s="168"/>
      <c r="DJ28" s="5"/>
      <c r="DL28" s="151"/>
      <c r="DM28" s="151"/>
      <c r="DN28" s="48"/>
      <c r="DO28" s="151"/>
      <c r="DP28" s="152"/>
      <c r="DQ28" s="152"/>
      <c r="DR28" s="152"/>
      <c r="DS28" s="152"/>
      <c r="DT28" s="112"/>
      <c r="DU28" s="111"/>
      <c r="DV28" s="113"/>
      <c r="DW28" s="98"/>
      <c r="DX28" s="48"/>
      <c r="DY28" s="5"/>
      <c r="DZ28" s="4"/>
      <c r="EA28" s="5"/>
      <c r="EB28" s="5"/>
      <c r="EC28" s="42"/>
      <c r="ED28" s="5"/>
      <c r="EF28" s="5"/>
      <c r="EG28" s="5"/>
      <c r="EH28" s="5"/>
      <c r="EI28" s="5"/>
      <c r="EK28" s="5"/>
      <c r="EL28" s="42"/>
      <c r="EP28" s="42"/>
      <c r="EQ28" s="42"/>
      <c r="ER28" s="42"/>
      <c r="EV28" s="42"/>
      <c r="EW28" s="5"/>
      <c r="EY28" s="32"/>
    </row>
    <row r="29" spans="1:155" x14ac:dyDescent="0.25">
      <c r="H29" s="3" t="s">
        <v>40</v>
      </c>
      <c r="I29" s="3" t="s">
        <v>41</v>
      </c>
      <c r="J29" s="42"/>
      <c r="K29" s="6"/>
      <c r="L29" s="251">
        <f>3703.1569283764*1.0362*1.006*1.0089*1.0057*1.0276</f>
        <v>4024.8931260236395</v>
      </c>
      <c r="M29" s="60"/>
      <c r="N29" s="60"/>
      <c r="O29" s="60"/>
      <c r="P29" s="60">
        <f>91.371143723411*1.0362*1.006*1.0089*1.0057*1.0276</f>
        <v>99.309614850838628</v>
      </c>
      <c r="Q29" s="60"/>
      <c r="R29" s="60"/>
      <c r="S29" s="60">
        <f t="shared" si="21"/>
        <v>1177.3196313301801</v>
      </c>
      <c r="T29" s="60"/>
      <c r="U29" s="60">
        <v>-260</v>
      </c>
      <c r="V29" s="60"/>
      <c r="W29" s="60"/>
      <c r="X29" s="60"/>
      <c r="Y29" s="60"/>
      <c r="Z29" s="60">
        <f>1795*1.0089*1.0057*1.0276</f>
        <v>1871.56588681566</v>
      </c>
      <c r="AA29" s="60">
        <v>-1357.0677275702401</v>
      </c>
      <c r="AB29" s="60"/>
      <c r="AC29" s="60"/>
      <c r="AD29" s="60"/>
      <c r="AE29" s="60"/>
      <c r="AF29" s="60">
        <f>-143*1.006*1.0089*1.0057*1.0276</f>
        <v>-149.99427595851103</v>
      </c>
      <c r="AG29" s="60">
        <f t="shared" si="8"/>
        <v>785.00000000000011</v>
      </c>
      <c r="AH29" s="60"/>
      <c r="AI29" s="60"/>
      <c r="AJ29" s="60"/>
      <c r="AK29" s="60"/>
      <c r="AL29" s="60">
        <f>840*1.0276</f>
        <v>863.18400000000008</v>
      </c>
      <c r="AM29" s="60">
        <v>595</v>
      </c>
      <c r="AN29" s="60"/>
      <c r="AO29" s="60">
        <f>-607*1.0276</f>
        <v>-623.75319999999999</v>
      </c>
      <c r="AP29" s="60"/>
      <c r="AQ29" s="60"/>
      <c r="AR29" s="233">
        <f t="shared" si="0"/>
        <v>7025.4570554915663</v>
      </c>
      <c r="AT29" s="21" t="e">
        <f>(J29+#REF!)/($J$31+#REF!)</f>
        <v>#REF!</v>
      </c>
      <c r="AU29" s="14" t="e">
        <f t="shared" si="9"/>
        <v>#REF!</v>
      </c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72"/>
      <c r="BG29" s="46"/>
      <c r="BH29" s="46"/>
      <c r="BI29" s="46"/>
      <c r="BJ29" s="46"/>
      <c r="BK29" s="65"/>
      <c r="BL29" s="129">
        <v>2.7394809836541346E-2</v>
      </c>
      <c r="BM29" s="129">
        <v>0.13152952214552144</v>
      </c>
      <c r="BN29" s="129">
        <v>5.1724137931034482E-2</v>
      </c>
      <c r="BO29" s="130">
        <v>0.1293588930276045</v>
      </c>
      <c r="BP29" s="129">
        <v>0.1127517974924238</v>
      </c>
      <c r="BQ29" s="129">
        <v>5.2797430984240376E-2</v>
      </c>
      <c r="BR29" s="129">
        <v>2.9700000000000001E-2</v>
      </c>
      <c r="BS29" s="129">
        <v>3.1400000000000004E-2</v>
      </c>
      <c r="BT29" s="82"/>
      <c r="BU29" s="82"/>
      <c r="BV29" s="82"/>
      <c r="BW29" s="82"/>
      <c r="BX29" s="83">
        <f t="shared" si="10"/>
        <v>26015.887143492444</v>
      </c>
      <c r="BY29" s="83">
        <f t="shared" si="1"/>
        <v>18464.802772330284</v>
      </c>
      <c r="BZ29" s="83">
        <f t="shared" si="2"/>
        <v>5552.7628137009733</v>
      </c>
      <c r="CA29" s="83">
        <f t="shared" si="3"/>
        <v>0</v>
      </c>
      <c r="CB29" s="83">
        <f t="shared" si="4"/>
        <v>8379.8933817795387</v>
      </c>
      <c r="CC29" s="83">
        <f t="shared" si="5"/>
        <v>11335.968975225031</v>
      </c>
      <c r="CD29" s="83">
        <f t="shared" si="11"/>
        <v>3924.1801940025839</v>
      </c>
      <c r="CE29" s="83">
        <f t="shared" si="12"/>
        <v>1037.1991421858681</v>
      </c>
      <c r="CF29" s="84">
        <f t="shared" si="13"/>
        <v>74710.694422716741</v>
      </c>
      <c r="CH29" s="15">
        <f t="shared" si="6"/>
        <v>0</v>
      </c>
      <c r="CI29" s="5" t="e">
        <f>-#REF!</f>
        <v>#REF!</v>
      </c>
      <c r="CK29" s="4">
        <v>32000</v>
      </c>
      <c r="CL29" s="5" t="e">
        <f t="shared" si="14"/>
        <v>#REF!</v>
      </c>
      <c r="CM29" s="35" t="e">
        <f t="shared" si="15"/>
        <v>#REF!</v>
      </c>
      <c r="CN29" s="22" t="e">
        <f t="shared" si="7"/>
        <v>#REF!</v>
      </c>
      <c r="CR29" s="93" t="s">
        <v>41</v>
      </c>
      <c r="CS29" s="96">
        <f t="shared" si="16"/>
        <v>7025.4570554915663</v>
      </c>
      <c r="CT29" s="96"/>
      <c r="CU29" s="96">
        <v>35000</v>
      </c>
      <c r="CV29" s="96">
        <f t="shared" si="20"/>
        <v>74710.694422716741</v>
      </c>
      <c r="CW29" s="96"/>
      <c r="CX29" s="123">
        <f t="shared" si="17"/>
        <v>116736.15147820831</v>
      </c>
      <c r="CY29" s="124">
        <f t="shared" si="18"/>
        <v>4.6314367837316045E-2</v>
      </c>
      <c r="CZ29" s="110"/>
      <c r="DA29" s="96"/>
      <c r="DB29" s="96">
        <f t="shared" si="19"/>
        <v>4669.4460591283323</v>
      </c>
      <c r="DC29" s="178"/>
      <c r="DD29" s="152"/>
      <c r="DE29" s="152"/>
      <c r="DF29" s="198"/>
      <c r="DG29" s="199"/>
      <c r="DH29" s="200"/>
      <c r="DI29" s="168"/>
      <c r="DJ29" s="5"/>
      <c r="DL29" s="151"/>
      <c r="DM29" s="151"/>
      <c r="DN29" s="48"/>
      <c r="DO29" s="151"/>
      <c r="DP29" s="152"/>
      <c r="DQ29" s="152"/>
      <c r="DR29" s="152"/>
      <c r="DS29" s="152"/>
      <c r="DT29" s="112"/>
      <c r="DU29" s="111"/>
      <c r="DV29" s="113"/>
      <c r="DW29" s="98"/>
      <c r="DX29" s="48"/>
      <c r="DY29" s="5"/>
      <c r="DZ29" s="4"/>
      <c r="EA29" s="5"/>
      <c r="EB29" s="5"/>
      <c r="EC29" s="42"/>
      <c r="ED29" s="5"/>
      <c r="EF29" s="5"/>
      <c r="EG29" s="5"/>
      <c r="EH29" s="5"/>
      <c r="EI29" s="5"/>
      <c r="EK29" s="5"/>
      <c r="EL29" s="42"/>
      <c r="EP29" s="42"/>
      <c r="EQ29" s="42"/>
      <c r="ER29" s="42"/>
      <c r="EV29" s="42"/>
      <c r="EW29" s="5"/>
      <c r="EY29" s="32"/>
    </row>
    <row r="30" spans="1:155" x14ac:dyDescent="0.25">
      <c r="H30" s="3" t="s">
        <v>42</v>
      </c>
      <c r="I30" s="3" t="s">
        <v>43</v>
      </c>
      <c r="J30" s="42"/>
      <c r="K30" s="6"/>
      <c r="L30" s="251">
        <f>5374.09359118039*1.0362*1.006*1.0089*1.0057*1.0276</f>
        <v>5841.00343898553</v>
      </c>
      <c r="M30" s="60"/>
      <c r="N30" s="60"/>
      <c r="O30" s="60"/>
      <c r="P30" s="60">
        <f>201.646662010286*1.0362*1.006*1.0089*1.0057*1.0276</f>
        <v>219.16604656736766</v>
      </c>
      <c r="Q30" s="60"/>
      <c r="R30" s="60"/>
      <c r="S30" s="60">
        <f t="shared" si="21"/>
        <v>1177.3196313301801</v>
      </c>
      <c r="T30" s="60"/>
      <c r="U30" s="60">
        <v>-1625</v>
      </c>
      <c r="V30" s="60"/>
      <c r="W30" s="60"/>
      <c r="X30" s="60"/>
      <c r="Y30" s="60"/>
      <c r="Z30" s="60">
        <f>1207*1.0089*1.0057*1.0276</f>
        <v>1258.4846938086359</v>
      </c>
      <c r="AA30" s="60">
        <v>-1564.96058086989</v>
      </c>
      <c r="AB30" s="60"/>
      <c r="AC30" s="60"/>
      <c r="AD30" s="60"/>
      <c r="AE30" s="60"/>
      <c r="AF30" s="60">
        <f>233*1.006*1.0089*1.0057*1.0276</f>
        <v>244.39626782051093</v>
      </c>
      <c r="AG30" s="60">
        <f t="shared" si="8"/>
        <v>523.33333333333326</v>
      </c>
      <c r="AH30" s="60"/>
      <c r="AI30" s="60"/>
      <c r="AJ30" s="60">
        <f>700*1.0057*1.0276</f>
        <v>723.4201240000001</v>
      </c>
      <c r="AK30" s="60"/>
      <c r="AL30" s="60">
        <f>840*1.0276</f>
        <v>863.18400000000008</v>
      </c>
      <c r="AM30" s="60">
        <v>432</v>
      </c>
      <c r="AN30" s="60"/>
      <c r="AO30" s="60">
        <f>607*1.0276</f>
        <v>623.75319999999999</v>
      </c>
      <c r="AP30" s="60">
        <f>3030*1.0276</f>
        <v>3113.6280000000002</v>
      </c>
      <c r="AQ30" s="60"/>
      <c r="AR30" s="233">
        <f t="shared" si="0"/>
        <v>11829.728154975668</v>
      </c>
      <c r="AT30" s="21" t="e">
        <f>(J30+#REF!)/($J$31+#REF!)</f>
        <v>#REF!</v>
      </c>
      <c r="AU30" s="14" t="e">
        <f t="shared" si="9"/>
        <v>#REF!</v>
      </c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72"/>
      <c r="BG30" s="46"/>
      <c r="BH30" s="46"/>
      <c r="BI30" s="46"/>
      <c r="BJ30" s="46"/>
      <c r="BK30" s="65"/>
      <c r="BL30" s="129">
        <v>2.6226666542660607E-2</v>
      </c>
      <c r="BM30" s="129">
        <v>0.23514192939354803</v>
      </c>
      <c r="BN30" s="129">
        <v>4.8275862068965517E-2</v>
      </c>
      <c r="BO30" s="130">
        <v>0.26039995321440784</v>
      </c>
      <c r="BP30" s="129">
        <v>0.12389327945807832</v>
      </c>
      <c r="BQ30" s="129">
        <v>5.1001231987835315E-2</v>
      </c>
      <c r="BR30" s="129">
        <v>1.67E-2</v>
      </c>
      <c r="BS30" s="129">
        <v>2.0933333333333332E-2</v>
      </c>
      <c r="BT30" s="82"/>
      <c r="BU30" s="82"/>
      <c r="BV30" s="82"/>
      <c r="BW30" s="82"/>
      <c r="BX30" s="83">
        <f t="shared" si="10"/>
        <v>24906.542552952818</v>
      </c>
      <c r="BY30" s="83">
        <f t="shared" si="1"/>
        <v>33010.454831222974</v>
      </c>
      <c r="BZ30" s="83">
        <f t="shared" si="2"/>
        <v>5182.5786261209087</v>
      </c>
      <c r="CA30" s="83">
        <f t="shared" si="3"/>
        <v>0</v>
      </c>
      <c r="CB30" s="83">
        <f t="shared" si="4"/>
        <v>9207.9460874889792</v>
      </c>
      <c r="CC30" s="83">
        <f t="shared" si="5"/>
        <v>10950.312784819556</v>
      </c>
      <c r="CD30" s="83">
        <f t="shared" si="11"/>
        <v>2206.5255636310822</v>
      </c>
      <c r="CE30" s="83">
        <f t="shared" si="12"/>
        <v>691.46609479057861</v>
      </c>
      <c r="CF30" s="84">
        <f t="shared" si="13"/>
        <v>86155.826541026894</v>
      </c>
      <c r="CH30" s="15">
        <f t="shared" si="6"/>
        <v>0</v>
      </c>
      <c r="CI30" s="5" t="e">
        <f>-#REF!</f>
        <v>#REF!</v>
      </c>
      <c r="CK30" s="4">
        <v>32000</v>
      </c>
      <c r="CL30" s="5" t="e">
        <f t="shared" si="14"/>
        <v>#REF!</v>
      </c>
      <c r="CM30" s="35" t="e">
        <f t="shared" si="15"/>
        <v>#REF!</v>
      </c>
      <c r="CN30" s="22" t="e">
        <f t="shared" si="7"/>
        <v>#REF!</v>
      </c>
      <c r="CR30" s="93" t="s">
        <v>43</v>
      </c>
      <c r="CS30" s="96">
        <f t="shared" si="16"/>
        <v>11829.728154975668</v>
      </c>
      <c r="CT30" s="96"/>
      <c r="CU30" s="96">
        <v>35000</v>
      </c>
      <c r="CV30" s="96">
        <f>CF30</f>
        <v>86155.826541026894</v>
      </c>
      <c r="CW30" s="96"/>
      <c r="CX30" s="123">
        <f t="shared" si="17"/>
        <v>132985.55469600257</v>
      </c>
      <c r="CY30" s="124">
        <f t="shared" si="18"/>
        <v>5.2761221089166463E-2</v>
      </c>
      <c r="CZ30" s="110"/>
      <c r="DA30" s="96"/>
      <c r="DB30" s="96">
        <f t="shared" si="19"/>
        <v>5319.4221878401031</v>
      </c>
      <c r="DC30" s="178"/>
      <c r="DF30" s="198"/>
      <c r="DG30" s="199"/>
      <c r="DH30" s="200"/>
      <c r="DI30" s="168"/>
      <c r="DJ30" s="5"/>
      <c r="DL30" s="151"/>
      <c r="DM30" s="5"/>
      <c r="DN30" s="48"/>
      <c r="DO30" s="5"/>
      <c r="DP30" s="5"/>
      <c r="DQ30" s="5"/>
      <c r="DR30" s="5"/>
      <c r="DS30" s="152"/>
      <c r="DT30" s="112"/>
      <c r="DU30" s="111"/>
      <c r="DV30" s="113"/>
      <c r="DW30" s="98"/>
      <c r="DX30" s="48"/>
      <c r="DY30" s="5"/>
      <c r="DZ30" s="4"/>
      <c r="EA30" s="5"/>
      <c r="EB30" s="5"/>
      <c r="EC30" s="42"/>
      <c r="ED30" s="5"/>
      <c r="EF30" s="5"/>
      <c r="EG30" s="5"/>
      <c r="EH30" s="5"/>
      <c r="EI30" s="5"/>
      <c r="EK30" s="5"/>
      <c r="EL30" s="42"/>
      <c r="EP30" s="42"/>
      <c r="EQ30" s="42"/>
      <c r="ER30" s="42"/>
      <c r="EV30" s="42"/>
      <c r="EW30" s="5"/>
      <c r="EY30" s="32"/>
    </row>
    <row r="31" spans="1:155" x14ac:dyDescent="0.25">
      <c r="H31" s="3" t="s">
        <v>55</v>
      </c>
      <c r="J31" s="5"/>
      <c r="K31" s="5"/>
      <c r="L31" s="251">
        <f>SUM(L10:L30)</f>
        <v>13647.652358122137</v>
      </c>
      <c r="M31" s="60">
        <f t="shared" ref="M31:V31" si="22">SUM(M10:M30)</f>
        <v>884.81532275733912</v>
      </c>
      <c r="N31" s="60">
        <f t="shared" si="22"/>
        <v>0</v>
      </c>
      <c r="O31" s="60">
        <f t="shared" si="22"/>
        <v>114.14898258717035</v>
      </c>
      <c r="P31" s="60">
        <f t="shared" si="22"/>
        <v>1141.4898258717078</v>
      </c>
      <c r="Q31" s="60">
        <f t="shared" si="22"/>
        <v>85</v>
      </c>
      <c r="R31" s="60">
        <f t="shared" si="22"/>
        <v>661.84417805818282</v>
      </c>
      <c r="S31" s="60">
        <f t="shared" si="22"/>
        <v>12046.991576401842</v>
      </c>
      <c r="T31" s="60">
        <f t="shared" si="22"/>
        <v>361.40974729205573</v>
      </c>
      <c r="U31" s="60">
        <f t="shared" si="22"/>
        <v>-1930.3436210295858</v>
      </c>
      <c r="V31" s="60">
        <f t="shared" si="22"/>
        <v>0</v>
      </c>
      <c r="W31" s="60">
        <f t="shared" ref="W31:AC31" si="23">SUM(W10:W30)</f>
        <v>0</v>
      </c>
      <c r="X31" s="60">
        <f t="shared" si="23"/>
        <v>-1720</v>
      </c>
      <c r="Y31" s="60">
        <f t="shared" si="23"/>
        <v>-1150</v>
      </c>
      <c r="Z31" s="60">
        <f>SUM(Z10:Z30)</f>
        <v>5838.8685048287998</v>
      </c>
      <c r="AA31" s="60">
        <f>SUM(AA10:AA30)</f>
        <v>-30000</v>
      </c>
      <c r="AB31" s="60">
        <f>SUM(AB10:AB30)</f>
        <v>30000</v>
      </c>
      <c r="AC31" s="60">
        <f t="shared" si="23"/>
        <v>7068.8480688</v>
      </c>
      <c r="AD31" s="60">
        <f t="shared" ref="AD31:AI31" si="24">SUM(AD10:AD30)</f>
        <v>734.23771448222158</v>
      </c>
      <c r="AE31" s="60">
        <f t="shared" si="24"/>
        <v>50</v>
      </c>
      <c r="AF31" s="60">
        <f t="shared" si="24"/>
        <v>-3.694822225952521E-13</v>
      </c>
      <c r="AG31" s="60">
        <f t="shared" si="24"/>
        <v>25000</v>
      </c>
      <c r="AH31" s="60">
        <f t="shared" si="24"/>
        <v>3000</v>
      </c>
      <c r="AI31" s="60">
        <f t="shared" si="24"/>
        <v>0</v>
      </c>
      <c r="AJ31" s="60">
        <f t="shared" ref="AJ31:AO31" si="25">SUM(AJ10:AJ30)</f>
        <v>5167.2866000000013</v>
      </c>
      <c r="AK31" s="60">
        <f t="shared" si="25"/>
        <v>5000</v>
      </c>
      <c r="AL31" s="60">
        <f t="shared" si="25"/>
        <v>15413.999999999998</v>
      </c>
      <c r="AM31" s="60">
        <f>SUM(AM10:AM30)</f>
        <v>15000</v>
      </c>
      <c r="AN31" s="60">
        <f>SUM(AN10:AN30)</f>
        <v>0</v>
      </c>
      <c r="AO31" s="60">
        <f t="shared" si="25"/>
        <v>0</v>
      </c>
      <c r="AP31" s="60">
        <f>SUM(AP10:AP30)</f>
        <v>7809.76</v>
      </c>
      <c r="AQ31" s="60">
        <f>SUM(AQ10:AQ30)</f>
        <v>1700</v>
      </c>
      <c r="AR31" s="233">
        <f>SUM(AR10:AR30)</f>
        <v>115926.00925817189</v>
      </c>
      <c r="AT31" s="21" t="e">
        <f>(J31+#REF!)/($J$31+#REF!)</f>
        <v>#REF!</v>
      </c>
      <c r="AU31" s="14" t="e">
        <f>SUM(AU10:AU30)</f>
        <v>#REF!</v>
      </c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72"/>
      <c r="BG31" s="46"/>
      <c r="BH31" s="46"/>
      <c r="BI31" s="46"/>
      <c r="BJ31" s="46"/>
      <c r="BK31" s="65"/>
      <c r="BL31" s="227">
        <f>SUM(BL10:BL30)</f>
        <v>1</v>
      </c>
      <c r="BM31" s="227">
        <f t="shared" ref="BM31:BR31" si="26">SUM(BM10:BM30)</f>
        <v>1</v>
      </c>
      <c r="BN31" s="227">
        <f t="shared" si="26"/>
        <v>0.99999999999999989</v>
      </c>
      <c r="BO31" s="131">
        <f t="shared" si="26"/>
        <v>0.99999987635502507</v>
      </c>
      <c r="BP31" s="227">
        <f t="shared" si="26"/>
        <v>1</v>
      </c>
      <c r="BQ31" s="227">
        <f t="shared" si="26"/>
        <v>1</v>
      </c>
      <c r="BR31" s="227">
        <f t="shared" si="26"/>
        <v>1</v>
      </c>
      <c r="BS31" s="226">
        <f>SUM(BS10:BS30)</f>
        <v>1</v>
      </c>
      <c r="BT31" s="85"/>
      <c r="BU31" s="85"/>
      <c r="BV31" s="85"/>
      <c r="BW31" s="85"/>
      <c r="BX31" s="86">
        <f t="shared" ref="BX31:CD31" si="27">SUM(BX10:BX30)</f>
        <v>949664.81967655115</v>
      </c>
      <c r="BY31" s="86">
        <f t="shared" si="27"/>
        <v>140385.2342130554</v>
      </c>
      <c r="BZ31" s="86">
        <f t="shared" si="27"/>
        <v>107353.41439821883</v>
      </c>
      <c r="CA31" s="86">
        <f t="shared" si="27"/>
        <v>0</v>
      </c>
      <c r="CB31" s="86">
        <f t="shared" si="27"/>
        <v>74321.594583382277</v>
      </c>
      <c r="CC31" s="86">
        <f t="shared" si="27"/>
        <v>214706.82879643762</v>
      </c>
      <c r="CD31" s="86">
        <f t="shared" si="27"/>
        <v>132127.27925934625</v>
      </c>
      <c r="CE31" s="204">
        <f>SUM(CE10:CE30)</f>
        <v>33031.819814836563</v>
      </c>
      <c r="CF31" s="84">
        <f>SUM(CF10:CF30)</f>
        <v>1651590.9907418282</v>
      </c>
      <c r="CH31" s="16">
        <f>SUM(CH10:CH30)</f>
        <v>0</v>
      </c>
      <c r="CI31" s="17" t="e">
        <f>SUM(CI10:CI30)</f>
        <v>#REF!</v>
      </c>
      <c r="CJ31" s="17"/>
      <c r="CK31" s="17"/>
      <c r="CL31" s="17" t="e">
        <f>SUM(CL10:CL30)</f>
        <v>#REF!</v>
      </c>
      <c r="CM31" s="41" t="e">
        <f>SUM(CM10:CM30)</f>
        <v>#REF!</v>
      </c>
      <c r="CN31" s="18" t="e">
        <f>SUM(CN9:CN30)</f>
        <v>#REF!</v>
      </c>
      <c r="CR31" s="93"/>
      <c r="CS31" s="97">
        <f t="shared" ref="CS31:CX31" si="28">SUM(CS10:CS30)</f>
        <v>115926.00925817189</v>
      </c>
      <c r="CT31" s="97">
        <f t="shared" si="28"/>
        <v>18000</v>
      </c>
      <c r="CU31" s="97">
        <f t="shared" si="28"/>
        <v>735000</v>
      </c>
      <c r="CV31" s="97">
        <f t="shared" si="28"/>
        <v>1651590.9907418282</v>
      </c>
      <c r="CW31" s="97"/>
      <c r="CX31" s="125">
        <f t="shared" si="28"/>
        <v>2520516.9999999995</v>
      </c>
      <c r="CY31" s="126">
        <f t="shared" si="18"/>
        <v>1</v>
      </c>
      <c r="CZ31" s="127"/>
      <c r="DA31" s="97"/>
      <c r="DB31" s="97">
        <f>SUM(DB10:DB30)</f>
        <v>100820.68</v>
      </c>
      <c r="DC31" s="178"/>
      <c r="DF31" s="198"/>
      <c r="DG31" s="199"/>
      <c r="DH31" s="200"/>
      <c r="DI31" s="168"/>
      <c r="DJ31" s="5"/>
      <c r="DS31" s="152"/>
      <c r="DT31" s="112"/>
      <c r="DU31" s="112"/>
      <c r="DV31" s="113"/>
      <c r="DW31" s="98"/>
      <c r="DX31" s="48"/>
      <c r="DY31" s="5"/>
      <c r="DZ31" s="5"/>
      <c r="EA31" s="5"/>
      <c r="EB31" s="5"/>
      <c r="EC31" s="42"/>
      <c r="ED31" s="5"/>
      <c r="EE31" s="42"/>
      <c r="EF31" s="5"/>
      <c r="EG31" s="5"/>
      <c r="EH31" s="5"/>
      <c r="EI31" s="5"/>
      <c r="EK31" s="5"/>
      <c r="EL31" s="42"/>
      <c r="EP31" s="42"/>
      <c r="EQ31" s="42"/>
      <c r="ER31" s="42"/>
      <c r="EV31" s="42"/>
      <c r="EW31" s="5"/>
      <c r="EY31" s="144"/>
    </row>
    <row r="32" spans="1:155" ht="16.5" thickBot="1" x14ac:dyDescent="0.3">
      <c r="J32" s="5"/>
      <c r="K32" s="6"/>
      <c r="L32" s="252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6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233">
        <f>SUM(L32:AQ32)</f>
        <v>0</v>
      </c>
      <c r="AT32" s="20"/>
      <c r="AU32" s="13"/>
      <c r="BF32" s="64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7"/>
      <c r="CR32" s="114"/>
      <c r="CS32" s="115"/>
      <c r="CT32" s="115"/>
      <c r="CU32" s="115"/>
      <c r="CV32" s="115"/>
      <c r="CW32" s="115"/>
      <c r="CX32" s="115"/>
      <c r="CY32" s="115"/>
      <c r="CZ32" s="115"/>
      <c r="DA32" s="116"/>
      <c r="DB32" s="116"/>
      <c r="DC32" s="179"/>
      <c r="DF32" s="193"/>
      <c r="DG32" s="194"/>
      <c r="DH32" s="194"/>
      <c r="DJ32" s="5"/>
      <c r="DS32" s="5"/>
      <c r="DT32" s="97"/>
      <c r="DU32" s="96"/>
      <c r="DV32" s="106"/>
      <c r="DW32" s="106"/>
      <c r="DX32" s="4"/>
      <c r="DY32" s="4"/>
      <c r="DZ32" s="4"/>
      <c r="EA32" s="4"/>
      <c r="EB32" s="4"/>
      <c r="EC32" s="4"/>
      <c r="ED32" s="4"/>
      <c r="EE32" s="4"/>
      <c r="EP32" s="42"/>
      <c r="EV32" s="42"/>
      <c r="EW32" s="5"/>
    </row>
    <row r="33" spans="8:154" ht="16.5" thickBot="1" x14ac:dyDescent="0.3">
      <c r="H33" s="3" t="s">
        <v>44</v>
      </c>
      <c r="J33" s="5"/>
      <c r="K33" s="5"/>
      <c r="L33" s="251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233">
        <f>SUM(L33:AQ33)</f>
        <v>0</v>
      </c>
      <c r="AS33" s="5"/>
      <c r="AT33" s="20"/>
      <c r="AU33" s="13"/>
      <c r="BF33" s="87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9"/>
      <c r="DF33" s="193"/>
      <c r="DG33" s="194"/>
      <c r="DH33" s="194"/>
      <c r="EP33" s="42"/>
      <c r="ER33" s="42"/>
      <c r="EV33" s="42"/>
      <c r="EW33" s="5"/>
    </row>
    <row r="34" spans="8:154" x14ac:dyDescent="0.25">
      <c r="H34" s="3" t="s">
        <v>45</v>
      </c>
      <c r="J34" s="5"/>
      <c r="K34" s="5"/>
      <c r="L34" s="251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233">
        <f>SUM(L34:AQ34)</f>
        <v>0</v>
      </c>
      <c r="AT34" s="20"/>
      <c r="AU34" s="13"/>
      <c r="CR34" s="3" t="s">
        <v>119</v>
      </c>
      <c r="CX34" s="3">
        <f>-C5</f>
        <v>2000</v>
      </c>
      <c r="DF34" s="193"/>
      <c r="DG34" s="194"/>
      <c r="DH34" s="200"/>
      <c r="EP34" s="42"/>
      <c r="ER34" s="42"/>
      <c r="EV34" s="42"/>
      <c r="EW34" s="5"/>
    </row>
    <row r="35" spans="8:154" x14ac:dyDescent="0.25">
      <c r="H35" s="3" t="s">
        <v>46</v>
      </c>
      <c r="J35" s="5"/>
      <c r="K35" s="5"/>
      <c r="L35" s="251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60"/>
      <c r="AP35" s="57"/>
      <c r="AQ35" s="57"/>
      <c r="AR35" s="233">
        <f>SUM(L35:AQ35)</f>
        <v>0</v>
      </c>
      <c r="AT35" s="20"/>
      <c r="AU35" s="13"/>
      <c r="BK35" s="34"/>
      <c r="BL35" s="171" t="s">
        <v>56</v>
      </c>
      <c r="BM35" s="171"/>
      <c r="BN35" s="171"/>
      <c r="BO35" s="34"/>
      <c r="BP35" s="172">
        <f>C16</f>
        <v>1651590.990741828</v>
      </c>
      <c r="BQ35" s="34"/>
      <c r="BR35" s="34"/>
      <c r="BS35" s="34"/>
      <c r="BT35" s="34"/>
      <c r="BU35" s="34"/>
      <c r="BV35" s="34"/>
      <c r="BW35" s="34"/>
      <c r="BX35" s="34"/>
      <c r="CR35" s="3" t="s">
        <v>162</v>
      </c>
      <c r="CV35" s="34"/>
      <c r="CX35" s="42">
        <f>AR33</f>
        <v>0</v>
      </c>
      <c r="DF35" s="193"/>
      <c r="DG35" s="194"/>
      <c r="DH35" s="194"/>
      <c r="EP35" s="42"/>
      <c r="ER35" s="42"/>
      <c r="EV35" s="42"/>
      <c r="EW35" s="5"/>
    </row>
    <row r="36" spans="8:154" ht="16.5" thickBot="1" x14ac:dyDescent="0.3">
      <c r="J36" s="5"/>
      <c r="K36" s="5"/>
      <c r="L36" s="251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233">
        <f>SUM(L36:AC36)</f>
        <v>0</v>
      </c>
      <c r="AT36" s="20"/>
      <c r="AU36" s="13"/>
      <c r="BL36" s="2" t="s">
        <v>57</v>
      </c>
      <c r="BM36" s="2"/>
      <c r="BN36" s="24" t="s">
        <v>58</v>
      </c>
      <c r="BP36" s="23"/>
      <c r="BQ36" s="33"/>
      <c r="BR36" s="33"/>
      <c r="BS36" s="234"/>
      <c r="BT36" s="234"/>
      <c r="CR36" s="3" t="s">
        <v>185</v>
      </c>
      <c r="CV36" s="34"/>
      <c r="CX36" s="42"/>
      <c r="DF36" s="193"/>
      <c r="DG36" s="194"/>
      <c r="DH36" s="193"/>
      <c r="EP36" s="42"/>
      <c r="ER36" s="42"/>
      <c r="EV36" s="42"/>
      <c r="EW36" s="5"/>
    </row>
    <row r="37" spans="8:154" s="34" customFormat="1" ht="16.5" thickBot="1" x14ac:dyDescent="0.3">
      <c r="H37" s="34" t="s">
        <v>54</v>
      </c>
      <c r="J37" s="138"/>
      <c r="K37" s="138"/>
      <c r="L37" s="253">
        <f t="shared" ref="L37:W37" si="29">SUM(L31:L35)</f>
        <v>13647.652358122137</v>
      </c>
      <c r="M37" s="161">
        <f t="shared" si="29"/>
        <v>884.81532275733912</v>
      </c>
      <c r="N37" s="161">
        <f t="shared" si="29"/>
        <v>0</v>
      </c>
      <c r="O37" s="161">
        <f t="shared" si="29"/>
        <v>114.14898258717035</v>
      </c>
      <c r="P37" s="161">
        <f t="shared" si="29"/>
        <v>1141.4898258717078</v>
      </c>
      <c r="Q37" s="161">
        <f t="shared" si="29"/>
        <v>85</v>
      </c>
      <c r="R37" s="161">
        <f t="shared" si="29"/>
        <v>661.84417805818282</v>
      </c>
      <c r="S37" s="161">
        <f t="shared" si="29"/>
        <v>12046.991576401842</v>
      </c>
      <c r="T37" s="161">
        <f t="shared" si="29"/>
        <v>361.40974729205573</v>
      </c>
      <c r="U37" s="161">
        <f t="shared" si="29"/>
        <v>-1930.3436210295858</v>
      </c>
      <c r="V37" s="161">
        <f t="shared" si="29"/>
        <v>0</v>
      </c>
      <c r="W37" s="161">
        <f t="shared" si="29"/>
        <v>0</v>
      </c>
      <c r="X37" s="161">
        <f t="shared" ref="X37:AE37" si="30">SUM(X31:X35)</f>
        <v>-1720</v>
      </c>
      <c r="Y37" s="161">
        <f t="shared" si="30"/>
        <v>-1150</v>
      </c>
      <c r="Z37" s="161">
        <f t="shared" si="30"/>
        <v>5838.8685048287998</v>
      </c>
      <c r="AA37" s="161">
        <f t="shared" si="30"/>
        <v>-30000</v>
      </c>
      <c r="AB37" s="161">
        <f t="shared" si="30"/>
        <v>30000</v>
      </c>
      <c r="AC37" s="161">
        <f t="shared" si="30"/>
        <v>7068.8480688</v>
      </c>
      <c r="AD37" s="161">
        <f t="shared" si="30"/>
        <v>734.23771448222158</v>
      </c>
      <c r="AE37" s="161">
        <f t="shared" si="30"/>
        <v>50</v>
      </c>
      <c r="AF37" s="161">
        <f t="shared" ref="AF37:AQ37" si="31">SUM(AF31:AF36)</f>
        <v>-3.694822225952521E-13</v>
      </c>
      <c r="AG37" s="161">
        <f t="shared" si="31"/>
        <v>25000</v>
      </c>
      <c r="AH37" s="161">
        <f t="shared" si="31"/>
        <v>3000</v>
      </c>
      <c r="AI37" s="161">
        <f t="shared" si="31"/>
        <v>0</v>
      </c>
      <c r="AJ37" s="161">
        <f t="shared" si="31"/>
        <v>5167.2866000000013</v>
      </c>
      <c r="AK37" s="161">
        <f t="shared" si="31"/>
        <v>5000</v>
      </c>
      <c r="AL37" s="161">
        <f t="shared" si="31"/>
        <v>15413.999999999998</v>
      </c>
      <c r="AM37" s="161">
        <f>SUM(AM31:AM36)</f>
        <v>15000</v>
      </c>
      <c r="AN37" s="161">
        <f>SUM(AN31:AN36)</f>
        <v>0</v>
      </c>
      <c r="AO37" s="161">
        <f>SUM(AO31:AO36)</f>
        <v>0</v>
      </c>
      <c r="AP37" s="161">
        <f t="shared" si="31"/>
        <v>7809.76</v>
      </c>
      <c r="AQ37" s="161">
        <f t="shared" si="31"/>
        <v>1700</v>
      </c>
      <c r="AR37" s="192">
        <f>SUM(AR31:AR35)</f>
        <v>115926.00925817189</v>
      </c>
      <c r="AT37" s="169"/>
      <c r="AU37" s="170"/>
      <c r="BK37" s="3">
        <v>1</v>
      </c>
      <c r="BL37" s="2" t="s">
        <v>59</v>
      </c>
      <c r="BM37" s="2"/>
      <c r="BN37" s="140">
        <v>0.57499999999999996</v>
      </c>
      <c r="BO37" s="3"/>
      <c r="BP37" s="23">
        <f>BN37*$BP$35</f>
        <v>949664.81967655104</v>
      </c>
      <c r="BQ37" s="28"/>
      <c r="BR37" s="28"/>
      <c r="BS37" s="29"/>
      <c r="BT37" s="235"/>
      <c r="BU37" s="3"/>
      <c r="BV37" s="3"/>
      <c r="BW37" s="3"/>
      <c r="BX37" s="3"/>
      <c r="CH37" s="8"/>
      <c r="CI37" s="8"/>
      <c r="CJ37" s="8"/>
      <c r="CK37" s="8"/>
      <c r="CL37" s="8"/>
      <c r="CM37" s="173"/>
      <c r="CN37" s="8"/>
      <c r="CR37" s="3" t="s">
        <v>0</v>
      </c>
      <c r="CS37" s="3"/>
      <c r="CT37" s="3"/>
      <c r="CU37" s="3"/>
      <c r="CW37" s="3"/>
      <c r="CX37" s="42">
        <f>SUM(CX31+CX34+CX35+CX36)</f>
        <v>2522516.9999999995</v>
      </c>
      <c r="DA37" s="154"/>
      <c r="DB37" s="154"/>
      <c r="DC37" s="154"/>
      <c r="DD37" s="138"/>
      <c r="DE37" s="138"/>
      <c r="DF37" s="180"/>
      <c r="DG37" s="160"/>
      <c r="DH37" s="160"/>
      <c r="DI37" s="160"/>
      <c r="DJ37" s="154"/>
      <c r="DK37" s="138"/>
      <c r="DL37" s="154"/>
      <c r="DM37" s="154"/>
      <c r="DN37" s="154"/>
      <c r="DO37" s="154"/>
      <c r="DP37" s="154"/>
      <c r="DQ37" s="154"/>
      <c r="DR37" s="154"/>
      <c r="DS37" s="154"/>
      <c r="DT37" s="138"/>
      <c r="DU37" s="154"/>
      <c r="DV37" s="8"/>
      <c r="EF37" s="8"/>
      <c r="EG37" s="8"/>
      <c r="EH37" s="8"/>
      <c r="EI37" s="8"/>
      <c r="EJ37" s="8"/>
      <c r="EK37" s="8"/>
      <c r="EP37" s="154"/>
      <c r="ER37" s="154"/>
      <c r="ET37" s="8"/>
      <c r="EU37" s="8"/>
      <c r="EV37" s="154"/>
      <c r="EW37" s="138"/>
      <c r="EX37" s="154"/>
    </row>
    <row r="38" spans="8:154" x14ac:dyDescent="0.25">
      <c r="X38" s="224"/>
      <c r="Y38" s="224" t="s">
        <v>142</v>
      </c>
      <c r="BL38" s="2"/>
      <c r="BM38" s="2"/>
      <c r="BN38" s="142"/>
      <c r="BP38" s="23"/>
      <c r="BQ38" s="28"/>
      <c r="BR38" s="28"/>
      <c r="BS38" s="29"/>
      <c r="BT38" s="235"/>
    </row>
    <row r="39" spans="8:154" x14ac:dyDescent="0.25">
      <c r="X39" s="224"/>
      <c r="Y39" s="224" t="s">
        <v>138</v>
      </c>
      <c r="BK39" s="3">
        <v>2</v>
      </c>
      <c r="BL39" s="2" t="s">
        <v>60</v>
      </c>
      <c r="BM39" s="2"/>
      <c r="BN39" s="142">
        <v>8.5000000000000006E-2</v>
      </c>
      <c r="BP39" s="23">
        <f t="shared" ref="BP39:BP45" si="32">BN39*$BP$35</f>
        <v>140385.2342130554</v>
      </c>
      <c r="BQ39" s="30"/>
      <c r="BR39" s="30"/>
      <c r="BS39" s="29"/>
      <c r="BT39" s="235"/>
      <c r="BU39" s="33"/>
      <c r="BV39" s="33"/>
      <c r="BW39" s="33"/>
    </row>
    <row r="40" spans="8:154" ht="15" customHeight="1" x14ac:dyDescent="0.25">
      <c r="X40" s="224"/>
      <c r="Y40" s="224" t="s">
        <v>139</v>
      </c>
      <c r="BK40" s="3">
        <v>3</v>
      </c>
      <c r="BL40" s="2" t="s">
        <v>61</v>
      </c>
      <c r="BM40" s="2"/>
      <c r="BN40" s="141">
        <v>6.5000000000000002E-2</v>
      </c>
      <c r="BP40" s="23">
        <f t="shared" si="32"/>
        <v>107353.41439821883</v>
      </c>
      <c r="BQ40" s="28"/>
      <c r="BR40" s="28"/>
      <c r="BS40" s="29"/>
      <c r="BT40" s="235"/>
      <c r="BU40" s="28"/>
      <c r="BV40" s="28"/>
      <c r="BW40" s="28"/>
    </row>
    <row r="41" spans="8:154" ht="1.5" hidden="1" customHeight="1" x14ac:dyDescent="0.25">
      <c r="BL41" s="2" t="s">
        <v>62</v>
      </c>
      <c r="BM41" s="2"/>
      <c r="BN41" s="142">
        <v>0</v>
      </c>
      <c r="BP41" s="23">
        <f t="shared" si="32"/>
        <v>0</v>
      </c>
      <c r="BQ41" s="30"/>
      <c r="BR41" s="30"/>
      <c r="BS41" s="31"/>
      <c r="BT41" s="236"/>
      <c r="BU41" s="28"/>
      <c r="BV41" s="28"/>
      <c r="BW41" s="28"/>
    </row>
    <row r="42" spans="8:154" x14ac:dyDescent="0.25">
      <c r="BK42" s="3">
        <v>4</v>
      </c>
      <c r="BL42" s="2" t="s">
        <v>63</v>
      </c>
      <c r="BM42" s="2"/>
      <c r="BN42" s="142">
        <v>4.4999999999999998E-2</v>
      </c>
      <c r="BP42" s="23">
        <f t="shared" si="32"/>
        <v>74321.594583382262</v>
      </c>
      <c r="BQ42" s="28"/>
      <c r="BR42" s="30"/>
      <c r="BS42" s="31"/>
      <c r="BT42" s="237"/>
      <c r="BU42" s="30"/>
      <c r="BV42" s="30"/>
      <c r="BW42" s="30"/>
    </row>
    <row r="43" spans="8:154" x14ac:dyDescent="0.25">
      <c r="BK43" s="3">
        <v>5</v>
      </c>
      <c r="BL43" s="2" t="s">
        <v>64</v>
      </c>
      <c r="BM43" s="2"/>
      <c r="BN43" s="25">
        <v>0.13</v>
      </c>
      <c r="BP43" s="23">
        <f t="shared" si="32"/>
        <v>214706.82879643765</v>
      </c>
      <c r="BQ43" s="28"/>
      <c r="BR43" s="30"/>
      <c r="BS43" s="31"/>
      <c r="BT43" s="237"/>
      <c r="BU43" s="28"/>
      <c r="BV43" s="28"/>
      <c r="BW43" s="28"/>
    </row>
    <row r="44" spans="8:154" x14ac:dyDescent="0.25">
      <c r="BK44" s="3">
        <v>6</v>
      </c>
      <c r="BL44" s="2" t="s">
        <v>133</v>
      </c>
      <c r="BM44" s="2"/>
      <c r="BN44" s="25">
        <v>0.08</v>
      </c>
      <c r="BP44" s="23">
        <f t="shared" si="32"/>
        <v>132127.27925934625</v>
      </c>
      <c r="BQ44" s="30"/>
      <c r="BR44" s="30"/>
      <c r="BS44" s="29"/>
      <c r="BT44" s="235"/>
      <c r="BU44" s="30"/>
      <c r="BV44" s="30"/>
      <c r="BW44" s="30"/>
    </row>
    <row r="45" spans="8:154" ht="12.75" customHeight="1" x14ac:dyDescent="0.25">
      <c r="AP45" s="5"/>
      <c r="BK45" s="3">
        <v>7</v>
      </c>
      <c r="BL45" s="26" t="s">
        <v>134</v>
      </c>
      <c r="BM45" s="26"/>
      <c r="BN45" s="205">
        <v>0.02</v>
      </c>
      <c r="BP45" s="23">
        <f t="shared" si="32"/>
        <v>33031.819814836563</v>
      </c>
      <c r="BU45" s="30"/>
      <c r="BV45" s="30"/>
      <c r="BW45" s="30"/>
    </row>
    <row r="46" spans="8:154" ht="12.75" customHeight="1" thickBot="1" x14ac:dyDescent="0.3">
      <c r="BL46" s="26"/>
      <c r="BM46" s="26"/>
      <c r="BN46" s="206">
        <f>SUM(BN37:BN45)</f>
        <v>0.99999999999999989</v>
      </c>
      <c r="BP46" s="27">
        <f>SUM(BP37:BP45)</f>
        <v>1651590.990741828</v>
      </c>
      <c r="BS46" s="42"/>
      <c r="BU46" s="30"/>
      <c r="BV46" s="30"/>
      <c r="BW46" s="30"/>
    </row>
    <row r="47" spans="8:154" ht="14.25" customHeight="1" x14ac:dyDescent="0.25">
      <c r="BU47" s="30"/>
      <c r="BV47" s="30"/>
      <c r="BW47" s="30"/>
    </row>
    <row r="48" spans="8:154" ht="10.5" customHeight="1" x14ac:dyDescent="0.25">
      <c r="BK48" s="51" t="s">
        <v>112</v>
      </c>
      <c r="BN48" s="132">
        <f>BN37+BN39+BN40</f>
        <v>0.72499999999999987</v>
      </c>
      <c r="BU48" s="30"/>
      <c r="BV48" s="30"/>
      <c r="BW48" s="30"/>
    </row>
    <row r="49" spans="63:66" x14ac:dyDescent="0.25">
      <c r="BK49" s="207" t="s">
        <v>135</v>
      </c>
      <c r="BN49" s="132">
        <f>BN42+BN43+BN44+BN45</f>
        <v>0.27500000000000002</v>
      </c>
    </row>
    <row r="50" spans="63:66" ht="12" customHeight="1" x14ac:dyDescent="0.25"/>
  </sheetData>
  <phoneticPr fontId="2" type="noConversion"/>
  <hyperlinks>
    <hyperlink ref="BM3" r:id="rId1"/>
  </hyperlinks>
  <pageMargins left="0.19685039370078741" right="0.19685039370078741" top="0.39370078740157483" bottom="0.39370078740157483" header="0.43307086614173229" footer="0.51181102362204722"/>
  <pageSetup paperSize="9" scale="73" orientation="landscape" r:id="rId2"/>
  <headerFooter alignWithMargins="0">
    <oddHeader>&amp;RBilaga 2 till regeringsbeslut 2013-12-19 nr 15</oddHeader>
  </headerFooter>
  <colBreaks count="4" manualBreakCount="4">
    <brk id="6" max="1048575" man="1"/>
    <brk id="11" max="1048575" man="1"/>
    <brk id="55" max="48" man="1"/>
    <brk id="94" max="48" man="1"/>
  </colBreaks>
  <ignoredErrors>
    <ignoredError sqref="AN31:AQ31" formulaRange="1"/>
    <ignoredError sqref="AR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workbookViewId="0">
      <selection activeCell="F10" sqref="F10"/>
    </sheetView>
  </sheetViews>
  <sheetFormatPr defaultRowHeight="12.75" x14ac:dyDescent="0.2"/>
  <cols>
    <col min="6" max="6" width="10.85546875" style="45" bestFit="1" customWidth="1"/>
    <col min="8" max="8" width="9.140625" style="1"/>
  </cols>
  <sheetData>
    <row r="1" spans="2:9" ht="13.5" thickBot="1" x14ac:dyDescent="0.25"/>
    <row r="2" spans="2:9" x14ac:dyDescent="0.2">
      <c r="B2" s="208"/>
      <c r="C2" s="209"/>
      <c r="D2" s="209"/>
      <c r="E2" s="209"/>
      <c r="F2" s="210"/>
      <c r="G2" s="209"/>
      <c r="H2" s="211"/>
      <c r="I2" s="212"/>
    </row>
    <row r="3" spans="2:9" x14ac:dyDescent="0.2">
      <c r="B3" s="213"/>
      <c r="C3" s="53"/>
      <c r="D3" s="53"/>
      <c r="E3" s="53"/>
      <c r="F3" s="214" t="s">
        <v>75</v>
      </c>
      <c r="G3" s="53"/>
      <c r="H3" s="215">
        <v>30000</v>
      </c>
      <c r="I3" s="216"/>
    </row>
    <row r="4" spans="2:9" x14ac:dyDescent="0.2">
      <c r="B4" s="213"/>
      <c r="C4" s="53"/>
      <c r="D4" s="53"/>
      <c r="E4" s="53"/>
      <c r="F4" s="214" t="s">
        <v>132</v>
      </c>
      <c r="G4" s="53"/>
      <c r="H4" s="215"/>
      <c r="I4" s="216"/>
    </row>
    <row r="5" spans="2:9" x14ac:dyDescent="0.2">
      <c r="B5" s="213"/>
      <c r="C5" s="3" t="s">
        <v>12</v>
      </c>
      <c r="D5" s="3" t="s">
        <v>8</v>
      </c>
      <c r="E5" s="53"/>
      <c r="F5" s="217">
        <f>'RB 2013'!CF10</f>
        <v>239767.76143691572</v>
      </c>
      <c r="G5" s="218">
        <f>F5/$F$32</f>
        <v>0.1451738128755605</v>
      </c>
      <c r="H5" s="215">
        <f>G5*$H$3</f>
        <v>4355.2143862668154</v>
      </c>
      <c r="I5" s="232"/>
    </row>
    <row r="6" spans="2:9" x14ac:dyDescent="0.2">
      <c r="B6" s="213"/>
      <c r="C6" s="3" t="s">
        <v>13</v>
      </c>
      <c r="D6" s="3" t="s">
        <v>2</v>
      </c>
      <c r="E6" s="53"/>
      <c r="F6" s="217">
        <f>'RB 2013'!CF11</f>
        <v>51299.233798099303</v>
      </c>
      <c r="G6" s="218">
        <f t="shared" ref="G6:G32" si="0">F6/$F$32</f>
        <v>3.1060495053353222E-2</v>
      </c>
      <c r="H6" s="215">
        <f t="shared" ref="H6:H25" si="1">G6*$H$3</f>
        <v>931.81485160059663</v>
      </c>
      <c r="I6" s="232"/>
    </row>
    <row r="7" spans="2:9" x14ac:dyDescent="0.2">
      <c r="B7" s="213"/>
      <c r="C7" s="3" t="s">
        <v>14</v>
      </c>
      <c r="D7" s="3" t="s">
        <v>15</v>
      </c>
      <c r="E7" s="53"/>
      <c r="F7" s="217">
        <f>'RB 2013'!CF12</f>
        <v>44104.906233346745</v>
      </c>
      <c r="G7" s="218">
        <f t="shared" si="0"/>
        <v>2.6704496743189785E-2</v>
      </c>
      <c r="H7" s="215">
        <f t="shared" si="1"/>
        <v>801.13490229569356</v>
      </c>
      <c r="I7" s="232"/>
    </row>
    <row r="8" spans="2:9" x14ac:dyDescent="0.2">
      <c r="B8" s="213"/>
      <c r="C8" s="3" t="s">
        <v>16</v>
      </c>
      <c r="D8" s="3" t="s">
        <v>17</v>
      </c>
      <c r="E8" s="53"/>
      <c r="F8" s="217">
        <f>'RB 2013'!CF13</f>
        <v>75142.890209916572</v>
      </c>
      <c r="G8" s="218">
        <f t="shared" si="0"/>
        <v>4.5497275433892627E-2</v>
      </c>
      <c r="H8" s="215">
        <f t="shared" si="1"/>
        <v>1364.9182630167788</v>
      </c>
      <c r="I8" s="232"/>
    </row>
    <row r="9" spans="2:9" x14ac:dyDescent="0.2">
      <c r="B9" s="213"/>
      <c r="C9" s="3" t="s">
        <v>18</v>
      </c>
      <c r="D9" s="3" t="s">
        <v>19</v>
      </c>
      <c r="E9" s="53"/>
      <c r="F9" s="217">
        <f>'RB 2013'!CF14</f>
        <v>67447.192038397669</v>
      </c>
      <c r="G9" s="218">
        <f t="shared" si="0"/>
        <v>4.0837708861625056E-2</v>
      </c>
      <c r="H9" s="215">
        <f t="shared" si="1"/>
        <v>1225.1312658487516</v>
      </c>
      <c r="I9" s="232"/>
    </row>
    <row r="10" spans="2:9" x14ac:dyDescent="0.2">
      <c r="B10" s="213"/>
      <c r="C10" s="3" t="s">
        <v>20</v>
      </c>
      <c r="D10" s="3" t="s">
        <v>1</v>
      </c>
      <c r="E10" s="53"/>
      <c r="F10" s="217">
        <f>'RB 2013'!CF15</f>
        <v>37996.800906196047</v>
      </c>
      <c r="G10" s="218">
        <f t="shared" si="0"/>
        <v>2.3006180779134314E-2</v>
      </c>
      <c r="H10" s="215">
        <f t="shared" si="1"/>
        <v>690.18542337402937</v>
      </c>
      <c r="I10" s="232"/>
    </row>
    <row r="11" spans="2:9" x14ac:dyDescent="0.2">
      <c r="B11" s="213"/>
      <c r="C11" s="3" t="s">
        <v>21</v>
      </c>
      <c r="D11" s="3" t="s">
        <v>3</v>
      </c>
      <c r="E11" s="53"/>
      <c r="F11" s="217">
        <f>'RB 2013'!CF16</f>
        <v>52915.33134956615</v>
      </c>
      <c r="G11" s="218">
        <f t="shared" si="0"/>
        <v>3.2039004599921386E-2</v>
      </c>
      <c r="H11" s="215">
        <f t="shared" si="1"/>
        <v>961.17013799764163</v>
      </c>
      <c r="I11" s="232"/>
    </row>
    <row r="12" spans="2:9" x14ac:dyDescent="0.2">
      <c r="B12" s="213"/>
      <c r="C12" s="3" t="s">
        <v>22</v>
      </c>
      <c r="D12" s="3" t="s">
        <v>7</v>
      </c>
      <c r="E12" s="53"/>
      <c r="F12" s="217">
        <f>'RB 2013'!CF17</f>
        <v>15194.557320055499</v>
      </c>
      <c r="G12" s="218">
        <f t="shared" si="0"/>
        <v>9.1999516861197665E-3</v>
      </c>
      <c r="H12" s="215">
        <f t="shared" si="1"/>
        <v>275.99855058359299</v>
      </c>
      <c r="I12" s="232"/>
    </row>
    <row r="13" spans="2:9" x14ac:dyDescent="0.2">
      <c r="B13" s="213"/>
      <c r="C13" s="3" t="s">
        <v>23</v>
      </c>
      <c r="D13" s="3" t="s">
        <v>4</v>
      </c>
      <c r="E13" s="53"/>
      <c r="F13" s="217">
        <f>'RB 2013'!CF18</f>
        <v>28895.000516385888</v>
      </c>
      <c r="G13" s="218">
        <f t="shared" si="0"/>
        <v>1.7495251959086685E-2</v>
      </c>
      <c r="H13" s="215">
        <f t="shared" si="1"/>
        <v>524.85755877260056</v>
      </c>
      <c r="I13" s="232"/>
    </row>
    <row r="14" spans="2:9" x14ac:dyDescent="0.2">
      <c r="B14" s="213"/>
      <c r="C14" s="3" t="s">
        <v>24</v>
      </c>
      <c r="D14" s="3" t="s">
        <v>5</v>
      </c>
      <c r="E14" s="53"/>
      <c r="F14" s="217">
        <f>'RB 2013'!CF19</f>
        <v>186118.9228473666</v>
      </c>
      <c r="G14" s="218">
        <f t="shared" si="0"/>
        <v>0.11269068667162532</v>
      </c>
      <c r="H14" s="215">
        <f t="shared" si="1"/>
        <v>3380.7206001487598</v>
      </c>
      <c r="I14" s="232"/>
    </row>
    <row r="15" spans="2:9" x14ac:dyDescent="0.2">
      <c r="B15" s="213"/>
      <c r="C15" s="3" t="s">
        <v>25</v>
      </c>
      <c r="D15" s="3" t="s">
        <v>26</v>
      </c>
      <c r="E15" s="53"/>
      <c r="F15" s="217">
        <f>'RB 2013'!CF20</f>
        <v>49834.265940716068</v>
      </c>
      <c r="G15" s="218">
        <f t="shared" si="0"/>
        <v>3.0173491027783168E-2</v>
      </c>
      <c r="H15" s="215">
        <f t="shared" si="1"/>
        <v>905.20473083349509</v>
      </c>
      <c r="I15" s="232"/>
    </row>
    <row r="16" spans="2:9" x14ac:dyDescent="0.2">
      <c r="B16" s="213"/>
      <c r="C16" s="3" t="s">
        <v>10</v>
      </c>
      <c r="D16" s="3" t="s">
        <v>27</v>
      </c>
      <c r="E16" s="53"/>
      <c r="F16" s="217">
        <f>'RB 2013'!CF21</f>
        <v>255836.86445222379</v>
      </c>
      <c r="G16" s="218">
        <f t="shared" si="0"/>
        <v>0.15490328167587797</v>
      </c>
      <c r="H16" s="215">
        <f t="shared" si="1"/>
        <v>4647.0984502763395</v>
      </c>
      <c r="I16" s="232"/>
    </row>
    <row r="17" spans="2:9" x14ac:dyDescent="0.2">
      <c r="B17" s="213"/>
      <c r="C17" s="3" t="s">
        <v>28</v>
      </c>
      <c r="D17" s="3" t="s">
        <v>29</v>
      </c>
      <c r="E17" s="53"/>
      <c r="F17" s="217">
        <f>'RB 2013'!CF22</f>
        <v>63712.373219008557</v>
      </c>
      <c r="G17" s="218">
        <f t="shared" si="0"/>
        <v>3.8576362777561241E-2</v>
      </c>
      <c r="H17" s="215">
        <f t="shared" si="1"/>
        <v>1157.2908833268373</v>
      </c>
      <c r="I17" s="232"/>
    </row>
    <row r="18" spans="2:9" x14ac:dyDescent="0.2">
      <c r="B18" s="213"/>
      <c r="C18" s="3" t="s">
        <v>30</v>
      </c>
      <c r="D18" s="3" t="s">
        <v>31</v>
      </c>
      <c r="E18" s="53"/>
      <c r="F18" s="217">
        <f>'RB 2013'!CF23</f>
        <v>51057.960848769559</v>
      </c>
      <c r="G18" s="218">
        <f t="shared" si="0"/>
        <v>3.0914409884154417E-2</v>
      </c>
      <c r="H18" s="215">
        <f t="shared" si="1"/>
        <v>927.43229652463253</v>
      </c>
      <c r="I18" s="232"/>
    </row>
    <row r="19" spans="2:9" x14ac:dyDescent="0.2">
      <c r="B19" s="213"/>
      <c r="C19" s="3" t="s">
        <v>32</v>
      </c>
      <c r="D19" s="3" t="s">
        <v>33</v>
      </c>
      <c r="E19" s="53"/>
      <c r="F19" s="217">
        <f>'RB 2013'!CF24</f>
        <v>42981.131535055079</v>
      </c>
      <c r="G19" s="218">
        <f t="shared" si="0"/>
        <v>2.6024077253987494E-2</v>
      </c>
      <c r="H19" s="215">
        <f t="shared" si="1"/>
        <v>780.72231761962485</v>
      </c>
      <c r="I19" s="232"/>
    </row>
    <row r="20" spans="2:9" x14ac:dyDescent="0.2">
      <c r="B20" s="213"/>
      <c r="C20" s="3" t="s">
        <v>34</v>
      </c>
      <c r="D20" s="3" t="s">
        <v>6</v>
      </c>
      <c r="E20" s="53"/>
      <c r="F20" s="217">
        <f>'RB 2013'!CF25</f>
        <v>61525.905958754833</v>
      </c>
      <c r="G20" s="218">
        <f t="shared" si="0"/>
        <v>3.7252507614563744E-2</v>
      </c>
      <c r="H20" s="215">
        <f t="shared" si="1"/>
        <v>1117.5752284369123</v>
      </c>
      <c r="I20" s="232"/>
    </row>
    <row r="21" spans="2:9" x14ac:dyDescent="0.2">
      <c r="B21" s="213"/>
      <c r="C21" s="3" t="s">
        <v>35</v>
      </c>
      <c r="D21" s="3" t="s">
        <v>9</v>
      </c>
      <c r="E21" s="53"/>
      <c r="F21" s="217">
        <f>'RB 2013'!CF26</f>
        <v>58608.341559963155</v>
      </c>
      <c r="G21" s="218">
        <f t="shared" si="0"/>
        <v>3.5485990108022232E-2</v>
      </c>
      <c r="H21" s="215">
        <f t="shared" si="1"/>
        <v>1064.579703240667</v>
      </c>
      <c r="I21" s="232"/>
    </row>
    <row r="22" spans="2:9" x14ac:dyDescent="0.2">
      <c r="B22" s="213"/>
      <c r="C22" s="3" t="s">
        <v>36</v>
      </c>
      <c r="D22" s="3" t="s">
        <v>37</v>
      </c>
      <c r="E22" s="53"/>
      <c r="F22" s="217">
        <f>'RB 2013'!CF27</f>
        <v>58116.755709878431</v>
      </c>
      <c r="G22" s="218">
        <f t="shared" si="0"/>
        <v>3.5188346288916678E-2</v>
      </c>
      <c r="H22" s="215">
        <f t="shared" si="1"/>
        <v>1055.6503886675002</v>
      </c>
      <c r="I22" s="232"/>
    </row>
    <row r="23" spans="2:9" x14ac:dyDescent="0.2">
      <c r="B23" s="213"/>
      <c r="C23" s="3" t="s">
        <v>38</v>
      </c>
      <c r="D23" s="3" t="s">
        <v>39</v>
      </c>
      <c r="E23" s="53"/>
      <c r="F23" s="217">
        <f>'RB 2013'!CF28</f>
        <v>50168.273897468702</v>
      </c>
      <c r="G23" s="218">
        <f t="shared" si="0"/>
        <v>3.0375725090953137E-2</v>
      </c>
      <c r="H23" s="215">
        <f t="shared" si="1"/>
        <v>911.27175272859415</v>
      </c>
      <c r="I23" s="232"/>
    </row>
    <row r="24" spans="2:9" x14ac:dyDescent="0.2">
      <c r="B24" s="213"/>
      <c r="C24" s="3" t="s">
        <v>40</v>
      </c>
      <c r="D24" s="3" t="s">
        <v>41</v>
      </c>
      <c r="E24" s="53"/>
      <c r="F24" s="217">
        <f>'RB 2013'!CF29</f>
        <v>74710.694422716741</v>
      </c>
      <c r="G24" s="218">
        <f t="shared" si="0"/>
        <v>4.523559091900816E-2</v>
      </c>
      <c r="H24" s="215">
        <f t="shared" si="1"/>
        <v>1357.0677275702449</v>
      </c>
      <c r="I24" s="232"/>
    </row>
    <row r="25" spans="2:9" x14ac:dyDescent="0.2">
      <c r="B25" s="213"/>
      <c r="C25" s="3" t="s">
        <v>42</v>
      </c>
      <c r="D25" s="3" t="s">
        <v>43</v>
      </c>
      <c r="E25" s="53"/>
      <c r="F25" s="217">
        <f>'RB 2013'!CF30</f>
        <v>86155.826541026894</v>
      </c>
      <c r="G25" s="218">
        <f t="shared" si="0"/>
        <v>5.2165352695662963E-2</v>
      </c>
      <c r="H25" s="215">
        <f t="shared" si="1"/>
        <v>1564.9605808698889</v>
      </c>
      <c r="I25" s="232"/>
    </row>
    <row r="26" spans="2:9" x14ac:dyDescent="0.2">
      <c r="B26" s="213"/>
      <c r="C26" s="3" t="s">
        <v>55</v>
      </c>
      <c r="D26" s="3"/>
      <c r="E26" s="53"/>
      <c r="F26" s="214"/>
      <c r="G26" s="218"/>
      <c r="H26" s="215"/>
      <c r="I26" s="216"/>
    </row>
    <row r="27" spans="2:9" x14ac:dyDescent="0.2">
      <c r="B27" s="213"/>
      <c r="C27" s="3"/>
      <c r="D27" s="3"/>
      <c r="E27" s="53"/>
      <c r="F27" s="214"/>
      <c r="G27" s="218"/>
      <c r="H27" s="215"/>
      <c r="I27" s="216"/>
    </row>
    <row r="28" spans="2:9" x14ac:dyDescent="0.2">
      <c r="B28" s="213"/>
      <c r="C28" s="3" t="s">
        <v>44</v>
      </c>
      <c r="D28" s="3"/>
      <c r="E28" s="53"/>
      <c r="F28" s="214"/>
      <c r="G28" s="218"/>
      <c r="H28" s="215"/>
      <c r="I28" s="216"/>
    </row>
    <row r="29" spans="2:9" x14ac:dyDescent="0.2">
      <c r="B29" s="213"/>
      <c r="C29" s="3" t="s">
        <v>45</v>
      </c>
      <c r="D29" s="3"/>
      <c r="E29" s="53"/>
      <c r="F29" s="214"/>
      <c r="G29" s="218"/>
      <c r="H29" s="215"/>
      <c r="I29" s="216"/>
    </row>
    <row r="30" spans="2:9" x14ac:dyDescent="0.2">
      <c r="B30" s="213"/>
      <c r="C30" s="3" t="s">
        <v>46</v>
      </c>
      <c r="D30" s="3"/>
      <c r="E30" s="53"/>
      <c r="F30" s="214"/>
      <c r="G30" s="218"/>
      <c r="H30" s="215"/>
      <c r="I30" s="216"/>
    </row>
    <row r="31" spans="2:9" x14ac:dyDescent="0.2">
      <c r="B31" s="213"/>
      <c r="C31" s="3"/>
      <c r="D31" s="3"/>
      <c r="E31" s="53"/>
      <c r="F31" s="214"/>
      <c r="G31" s="218"/>
      <c r="H31" s="215"/>
      <c r="I31" s="216"/>
    </row>
    <row r="32" spans="2:9" x14ac:dyDescent="0.2">
      <c r="B32" s="213"/>
      <c r="C32" s="34" t="s">
        <v>54</v>
      </c>
      <c r="D32" s="34"/>
      <c r="E32" s="53"/>
      <c r="F32" s="217">
        <f>SUM(F5:F31)</f>
        <v>1651590.9907418282</v>
      </c>
      <c r="G32" s="218">
        <f t="shared" si="0"/>
        <v>1</v>
      </c>
      <c r="H32" s="217">
        <f>SUM(H5:H31)</f>
        <v>29999.999999999993</v>
      </c>
      <c r="I32" s="216"/>
    </row>
    <row r="33" spans="2:9" x14ac:dyDescent="0.2">
      <c r="B33" s="213"/>
      <c r="C33" s="53"/>
      <c r="D33" s="53"/>
      <c r="E33" s="53"/>
      <c r="F33" s="214"/>
      <c r="G33" s="53"/>
      <c r="H33" s="215"/>
      <c r="I33" s="216"/>
    </row>
    <row r="34" spans="2:9" ht="13.5" thickBot="1" x14ac:dyDescent="0.25">
      <c r="B34" s="219"/>
      <c r="C34" s="220"/>
      <c r="D34" s="220"/>
      <c r="E34" s="220"/>
      <c r="F34" s="221"/>
      <c r="G34" s="220"/>
      <c r="H34" s="222"/>
      <c r="I34" s="223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5.xml><?xml version="1.0" encoding="utf-8"?>
<LongProperties xmlns="http://schemas.microsoft.com/office/2006/metadata/longProperties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6F778B9470D87E4BA353C6AA74F40988" ma:contentTypeVersion="10" ma:contentTypeDescription="Skapa ett nytt dokument." ma:contentTypeScope="" ma:versionID="66c2baefc518d2d8c5b0c6d8fcc53489">
  <xsd:schema xmlns:xsd="http://www.w3.org/2001/XMLSchema" xmlns:xs="http://www.w3.org/2001/XMLSchema" xmlns:p="http://schemas.microsoft.com/office/2006/metadata/properties" xmlns:ns2="9fede613-ef1a-4478-8d3b-0cff805fb151" targetNamespace="http://schemas.microsoft.com/office/2006/metadata/properties" ma:root="true" ma:fieldsID="22a3294317e23a83222fb751c5f3111d" ns2:_="">
    <xsd:import namespace="9fede613-ef1a-4478-8d3b-0cff805fb15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de613-ef1a-4478-8d3b-0cff805fb15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331efc9c-9192-46af-94a4-03bcf57bb32a}" ma:internalName="TaxCatchAll" ma:showField="CatchAllData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331efc9c-9192-46af-94a4-03bcf57bb32a}" ma:internalName="TaxCatchAllLabel" ma:readOnly="true" ma:showField="CatchAllDataLabel" ma:web="9fede613-ef1a-4478-8d3b-0cff805fb1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ede613-ef1a-4478-8d3b-0cff805fb151"/>
    <Diarienummer xmlns="9fede613-ef1a-4478-8d3b-0cff805fb151" xsi:nil="true"/>
    <Sekretess_x0020_m.m. xmlns="9fede613-ef1a-4478-8d3b-0cff805fb151">false</Sekretess_x0020_m.m.>
    <Nyckelord xmlns="9fede613-ef1a-4478-8d3b-0cff805fb151" xsi:nil="true"/>
    <k46d94c0acf84ab9a79866a9d8b1905f xmlns="9fede613-ef1a-4478-8d3b-0cff805fb151">
      <Terms xmlns="http://schemas.microsoft.com/office/infopath/2007/PartnerControls"/>
    </k46d94c0acf84ab9a79866a9d8b1905f>
    <c9cd366cc722410295b9eacffbd73909 xmlns="9fede613-ef1a-4478-8d3b-0cff805fb151">
      <Terms xmlns="http://schemas.microsoft.com/office/infopath/2007/PartnerControls"/>
    </c9cd366cc722410295b9eacffbd73909>
    <_dlc_DocId xmlns="9fede613-ef1a-4478-8d3b-0cff805fb151">H2RM4RCWYCXE-18-12759</_dlc_DocId>
    <_dlc_DocIdUrl xmlns="9fede613-ef1a-4478-8d3b-0cff805fb151">
      <Url>http://rkdhs-s/enhet/sfoe/_layouts/DocIdRedir.aspx?ID=H2RM4RCWYCXE-18-12759</Url>
      <Description>H2RM4RCWYCXE-18-12759</Description>
    </_dlc_DocIdUrl>
  </documentManagement>
</p:properties>
</file>

<file path=customXml/itemProps1.xml><?xml version="1.0" encoding="utf-8"?>
<ds:datastoreItem xmlns:ds="http://schemas.openxmlformats.org/officeDocument/2006/customXml" ds:itemID="{E408E70E-9F4D-467D-AB9D-2F10C52B9A1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42AB4535-CF1A-4DA3-B6ED-1F502A854A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A0236-B0E3-4843-8D90-7CACC5C2DA8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9714A4E-368B-461D-9ADA-0E28211B854B}">
  <ds:schemaRefs>
    <ds:schemaRef ds:uri="http://schemas.microsoft.com/sharepoint/v3/contenttype/forms/url"/>
  </ds:schemaRefs>
</ds:datastoreItem>
</file>

<file path=customXml/itemProps5.xml><?xml version="1.0" encoding="utf-8"?>
<ds:datastoreItem xmlns:ds="http://schemas.openxmlformats.org/officeDocument/2006/customXml" ds:itemID="{55472C5A-FABF-43C1-BEE5-6B15A4F1A578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9885F589-C90F-4480-94D8-BA93DA0BB7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de613-ef1a-4478-8d3b-0cff805fb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BE7362D4-6705-4370-8921-4A890FF68B7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9fede613-ef1a-4478-8d3b-0cff805fb151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RB 2013</vt:lpstr>
      <vt:lpstr>Utvecklingsmedel</vt:lpstr>
      <vt:lpstr>Blad1</vt:lpstr>
      <vt:lpstr>'RB 2013'!Utskriftsrubriker</vt:lpstr>
    </vt:vector>
  </TitlesOfParts>
  <Company>Regeringskansliet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2 - beräkning av anslagspost per länsstyrelse.xls</dc:title>
  <dc:subject/>
  <dc:creator>htn0420</dc:creator>
  <cp:keywords/>
  <dc:description/>
  <cp:lastModifiedBy>Johan Krabb</cp:lastModifiedBy>
  <cp:lastPrinted>2013-12-02T10:06:45Z</cp:lastPrinted>
  <dcterms:created xsi:type="dcterms:W3CDTF">2007-01-26T09:50:15Z</dcterms:created>
  <dcterms:modified xsi:type="dcterms:W3CDTF">2013-12-19T09:37:55Z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Socialdepartementet</vt:lpwstr>
  </property>
  <property fmtid="{D5CDD505-2E9C-101B-9397-08002B2CF9AE}" pid="3" name="RKOrdnaActivityCategory">
    <vt:lpwstr>2. Budgetprocessen, styrning av statliga myndigheterna m.m.</vt:lpwstr>
  </property>
  <property fmtid="{D5CDD505-2E9C-101B-9397-08002B2CF9AE}" pid="4" name="QFMSP source name">
    <vt:lpwstr>Bil 7 förd modell.xls</vt:lpwstr>
  </property>
  <property fmtid="{D5CDD505-2E9C-101B-9397-08002B2CF9AE}" pid="5" name="Subject">
    <vt:lpwstr/>
  </property>
  <property fmtid="{D5CDD505-2E9C-101B-9397-08002B2CF9AE}" pid="6" name="Keywords">
    <vt:lpwstr/>
  </property>
  <property fmtid="{D5CDD505-2E9C-101B-9397-08002B2CF9AE}" pid="7" name="_Author">
    <vt:lpwstr>htn0420</vt:lpwstr>
  </property>
  <property fmtid="{D5CDD505-2E9C-101B-9397-08002B2CF9AE}" pid="8" name="_Category">
    <vt:lpwstr/>
  </property>
  <property fmtid="{D5CDD505-2E9C-101B-9397-08002B2CF9AE}" pid="9" name="Categories">
    <vt:lpwstr/>
  </property>
  <property fmtid="{D5CDD505-2E9C-101B-9397-08002B2CF9AE}" pid="10" name="Approval Level">
    <vt:lpwstr/>
  </property>
  <property fmtid="{D5CDD505-2E9C-101B-9397-08002B2CF9AE}" pid="11" name="_Comments">
    <vt:lpwstr/>
  </property>
  <property fmtid="{D5CDD505-2E9C-101B-9397-08002B2CF9AE}" pid="12" name="Assigned To">
    <vt:lpwstr/>
  </property>
  <property fmtid="{D5CDD505-2E9C-101B-9397-08002B2CF9AE}" pid="13" name="RKOrdnaDiarienummer">
    <vt:lpwstr/>
  </property>
  <property fmtid="{D5CDD505-2E9C-101B-9397-08002B2CF9AE}" pid="14" name="ContentType">
    <vt:lpwstr>Word</vt:lpwstr>
  </property>
  <property fmtid="{D5CDD505-2E9C-101B-9397-08002B2CF9AE}" pid="15" name="RKOrdnaSearchKeywords">
    <vt:lpwstr/>
  </property>
  <property fmtid="{D5CDD505-2E9C-101B-9397-08002B2CF9AE}" pid="16" name="RKOrdnaSarskildSkyddsvard">
    <vt:lpwstr>0</vt:lpwstr>
  </property>
  <property fmtid="{D5CDD505-2E9C-101B-9397-08002B2CF9AE}" pid="17" name="display_urn:schemas-microsoft-com:office:office#Editor">
    <vt:lpwstr>Mats Kryhl</vt:lpwstr>
  </property>
  <property fmtid="{D5CDD505-2E9C-101B-9397-08002B2CF9AE}" pid="18" name="xd_Signature">
    <vt:lpwstr/>
  </property>
  <property fmtid="{D5CDD505-2E9C-101B-9397-08002B2CF9AE}" pid="19" name="RKOrdnaCheckInComment">
    <vt:lpwstr/>
  </property>
  <property fmtid="{D5CDD505-2E9C-101B-9397-08002B2CF9AE}" pid="20" name="TemplateUrl">
    <vt:lpwstr/>
  </property>
  <property fmtid="{D5CDD505-2E9C-101B-9397-08002B2CF9AE}" pid="21" name="RKOrdnaClass">
    <vt:lpwstr>3</vt:lpwstr>
  </property>
  <property fmtid="{D5CDD505-2E9C-101B-9397-08002B2CF9AE}" pid="22" name="xd_ProgID">
    <vt:lpwstr/>
  </property>
  <property fmtid="{D5CDD505-2E9C-101B-9397-08002B2CF9AE}" pid="23" name="display_urn:schemas-microsoft-com:office:office#Author">
    <vt:lpwstr>Mats Kryhl</vt:lpwstr>
  </property>
  <property fmtid="{D5CDD505-2E9C-101B-9397-08002B2CF9AE}" pid="24" name="Order">
    <vt:lpwstr>1489200.00000000</vt:lpwstr>
  </property>
  <property fmtid="{D5CDD505-2E9C-101B-9397-08002B2CF9AE}" pid="25" name="ContentTypeId">
    <vt:lpwstr>0x01010053E1D612BA3F4E21AA250ECD751942B3006F778B9470D87E4BA353C6AA74F40988</vt:lpwstr>
  </property>
  <property fmtid="{D5CDD505-2E9C-101B-9397-08002B2CF9AE}" pid="26" name="_dlc_DocId">
    <vt:lpwstr>H2RM4RCWYCXE-18-11918</vt:lpwstr>
  </property>
  <property fmtid="{D5CDD505-2E9C-101B-9397-08002B2CF9AE}" pid="27" name="_dlc_DocIdItemGuid">
    <vt:lpwstr>f8244d18-1bb4-4865-bf73-4b14602023b1</vt:lpwstr>
  </property>
  <property fmtid="{D5CDD505-2E9C-101B-9397-08002B2CF9AE}" pid="28" name="_dlc_DocIdUrl">
    <vt:lpwstr>http://rkdhs-s/enhet/sfoe/_layouts/DocIdRedir.aspx?ID=H2RM4RCWYCXE-18-11918, H2RM4RCWYCXE-18-11918</vt:lpwstr>
  </property>
  <property fmtid="{D5CDD505-2E9C-101B-9397-08002B2CF9AE}" pid="29" name="RKDepartementsenhet">
    <vt:lpwstr/>
  </property>
  <property fmtid="{D5CDD505-2E9C-101B-9397-08002B2CF9AE}" pid="30" name="RKAktivitetskategori">
    <vt:lpwstr/>
  </property>
</Properties>
</file>