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18795" windowHeight="8205" tabRatio="598"/>
  </bookViews>
  <sheets>
    <sheet name="RB 2013" sheetId="3" r:id="rId1"/>
    <sheet name="Utvecklingsmedel" sheetId="6" r:id="rId2"/>
    <sheet name="Blad1" sheetId="7" r:id="rId3"/>
  </sheets>
  <definedNames>
    <definedName name="_xlnm.Print_Titles" localSheetId="0">'RB 2013'!$H:$I</definedName>
  </definedNames>
  <calcPr calcId="145621"/>
</workbook>
</file>

<file path=xl/calcChain.xml><?xml version="1.0" encoding="utf-8"?>
<calcChain xmlns="http://schemas.openxmlformats.org/spreadsheetml/2006/main">
  <c r="CW18" i="3" l="1"/>
  <c r="CW17" i="3"/>
  <c r="CW15" i="3"/>
  <c r="AQ11" i="3" l="1"/>
  <c r="AQ12" i="3"/>
  <c r="AQ13" i="3"/>
  <c r="AQ14" i="3"/>
  <c r="AQ15" i="3"/>
  <c r="AQ16" i="3"/>
  <c r="AQ17" i="3"/>
  <c r="AQ18" i="3"/>
  <c r="AQ19" i="3"/>
  <c r="AQ20" i="3"/>
  <c r="AQ21" i="3"/>
  <c r="AQ22" i="3"/>
  <c r="AQ23" i="3"/>
  <c r="AQ24" i="3"/>
  <c r="AQ25" i="3"/>
  <c r="AQ26" i="3"/>
  <c r="AQ27" i="3"/>
  <c r="AQ28" i="3"/>
  <c r="AQ29" i="3"/>
  <c r="AQ30" i="3"/>
  <c r="AQ10" i="3"/>
  <c r="AA31" i="3" l="1"/>
  <c r="Z28" i="3" l="1"/>
  <c r="Z29" i="3"/>
  <c r="Z30" i="3"/>
  <c r="CT11" i="3" l="1"/>
  <c r="CT12" i="3"/>
  <c r="CT13" i="3"/>
  <c r="CT14" i="3"/>
  <c r="CT15" i="3"/>
  <c r="CT16" i="3"/>
  <c r="CT17" i="3"/>
  <c r="CT18" i="3"/>
  <c r="CT19" i="3"/>
  <c r="CT20" i="3"/>
  <c r="CT21" i="3"/>
  <c r="CT22" i="3"/>
  <c r="CT23" i="3"/>
  <c r="CT24" i="3"/>
  <c r="CT25" i="3"/>
  <c r="CT26" i="3"/>
  <c r="CT27" i="3"/>
  <c r="CT28" i="3"/>
  <c r="CT29" i="3"/>
  <c r="CT30" i="3"/>
  <c r="CT10" i="3"/>
  <c r="AQ33" i="3"/>
  <c r="AO10" i="3" l="1"/>
  <c r="AN30" i="3"/>
  <c r="AN27" i="3"/>
  <c r="AN21" i="3"/>
  <c r="AM30" i="3"/>
  <c r="AM29" i="3"/>
  <c r="AM28" i="3"/>
  <c r="AM27" i="3"/>
  <c r="AM26" i="3"/>
  <c r="AM25" i="3"/>
  <c r="AM24" i="3"/>
  <c r="AM23" i="3"/>
  <c r="AM22" i="3"/>
  <c r="AM21" i="3"/>
  <c r="AM20" i="3"/>
  <c r="AM19" i="3"/>
  <c r="AM18" i="3"/>
  <c r="AM17" i="3"/>
  <c r="AM16" i="3"/>
  <c r="AM15" i="3"/>
  <c r="AM14" i="3"/>
  <c r="AM13" i="3"/>
  <c r="AM12" i="3"/>
  <c r="AM11" i="3"/>
  <c r="AM10" i="3"/>
  <c r="AL28" i="3"/>
  <c r="AL27" i="3"/>
  <c r="AL26" i="3"/>
  <c r="AL25" i="3"/>
  <c r="AL24" i="3"/>
  <c r="AL23" i="3"/>
  <c r="AL22" i="3"/>
  <c r="AL19" i="3"/>
  <c r="AL18" i="3"/>
  <c r="AL17" i="3"/>
  <c r="AL16" i="3"/>
  <c r="AL15" i="3"/>
  <c r="AL14" i="3"/>
  <c r="AL13" i="3"/>
  <c r="AL12" i="3"/>
  <c r="AL11" i="3"/>
  <c r="AL10" i="3"/>
  <c r="AK30" i="3"/>
  <c r="AK29" i="3"/>
  <c r="AK27" i="3"/>
  <c r="AK26" i="3"/>
  <c r="AK21" i="3"/>
  <c r="AK20" i="3"/>
  <c r="AK19" i="3"/>
  <c r="AK18" i="3"/>
  <c r="AK17" i="3"/>
  <c r="AK16" i="3"/>
  <c r="AK13" i="3"/>
  <c r="AK12" i="3"/>
  <c r="AK11" i="3"/>
  <c r="AK10" i="3"/>
  <c r="AI30" i="3"/>
  <c r="AI26" i="3"/>
  <c r="AI21" i="3"/>
  <c r="AI19" i="3"/>
  <c r="AI10" i="3"/>
  <c r="AH19" i="3"/>
  <c r="AH18" i="3"/>
  <c r="AE30" i="3"/>
  <c r="AE29" i="3"/>
  <c r="AE28" i="3"/>
  <c r="AE27" i="3"/>
  <c r="AE26" i="3"/>
  <c r="AE25" i="3"/>
  <c r="AE24" i="3"/>
  <c r="AE23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AE10" i="3"/>
  <c r="AD23" i="3"/>
  <c r="AC21" i="3"/>
  <c r="AC19" i="3"/>
  <c r="AC10" i="3"/>
  <c r="T15" i="3"/>
  <c r="S30" i="3"/>
  <c r="S29" i="3"/>
  <c r="S28" i="3"/>
  <c r="S27" i="3"/>
  <c r="S26" i="3"/>
  <c r="S25" i="3"/>
  <c r="S24" i="3"/>
  <c r="S23" i="3"/>
  <c r="S22" i="3"/>
  <c r="S21" i="3"/>
  <c r="S11" i="3"/>
  <c r="R21" i="3"/>
  <c r="P30" i="3"/>
  <c r="P29" i="3"/>
  <c r="P28" i="3"/>
  <c r="P27" i="3"/>
  <c r="P26" i="3"/>
  <c r="P25" i="3"/>
  <c r="P23" i="3"/>
  <c r="P22" i="3"/>
  <c r="P21" i="3"/>
  <c r="O10" i="3"/>
  <c r="M21" i="3"/>
  <c r="L30" i="3"/>
  <c r="L29" i="3"/>
  <c r="L28" i="3"/>
  <c r="C11" i="3"/>
  <c r="Z31" i="3" l="1"/>
  <c r="Z37" i="3" s="1"/>
  <c r="T31" i="3"/>
  <c r="T37" i="3" s="1"/>
  <c r="R31" i="3"/>
  <c r="R37" i="3" s="1"/>
  <c r="O31" i="3"/>
  <c r="O37" i="3" s="1"/>
  <c r="M31" i="3"/>
  <c r="M37" i="3" s="1"/>
  <c r="AO31" i="3"/>
  <c r="AO37" i="3" s="1"/>
  <c r="AN31" i="3"/>
  <c r="AN37" i="3" s="1"/>
  <c r="AL31" i="3"/>
  <c r="AL37" i="3" s="1"/>
  <c r="AQ35" i="3"/>
  <c r="AQ34" i="3"/>
  <c r="AQ32" i="3"/>
  <c r="CW35" i="3"/>
  <c r="CW34" i="3"/>
  <c r="AK31" i="3"/>
  <c r="AK37" i="3" s="1"/>
  <c r="AF11" i="3"/>
  <c r="AF12" i="3"/>
  <c r="AF13" i="3"/>
  <c r="AF14" i="3"/>
  <c r="AF15" i="3"/>
  <c r="AF16" i="3"/>
  <c r="AF17" i="3"/>
  <c r="AF18" i="3"/>
  <c r="CR18" i="3" s="1"/>
  <c r="AF19" i="3"/>
  <c r="AF20" i="3"/>
  <c r="AF21" i="3"/>
  <c r="AF22" i="3"/>
  <c r="CR22" i="3" s="1"/>
  <c r="AF23" i="3"/>
  <c r="AF24" i="3"/>
  <c r="AF25" i="3"/>
  <c r="AF26" i="3"/>
  <c r="CR26" i="3" s="1"/>
  <c r="AF27" i="3"/>
  <c r="AF28" i="3"/>
  <c r="AF29" i="3"/>
  <c r="AF30" i="3"/>
  <c r="AF10" i="3"/>
  <c r="AM31" i="3"/>
  <c r="AM37" i="3" s="1"/>
  <c r="AJ31" i="3"/>
  <c r="AJ37" i="3" s="1"/>
  <c r="C7" i="3"/>
  <c r="C10" i="3"/>
  <c r="BZ10" i="3"/>
  <c r="BZ13" i="3"/>
  <c r="BZ15" i="3"/>
  <c r="BZ17" i="3"/>
  <c r="BZ19" i="3"/>
  <c r="CS19" i="3"/>
  <c r="BZ20" i="3"/>
  <c r="BZ21" i="3"/>
  <c r="CS21" i="3"/>
  <c r="BZ22" i="3"/>
  <c r="BZ23" i="3"/>
  <c r="BZ24" i="3"/>
  <c r="BZ25" i="3"/>
  <c r="BZ26" i="3"/>
  <c r="BZ27" i="3"/>
  <c r="BZ28" i="3"/>
  <c r="BZ29" i="3"/>
  <c r="BZ30" i="3"/>
  <c r="AG31" i="3"/>
  <c r="AG37" i="3" s="1"/>
  <c r="BM49" i="3"/>
  <c r="BM46" i="3"/>
  <c r="BR31" i="3"/>
  <c r="AD31" i="3"/>
  <c r="AD37" i="3" s="1"/>
  <c r="AB31" i="3"/>
  <c r="AB37" i="3" s="1"/>
  <c r="Y31" i="3"/>
  <c r="Y37" i="3" s="1"/>
  <c r="AQ36" i="3"/>
  <c r="X31" i="3"/>
  <c r="X37" i="3" s="1"/>
  <c r="Q31" i="3"/>
  <c r="Q37" i="3"/>
  <c r="BM48" i="3"/>
  <c r="N31" i="3"/>
  <c r="N37" i="3" s="1"/>
  <c r="U31" i="3"/>
  <c r="U37" i="3" s="1"/>
  <c r="V31" i="3"/>
  <c r="V37" i="3" s="1"/>
  <c r="W31" i="3"/>
  <c r="W37" i="3" s="1"/>
  <c r="CG11" i="3"/>
  <c r="CH11" i="3"/>
  <c r="CG10" i="3"/>
  <c r="CH10" i="3"/>
  <c r="CK10" i="3" s="1"/>
  <c r="CG12" i="3"/>
  <c r="CK12" i="3" s="1"/>
  <c r="CH12" i="3"/>
  <c r="CG13" i="3"/>
  <c r="CH13" i="3"/>
  <c r="CG14" i="3"/>
  <c r="CH14" i="3"/>
  <c r="CG15" i="3"/>
  <c r="CH15" i="3"/>
  <c r="CK15" i="3" s="1"/>
  <c r="CG16" i="3"/>
  <c r="CK16" i="3" s="1"/>
  <c r="CH16" i="3"/>
  <c r="CG17" i="3"/>
  <c r="CH17" i="3"/>
  <c r="CG18" i="3"/>
  <c r="CH18" i="3"/>
  <c r="CG19" i="3"/>
  <c r="CH19" i="3"/>
  <c r="CK19" i="3" s="1"/>
  <c r="CG20" i="3"/>
  <c r="CK20" i="3" s="1"/>
  <c r="CH20" i="3"/>
  <c r="CG21" i="3"/>
  <c r="CH21" i="3"/>
  <c r="CG22" i="3"/>
  <c r="CH22" i="3"/>
  <c r="CG23" i="3"/>
  <c r="CH23" i="3"/>
  <c r="CG24" i="3"/>
  <c r="CH24" i="3"/>
  <c r="CG25" i="3"/>
  <c r="CH25" i="3"/>
  <c r="CG26" i="3"/>
  <c r="CH26" i="3"/>
  <c r="CG27" i="3"/>
  <c r="CH27" i="3"/>
  <c r="CG28" i="3"/>
  <c r="CH28" i="3"/>
  <c r="CG29" i="3"/>
  <c r="CH29" i="3"/>
  <c r="CK29" i="3" s="1"/>
  <c r="CG30" i="3"/>
  <c r="CH30" i="3"/>
  <c r="AS10" i="3"/>
  <c r="AT8" i="3"/>
  <c r="AT12" i="3" s="1"/>
  <c r="AS11" i="3"/>
  <c r="AS12" i="3"/>
  <c r="AS13" i="3"/>
  <c r="AS14" i="3"/>
  <c r="AT14" i="3" s="1"/>
  <c r="AS15" i="3"/>
  <c r="AT15" i="3" s="1"/>
  <c r="AS16" i="3"/>
  <c r="AS17" i="3"/>
  <c r="AS18" i="3"/>
  <c r="AT18" i="3" s="1"/>
  <c r="AS19" i="3"/>
  <c r="AS20" i="3"/>
  <c r="AS21" i="3"/>
  <c r="AS22" i="3"/>
  <c r="AT22" i="3" s="1"/>
  <c r="AS23" i="3"/>
  <c r="AS24" i="3"/>
  <c r="AS25" i="3"/>
  <c r="AS26" i="3"/>
  <c r="AT26" i="3" s="1"/>
  <c r="AS27" i="3"/>
  <c r="AT27" i="3" s="1"/>
  <c r="AS28" i="3"/>
  <c r="AS29" i="3"/>
  <c r="AS30" i="3"/>
  <c r="AT30" i="3" s="1"/>
  <c r="AS31" i="3"/>
  <c r="CM9" i="3"/>
  <c r="CT31" i="3"/>
  <c r="BL31" i="3"/>
  <c r="BM31" i="3"/>
  <c r="BN31" i="3"/>
  <c r="BO31" i="3"/>
  <c r="BP31" i="3"/>
  <c r="BQ31" i="3"/>
  <c r="BK31" i="3"/>
  <c r="CK22" i="3"/>
  <c r="BZ18" i="3"/>
  <c r="BZ16" i="3"/>
  <c r="BZ14" i="3"/>
  <c r="BZ11" i="3"/>
  <c r="BZ12" i="3"/>
  <c r="AA37" i="3"/>
  <c r="CK21" i="3"/>
  <c r="CS31" i="3"/>
  <c r="CG31" i="3" l="1"/>
  <c r="AH31" i="3"/>
  <c r="AH37" i="3" s="1"/>
  <c r="AF31" i="3"/>
  <c r="AF37" i="3" s="1"/>
  <c r="AT28" i="3"/>
  <c r="AT10" i="3"/>
  <c r="AT31" i="3" s="1"/>
  <c r="AT20" i="3"/>
  <c r="CK28" i="3"/>
  <c r="CK26" i="3"/>
  <c r="CL26" i="3" s="1"/>
  <c r="CM26" i="3" s="1"/>
  <c r="AT17" i="3"/>
  <c r="AT25" i="3"/>
  <c r="CK27" i="3"/>
  <c r="AT24" i="3"/>
  <c r="AT23" i="3"/>
  <c r="AT11" i="3"/>
  <c r="CK24" i="3"/>
  <c r="CK14" i="3"/>
  <c r="CR16" i="3"/>
  <c r="CR12" i="3"/>
  <c r="AE31" i="3"/>
  <c r="AE37" i="3" s="1"/>
  <c r="CR11" i="3"/>
  <c r="AT29" i="3"/>
  <c r="AT21" i="3"/>
  <c r="AT13" i="3"/>
  <c r="CK25" i="3"/>
  <c r="AT19" i="3"/>
  <c r="AT16" i="3"/>
  <c r="CK18" i="3"/>
  <c r="CK11" i="3"/>
  <c r="CK30" i="3"/>
  <c r="CK23" i="3"/>
  <c r="CK17" i="3"/>
  <c r="CK13" i="3"/>
  <c r="BZ31" i="3"/>
  <c r="CK31" i="3"/>
  <c r="CL23" i="3" s="1"/>
  <c r="CM23" i="3" s="1"/>
  <c r="CL14" i="3"/>
  <c r="CM14" i="3" s="1"/>
  <c r="CR24" i="3"/>
  <c r="CH31" i="3"/>
  <c r="CR25" i="3"/>
  <c r="CR29" i="3"/>
  <c r="AC31" i="3"/>
  <c r="AC37" i="3" s="1"/>
  <c r="CR20" i="3"/>
  <c r="CR15" i="3"/>
  <c r="CR30" i="3"/>
  <c r="CR13" i="3"/>
  <c r="CR17" i="3"/>
  <c r="CR10" i="3"/>
  <c r="AI31" i="3"/>
  <c r="AI37" i="3" s="1"/>
  <c r="CR27" i="3"/>
  <c r="CR14" i="3"/>
  <c r="CR21" i="3"/>
  <c r="CR19" i="3"/>
  <c r="CR23" i="3"/>
  <c r="S31" i="3"/>
  <c r="S37" i="3" s="1"/>
  <c r="CR28" i="3"/>
  <c r="P31" i="3"/>
  <c r="P37" i="3" s="1"/>
  <c r="L31" i="3"/>
  <c r="L37" i="3" s="1"/>
  <c r="CL18" i="3" l="1"/>
  <c r="CM18" i="3" s="1"/>
  <c r="CL20" i="3"/>
  <c r="CM20" i="3" s="1"/>
  <c r="CL21" i="3"/>
  <c r="CM21" i="3" s="1"/>
  <c r="CL19" i="3"/>
  <c r="CM19" i="3" s="1"/>
  <c r="CL25" i="3"/>
  <c r="CM25" i="3" s="1"/>
  <c r="CL16" i="3"/>
  <c r="CM16" i="3" s="1"/>
  <c r="CL10" i="3"/>
  <c r="CM10" i="3" s="1"/>
  <c r="CM31" i="3" s="1"/>
  <c r="CL13" i="3"/>
  <c r="CM13" i="3" s="1"/>
  <c r="CL11" i="3"/>
  <c r="CM11" i="3" s="1"/>
  <c r="CL17" i="3"/>
  <c r="CM17" i="3" s="1"/>
  <c r="CL12" i="3"/>
  <c r="CM12" i="3" s="1"/>
  <c r="CL28" i="3"/>
  <c r="CM28" i="3" s="1"/>
  <c r="CL24" i="3"/>
  <c r="CM24" i="3" s="1"/>
  <c r="CL27" i="3"/>
  <c r="CM27" i="3" s="1"/>
  <c r="CL15" i="3"/>
  <c r="CM15" i="3" s="1"/>
  <c r="CL22" i="3"/>
  <c r="CM22" i="3" s="1"/>
  <c r="CL29" i="3"/>
  <c r="CM29" i="3" s="1"/>
  <c r="CL30" i="3"/>
  <c r="CM30" i="3" s="1"/>
  <c r="CR31" i="3"/>
  <c r="AQ31" i="3"/>
  <c r="AQ37" i="3" s="1"/>
  <c r="C9" i="3" s="1"/>
  <c r="C13" i="3" s="1"/>
  <c r="C16" i="3" s="1"/>
  <c r="BO35" i="3" s="1"/>
  <c r="BO43" i="3" s="1"/>
  <c r="CB13" i="3" s="1"/>
  <c r="CL31" i="3" l="1"/>
  <c r="CB11" i="3"/>
  <c r="CB18" i="3"/>
  <c r="CB12" i="3"/>
  <c r="CB21" i="3"/>
  <c r="CB17" i="3"/>
  <c r="CB10" i="3"/>
  <c r="CB30" i="3"/>
  <c r="CB19" i="3"/>
  <c r="BO40" i="3"/>
  <c r="BY26" i="3" s="1"/>
  <c r="CB29" i="3"/>
  <c r="CB24" i="3"/>
  <c r="CB20" i="3"/>
  <c r="BO41" i="3"/>
  <c r="CB26" i="3"/>
  <c r="CB23" i="3"/>
  <c r="BO39" i="3"/>
  <c r="BX27" i="3" s="1"/>
  <c r="CB15" i="3"/>
  <c r="BO42" i="3"/>
  <c r="CA15" i="3" s="1"/>
  <c r="CB25" i="3"/>
  <c r="CB16" i="3"/>
  <c r="CB27" i="3"/>
  <c r="CB14" i="3"/>
  <c r="BO45" i="3"/>
  <c r="CD13" i="3" s="1"/>
  <c r="CB28" i="3"/>
  <c r="CB22" i="3"/>
  <c r="BO37" i="3"/>
  <c r="BW17" i="3" s="1"/>
  <c r="BO44" i="3"/>
  <c r="CC10" i="3" s="1"/>
  <c r="BX25" i="3" l="1"/>
  <c r="BY30" i="3"/>
  <c r="BY13" i="3"/>
  <c r="BX20" i="3"/>
  <c r="BY17" i="3"/>
  <c r="BY25" i="3"/>
  <c r="CC12" i="3"/>
  <c r="CA23" i="3"/>
  <c r="BY14" i="3"/>
  <c r="BY28" i="3"/>
  <c r="BY15" i="3"/>
  <c r="BY16" i="3"/>
  <c r="BX29" i="3"/>
  <c r="BW22" i="3"/>
  <c r="BX22" i="3"/>
  <c r="BX11" i="3"/>
  <c r="BX16" i="3"/>
  <c r="BX24" i="3"/>
  <c r="CD21" i="3"/>
  <c r="CD30" i="3"/>
  <c r="BX12" i="3"/>
  <c r="BX30" i="3"/>
  <c r="CC27" i="3"/>
  <c r="CC21" i="3"/>
  <c r="CD10" i="3"/>
  <c r="CA20" i="3"/>
  <c r="CA22" i="3"/>
  <c r="BW14" i="3"/>
  <c r="BY27" i="3"/>
  <c r="BY24" i="3"/>
  <c r="BW18" i="3"/>
  <c r="BY18" i="3"/>
  <c r="CA27" i="3"/>
  <c r="BY23" i="3"/>
  <c r="BX17" i="3"/>
  <c r="BX23" i="3"/>
  <c r="BY22" i="3"/>
  <c r="BY20" i="3"/>
  <c r="BW26" i="3"/>
  <c r="BY10" i="3"/>
  <c r="BX19" i="3"/>
  <c r="BY19" i="3"/>
  <c r="CD29" i="3"/>
  <c r="CD24" i="3"/>
  <c r="CC16" i="3"/>
  <c r="CD27" i="3"/>
  <c r="CC25" i="3"/>
  <c r="CC15" i="3"/>
  <c r="CD16" i="3"/>
  <c r="CD12" i="3"/>
  <c r="CC24" i="3"/>
  <c r="CD15" i="3"/>
  <c r="CC11" i="3"/>
  <c r="CD28" i="3"/>
  <c r="CC13" i="3"/>
  <c r="CD25" i="3"/>
  <c r="CD11" i="3"/>
  <c r="CC28" i="3"/>
  <c r="CD20" i="3"/>
  <c r="CD19" i="3"/>
  <c r="BO46" i="3"/>
  <c r="CD14" i="3"/>
  <c r="BY29" i="3"/>
  <c r="CC17" i="3"/>
  <c r="BY12" i="3"/>
  <c r="BY21" i="3"/>
  <c r="CC18" i="3"/>
  <c r="CD17" i="3"/>
  <c r="CC22" i="3"/>
  <c r="BW20" i="3"/>
  <c r="CC14" i="3"/>
  <c r="BY11" i="3"/>
  <c r="CA29" i="3"/>
  <c r="CA13" i="3"/>
  <c r="CA25" i="3"/>
  <c r="BW16" i="3"/>
  <c r="BW12" i="3"/>
  <c r="BW13" i="3"/>
  <c r="CA14" i="3"/>
  <c r="BW28" i="3"/>
  <c r="BW11" i="3"/>
  <c r="BW21" i="3"/>
  <c r="CA21" i="3"/>
  <c r="CB31" i="3"/>
  <c r="CA16" i="3"/>
  <c r="CA26" i="3"/>
  <c r="BW29" i="3"/>
  <c r="BW25" i="3"/>
  <c r="BW23" i="3"/>
  <c r="BW10" i="3"/>
  <c r="BW27" i="3"/>
  <c r="CA19" i="3"/>
  <c r="CA10" i="3"/>
  <c r="CA24" i="3"/>
  <c r="CA17" i="3"/>
  <c r="BX14" i="3"/>
  <c r="BX28" i="3"/>
  <c r="CA30" i="3"/>
  <c r="BX15" i="3"/>
  <c r="BW30" i="3"/>
  <c r="BW15" i="3"/>
  <c r="BW19" i="3"/>
  <c r="BW24" i="3"/>
  <c r="CA18" i="3"/>
  <c r="BX21" i="3"/>
  <c r="CA12" i="3"/>
  <c r="BX13" i="3"/>
  <c r="CD22" i="3"/>
  <c r="CD23" i="3"/>
  <c r="CC30" i="3"/>
  <c r="CD18" i="3"/>
  <c r="CC26" i="3"/>
  <c r="CD26" i="3"/>
  <c r="CC23" i="3"/>
  <c r="CC19" i="3"/>
  <c r="BX10" i="3"/>
  <c r="BX26" i="3"/>
  <c r="BX18" i="3"/>
  <c r="CA11" i="3"/>
  <c r="CA28" i="3"/>
  <c r="CC20" i="3"/>
  <c r="CC29" i="3"/>
  <c r="CE13" i="3" l="1"/>
  <c r="CU13" i="3" s="1"/>
  <c r="CW13" i="3" s="1"/>
  <c r="DA13" i="3" s="1"/>
  <c r="CE23" i="3"/>
  <c r="F18" i="6" s="1"/>
  <c r="CE16" i="3"/>
  <c r="CU16" i="3" s="1"/>
  <c r="CW16" i="3" s="1"/>
  <c r="DA16" i="3" s="1"/>
  <c r="BY31" i="3"/>
  <c r="CE27" i="3"/>
  <c r="F22" i="6" s="1"/>
  <c r="CE20" i="3"/>
  <c r="F15" i="6" s="1"/>
  <c r="CE21" i="3"/>
  <c r="CU21" i="3" s="1"/>
  <c r="CE28" i="3"/>
  <c r="CU28" i="3" s="1"/>
  <c r="CW28" i="3" s="1"/>
  <c r="DA28" i="3" s="1"/>
  <c r="CA31" i="3"/>
  <c r="CE12" i="3"/>
  <c r="F7" i="6" s="1"/>
  <c r="CE22" i="3"/>
  <c r="F17" i="6" s="1"/>
  <c r="CE11" i="3"/>
  <c r="CU11" i="3" s="1"/>
  <c r="CW11" i="3" s="1"/>
  <c r="DA11" i="3" s="1"/>
  <c r="CD31" i="3"/>
  <c r="CE24" i="3"/>
  <c r="F19" i="6" s="1"/>
  <c r="CE15" i="3"/>
  <c r="F10" i="6" s="1"/>
  <c r="CE17" i="3"/>
  <c r="CU17" i="3" s="1"/>
  <c r="DA17" i="3" s="1"/>
  <c r="CE14" i="3"/>
  <c r="F9" i="6" s="1"/>
  <c r="CE25" i="3"/>
  <c r="F20" i="6" s="1"/>
  <c r="CE18" i="3"/>
  <c r="F13" i="6" s="1"/>
  <c r="CE30" i="3"/>
  <c r="F25" i="6" s="1"/>
  <c r="CE19" i="3"/>
  <c r="F14" i="6" s="1"/>
  <c r="BW31" i="3"/>
  <c r="CE10" i="3"/>
  <c r="F5" i="6" s="1"/>
  <c r="BX31" i="3"/>
  <c r="CE29" i="3"/>
  <c r="F24" i="6" s="1"/>
  <c r="CC31" i="3"/>
  <c r="CE26" i="3"/>
  <c r="F21" i="6" s="1"/>
  <c r="CW21" i="3" l="1"/>
  <c r="DA21" i="3" s="1"/>
  <c r="CU27" i="3"/>
  <c r="CW27" i="3" s="1"/>
  <c r="DA27" i="3" s="1"/>
  <c r="CU10" i="3"/>
  <c r="CU24" i="3"/>
  <c r="CW24" i="3" s="1"/>
  <c r="DA24" i="3" s="1"/>
  <c r="F8" i="6"/>
  <c r="CU23" i="3"/>
  <c r="CW23" i="3" s="1"/>
  <c r="DA23" i="3" s="1"/>
  <c r="CU19" i="3"/>
  <c r="CW19" i="3" s="1"/>
  <c r="DA19" i="3" s="1"/>
  <c r="CU20" i="3"/>
  <c r="CW20" i="3" s="1"/>
  <c r="DA20" i="3" s="1"/>
  <c r="CU12" i="3"/>
  <c r="CW12" i="3" s="1"/>
  <c r="DA12" i="3" s="1"/>
  <c r="CU15" i="3"/>
  <c r="DA15" i="3" s="1"/>
  <c r="CU22" i="3"/>
  <c r="CW22" i="3" s="1"/>
  <c r="DA22" i="3" s="1"/>
  <c r="F11" i="6"/>
  <c r="CU18" i="3"/>
  <c r="DA18" i="3" s="1"/>
  <c r="F6" i="6"/>
  <c r="F23" i="6"/>
  <c r="F12" i="6"/>
  <c r="F16" i="6"/>
  <c r="CU29" i="3"/>
  <c r="CW29" i="3" s="1"/>
  <c r="DA29" i="3" s="1"/>
  <c r="CU25" i="3"/>
  <c r="CW25" i="3" s="1"/>
  <c r="DA25" i="3" s="1"/>
  <c r="CE31" i="3"/>
  <c r="CU14" i="3"/>
  <c r="CW14" i="3" s="1"/>
  <c r="DA14" i="3" s="1"/>
  <c r="CU30" i="3"/>
  <c r="CW30" i="3" s="1"/>
  <c r="DA30" i="3" s="1"/>
  <c r="CU26" i="3"/>
  <c r="CW26" i="3" s="1"/>
  <c r="DA26" i="3" s="1"/>
  <c r="CW10" i="3" l="1"/>
  <c r="DA10" i="3" s="1"/>
  <c r="DA31" i="3" s="1"/>
  <c r="F32" i="6"/>
  <c r="G25" i="6" s="1"/>
  <c r="H25" i="6" s="1"/>
  <c r="CU31" i="3"/>
  <c r="CW31" i="3" l="1"/>
  <c r="CX10" i="3" s="1"/>
  <c r="G11" i="6"/>
  <c r="H11" i="6" s="1"/>
  <c r="G7" i="6"/>
  <c r="H7" i="6" s="1"/>
  <c r="G19" i="6"/>
  <c r="H19" i="6" s="1"/>
  <c r="G18" i="6"/>
  <c r="H18" i="6" s="1"/>
  <c r="G17" i="6"/>
  <c r="H17" i="6" s="1"/>
  <c r="G16" i="6"/>
  <c r="H16" i="6" s="1"/>
  <c r="G13" i="6"/>
  <c r="H13" i="6" s="1"/>
  <c r="G23" i="6"/>
  <c r="H23" i="6" s="1"/>
  <c r="G6" i="6"/>
  <c r="H6" i="6" s="1"/>
  <c r="G10" i="6"/>
  <c r="H10" i="6" s="1"/>
  <c r="G15" i="6"/>
  <c r="H15" i="6" s="1"/>
  <c r="G5" i="6"/>
  <c r="H5" i="6" s="1"/>
  <c r="G24" i="6"/>
  <c r="H24" i="6" s="1"/>
  <c r="G22" i="6"/>
  <c r="H22" i="6" s="1"/>
  <c r="G8" i="6"/>
  <c r="H8" i="6" s="1"/>
  <c r="G12" i="6"/>
  <c r="H12" i="6" s="1"/>
  <c r="G21" i="6"/>
  <c r="H21" i="6" s="1"/>
  <c r="G9" i="6"/>
  <c r="H9" i="6" s="1"/>
  <c r="G32" i="6"/>
  <c r="G14" i="6"/>
  <c r="H14" i="6" s="1"/>
  <c r="G20" i="6"/>
  <c r="H20" i="6" s="1"/>
  <c r="CX14" i="3" l="1"/>
  <c r="CX18" i="3"/>
  <c r="CX28" i="3"/>
  <c r="CX30" i="3"/>
  <c r="CX26" i="3"/>
  <c r="CX15" i="3"/>
  <c r="CX23" i="3"/>
  <c r="CX25" i="3"/>
  <c r="CX19" i="3"/>
  <c r="CX21" i="3"/>
  <c r="CX12" i="3"/>
  <c r="CX20" i="3"/>
  <c r="CX17" i="3"/>
  <c r="CX22" i="3"/>
  <c r="CX13" i="3"/>
  <c r="CX29" i="3"/>
  <c r="CX16" i="3"/>
  <c r="CX31" i="3"/>
  <c r="CX11" i="3"/>
  <c r="CW37" i="3"/>
  <c r="CX27" i="3"/>
  <c r="CX24" i="3"/>
  <c r="H32" i="6"/>
</calcChain>
</file>

<file path=xl/sharedStrings.xml><?xml version="1.0" encoding="utf-8"?>
<sst xmlns="http://schemas.openxmlformats.org/spreadsheetml/2006/main" count="316" uniqueCount="189">
  <si>
    <t>Summa</t>
  </si>
  <si>
    <t>Kronoberg</t>
  </si>
  <si>
    <t>Uppsala</t>
  </si>
  <si>
    <t>Kalmar</t>
  </si>
  <si>
    <t>Blekinge</t>
  </si>
  <si>
    <t>Skåne</t>
  </si>
  <si>
    <t>Dalarna</t>
  </si>
  <si>
    <t>Gotland</t>
  </si>
  <si>
    <t>Stockholm</t>
  </si>
  <si>
    <t>Gävleborg</t>
  </si>
  <si>
    <t>O</t>
  </si>
  <si>
    <t>Avgår riktade medel</t>
  </si>
  <si>
    <t>AB</t>
  </si>
  <si>
    <t>C</t>
  </si>
  <si>
    <t>D</t>
  </si>
  <si>
    <t>Södermanland</t>
  </si>
  <si>
    <t>E</t>
  </si>
  <si>
    <t>Östergötland</t>
  </si>
  <si>
    <t>F</t>
  </si>
  <si>
    <t>Jönköping</t>
  </si>
  <si>
    <t>G</t>
  </si>
  <si>
    <t>H</t>
  </si>
  <si>
    <t>I</t>
  </si>
  <si>
    <t>K</t>
  </si>
  <si>
    <t>M</t>
  </si>
  <si>
    <t>N</t>
  </si>
  <si>
    <t>Halland</t>
  </si>
  <si>
    <t>Västra Götaland</t>
  </si>
  <si>
    <t>S</t>
  </si>
  <si>
    <t>Värmland</t>
  </si>
  <si>
    <t>T</t>
  </si>
  <si>
    <t>Örebro</t>
  </si>
  <si>
    <t>U</t>
  </si>
  <si>
    <t>Västmanland</t>
  </si>
  <si>
    <t>W</t>
  </si>
  <si>
    <t>X</t>
  </si>
  <si>
    <t>Y</t>
  </si>
  <si>
    <t>Västernorrland</t>
  </si>
  <si>
    <t>Z</t>
  </si>
  <si>
    <t>Jämtland</t>
  </si>
  <si>
    <t>AC</t>
  </si>
  <si>
    <t>Västerbotten</t>
  </si>
  <si>
    <t>BD</t>
  </si>
  <si>
    <t>Norrbotten</t>
  </si>
  <si>
    <t>Ofördelat</t>
  </si>
  <si>
    <t>Reg. disp</t>
  </si>
  <si>
    <t>RK-disp</t>
  </si>
  <si>
    <t>Rennäring</t>
  </si>
  <si>
    <t>medel</t>
  </si>
  <si>
    <t>Att fördela</t>
  </si>
  <si>
    <t>6*3 mnkr</t>
  </si>
  <si>
    <t>Till modellen</t>
  </si>
  <si>
    <t>Gammal modell</t>
  </si>
  <si>
    <t>Andel</t>
  </si>
  <si>
    <t>Summa tot</t>
  </si>
  <si>
    <t>Summa lst</t>
  </si>
  <si>
    <t>Medel att fördela</t>
  </si>
  <si>
    <t xml:space="preserve"> </t>
  </si>
  <si>
    <t>VIKT</t>
  </si>
  <si>
    <t xml:space="preserve">folkmängd </t>
  </si>
  <si>
    <t>landyta inkl sjöar &amp; hav</t>
  </si>
  <si>
    <t>kommunantal</t>
  </si>
  <si>
    <t>naturreservat</t>
  </si>
  <si>
    <t>länsanslag</t>
  </si>
  <si>
    <t>Miljöavgifter</t>
  </si>
  <si>
    <t>folkmängd</t>
  </si>
  <si>
    <t xml:space="preserve">areal </t>
  </si>
  <si>
    <t>kommun-</t>
  </si>
  <si>
    <t>reser-</t>
  </si>
  <si>
    <t>läns-</t>
  </si>
  <si>
    <t>miljöavgift</t>
  </si>
  <si>
    <t>inkl strand</t>
  </si>
  <si>
    <t>antal</t>
  </si>
  <si>
    <t>vat</t>
  </si>
  <si>
    <t>anslag</t>
  </si>
  <si>
    <t>SUMMA</t>
  </si>
  <si>
    <t>miljö-</t>
  </si>
  <si>
    <t>avgifter</t>
  </si>
  <si>
    <t xml:space="preserve">GIS </t>
  </si>
  <si>
    <t xml:space="preserve">Integration </t>
  </si>
  <si>
    <t xml:space="preserve">Stiftelserev </t>
  </si>
  <si>
    <t xml:space="preserve">Jaktbrott </t>
  </si>
  <si>
    <t xml:space="preserve">L-h nätverk </t>
  </si>
  <si>
    <t xml:space="preserve">Rovdjursförv </t>
  </si>
  <si>
    <t xml:space="preserve">Åsnen </t>
  </si>
  <si>
    <t xml:space="preserve">Sametinget </t>
  </si>
  <si>
    <t>Summa totalt</t>
  </si>
  <si>
    <t xml:space="preserve">Riktade </t>
  </si>
  <si>
    <t>Extra</t>
  </si>
  <si>
    <t>orter</t>
  </si>
  <si>
    <t>Grund-</t>
  </si>
  <si>
    <t>belopp</t>
  </si>
  <si>
    <t>modell</t>
  </si>
  <si>
    <t>Avgår riktade</t>
  </si>
  <si>
    <t xml:space="preserve">2/3 gammal </t>
  </si>
  <si>
    <t>Extra orter</t>
  </si>
  <si>
    <t>Grundblopp</t>
  </si>
  <si>
    <t>Inkl KSO</t>
  </si>
  <si>
    <t>32:2</t>
  </si>
  <si>
    <t>Strukturfond</t>
  </si>
  <si>
    <t>RB 2007</t>
  </si>
  <si>
    <t xml:space="preserve">Adm chefer </t>
  </si>
  <si>
    <t xml:space="preserve">Hämtat från </t>
  </si>
  <si>
    <t>Statistik fördelningsmodell.xls</t>
  </si>
  <si>
    <t>Från villkor</t>
  </si>
  <si>
    <t>32:1</t>
  </si>
  <si>
    <t>Från anslag</t>
  </si>
  <si>
    <t>parametrar</t>
  </si>
  <si>
    <t xml:space="preserve"> Miljösam. </t>
  </si>
  <si>
    <t xml:space="preserve">Sverige </t>
  </si>
  <si>
    <t xml:space="preserve">Avgår extra orter </t>
  </si>
  <si>
    <t>Avgår grundbelopp</t>
  </si>
  <si>
    <t>1-3</t>
  </si>
  <si>
    <t>omf 2009 KSO</t>
  </si>
  <si>
    <t>Att fördela i modell</t>
  </si>
  <si>
    <t>inkl PLO</t>
  </si>
  <si>
    <t>ej PLO</t>
  </si>
  <si>
    <t>Till parametrar</t>
  </si>
  <si>
    <t>Avgår ap 22 utvanslag</t>
  </si>
  <si>
    <t>Ap 22</t>
  </si>
  <si>
    <t>Gem utv medel</t>
  </si>
  <si>
    <t>Terrr.prgrm</t>
  </si>
  <si>
    <t>konc.</t>
  </si>
  <si>
    <t>stiftelser</t>
  </si>
  <si>
    <t>Kamp</t>
  </si>
  <si>
    <t>sport</t>
  </si>
  <si>
    <t>jordbrukar</t>
  </si>
  <si>
    <t>landsb. stöd</t>
  </si>
  <si>
    <t>djurskydds</t>
  </si>
  <si>
    <t>kontr</t>
  </si>
  <si>
    <t>7 parameter</t>
  </si>
  <si>
    <t>jordbr. landsb. stöd</t>
  </si>
  <si>
    <t>djurskyddskontr</t>
  </si>
  <si>
    <t>4-7</t>
  </si>
  <si>
    <t>medel till Z,AC</t>
  </si>
  <si>
    <t>och BD för</t>
  </si>
  <si>
    <t>neddraget med motsv. belopp</t>
  </si>
  <si>
    <t>i villkor till resp. anslagspost</t>
  </si>
  <si>
    <t>Terrr.prgrm*</t>
  </si>
  <si>
    <t>omf 2009 KSO*</t>
  </si>
  <si>
    <t>*Utbet. till KSO.</t>
  </si>
  <si>
    <t xml:space="preserve">modellen </t>
  </si>
  <si>
    <t>extra djur</t>
  </si>
  <si>
    <t>skyddsmedel</t>
  </si>
  <si>
    <t>samordning</t>
  </si>
  <si>
    <t>flyktingmott/</t>
  </si>
  <si>
    <t>ensamkomm.</t>
  </si>
  <si>
    <t>överföring</t>
  </si>
  <si>
    <t>jordbr stöd</t>
  </si>
  <si>
    <t>Skåne/Blekinge</t>
  </si>
  <si>
    <t>a-kredit</t>
  </si>
  <si>
    <t>Avfallstransp.</t>
  </si>
  <si>
    <t>BP11</t>
  </si>
  <si>
    <t>plo</t>
  </si>
  <si>
    <t>ok</t>
  </si>
  <si>
    <t>U-län</t>
  </si>
  <si>
    <t>Havs</t>
  </si>
  <si>
    <t>planering</t>
  </si>
  <si>
    <t>sju</t>
  </si>
  <si>
    <t>De sju ingångsparametrarna:</t>
  </si>
  <si>
    <t>ofördelat</t>
  </si>
  <si>
    <t>extra medel</t>
  </si>
  <si>
    <t>Penningtv</t>
  </si>
  <si>
    <t>och 2012</t>
  </si>
  <si>
    <t>2009 och</t>
  </si>
  <si>
    <t>utrednings</t>
  </si>
  <si>
    <t xml:space="preserve">kontoren </t>
  </si>
  <si>
    <t>centralmynd</t>
  </si>
  <si>
    <t>för intern delg</t>
  </si>
  <si>
    <t>grundbeloppet = 34,0 - 0,1 * 1,0057. 2012 drogs 100 tkr från varje lst för</t>
  </si>
  <si>
    <t xml:space="preserve">slopanden av Hermesavgiften. From 2013 regleras detta genom att </t>
  </si>
  <si>
    <t>Rresultat per parameter:</t>
  </si>
  <si>
    <t>grundbeloppet justeras isf egen kolumn under riktade medel.</t>
  </si>
  <si>
    <t>konc. av</t>
  </si>
  <si>
    <t>MPD</t>
  </si>
  <si>
    <t xml:space="preserve">konc. av </t>
  </si>
  <si>
    <t>div. verks.</t>
  </si>
  <si>
    <t>2012-15</t>
  </si>
  <si>
    <t>PLO:</t>
  </si>
  <si>
    <t>ej plo</t>
  </si>
  <si>
    <t>2014-2017</t>
  </si>
  <si>
    <t>21* 35,3 mnkr</t>
  </si>
  <si>
    <t>Modell 2015, avgår riktade medel som fördelats sedan 1998 (berörda poster uppräknat i 2015-års nivå)</t>
  </si>
  <si>
    <t>överförmyndar</t>
  </si>
  <si>
    <t>statistik</t>
  </si>
  <si>
    <t>Grundbelopp</t>
  </si>
  <si>
    <t>Fördelning 2015</t>
  </si>
  <si>
    <t>Att fördela enligt riksdagsbeslut</t>
  </si>
  <si>
    <t>Avrundningseffekt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</si>
</sst>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%"/>
  </numFmts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OrigGarmnd BT"/>
      <family val="1"/>
    </font>
    <font>
      <sz val="8"/>
      <name val="OrigGarmnd BT"/>
      <family val="1"/>
    </font>
    <font>
      <sz val="8"/>
      <color indexed="10"/>
      <name val="OrigGarmnd BT"/>
      <family val="1"/>
    </font>
    <font>
      <b/>
      <sz val="8"/>
      <name val="Arial"/>
      <family val="2"/>
    </font>
    <font>
      <b/>
      <sz val="8"/>
      <name val="OrigGarmnd BT"/>
      <family val="1"/>
    </font>
    <font>
      <u/>
      <sz val="10"/>
      <color indexed="12"/>
      <name val="Arial"/>
      <family val="2"/>
    </font>
    <font>
      <sz val="8"/>
      <color indexed="11"/>
      <name val="Arial"/>
      <family val="2"/>
    </font>
    <font>
      <b/>
      <sz val="11"/>
      <name val="OrigGarmnd BT"/>
      <family val="1"/>
    </font>
    <font>
      <sz val="8"/>
      <color indexed="10"/>
      <name val="Arial"/>
      <family val="2"/>
    </font>
    <font>
      <b/>
      <i/>
      <sz val="8"/>
      <name val="Arial"/>
      <family val="2"/>
    </font>
    <font>
      <i/>
      <sz val="8"/>
      <color indexed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rgb="FFFF0000"/>
      <name val="Arial"/>
      <family val="2"/>
    </font>
    <font>
      <sz val="8"/>
      <color rgb="FFFFFF00"/>
      <name val="Arial"/>
      <family val="2"/>
    </font>
    <font>
      <sz val="10"/>
      <color rgb="FFFFFF0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41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256">
    <xf numFmtId="0" fontId="0" fillId="0" borderId="0" xfId="0"/>
    <xf numFmtId="3" fontId="0" fillId="0" borderId="0" xfId="0" applyNumberFormat="1"/>
    <xf numFmtId="0" fontId="4" fillId="0" borderId="0" xfId="0" applyFont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7" fillId="0" borderId="0" xfId="0" applyNumberFormat="1" applyFont="1" applyBorder="1"/>
    <xf numFmtId="3" fontId="8" fillId="0" borderId="0" xfId="0" applyNumberFormat="1" applyFont="1" applyBorder="1"/>
    <xf numFmtId="0" fontId="9" fillId="0" borderId="0" xfId="0" applyFont="1" applyFill="1" applyBorder="1" applyAlignment="1">
      <alignment horizontal="right"/>
    </xf>
    <xf numFmtId="2" fontId="2" fillId="0" borderId="0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2" fillId="0" borderId="2" xfId="0" applyFont="1" applyFill="1" applyBorder="1"/>
    <xf numFmtId="0" fontId="2" fillId="0" borderId="3" xfId="0" applyFont="1" applyFill="1" applyBorder="1" applyAlignment="1">
      <alignment horizontal="right"/>
    </xf>
    <xf numFmtId="0" fontId="2" fillId="0" borderId="4" xfId="0" applyFont="1" applyFill="1" applyBorder="1"/>
    <xf numFmtId="3" fontId="2" fillId="0" borderId="4" xfId="0" applyNumberFormat="1" applyFont="1" applyFill="1" applyBorder="1"/>
    <xf numFmtId="3" fontId="2" fillId="0" borderId="3" xfId="0" applyNumberFormat="1" applyFont="1" applyFill="1" applyBorder="1" applyAlignment="1">
      <alignment horizontal="right"/>
    </xf>
    <xf numFmtId="3" fontId="2" fillId="0" borderId="5" xfId="0" applyNumberFormat="1" applyFont="1" applyFill="1" applyBorder="1" applyAlignment="1">
      <alignment horizontal="right"/>
    </xf>
    <xf numFmtId="3" fontId="2" fillId="0" borderId="6" xfId="0" applyNumberFormat="1" applyFont="1" applyFill="1" applyBorder="1" applyAlignment="1">
      <alignment horizontal="right"/>
    </xf>
    <xf numFmtId="3" fontId="2" fillId="0" borderId="7" xfId="0" applyNumberFormat="1" applyFont="1" applyFill="1" applyBorder="1" applyAlignment="1">
      <alignment horizontal="right"/>
    </xf>
    <xf numFmtId="0" fontId="2" fillId="0" borderId="8" xfId="0" applyFont="1" applyFill="1" applyBorder="1"/>
    <xf numFmtId="0" fontId="2" fillId="0" borderId="3" xfId="0" applyFont="1" applyFill="1" applyBorder="1"/>
    <xf numFmtId="10" fontId="2" fillId="0" borderId="3" xfId="2" applyNumberFormat="1" applyFont="1" applyFill="1" applyBorder="1"/>
    <xf numFmtId="3" fontId="2" fillId="0" borderId="4" xfId="0" applyNumberFormat="1" applyFont="1" applyFill="1" applyBorder="1" applyAlignment="1">
      <alignment horizontal="right"/>
    </xf>
    <xf numFmtId="3" fontId="4" fillId="0" borderId="0" xfId="0" applyNumberFormat="1" applyFont="1"/>
    <xf numFmtId="0" fontId="9" fillId="0" borderId="0" xfId="0" applyFont="1" applyAlignment="1">
      <alignment horizontal="center"/>
    </xf>
    <xf numFmtId="165" fontId="4" fillId="0" borderId="9" xfId="2" applyNumberFormat="1" applyFont="1" applyBorder="1"/>
    <xf numFmtId="0" fontId="7" fillId="0" borderId="0" xfId="0" applyFont="1"/>
    <xf numFmtId="3" fontId="7" fillId="0" borderId="0" xfId="0" applyNumberFormat="1" applyFont="1"/>
    <xf numFmtId="0" fontId="4" fillId="0" borderId="0" xfId="0" applyFont="1" applyBorder="1"/>
    <xf numFmtId="3" fontId="4" fillId="0" borderId="0" xfId="0" applyNumberFormat="1" applyFont="1" applyBorder="1"/>
    <xf numFmtId="3" fontId="4" fillId="0" borderId="0" xfId="0" applyNumberFormat="1" applyFont="1" applyFill="1" applyBorder="1"/>
    <xf numFmtId="9" fontId="4" fillId="0" borderId="0" xfId="0" applyNumberFormat="1" applyFont="1" applyBorder="1"/>
    <xf numFmtId="165" fontId="2" fillId="0" borderId="0" xfId="2" applyNumberFormat="1" applyFont="1" applyFill="1" applyBorder="1"/>
    <xf numFmtId="0" fontId="9" fillId="0" borderId="0" xfId="0" applyFont="1" applyBorder="1"/>
    <xf numFmtId="0" fontId="9" fillId="0" borderId="0" xfId="0" applyFont="1" applyFill="1" applyBorder="1"/>
    <xf numFmtId="165" fontId="2" fillId="0" borderId="0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164" fontId="2" fillId="0" borderId="4" xfId="0" applyNumberFormat="1" applyFont="1" applyFill="1" applyBorder="1" applyAlignment="1">
      <alignment horizontal="right"/>
    </xf>
    <xf numFmtId="165" fontId="2" fillId="0" borderId="6" xfId="0" applyNumberFormat="1" applyFont="1" applyFill="1" applyBorder="1" applyAlignment="1">
      <alignment horizontal="right"/>
    </xf>
    <xf numFmtId="3" fontId="2" fillId="0" borderId="0" xfId="0" applyNumberFormat="1" applyFont="1" applyFill="1" applyBorder="1"/>
    <xf numFmtId="0" fontId="9" fillId="0" borderId="0" xfId="0" quotePrefix="1" applyFont="1" applyFill="1" applyBorder="1" applyAlignment="1">
      <alignment horizontal="right"/>
    </xf>
    <xf numFmtId="0" fontId="2" fillId="0" borderId="0" xfId="0" quotePrefix="1" applyFont="1" applyFill="1" applyBorder="1" applyAlignment="1">
      <alignment horizontal="right"/>
    </xf>
    <xf numFmtId="0" fontId="0" fillId="0" borderId="0" xfId="0" applyAlignment="1">
      <alignment horizontal="right"/>
    </xf>
    <xf numFmtId="3" fontId="2" fillId="2" borderId="0" xfId="0" applyNumberFormat="1" applyFont="1" applyFill="1" applyBorder="1"/>
    <xf numFmtId="165" fontId="9" fillId="0" borderId="0" xfId="2" applyNumberFormat="1" applyFont="1" applyFill="1" applyBorder="1" applyAlignment="1">
      <alignment horizontal="right"/>
    </xf>
    <xf numFmtId="165" fontId="2" fillId="0" borderId="0" xfId="2" applyNumberFormat="1" applyFont="1" applyFill="1" applyBorder="1" applyAlignment="1">
      <alignment horizontal="right"/>
    </xf>
    <xf numFmtId="165" fontId="12" fillId="0" borderId="0" xfId="2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horizontal="right"/>
    </xf>
    <xf numFmtId="0" fontId="2" fillId="0" borderId="0" xfId="0" quotePrefix="1" applyFont="1" applyFill="1" applyBorder="1"/>
    <xf numFmtId="3" fontId="4" fillId="0" borderId="0" xfId="0" applyNumberFormat="1" applyFont="1" applyFill="1" applyBorder="1" applyAlignment="1">
      <alignment horizontal="right"/>
    </xf>
    <xf numFmtId="0" fontId="0" fillId="0" borderId="0" xfId="0" applyBorder="1"/>
    <xf numFmtId="0" fontId="2" fillId="3" borderId="11" xfId="0" applyFont="1" applyFill="1" applyBorder="1" applyAlignment="1">
      <alignment horizontal="right"/>
    </xf>
    <xf numFmtId="0" fontId="0" fillId="3" borderId="11" xfId="0" applyFill="1" applyBorder="1"/>
    <xf numFmtId="0" fontId="2" fillId="3" borderId="0" xfId="0" applyFont="1" applyFill="1" applyBorder="1" applyAlignment="1">
      <alignment horizontal="right"/>
    </xf>
    <xf numFmtId="0" fontId="0" fillId="3" borderId="0" xfId="0" applyFill="1" applyBorder="1"/>
    <xf numFmtId="46" fontId="2" fillId="3" borderId="0" xfId="0" quotePrefix="1" applyNumberFormat="1" applyFont="1" applyFill="1" applyBorder="1" applyAlignment="1">
      <alignment horizontal="right"/>
    </xf>
    <xf numFmtId="3" fontId="0" fillId="3" borderId="0" xfId="0" applyNumberFormat="1" applyFill="1" applyBorder="1" applyAlignment="1">
      <alignment horizontal="right"/>
    </xf>
    <xf numFmtId="3" fontId="2" fillId="3" borderId="0" xfId="0" applyNumberFormat="1" applyFont="1" applyFill="1" applyBorder="1" applyAlignment="1">
      <alignment horizontal="right"/>
    </xf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3" xfId="0" applyFont="1" applyFill="1" applyBorder="1"/>
    <xf numFmtId="0" fontId="2" fillId="2" borderId="12" xfId="0" applyFont="1" applyFill="1" applyBorder="1"/>
    <xf numFmtId="0" fontId="2" fillId="2" borderId="0" xfId="0" applyFont="1" applyFill="1" applyBorder="1"/>
    <xf numFmtId="0" fontId="11" fillId="2" borderId="0" xfId="1" applyFill="1" applyBorder="1" applyAlignment="1" applyProtection="1"/>
    <xf numFmtId="0" fontId="2" fillId="2" borderId="14" xfId="0" applyFont="1" applyFill="1" applyBorder="1"/>
    <xf numFmtId="0" fontId="17" fillId="2" borderId="0" xfId="0" applyFont="1" applyFill="1" applyBorder="1"/>
    <xf numFmtId="0" fontId="10" fillId="2" borderId="15" xfId="0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3" fontId="2" fillId="2" borderId="12" xfId="0" applyNumberFormat="1" applyFont="1" applyFill="1" applyBorder="1"/>
    <xf numFmtId="3" fontId="4" fillId="2" borderId="15" xfId="0" applyNumberFormat="1" applyFont="1" applyFill="1" applyBorder="1" applyAlignment="1">
      <alignment horizontal="right"/>
    </xf>
    <xf numFmtId="0" fontId="4" fillId="2" borderId="15" xfId="0" applyFont="1" applyFill="1" applyBorder="1" applyAlignment="1">
      <alignment horizontal="right"/>
    </xf>
    <xf numFmtId="0" fontId="4" fillId="2" borderId="15" xfId="0" applyFont="1" applyFill="1" applyBorder="1" applyAlignment="1">
      <alignment horizontal="center"/>
    </xf>
    <xf numFmtId="3" fontId="4" fillId="2" borderId="15" xfId="0" applyNumberFormat="1" applyFont="1" applyFill="1" applyBorder="1" applyAlignment="1">
      <alignment horizontal="center"/>
    </xf>
    <xf numFmtId="0" fontId="9" fillId="2" borderId="16" xfId="0" applyFont="1" applyFill="1" applyBorder="1" applyAlignment="1">
      <alignment horizontal="right"/>
    </xf>
    <xf numFmtId="3" fontId="7" fillId="2" borderId="15" xfId="0" applyNumberFormat="1" applyFont="1" applyFill="1" applyBorder="1"/>
    <xf numFmtId="0" fontId="7" fillId="2" borderId="15" xfId="0" applyFont="1" applyFill="1" applyBorder="1" applyAlignment="1">
      <alignment horizontal="right"/>
    </xf>
    <xf numFmtId="0" fontId="7" fillId="2" borderId="15" xfId="0" applyFont="1" applyFill="1" applyBorder="1" applyAlignment="1">
      <alignment horizontal="center"/>
    </xf>
    <xf numFmtId="0" fontId="10" fillId="2" borderId="16" xfId="0" applyFont="1" applyFill="1" applyBorder="1"/>
    <xf numFmtId="165" fontId="2" fillId="2" borderId="0" xfId="2" applyNumberFormat="1" applyFont="1" applyFill="1" applyBorder="1"/>
    <xf numFmtId="3" fontId="2" fillId="2" borderId="15" xfId="0" applyNumberFormat="1" applyFont="1" applyFill="1" applyBorder="1"/>
    <xf numFmtId="3" fontId="10" fillId="2" borderId="16" xfId="0" applyNumberFormat="1" applyFont="1" applyFill="1" applyBorder="1"/>
    <xf numFmtId="165" fontId="2" fillId="2" borderId="0" xfId="0" applyNumberFormat="1" applyFont="1" applyFill="1" applyBorder="1"/>
    <xf numFmtId="3" fontId="10" fillId="2" borderId="15" xfId="0" applyNumberFormat="1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17" fillId="4" borderId="10" xfId="0" applyFont="1" applyFill="1" applyBorder="1"/>
    <xf numFmtId="0" fontId="2" fillId="4" borderId="11" xfId="0" applyFont="1" applyFill="1" applyBorder="1"/>
    <xf numFmtId="3" fontId="2" fillId="4" borderId="11" xfId="0" applyNumberFormat="1" applyFont="1" applyFill="1" applyBorder="1"/>
    <xf numFmtId="0" fontId="2" fillId="4" borderId="12" xfId="0" applyFont="1" applyFill="1" applyBorder="1"/>
    <xf numFmtId="0" fontId="2" fillId="4" borderId="0" xfId="0" applyFont="1" applyFill="1" applyBorder="1"/>
    <xf numFmtId="3" fontId="2" fillId="4" borderId="0" xfId="0" applyNumberFormat="1" applyFont="1" applyFill="1" applyBorder="1"/>
    <xf numFmtId="3" fontId="2" fillId="4" borderId="0" xfId="0" applyNumberFormat="1" applyFont="1" applyFill="1" applyBorder="1" applyAlignment="1">
      <alignment horizontal="right"/>
    </xf>
    <xf numFmtId="3" fontId="4" fillId="4" borderId="0" xfId="0" applyNumberFormat="1" applyFont="1" applyFill="1" applyBorder="1" applyAlignment="1">
      <alignment horizontal="right"/>
    </xf>
    <xf numFmtId="165" fontId="5" fillId="4" borderId="0" xfId="2" applyNumberFormat="1" applyFont="1" applyFill="1" applyBorder="1" applyAlignment="1">
      <alignment horizontal="right"/>
    </xf>
    <xf numFmtId="0" fontId="9" fillId="4" borderId="0" xfId="0" applyFont="1" applyFill="1" applyBorder="1"/>
    <xf numFmtId="3" fontId="9" fillId="4" borderId="0" xfId="0" applyNumberFormat="1" applyFont="1" applyFill="1" applyBorder="1" applyAlignment="1">
      <alignment horizontal="right"/>
    </xf>
    <xf numFmtId="165" fontId="5" fillId="4" borderId="0" xfId="2" quotePrefix="1" applyNumberFormat="1" applyFont="1" applyFill="1" applyBorder="1" applyAlignment="1">
      <alignment horizontal="right"/>
    </xf>
    <xf numFmtId="0" fontId="9" fillId="4" borderId="0" xfId="0" applyFont="1" applyFill="1" applyBorder="1" applyAlignment="1">
      <alignment horizontal="right"/>
    </xf>
    <xf numFmtId="1" fontId="9" fillId="4" borderId="0" xfId="0" applyNumberFormat="1" applyFont="1" applyFill="1" applyBorder="1" applyAlignment="1">
      <alignment horizontal="right"/>
    </xf>
    <xf numFmtId="3" fontId="4" fillId="4" borderId="0" xfId="0" quotePrefix="1" applyNumberFormat="1" applyFont="1" applyFill="1" applyBorder="1" applyAlignment="1">
      <alignment horizontal="right"/>
    </xf>
    <xf numFmtId="165" fontId="15" fillId="4" borderId="0" xfId="2" applyNumberFormat="1" applyFont="1" applyFill="1" applyBorder="1" applyAlignment="1">
      <alignment horizontal="right"/>
    </xf>
    <xf numFmtId="0" fontId="2" fillId="4" borderId="0" xfId="0" applyFont="1" applyFill="1" applyBorder="1" applyAlignment="1">
      <alignment horizontal="right"/>
    </xf>
    <xf numFmtId="9" fontId="2" fillId="4" borderId="0" xfId="2" applyFont="1" applyFill="1" applyBorder="1" applyAlignment="1">
      <alignment horizontal="right"/>
    </xf>
    <xf numFmtId="9" fontId="4" fillId="4" borderId="0" xfId="2" applyFont="1" applyFill="1" applyBorder="1" applyAlignment="1">
      <alignment horizontal="right"/>
    </xf>
    <xf numFmtId="0" fontId="5" fillId="4" borderId="0" xfId="0" applyFont="1" applyFill="1" applyBorder="1" applyAlignment="1">
      <alignment horizontal="right"/>
    </xf>
    <xf numFmtId="10" fontId="2" fillId="4" borderId="0" xfId="0" applyNumberFormat="1" applyFont="1" applyFill="1" applyBorder="1" applyAlignment="1">
      <alignment horizontal="right"/>
    </xf>
    <xf numFmtId="3" fontId="2" fillId="4" borderId="0" xfId="2" applyNumberFormat="1" applyFont="1" applyFill="1" applyBorder="1" applyAlignment="1">
      <alignment horizontal="right"/>
    </xf>
    <xf numFmtId="3" fontId="4" fillId="4" borderId="0" xfId="2" applyNumberFormat="1" applyFont="1" applyFill="1" applyBorder="1" applyAlignment="1">
      <alignment horizontal="right"/>
    </xf>
    <xf numFmtId="10" fontId="5" fillId="4" borderId="0" xfId="2" applyNumberFormat="1" applyFont="1" applyFill="1" applyBorder="1" applyAlignment="1">
      <alignment horizontal="right"/>
    </xf>
    <xf numFmtId="0" fontId="2" fillId="4" borderId="17" xfId="0" applyFont="1" applyFill="1" applyBorder="1"/>
    <xf numFmtId="0" fontId="2" fillId="4" borderId="18" xfId="0" applyFont="1" applyFill="1" applyBorder="1" applyAlignment="1">
      <alignment horizontal="right"/>
    </xf>
    <xf numFmtId="3" fontId="2" fillId="4" borderId="18" xfId="0" applyNumberFormat="1" applyFont="1" applyFill="1" applyBorder="1" applyAlignment="1">
      <alignment horizontal="right"/>
    </xf>
    <xf numFmtId="0" fontId="9" fillId="4" borderId="8" xfId="0" applyFont="1" applyFill="1" applyBorder="1" applyAlignment="1">
      <alignment horizontal="right"/>
    </xf>
    <xf numFmtId="0" fontId="2" fillId="4" borderId="2" xfId="0" applyFont="1" applyFill="1" applyBorder="1"/>
    <xf numFmtId="0" fontId="9" fillId="4" borderId="3" xfId="0" applyFont="1" applyFill="1" applyBorder="1" applyAlignment="1">
      <alignment horizontal="left"/>
    </xf>
    <xf numFmtId="0" fontId="2" fillId="5" borderId="4" xfId="0" applyFont="1" applyFill="1" applyBorder="1"/>
    <xf numFmtId="0" fontId="9" fillId="4" borderId="3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3" fontId="2" fillId="4" borderId="3" xfId="0" applyNumberFormat="1" applyFont="1" applyFill="1" applyBorder="1" applyAlignment="1">
      <alignment horizontal="right"/>
    </xf>
    <xf numFmtId="10" fontId="2" fillId="4" borderId="4" xfId="0" applyNumberFormat="1" applyFont="1" applyFill="1" applyBorder="1" applyAlignment="1">
      <alignment horizontal="right"/>
    </xf>
    <xf numFmtId="3" fontId="4" fillId="4" borderId="5" xfId="0" applyNumberFormat="1" applyFont="1" applyFill="1" applyBorder="1" applyAlignment="1">
      <alignment horizontal="right"/>
    </xf>
    <xf numFmtId="10" fontId="4" fillId="4" borderId="7" xfId="0" applyNumberFormat="1" applyFont="1" applyFill="1" applyBorder="1" applyAlignment="1">
      <alignment horizontal="right"/>
    </xf>
    <xf numFmtId="10" fontId="4" fillId="4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10" fontId="2" fillId="2" borderId="0" xfId="2" applyNumberFormat="1" applyFont="1" applyFill="1" applyBorder="1" applyAlignment="1">
      <alignment horizontal="right"/>
    </xf>
    <xf numFmtId="165" fontId="2" fillId="2" borderId="0" xfId="2" applyNumberFormat="1" applyFont="1" applyFill="1" applyBorder="1" applyAlignment="1">
      <alignment horizontal="right"/>
    </xf>
    <xf numFmtId="165" fontId="2" fillId="2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/>
    <xf numFmtId="3" fontId="8" fillId="0" borderId="0" xfId="0" applyNumberFormat="1" applyFont="1" applyFill="1" applyBorder="1"/>
    <xf numFmtId="3" fontId="7" fillId="0" borderId="0" xfId="0" applyNumberFormat="1" applyFont="1" applyFill="1" applyBorder="1"/>
    <xf numFmtId="165" fontId="5" fillId="4" borderId="0" xfId="2" applyNumberFormat="1" applyFont="1" applyFill="1" applyBorder="1"/>
    <xf numFmtId="0" fontId="5" fillId="4" borderId="0" xfId="0" applyFont="1" applyFill="1" applyBorder="1"/>
    <xf numFmtId="165" fontId="16" fillId="4" borderId="0" xfId="2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0" fontId="19" fillId="2" borderId="0" xfId="0" applyFont="1" applyFill="1" applyBorder="1" applyAlignment="1">
      <alignment horizontal="right"/>
    </xf>
    <xf numFmtId="165" fontId="4" fillId="0" borderId="20" xfId="2" applyNumberFormat="1" applyFont="1" applyFill="1" applyBorder="1"/>
    <xf numFmtId="165" fontId="4" fillId="0" borderId="9" xfId="2" quotePrefix="1" applyNumberFormat="1" applyFont="1" applyFill="1" applyBorder="1"/>
    <xf numFmtId="165" fontId="4" fillId="0" borderId="9" xfId="2" applyNumberFormat="1" applyFont="1" applyFill="1" applyBorder="1"/>
    <xf numFmtId="9" fontId="2" fillId="0" borderId="0" xfId="0" applyNumberFormat="1" applyFont="1" applyFill="1" applyBorder="1" applyAlignment="1">
      <alignment horizontal="right"/>
    </xf>
    <xf numFmtId="9" fontId="2" fillId="0" borderId="0" xfId="2" applyFont="1" applyFill="1" applyBorder="1"/>
    <xf numFmtId="1" fontId="3" fillId="0" borderId="0" xfId="0" quotePrefix="1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3" fontId="3" fillId="0" borderId="0" xfId="0" quotePrefix="1" applyNumberFormat="1" applyFont="1" applyFill="1" applyBorder="1" applyAlignment="1">
      <alignment horizontal="right"/>
    </xf>
    <xf numFmtId="9" fontId="3" fillId="0" borderId="0" xfId="2" applyFont="1" applyFill="1" applyBorder="1" applyAlignment="1">
      <alignment horizontal="right"/>
    </xf>
    <xf numFmtId="9" fontId="2" fillId="0" borderId="0" xfId="2" applyFont="1" applyFill="1" applyBorder="1" applyAlignment="1">
      <alignment horizontal="right"/>
    </xf>
    <xf numFmtId="10" fontId="2" fillId="0" borderId="0" xfId="2" applyNumberFormat="1" applyFont="1" applyFill="1" applyBorder="1" applyAlignment="1">
      <alignment horizontal="right"/>
    </xf>
    <xf numFmtId="3" fontId="2" fillId="0" borderId="0" xfId="2" applyNumberFormat="1" applyFont="1" applyFill="1" applyBorder="1" applyAlignment="1">
      <alignment horizontal="right"/>
    </xf>
    <xf numFmtId="0" fontId="18" fillId="0" borderId="0" xfId="0" applyFont="1" applyFill="1" applyBorder="1"/>
    <xf numFmtId="3" fontId="9" fillId="0" borderId="0" xfId="0" applyNumberFormat="1" applyFont="1" applyFill="1" applyBorder="1"/>
    <xf numFmtId="9" fontId="9" fillId="0" borderId="0" xfId="2" applyFont="1" applyFill="1" applyBorder="1" applyAlignment="1">
      <alignment horizontal="right"/>
    </xf>
    <xf numFmtId="1" fontId="9" fillId="0" borderId="0" xfId="0" quotePrefix="1" applyNumberFormat="1" applyFont="1" applyFill="1" applyBorder="1" applyAlignment="1">
      <alignment horizontal="right"/>
    </xf>
    <xf numFmtId="0" fontId="18" fillId="0" borderId="0" xfId="0" applyFont="1" applyFill="1" applyBorder="1" applyAlignment="1">
      <alignment horizontal="left"/>
    </xf>
    <xf numFmtId="10" fontId="2" fillId="0" borderId="0" xfId="2" quotePrefix="1" applyNumberFormat="1" applyFont="1" applyFill="1" applyBorder="1" applyAlignment="1">
      <alignment horizontal="right"/>
    </xf>
    <xf numFmtId="4" fontId="2" fillId="0" borderId="0" xfId="2" applyNumberFormat="1" applyFont="1" applyFill="1" applyBorder="1" applyAlignment="1">
      <alignment horizontal="right"/>
    </xf>
    <xf numFmtId="3" fontId="17" fillId="0" borderId="0" xfId="0" applyNumberFormat="1" applyFont="1" applyFill="1" applyBorder="1" applyAlignment="1">
      <alignment horizontal="right"/>
    </xf>
    <xf numFmtId="3" fontId="9" fillId="3" borderId="18" xfId="0" applyNumberFormat="1" applyFont="1" applyFill="1" applyBorder="1" applyAlignment="1">
      <alignment horizontal="right"/>
    </xf>
    <xf numFmtId="0" fontId="2" fillId="0" borderId="10" xfId="0" applyFont="1" applyFill="1" applyBorder="1"/>
    <xf numFmtId="0" fontId="2" fillId="0" borderId="12" xfId="0" applyFont="1" applyFill="1" applyBorder="1"/>
    <xf numFmtId="0" fontId="2" fillId="0" borderId="14" xfId="0" applyFont="1" applyFill="1" applyBorder="1" applyAlignment="1">
      <alignment horizontal="right"/>
    </xf>
    <xf numFmtId="0" fontId="2" fillId="0" borderId="17" xfId="0" applyFont="1" applyFill="1" applyBorder="1"/>
    <xf numFmtId="1" fontId="17" fillId="0" borderId="0" xfId="0" applyNumberFormat="1" applyFont="1" applyFill="1" applyBorder="1" applyAlignment="1">
      <alignment horizontal="right"/>
    </xf>
    <xf numFmtId="3" fontId="17" fillId="0" borderId="0" xfId="2" applyNumberFormat="1" applyFont="1" applyFill="1" applyBorder="1" applyAlignment="1">
      <alignment horizontal="right"/>
    </xf>
    <xf numFmtId="0" fontId="9" fillId="0" borderId="5" xfId="0" applyFont="1" applyFill="1" applyBorder="1"/>
    <xf numFmtId="0" fontId="9" fillId="0" borderId="7" xfId="0" applyFont="1" applyFill="1" applyBorder="1"/>
    <xf numFmtId="0" fontId="9" fillId="0" borderId="0" xfId="0" applyFont="1"/>
    <xf numFmtId="3" fontId="9" fillId="0" borderId="0" xfId="0" applyNumberFormat="1" applyFont="1"/>
    <xf numFmtId="165" fontId="9" fillId="0" borderId="0" xfId="0" applyNumberFormat="1" applyFont="1" applyFill="1" applyBorder="1" applyAlignment="1">
      <alignment horizontal="right"/>
    </xf>
    <xf numFmtId="3" fontId="2" fillId="5" borderId="13" xfId="0" applyNumberFormat="1" applyFont="1" applyFill="1" applyBorder="1"/>
    <xf numFmtId="3" fontId="2" fillId="5" borderId="14" xfId="0" applyNumberFormat="1" applyFont="1" applyFill="1" applyBorder="1"/>
    <xf numFmtId="1" fontId="3" fillId="5" borderId="14" xfId="0" quotePrefix="1" applyNumberFormat="1" applyFont="1" applyFill="1" applyBorder="1" applyAlignment="1">
      <alignment horizontal="right"/>
    </xf>
    <xf numFmtId="1" fontId="3" fillId="5" borderId="14" xfId="0" applyNumberFormat="1" applyFont="1" applyFill="1" applyBorder="1" applyAlignment="1">
      <alignment horizontal="right"/>
    </xf>
    <xf numFmtId="3" fontId="2" fillId="5" borderId="14" xfId="0" applyNumberFormat="1" applyFont="1" applyFill="1" applyBorder="1" applyAlignment="1">
      <alignment horizontal="right"/>
    </xf>
    <xf numFmtId="3" fontId="2" fillId="5" borderId="19" xfId="0" applyNumberFormat="1" applyFont="1" applyFill="1" applyBorder="1" applyAlignment="1">
      <alignment horizontal="right"/>
    </xf>
    <xf numFmtId="3" fontId="18" fillId="0" borderId="0" xfId="0" applyNumberFormat="1" applyFont="1" applyFill="1" applyBorder="1" applyAlignment="1">
      <alignment horizontal="right"/>
    </xf>
    <xf numFmtId="0" fontId="13" fillId="0" borderId="0" xfId="0" applyFont="1" applyBorder="1"/>
    <xf numFmtId="0" fontId="2" fillId="0" borderId="11" xfId="0" applyFont="1" applyFill="1" applyBorder="1"/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8" xfId="0" applyFont="1" applyFill="1" applyBorder="1" applyAlignment="1">
      <alignment horizontal="right"/>
    </xf>
    <xf numFmtId="3" fontId="9" fillId="0" borderId="18" xfId="0" applyNumberFormat="1" applyFont="1" applyFill="1" applyBorder="1" applyAlignment="1">
      <alignment horizontal="right"/>
    </xf>
    <xf numFmtId="2" fontId="2" fillId="0" borderId="18" xfId="0" applyNumberFormat="1" applyFont="1" applyFill="1" applyBorder="1" applyAlignment="1">
      <alignment horizontal="right"/>
    </xf>
    <xf numFmtId="0" fontId="2" fillId="0" borderId="19" xfId="0" applyFont="1" applyFill="1" applyBorder="1" applyAlignment="1">
      <alignment horizontal="right"/>
    </xf>
    <xf numFmtId="0" fontId="0" fillId="3" borderId="13" xfId="0" applyFill="1" applyBorder="1"/>
    <xf numFmtId="0" fontId="0" fillId="3" borderId="14" xfId="0" applyFill="1" applyBorder="1"/>
    <xf numFmtId="0" fontId="2" fillId="3" borderId="14" xfId="0" applyFont="1" applyFill="1" applyBorder="1" applyAlignment="1">
      <alignment horizontal="right"/>
    </xf>
    <xf numFmtId="3" fontId="9" fillId="3" borderId="19" xfId="0" applyNumberFormat="1" applyFont="1" applyFill="1" applyBorder="1" applyAlignment="1">
      <alignment horizontal="right"/>
    </xf>
    <xf numFmtId="3" fontId="20" fillId="0" borderId="0" xfId="0" applyNumberFormat="1" applyFont="1" applyFill="1" applyBorder="1" applyAlignment="1">
      <alignment horizontal="right"/>
    </xf>
    <xf numFmtId="3" fontId="21" fillId="0" borderId="0" xfId="0" applyNumberFormat="1" applyFont="1" applyFill="1" applyBorder="1" applyAlignment="1">
      <alignment horizontal="right"/>
    </xf>
    <xf numFmtId="1" fontId="20" fillId="0" borderId="0" xfId="0" applyNumberFormat="1" applyFont="1" applyFill="1" applyBorder="1" applyAlignment="1">
      <alignment horizontal="right"/>
    </xf>
    <xf numFmtId="1" fontId="21" fillId="0" borderId="0" xfId="0" applyNumberFormat="1" applyFont="1" applyFill="1" applyBorder="1" applyAlignment="1">
      <alignment horizontal="right"/>
    </xf>
    <xf numFmtId="9" fontId="21" fillId="0" borderId="0" xfId="2" applyFont="1" applyFill="1" applyBorder="1" applyAlignment="1">
      <alignment horizontal="right"/>
    </xf>
    <xf numFmtId="3" fontId="20" fillId="0" borderId="0" xfId="2" applyNumberFormat="1" applyFont="1" applyFill="1" applyBorder="1" applyAlignment="1">
      <alignment horizontal="right"/>
    </xf>
    <xf numFmtId="165" fontId="21" fillId="0" borderId="0" xfId="2" applyNumberFormat="1" applyFont="1" applyFill="1" applyBorder="1" applyAlignment="1">
      <alignment horizontal="right"/>
    </xf>
    <xf numFmtId="3" fontId="21" fillId="0" borderId="0" xfId="2" applyNumberFormat="1" applyFont="1" applyFill="1" applyBorder="1" applyAlignment="1">
      <alignment horizontal="right"/>
    </xf>
    <xf numFmtId="0" fontId="2" fillId="2" borderId="21" xfId="0" applyFont="1" applyFill="1" applyBorder="1"/>
    <xf numFmtId="3" fontId="4" fillId="2" borderId="21" xfId="0" applyNumberFormat="1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3" fontId="10" fillId="2" borderId="21" xfId="0" applyNumberFormat="1" applyFont="1" applyFill="1" applyBorder="1"/>
    <xf numFmtId="165" fontId="7" fillId="0" borderId="9" xfId="0" applyNumberFormat="1" applyFont="1" applyBorder="1"/>
    <xf numFmtId="165" fontId="7" fillId="0" borderId="22" xfId="0" applyNumberFormat="1" applyFont="1" applyBorder="1"/>
    <xf numFmtId="16" fontId="2" fillId="0" borderId="0" xfId="0" quotePrefix="1" applyNumberFormat="1" applyFont="1" applyFill="1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right"/>
    </xf>
    <xf numFmtId="3" fontId="0" fillId="0" borderId="11" xfId="0" applyNumberFormat="1" applyBorder="1"/>
    <xf numFmtId="0" fontId="0" fillId="0" borderId="13" xfId="0" applyBorder="1"/>
    <xf numFmtId="0" fontId="0" fillId="0" borderId="12" xfId="0" applyBorder="1"/>
    <xf numFmtId="0" fontId="0" fillId="0" borderId="0" xfId="0" applyBorder="1" applyAlignment="1">
      <alignment horizontal="right"/>
    </xf>
    <xf numFmtId="3" fontId="0" fillId="0" borderId="0" xfId="0" applyNumberFormat="1" applyBorder="1"/>
    <xf numFmtId="0" fontId="0" fillId="0" borderId="14" xfId="0" applyBorder="1"/>
    <xf numFmtId="3" fontId="0" fillId="0" borderId="0" xfId="0" applyNumberFormat="1" applyBorder="1" applyAlignment="1">
      <alignment horizontal="right"/>
    </xf>
    <xf numFmtId="165" fontId="0" fillId="0" borderId="0" xfId="2" applyNumberFormat="1" applyFont="1" applyBorder="1"/>
    <xf numFmtId="0" fontId="0" fillId="0" borderId="17" xfId="0" applyBorder="1"/>
    <xf numFmtId="0" fontId="0" fillId="0" borderId="18" xfId="0" applyBorder="1"/>
    <xf numFmtId="0" fontId="0" fillId="0" borderId="18" xfId="0" applyBorder="1" applyAlignment="1">
      <alignment horizontal="right"/>
    </xf>
    <xf numFmtId="3" fontId="0" fillId="0" borderId="18" xfId="0" applyNumberFormat="1" applyBorder="1"/>
    <xf numFmtId="0" fontId="0" fillId="0" borderId="19" xfId="0" applyBorder="1"/>
    <xf numFmtId="0" fontId="2" fillId="0" borderId="0" xfId="0" applyFont="1"/>
    <xf numFmtId="0" fontId="2" fillId="3" borderId="0" xfId="0" applyFont="1" applyFill="1" applyBorder="1"/>
    <xf numFmtId="10" fontId="2" fillId="2" borderId="0" xfId="0" applyNumberFormat="1" applyFont="1" applyFill="1" applyBorder="1"/>
    <xf numFmtId="10" fontId="2" fillId="2" borderId="0" xfId="0" applyNumberFormat="1" applyFont="1" applyFill="1" applyBorder="1" applyAlignment="1">
      <alignment horizontal="right"/>
    </xf>
    <xf numFmtId="9" fontId="9" fillId="4" borderId="0" xfId="0" applyNumberFormat="1" applyFont="1" applyFill="1" applyBorder="1" applyAlignment="1">
      <alignment horizontal="right"/>
    </xf>
    <xf numFmtId="0" fontId="4" fillId="3" borderId="0" xfId="0" applyFont="1" applyFill="1" applyBorder="1" applyAlignment="1">
      <alignment horizontal="right"/>
    </xf>
    <xf numFmtId="0" fontId="22" fillId="3" borderId="0" xfId="0" applyFont="1" applyFill="1" applyBorder="1" applyAlignment="1">
      <alignment horizontal="right"/>
    </xf>
    <xf numFmtId="0" fontId="4" fillId="2" borderId="0" xfId="0" applyFont="1" applyFill="1" applyBorder="1"/>
    <xf numFmtId="3" fontId="0" fillId="0" borderId="14" xfId="0" applyNumberFormat="1" applyBorder="1"/>
    <xf numFmtId="3" fontId="2" fillId="3" borderId="14" xfId="0" applyNumberFormat="1" applyFont="1" applyFill="1" applyBorder="1" applyAlignment="1">
      <alignment horizontal="right"/>
    </xf>
    <xf numFmtId="0" fontId="9" fillId="0" borderId="0" xfId="0" applyFont="1" applyBorder="1" applyAlignment="1">
      <alignment horizontal="center"/>
    </xf>
    <xf numFmtId="164" fontId="9" fillId="0" borderId="0" xfId="0" applyNumberFormat="1" applyFont="1" applyBorder="1"/>
    <xf numFmtId="1" fontId="9" fillId="0" borderId="0" xfId="0" applyNumberFormat="1" applyFont="1" applyBorder="1"/>
    <xf numFmtId="3" fontId="9" fillId="0" borderId="0" xfId="0" applyNumberFormat="1" applyFont="1" applyBorder="1"/>
    <xf numFmtId="0" fontId="23" fillId="3" borderId="0" xfId="0" applyFont="1" applyFill="1" applyBorder="1" applyAlignment="1">
      <alignment horizontal="right"/>
    </xf>
    <xf numFmtId="0" fontId="24" fillId="3" borderId="14" xfId="0" applyFont="1" applyFill="1" applyBorder="1"/>
    <xf numFmtId="0" fontId="4" fillId="0" borderId="0" xfId="0" applyFont="1" applyFill="1" applyBorder="1"/>
    <xf numFmtId="0" fontId="25" fillId="3" borderId="0" xfId="0" applyFont="1" applyFill="1" applyBorder="1"/>
    <xf numFmtId="0" fontId="23" fillId="2" borderId="0" xfId="0" applyFont="1" applyFill="1" applyBorder="1" applyAlignment="1">
      <alignment horizontal="right"/>
    </xf>
    <xf numFmtId="0" fontId="22" fillId="2" borderId="0" xfId="0" applyFont="1" applyFill="1" applyBorder="1" applyAlignment="1">
      <alignment horizontal="right"/>
    </xf>
    <xf numFmtId="3" fontId="4" fillId="3" borderId="0" xfId="0" applyNumberFormat="1" applyFont="1" applyFill="1" applyBorder="1" applyAlignment="1">
      <alignment horizontal="right"/>
    </xf>
    <xf numFmtId="0" fontId="17" fillId="3" borderId="23" xfId="0" applyFont="1" applyFill="1" applyBorder="1" applyAlignment="1">
      <alignment horizontal="left"/>
    </xf>
    <xf numFmtId="0" fontId="17" fillId="3" borderId="24" xfId="0" applyFont="1" applyFill="1" applyBorder="1" applyAlignment="1">
      <alignment horizontal="left"/>
    </xf>
    <xf numFmtId="0" fontId="22" fillId="3" borderId="24" xfId="0" applyFont="1" applyFill="1" applyBorder="1" applyAlignment="1">
      <alignment horizontal="right"/>
    </xf>
    <xf numFmtId="0" fontId="2" fillId="3" borderId="24" xfId="0" applyFont="1" applyFill="1" applyBorder="1" applyAlignment="1">
      <alignment horizontal="right"/>
    </xf>
    <xf numFmtId="3" fontId="2" fillId="3" borderId="24" xfId="0" applyNumberFormat="1" applyFont="1" applyFill="1" applyBorder="1" applyAlignment="1">
      <alignment horizontal="right"/>
    </xf>
    <xf numFmtId="3" fontId="6" fillId="3" borderId="24" xfId="0" applyNumberFormat="1" applyFont="1" applyFill="1" applyBorder="1" applyAlignment="1">
      <alignment horizontal="right" vertical="top" wrapText="1"/>
    </xf>
    <xf numFmtId="3" fontId="9" fillId="3" borderId="25" xfId="0" applyNumberFormat="1" applyFont="1" applyFill="1" applyBorder="1" applyAlignment="1">
      <alignment horizontal="right"/>
    </xf>
    <xf numFmtId="3" fontId="9" fillId="6" borderId="11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18" xfId="0" applyFill="1" applyBorder="1" applyAlignment="1">
      <alignment horizontal="right"/>
    </xf>
    <xf numFmtId="0" fontId="2" fillId="6" borderId="0" xfId="0" applyFont="1" applyFill="1" applyBorder="1" applyAlignment="1">
      <alignment horizontal="right"/>
    </xf>
    <xf numFmtId="0" fontId="0" fillId="6" borderId="0" xfId="0" applyFill="1" applyBorder="1" applyAlignment="1">
      <alignment horizontal="right"/>
    </xf>
  </cellXfs>
  <cellStyles count="3">
    <cellStyle name="Hyperlänk" xfId="1" builtinId="8"/>
    <cellStyle name="Normal" xfId="0" builtinId="0"/>
    <cellStyle name="Pro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Relationship Id="rId14" Type="http://schemas.openxmlformats.org/officeDocument/2006/relationships/customXml" Target="../customXml/item7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L&#228;nsstyrelserna%2014/L&#228;nsstyrelserna%2010/L&#228;nsstyrelserna%2009/Beslutat%20ex/Statistik%20f&#246;rdelningsmodell.xl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X50"/>
  <sheetViews>
    <sheetView showGridLines="0" tabSelected="1" view="pageLayout" topLeftCell="G1" zoomScaleNormal="75" zoomScaleSheetLayoutView="90" workbookViewId="0">
      <selection activeCell="I9" sqref="I9:K9"/>
    </sheetView>
  </sheetViews>
  <sheetFormatPr defaultRowHeight="15.75" x14ac:dyDescent="0.25"/>
  <cols>
    <col min="1" max="1" width="15.140625" style="3" bestFit="1" customWidth="1"/>
    <col min="2" max="2" width="9.140625" style="3"/>
    <col min="3" max="3" width="10.5703125" style="3" bestFit="1" customWidth="1"/>
    <col min="4" max="4" width="12.140625" style="3" customWidth="1"/>
    <col min="5" max="5" width="9.140625" style="3"/>
    <col min="6" max="6" width="3.85546875" style="3" customWidth="1"/>
    <col min="7" max="7" width="2.7109375" style="3" customWidth="1"/>
    <col min="8" max="8" width="8.85546875" style="3" bestFit="1" customWidth="1"/>
    <col min="9" max="9" width="14.5703125" style="3" bestFit="1" customWidth="1"/>
    <col min="10" max="10" width="2.28515625" style="4" customWidth="1"/>
    <col min="11" max="11" width="1.42578125" style="4" customWidth="1"/>
    <col min="12" max="12" width="8.7109375" style="4" customWidth="1"/>
    <col min="13" max="13" width="5.28515625" style="4" bestFit="1" customWidth="1"/>
    <col min="14" max="14" width="0" style="4" hidden="1" customWidth="1"/>
    <col min="15" max="15" width="10.5703125" style="4" bestFit="1" customWidth="1"/>
    <col min="16" max="16" width="8" style="4" bestFit="1" customWidth="1"/>
    <col min="17" max="17" width="9.42578125" style="4" bestFit="1" customWidth="1"/>
    <col min="18" max="18" width="9.42578125" style="4" customWidth="1"/>
    <col min="19" max="19" width="10.85546875" style="4" bestFit="1" customWidth="1"/>
    <col min="20" max="20" width="6" style="4" bestFit="1" customWidth="1"/>
    <col min="21" max="21" width="9.28515625" style="4" bestFit="1" customWidth="1"/>
    <col min="22" max="22" width="9.28515625" style="4" hidden="1" customWidth="1"/>
    <col min="23" max="23" width="11.28515625" style="4" hidden="1" customWidth="1"/>
    <col min="24" max="26" width="11.140625" customWidth="1"/>
    <col min="27" max="28" width="11.28515625" bestFit="1" customWidth="1"/>
    <col min="29" max="29" width="7.42578125" customWidth="1"/>
    <col min="30" max="30" width="6.85546875" customWidth="1"/>
    <col min="31" max="31" width="8.140625" customWidth="1"/>
    <col min="32" max="32" width="10" bestFit="1" customWidth="1"/>
    <col min="33" max="33" width="10" customWidth="1"/>
    <col min="34" max="34" width="11.42578125" bestFit="1" customWidth="1"/>
    <col min="35" max="35" width="11.42578125" customWidth="1"/>
    <col min="36" max="36" width="9" bestFit="1" customWidth="1"/>
    <col min="37" max="37" width="8.140625" customWidth="1"/>
    <col min="38" max="39" width="8.7109375" customWidth="1"/>
    <col min="40" max="40" width="8.140625" customWidth="1"/>
    <col min="41" max="42" width="9.85546875" customWidth="1"/>
    <col min="43" max="43" width="7.7109375" bestFit="1" customWidth="1"/>
    <col min="44" max="44" width="2.28515625" style="3" customWidth="1"/>
    <col min="45" max="46" width="11.5703125" style="3" hidden="1" customWidth="1"/>
    <col min="47" max="47" width="6.5703125" style="3" customWidth="1"/>
    <col min="48" max="53" width="11.5703125" style="3" hidden="1" customWidth="1"/>
    <col min="54" max="56" width="3" style="3" customWidth="1"/>
    <col min="57" max="57" width="5.140625" style="3" customWidth="1"/>
    <col min="58" max="61" width="11.5703125" style="3" hidden="1" customWidth="1"/>
    <col min="62" max="62" width="3.85546875" style="3" customWidth="1"/>
    <col min="63" max="65" width="9.140625" style="3"/>
    <col min="66" max="66" width="0.140625" style="3" customWidth="1"/>
    <col min="67" max="67" width="11.7109375" style="3" bestFit="1" customWidth="1"/>
    <col min="68" max="69" width="9.140625" style="3"/>
    <col min="70" max="70" width="9.7109375" style="3" customWidth="1"/>
    <col min="71" max="71" width="9.140625" style="3"/>
    <col min="72" max="74" width="9.140625" style="3" hidden="1" customWidth="1"/>
    <col min="75" max="75" width="9.7109375" style="3" customWidth="1"/>
    <col min="76" max="76" width="8.5703125" style="3" bestFit="1" customWidth="1"/>
    <col min="77" max="77" width="8.7109375" style="3" bestFit="1" customWidth="1"/>
    <col min="78" max="78" width="5.28515625" style="3" hidden="1" customWidth="1"/>
    <col min="79" max="79" width="7.5703125" style="3" bestFit="1" customWidth="1"/>
    <col min="80" max="82" width="9.28515625" style="3" bestFit="1" customWidth="1"/>
    <col min="83" max="83" width="11.140625" style="3" bestFit="1" customWidth="1"/>
    <col min="84" max="84" width="3.5703125" style="3" customWidth="1"/>
    <col min="85" max="85" width="11.5703125" style="4" hidden="1" customWidth="1"/>
    <col min="86" max="88" width="10.5703125" style="4" hidden="1" customWidth="1"/>
    <col min="89" max="89" width="8.7109375" style="4" hidden="1" customWidth="1"/>
    <col min="90" max="90" width="6.28515625" style="35" hidden="1" customWidth="1"/>
    <col min="91" max="91" width="9.7109375" style="4" hidden="1" customWidth="1"/>
    <col min="92" max="92" width="2.85546875" style="3" hidden="1" customWidth="1"/>
    <col min="93" max="93" width="4.5703125" style="3" customWidth="1"/>
    <col min="94" max="94" width="2" style="3" customWidth="1"/>
    <col min="95" max="95" width="12.5703125" style="3" bestFit="1" customWidth="1"/>
    <col min="96" max="96" width="9.28515625" style="3" bestFit="1" customWidth="1"/>
    <col min="97" max="97" width="6.42578125" style="3" bestFit="1" customWidth="1"/>
    <col min="98" max="98" width="7.85546875" style="3" bestFit="1" customWidth="1"/>
    <col min="99" max="99" width="10.85546875" style="3" bestFit="1" customWidth="1"/>
    <col min="100" max="100" width="2.140625" style="3" customWidth="1"/>
    <col min="101" max="101" width="9.42578125" style="3" customWidth="1"/>
    <col min="102" max="102" width="7.28515625" style="3" bestFit="1" customWidth="1"/>
    <col min="103" max="103" width="1.28515625" style="3" customWidth="1"/>
    <col min="104" max="104" width="2.28515625" style="42" customWidth="1"/>
    <col min="105" max="105" width="7.5703125" style="42" customWidth="1"/>
    <col min="106" max="106" width="2.28515625" style="42" customWidth="1"/>
    <col min="107" max="108" width="10.5703125" style="5" customWidth="1"/>
    <col min="109" max="109" width="15.42578125" style="179" customWidth="1"/>
    <col min="110" max="110" width="12.140625" style="160" customWidth="1"/>
    <col min="111" max="111" width="15.7109375" style="160" bestFit="1" customWidth="1"/>
    <col min="112" max="112" width="12.140625" style="160" customWidth="1"/>
    <col min="113" max="113" width="10.5703125" style="42" customWidth="1"/>
    <col min="114" max="114" width="11.5703125" style="5" customWidth="1"/>
    <col min="115" max="115" width="6.28515625" style="42" bestFit="1" customWidth="1"/>
    <col min="116" max="116" width="2.42578125" style="42" customWidth="1"/>
    <col min="117" max="117" width="8.5703125" style="42" customWidth="1"/>
    <col min="118" max="118" width="2.28515625" style="42" customWidth="1"/>
    <col min="119" max="119" width="8.140625" style="42" customWidth="1"/>
    <col min="120" max="120" width="5.7109375" style="42" bestFit="1" customWidth="1"/>
    <col min="121" max="121" width="5.42578125" style="42" bestFit="1" customWidth="1"/>
    <col min="122" max="122" width="1.5703125" style="42" customWidth="1"/>
    <col min="123" max="123" width="9.5703125" style="52" hidden="1" customWidth="1"/>
    <col min="124" max="124" width="2.140625" style="42" hidden="1" customWidth="1"/>
    <col min="125" max="125" width="9.42578125" style="4" hidden="1" customWidth="1"/>
    <col min="126" max="126" width="1.5703125" style="3" hidden="1" customWidth="1"/>
    <col min="127" max="127" width="10.7109375" style="3" customWidth="1"/>
    <col min="128" max="128" width="12.140625" style="3" hidden="1" customWidth="1"/>
    <col min="129" max="129" width="6" style="3" hidden="1" customWidth="1"/>
    <col min="130" max="130" width="8.5703125" style="3" hidden="1" customWidth="1"/>
    <col min="131" max="131" width="2.85546875" style="3" hidden="1" customWidth="1"/>
    <col min="132" max="132" width="6.5703125" style="3" hidden="1" customWidth="1"/>
    <col min="133" max="133" width="2.28515625" style="3" hidden="1" customWidth="1"/>
    <col min="134" max="134" width="12.28515625" style="3" hidden="1" customWidth="1"/>
    <col min="135" max="135" width="10.28515625" style="4" hidden="1" customWidth="1"/>
    <col min="136" max="136" width="2.7109375" style="4" hidden="1" customWidth="1"/>
    <col min="137" max="137" width="0" style="4" hidden="1" customWidth="1"/>
    <col min="138" max="138" width="7" style="4" hidden="1" customWidth="1"/>
    <col min="139" max="139" width="3.28515625" style="4" hidden="1" customWidth="1"/>
    <col min="140" max="140" width="13.7109375" style="4" hidden="1" customWidth="1"/>
    <col min="141" max="143" width="0" style="3" hidden="1" customWidth="1"/>
    <col min="144" max="144" width="12.42578125" style="3" bestFit="1" customWidth="1"/>
    <col min="145" max="146" width="12.140625" style="3" bestFit="1" customWidth="1"/>
    <col min="147" max="147" width="9.140625" style="3"/>
    <col min="148" max="148" width="2.5703125" style="3" customWidth="1"/>
    <col min="149" max="149" width="11.5703125" style="4" hidden="1" customWidth="1"/>
    <col min="150" max="150" width="12.28515625" style="4" hidden="1" customWidth="1"/>
    <col min="151" max="151" width="0" style="3" hidden="1" customWidth="1"/>
    <col min="152" max="152" width="10.7109375" style="4" bestFit="1" customWidth="1"/>
    <col min="153" max="153" width="7.5703125" style="42" customWidth="1"/>
    <col min="154" max="16384" width="9.140625" style="3"/>
  </cols>
  <sheetData>
    <row r="1" spans="1:154" ht="16.5" thickBot="1" x14ac:dyDescent="0.3">
      <c r="I1" s="51"/>
      <c r="J1" s="3"/>
      <c r="L1" s="50"/>
      <c r="BK1" s="4"/>
      <c r="BL1" s="4"/>
      <c r="BM1" s="4"/>
      <c r="BN1" s="4"/>
      <c r="BO1" s="4"/>
      <c r="BP1" s="254"/>
      <c r="BQ1" s="4"/>
      <c r="BR1" s="4"/>
    </row>
    <row r="2" spans="1:154" ht="16.5" thickBot="1" x14ac:dyDescent="0.3">
      <c r="I2" s="51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255"/>
      <c r="AA2" s="252"/>
      <c r="AB2" s="252"/>
      <c r="AC2" s="252"/>
      <c r="AD2" s="252"/>
      <c r="AE2" s="252"/>
      <c r="AF2" s="252"/>
      <c r="AG2" s="252"/>
      <c r="AH2" s="50"/>
      <c r="AI2" s="50"/>
      <c r="AJ2" s="50"/>
      <c r="AK2" s="50"/>
      <c r="AL2" s="50"/>
      <c r="AM2" s="50"/>
      <c r="AN2" s="50"/>
      <c r="AO2" s="50"/>
      <c r="AP2" s="50"/>
      <c r="AQ2" s="50"/>
      <c r="BE2" s="61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3"/>
      <c r="DE2" s="192"/>
      <c r="DF2" s="193"/>
      <c r="DG2" s="193"/>
    </row>
    <row r="3" spans="1:154" ht="16.5" thickBot="1" x14ac:dyDescent="0.3">
      <c r="A3" s="162" t="s">
        <v>187</v>
      </c>
      <c r="B3" s="181"/>
      <c r="C3" s="251">
        <v>2534405</v>
      </c>
      <c r="D3" s="181"/>
      <c r="E3" s="182"/>
      <c r="Q3" s="254"/>
      <c r="X3" s="252"/>
      <c r="Y3" s="252"/>
      <c r="Z3" s="255"/>
      <c r="AA3" s="255"/>
      <c r="AB3" s="252"/>
      <c r="AC3" s="252"/>
      <c r="AD3" s="252"/>
      <c r="AE3" s="252"/>
      <c r="AF3" s="253"/>
      <c r="AG3" s="253"/>
      <c r="AH3" s="213"/>
      <c r="AI3" s="213"/>
      <c r="AJ3" s="255"/>
      <c r="AK3" s="213"/>
      <c r="AL3" s="213"/>
      <c r="AM3" s="213"/>
      <c r="AN3" s="213"/>
      <c r="AO3" s="213"/>
      <c r="AP3" s="255"/>
      <c r="AQ3" s="213"/>
      <c r="BE3" s="64"/>
      <c r="BF3" s="65"/>
      <c r="BG3" s="65"/>
      <c r="BH3" s="65"/>
      <c r="BI3" s="65"/>
      <c r="BJ3" s="65"/>
      <c r="BK3" s="65" t="s">
        <v>102</v>
      </c>
      <c r="BL3" s="66" t="s">
        <v>103</v>
      </c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7"/>
      <c r="CQ3" s="90" t="s">
        <v>186</v>
      </c>
      <c r="CR3" s="91"/>
      <c r="CS3" s="91"/>
      <c r="CT3" s="91"/>
      <c r="CU3" s="91"/>
      <c r="CV3" s="91"/>
      <c r="CW3" s="91"/>
      <c r="CX3" s="91"/>
      <c r="CY3" s="91"/>
      <c r="CZ3" s="92"/>
      <c r="DA3" s="92"/>
      <c r="DB3" s="173"/>
      <c r="DE3" s="192"/>
      <c r="DF3" s="193"/>
      <c r="DG3" s="193"/>
      <c r="DS3" s="97"/>
      <c r="DT3" s="95"/>
      <c r="DU3" s="98"/>
      <c r="DV3" s="135"/>
      <c r="DW3" s="32"/>
    </row>
    <row r="4" spans="1:154" x14ac:dyDescent="0.25">
      <c r="A4" s="163"/>
      <c r="E4" s="183"/>
      <c r="L4" s="244" t="s">
        <v>182</v>
      </c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5"/>
      <c r="Y4" s="55"/>
      <c r="Z4" s="55"/>
      <c r="AA4" s="55"/>
      <c r="AB4" s="55"/>
      <c r="AC4" s="55"/>
      <c r="AD4" s="55"/>
      <c r="AE4" s="55"/>
      <c r="AF4" s="229"/>
      <c r="AG4" s="229"/>
      <c r="AH4" s="55"/>
      <c r="AI4" s="55"/>
      <c r="AJ4" s="55"/>
      <c r="AK4" s="55"/>
      <c r="AL4" s="55"/>
      <c r="AM4" s="55"/>
      <c r="AN4" s="55"/>
      <c r="AO4" s="55"/>
      <c r="AP4" s="55"/>
      <c r="AQ4" s="188"/>
      <c r="AS4" s="19" t="s">
        <v>100</v>
      </c>
      <c r="AT4" s="11" t="s">
        <v>52</v>
      </c>
      <c r="BE4" s="64"/>
      <c r="BF4" s="65"/>
      <c r="BG4" s="65"/>
      <c r="BH4" s="65"/>
      <c r="BI4" s="65"/>
      <c r="BJ4" s="65"/>
      <c r="BK4" s="68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7"/>
      <c r="CQ4" s="93"/>
      <c r="CR4" s="94"/>
      <c r="CS4" s="94"/>
      <c r="CT4" s="94"/>
      <c r="CU4" s="94"/>
      <c r="CV4" s="94"/>
      <c r="CW4" s="94"/>
      <c r="CX4" s="94"/>
      <c r="CY4" s="94"/>
      <c r="CZ4" s="95"/>
      <c r="DA4" s="95"/>
      <c r="DB4" s="174"/>
      <c r="DE4" s="192"/>
      <c r="DF4" s="193"/>
      <c r="DG4" s="193"/>
      <c r="DS4" s="97" t="s">
        <v>101</v>
      </c>
      <c r="DT4" s="95"/>
      <c r="DU4" s="98"/>
      <c r="DV4" s="135"/>
      <c r="DW4" s="32"/>
      <c r="ES4" s="8"/>
    </row>
    <row r="5" spans="1:154" x14ac:dyDescent="0.25">
      <c r="A5" s="163" t="s">
        <v>118</v>
      </c>
      <c r="C5" s="3">
        <v>-2000</v>
      </c>
      <c r="E5" s="183"/>
      <c r="L5" s="245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7"/>
      <c r="Y5" s="57"/>
      <c r="Z5" s="57"/>
      <c r="AA5" s="57"/>
      <c r="AB5" s="57"/>
      <c r="AC5" s="57"/>
      <c r="AD5" s="57"/>
      <c r="AE5" s="57"/>
      <c r="AF5" s="229">
        <v>25000</v>
      </c>
      <c r="AG5" s="229"/>
      <c r="AH5" s="57"/>
      <c r="AI5" s="237"/>
      <c r="AJ5" s="229"/>
      <c r="AK5" s="237"/>
      <c r="AL5" s="237"/>
      <c r="AM5" s="237"/>
      <c r="AN5" s="237"/>
      <c r="AO5" s="240"/>
      <c r="AP5" s="240"/>
      <c r="AQ5" s="189"/>
      <c r="AS5" s="20"/>
      <c r="AT5" s="13"/>
      <c r="BE5" s="64"/>
      <c r="BF5" s="65"/>
      <c r="BG5" s="65"/>
      <c r="BH5" s="65"/>
      <c r="BI5" s="65"/>
      <c r="BJ5" s="65"/>
      <c r="BK5" s="68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7"/>
      <c r="CQ5" s="93"/>
      <c r="CR5" s="94"/>
      <c r="CS5" s="94"/>
      <c r="CT5" s="94"/>
      <c r="CU5" s="94"/>
      <c r="CV5" s="94"/>
      <c r="CW5" s="94"/>
      <c r="CX5" s="94"/>
      <c r="CY5" s="94"/>
      <c r="CZ5" s="95"/>
      <c r="DA5" s="95"/>
      <c r="DB5" s="174"/>
      <c r="DE5" s="192"/>
      <c r="DF5" s="193"/>
      <c r="DG5" s="193"/>
      <c r="DS5" s="97"/>
      <c r="DT5" s="95"/>
      <c r="DU5" s="98"/>
      <c r="DV5" s="135"/>
      <c r="DW5" s="32"/>
      <c r="ES5" s="8"/>
    </row>
    <row r="6" spans="1:154" x14ac:dyDescent="0.25">
      <c r="A6" s="163"/>
      <c r="E6" s="183"/>
      <c r="J6" s="157"/>
      <c r="L6" s="246" t="s">
        <v>153</v>
      </c>
      <c r="M6" s="229" t="s">
        <v>153</v>
      </c>
      <c r="N6" s="237"/>
      <c r="O6" s="229" t="s">
        <v>153</v>
      </c>
      <c r="P6" s="229" t="s">
        <v>153</v>
      </c>
      <c r="Q6" s="229" t="s">
        <v>179</v>
      </c>
      <c r="R6" s="229" t="s">
        <v>153</v>
      </c>
      <c r="S6" s="229" t="s">
        <v>153</v>
      </c>
      <c r="T6" s="229" t="s">
        <v>153</v>
      </c>
      <c r="U6" s="229" t="s">
        <v>179</v>
      </c>
      <c r="V6" s="229"/>
      <c r="W6" s="229"/>
      <c r="X6" s="229" t="s">
        <v>179</v>
      </c>
      <c r="Y6" s="229" t="s">
        <v>179</v>
      </c>
      <c r="Z6" s="229" t="s">
        <v>153</v>
      </c>
      <c r="AA6" s="229" t="s">
        <v>179</v>
      </c>
      <c r="AB6" s="229" t="s">
        <v>179</v>
      </c>
      <c r="AC6" s="229" t="s">
        <v>153</v>
      </c>
      <c r="AD6" s="229" t="s">
        <v>153</v>
      </c>
      <c r="AE6" s="229" t="s">
        <v>153</v>
      </c>
      <c r="AF6" s="229" t="s">
        <v>179</v>
      </c>
      <c r="AG6" s="229" t="s">
        <v>179</v>
      </c>
      <c r="AH6" s="229" t="s">
        <v>153</v>
      </c>
      <c r="AI6" s="229" t="s">
        <v>153</v>
      </c>
      <c r="AJ6" s="229" t="s">
        <v>179</v>
      </c>
      <c r="AK6" s="229" t="s">
        <v>153</v>
      </c>
      <c r="AL6" s="229" t="s">
        <v>153</v>
      </c>
      <c r="AM6" s="229" t="s">
        <v>153</v>
      </c>
      <c r="AN6" s="229" t="s">
        <v>153</v>
      </c>
      <c r="AO6" s="229" t="s">
        <v>153</v>
      </c>
      <c r="AP6" s="229"/>
      <c r="AQ6" s="238"/>
      <c r="AS6" s="20"/>
      <c r="AT6" s="13"/>
      <c r="BE6" s="64"/>
      <c r="BF6" s="65"/>
      <c r="BG6" s="65"/>
      <c r="BH6" s="65"/>
      <c r="BI6" s="65"/>
      <c r="BJ6" s="65"/>
      <c r="BK6" s="242" t="s">
        <v>154</v>
      </c>
      <c r="BL6" s="242" t="s">
        <v>154</v>
      </c>
      <c r="BM6" s="242" t="s">
        <v>154</v>
      </c>
      <c r="BN6" s="241"/>
      <c r="BO6" s="242" t="s">
        <v>154</v>
      </c>
      <c r="BP6" s="242" t="s">
        <v>154</v>
      </c>
      <c r="BQ6" s="242" t="s">
        <v>154</v>
      </c>
      <c r="BR6" s="242" t="s">
        <v>154</v>
      </c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7"/>
      <c r="CQ6" s="93"/>
      <c r="CR6" s="94"/>
      <c r="CS6" s="94"/>
      <c r="CT6" s="94"/>
      <c r="CU6" s="94"/>
      <c r="CV6" s="94"/>
      <c r="CW6" s="94"/>
      <c r="CX6" s="94"/>
      <c r="CY6" s="94"/>
      <c r="CZ6" s="95"/>
      <c r="DA6" s="95"/>
      <c r="DB6" s="174"/>
      <c r="DE6" s="192"/>
      <c r="DF6" s="193"/>
      <c r="DG6" s="193"/>
      <c r="DJ6" s="147"/>
      <c r="DK6" s="147"/>
      <c r="DL6" s="147"/>
      <c r="DM6" s="147"/>
      <c r="DN6" s="147"/>
      <c r="DP6" s="147"/>
      <c r="DQ6" s="147"/>
      <c r="DS6" s="97"/>
      <c r="DT6" s="95"/>
      <c r="DU6" s="98"/>
      <c r="DV6" s="135"/>
      <c r="DW6" s="32"/>
      <c r="EN6" s="153"/>
      <c r="EO6" s="138"/>
      <c r="EP6" s="154"/>
      <c r="EQ6" s="34"/>
      <c r="ES6" s="8"/>
      <c r="ET6" s="8"/>
      <c r="EU6" s="8"/>
      <c r="EV6" s="143"/>
    </row>
    <row r="7" spans="1:154" x14ac:dyDescent="0.25">
      <c r="A7" s="163" t="s">
        <v>114</v>
      </c>
      <c r="B7" s="4"/>
      <c r="C7" s="138">
        <f>SUM(C3:C6)</f>
        <v>2532405</v>
      </c>
      <c r="D7" s="4" t="s">
        <v>97</v>
      </c>
      <c r="E7" s="164"/>
      <c r="F7" s="180"/>
      <c r="L7" s="247" t="s">
        <v>47</v>
      </c>
      <c r="M7" s="56" t="s">
        <v>78</v>
      </c>
      <c r="N7" s="56" t="s">
        <v>79</v>
      </c>
      <c r="O7" s="56" t="s">
        <v>80</v>
      </c>
      <c r="P7" s="56" t="s">
        <v>81</v>
      </c>
      <c r="Q7" s="56" t="s">
        <v>82</v>
      </c>
      <c r="R7" s="56" t="s">
        <v>108</v>
      </c>
      <c r="S7" s="56" t="s">
        <v>83</v>
      </c>
      <c r="T7" s="56" t="s">
        <v>84</v>
      </c>
      <c r="U7" s="56" t="s">
        <v>85</v>
      </c>
      <c r="V7" s="56" t="s">
        <v>104</v>
      </c>
      <c r="W7" s="56" t="s">
        <v>106</v>
      </c>
      <c r="X7" s="56" t="s">
        <v>99</v>
      </c>
      <c r="Y7" s="56" t="s">
        <v>99</v>
      </c>
      <c r="Z7" s="56" t="s">
        <v>134</v>
      </c>
      <c r="AA7" s="56" t="s">
        <v>120</v>
      </c>
      <c r="AB7" s="56" t="s">
        <v>120</v>
      </c>
      <c r="AC7" s="228" t="s">
        <v>162</v>
      </c>
      <c r="AD7" s="56" t="s">
        <v>124</v>
      </c>
      <c r="AE7" s="56" t="s">
        <v>122</v>
      </c>
      <c r="AF7" s="56" t="s">
        <v>142</v>
      </c>
      <c r="AG7" s="56" t="s">
        <v>144</v>
      </c>
      <c r="AH7" s="56" t="s">
        <v>147</v>
      </c>
      <c r="AI7" s="56" t="s">
        <v>151</v>
      </c>
      <c r="AJ7" s="56" t="s">
        <v>161</v>
      </c>
      <c r="AK7" s="56" t="s">
        <v>156</v>
      </c>
      <c r="AL7" s="56" t="s">
        <v>173</v>
      </c>
      <c r="AM7" s="56" t="s">
        <v>175</v>
      </c>
      <c r="AN7" s="56" t="s">
        <v>165</v>
      </c>
      <c r="AO7" s="56" t="s">
        <v>167</v>
      </c>
      <c r="AP7" s="56" t="s">
        <v>183</v>
      </c>
      <c r="AQ7" s="190" t="s">
        <v>0</v>
      </c>
      <c r="AS7" s="20" t="s">
        <v>53</v>
      </c>
      <c r="AT7" s="13" t="s">
        <v>49</v>
      </c>
      <c r="BE7" s="64"/>
      <c r="BF7" s="65"/>
      <c r="BG7" s="65"/>
      <c r="BH7" s="65"/>
      <c r="BI7" s="65"/>
      <c r="BJ7" s="65"/>
      <c r="BK7" s="65" t="s">
        <v>159</v>
      </c>
      <c r="BL7" s="65"/>
      <c r="BM7" s="230"/>
      <c r="BN7" s="65"/>
      <c r="BO7" s="230"/>
      <c r="BP7" s="230"/>
      <c r="BQ7" s="65"/>
      <c r="BR7" s="230"/>
      <c r="BS7" s="65"/>
      <c r="BT7" s="65"/>
      <c r="BU7" s="65"/>
      <c r="BV7" s="65"/>
      <c r="BW7" s="69" t="s">
        <v>171</v>
      </c>
      <c r="BX7" s="70"/>
      <c r="BY7" s="70"/>
      <c r="BZ7" s="70"/>
      <c r="CA7" s="70"/>
      <c r="CB7" s="70"/>
      <c r="CC7" s="70"/>
      <c r="CD7" s="200"/>
      <c r="CE7" s="71"/>
      <c r="CG7" s="36" t="s">
        <v>52</v>
      </c>
      <c r="CH7" s="10" t="s">
        <v>93</v>
      </c>
      <c r="CI7" s="10" t="s">
        <v>93</v>
      </c>
      <c r="CJ7" s="10" t="s">
        <v>93</v>
      </c>
      <c r="CK7" s="10" t="s">
        <v>0</v>
      </c>
      <c r="CL7" s="37" t="s">
        <v>53</v>
      </c>
      <c r="CM7" s="38" t="s">
        <v>94</v>
      </c>
      <c r="CQ7" s="93"/>
      <c r="CR7" s="99" t="s">
        <v>86</v>
      </c>
      <c r="CS7" s="99"/>
      <c r="CT7" s="99"/>
      <c r="CU7" s="99"/>
      <c r="CV7" s="99"/>
      <c r="CW7" s="117" t="s">
        <v>0</v>
      </c>
      <c r="CX7" s="118"/>
      <c r="CY7" s="94"/>
      <c r="CZ7" s="95"/>
      <c r="DA7" s="95"/>
      <c r="DB7" s="174"/>
      <c r="DC7" s="148"/>
      <c r="DD7" s="148"/>
      <c r="DE7" s="192"/>
      <c r="DF7" s="193"/>
      <c r="DG7" s="193"/>
      <c r="DJ7" s="145"/>
      <c r="DK7" s="146"/>
      <c r="DL7" s="146"/>
      <c r="DM7" s="146"/>
      <c r="DN7" s="5"/>
      <c r="DO7" s="148"/>
      <c r="DP7" s="149"/>
      <c r="DQ7" s="149"/>
      <c r="DS7" s="97"/>
      <c r="DT7" s="95"/>
      <c r="DU7" s="101"/>
      <c r="DV7" s="135"/>
      <c r="DW7" s="32"/>
      <c r="EO7" s="138"/>
      <c r="EP7" s="155"/>
      <c r="EQ7" s="34"/>
      <c r="ES7" s="8"/>
      <c r="ET7" s="8"/>
    </row>
    <row r="8" spans="1:154" x14ac:dyDescent="0.25">
      <c r="A8" s="163"/>
      <c r="B8" s="4"/>
      <c r="C8" s="5"/>
      <c r="D8" s="4"/>
      <c r="E8" s="164"/>
      <c r="F8" s="4"/>
      <c r="L8" s="247">
        <v>2004</v>
      </c>
      <c r="M8" s="56">
        <v>1999</v>
      </c>
      <c r="N8" s="56">
        <v>1999</v>
      </c>
      <c r="O8" s="56">
        <v>2004</v>
      </c>
      <c r="P8" s="56">
        <v>2004</v>
      </c>
      <c r="Q8" s="56">
        <v>2005</v>
      </c>
      <c r="R8" s="56" t="s">
        <v>109</v>
      </c>
      <c r="S8" s="56">
        <v>2007</v>
      </c>
      <c r="T8" s="56">
        <v>2007</v>
      </c>
      <c r="U8" s="56">
        <v>2007</v>
      </c>
      <c r="V8" s="58" t="s">
        <v>105</v>
      </c>
      <c r="W8" s="58" t="s">
        <v>98</v>
      </c>
      <c r="X8" s="56" t="s">
        <v>113</v>
      </c>
      <c r="Y8" s="56" t="s">
        <v>139</v>
      </c>
      <c r="Z8" s="56" t="s">
        <v>135</v>
      </c>
      <c r="AA8" s="56" t="s">
        <v>155</v>
      </c>
      <c r="AB8" s="56" t="s">
        <v>155</v>
      </c>
      <c r="AC8" s="228" t="s">
        <v>164</v>
      </c>
      <c r="AD8" s="56" t="s">
        <v>125</v>
      </c>
      <c r="AE8" s="56" t="s">
        <v>123</v>
      </c>
      <c r="AF8" s="56" t="s">
        <v>143</v>
      </c>
      <c r="AG8" s="56" t="s">
        <v>145</v>
      </c>
      <c r="AH8" s="56" t="s">
        <v>148</v>
      </c>
      <c r="AI8" s="56" t="s">
        <v>152</v>
      </c>
      <c r="AJ8" s="56" t="s">
        <v>180</v>
      </c>
      <c r="AK8" s="56" t="s">
        <v>157</v>
      </c>
      <c r="AL8" s="56" t="s">
        <v>174</v>
      </c>
      <c r="AM8" s="56" t="s">
        <v>176</v>
      </c>
      <c r="AN8" s="56" t="s">
        <v>166</v>
      </c>
      <c r="AO8" s="56" t="s">
        <v>168</v>
      </c>
      <c r="AP8" s="56" t="s">
        <v>184</v>
      </c>
      <c r="AQ8" s="190"/>
      <c r="AS8" s="20"/>
      <c r="AT8" s="14">
        <f>C15</f>
        <v>0</v>
      </c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72"/>
      <c r="BF8" s="46"/>
      <c r="BG8" s="46"/>
      <c r="BH8" s="46"/>
      <c r="BI8" s="46"/>
      <c r="BJ8" s="65"/>
      <c r="BK8" s="128" t="s">
        <v>65</v>
      </c>
      <c r="BL8" s="128" t="s">
        <v>66</v>
      </c>
      <c r="BM8" s="128" t="s">
        <v>67</v>
      </c>
      <c r="BN8" s="128" t="s">
        <v>68</v>
      </c>
      <c r="BO8" s="128" t="s">
        <v>69</v>
      </c>
      <c r="BP8" s="139" t="s">
        <v>70</v>
      </c>
      <c r="BQ8" s="139" t="s">
        <v>126</v>
      </c>
      <c r="BR8" s="65" t="s">
        <v>128</v>
      </c>
      <c r="BS8" s="65"/>
      <c r="BT8" s="65"/>
      <c r="BU8" s="65"/>
      <c r="BV8" s="65"/>
      <c r="BW8" s="73" t="s">
        <v>65</v>
      </c>
      <c r="BX8" s="74" t="s">
        <v>66</v>
      </c>
      <c r="BY8" s="75" t="s">
        <v>67</v>
      </c>
      <c r="BZ8" s="75" t="s">
        <v>68</v>
      </c>
      <c r="CA8" s="75" t="s">
        <v>69</v>
      </c>
      <c r="CB8" s="75" t="s">
        <v>76</v>
      </c>
      <c r="CC8" s="76" t="s">
        <v>126</v>
      </c>
      <c r="CD8" s="201" t="s">
        <v>128</v>
      </c>
      <c r="CE8" s="77" t="s">
        <v>75</v>
      </c>
      <c r="CG8" s="12"/>
      <c r="CH8" s="4" t="s">
        <v>48</v>
      </c>
      <c r="CI8" s="4" t="s">
        <v>95</v>
      </c>
      <c r="CJ8" s="4" t="s">
        <v>96</v>
      </c>
      <c r="CM8" s="39" t="s">
        <v>92</v>
      </c>
      <c r="CQ8" s="93"/>
      <c r="CR8" s="102" t="s">
        <v>87</v>
      </c>
      <c r="CS8" s="102" t="s">
        <v>88</v>
      </c>
      <c r="CT8" s="102" t="s">
        <v>90</v>
      </c>
      <c r="CU8" s="102" t="s">
        <v>158</v>
      </c>
      <c r="CV8" s="102"/>
      <c r="CW8" s="119" t="s">
        <v>141</v>
      </c>
      <c r="CX8" s="120"/>
      <c r="CY8" s="102"/>
      <c r="CZ8" s="103"/>
      <c r="DA8" s="103" t="s">
        <v>150</v>
      </c>
      <c r="DB8" s="175"/>
      <c r="DC8" s="146"/>
      <c r="DD8" s="146"/>
      <c r="DE8" s="194"/>
      <c r="DF8" s="195"/>
      <c r="DG8" s="196"/>
      <c r="DH8" s="166"/>
      <c r="DI8" s="146"/>
      <c r="DK8" s="151"/>
      <c r="DL8" s="151"/>
      <c r="DM8" s="48"/>
      <c r="DN8" s="151"/>
      <c r="DO8" s="152"/>
      <c r="DP8" s="152"/>
      <c r="DQ8" s="152"/>
      <c r="DR8" s="147"/>
      <c r="DS8" s="104"/>
      <c r="DT8" s="100"/>
      <c r="DU8" s="105"/>
      <c r="DV8" s="105"/>
      <c r="DW8" s="47"/>
      <c r="DX8" s="8"/>
      <c r="DY8" s="4"/>
      <c r="DZ8" s="4"/>
      <c r="EA8" s="8"/>
      <c r="EB8" s="43"/>
      <c r="EC8" s="8"/>
      <c r="EE8" s="44"/>
      <c r="EO8" s="138"/>
      <c r="EP8" s="34"/>
      <c r="EQ8" s="34"/>
      <c r="ES8" s="8"/>
      <c r="ET8" s="8"/>
    </row>
    <row r="9" spans="1:154" x14ac:dyDescent="0.25">
      <c r="A9" s="163" t="s">
        <v>11</v>
      </c>
      <c r="B9" s="4"/>
      <c r="C9" s="5">
        <f>SUM(-AQ37)</f>
        <v>-107886.59056937264</v>
      </c>
      <c r="D9" s="4" t="s">
        <v>115</v>
      </c>
      <c r="E9" s="164"/>
      <c r="F9" s="4"/>
      <c r="L9" s="247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 t="s">
        <v>138</v>
      </c>
      <c r="Y9" s="57"/>
      <c r="Z9" s="56" t="s">
        <v>121</v>
      </c>
      <c r="AA9" s="57"/>
      <c r="AB9" s="57"/>
      <c r="AC9" s="228" t="s">
        <v>163</v>
      </c>
      <c r="AD9" s="224">
        <v>2010</v>
      </c>
      <c r="AE9" s="57"/>
      <c r="AF9" s="56" t="s">
        <v>177</v>
      </c>
      <c r="AG9" s="224" t="s">
        <v>146</v>
      </c>
      <c r="AH9" s="224" t="s">
        <v>149</v>
      </c>
      <c r="AI9" s="56"/>
      <c r="AJ9" s="224"/>
      <c r="AK9" s="224">
        <v>2012</v>
      </c>
      <c r="AL9" s="224">
        <v>2013</v>
      </c>
      <c r="AM9" s="224">
        <v>2013</v>
      </c>
      <c r="AN9" s="224">
        <v>2013</v>
      </c>
      <c r="AO9" s="224">
        <v>2014</v>
      </c>
      <c r="AP9" s="224">
        <v>2015</v>
      </c>
      <c r="AQ9" s="232"/>
      <c r="AS9" s="20"/>
      <c r="AT9" s="13"/>
      <c r="BE9" s="64"/>
      <c r="BF9" s="65"/>
      <c r="BG9" s="65"/>
      <c r="BH9" s="65"/>
      <c r="BI9" s="65"/>
      <c r="BJ9" s="65"/>
      <c r="BK9" s="128"/>
      <c r="BL9" s="128" t="s">
        <v>71</v>
      </c>
      <c r="BM9" s="128" t="s">
        <v>72</v>
      </c>
      <c r="BN9" s="128" t="s">
        <v>73</v>
      </c>
      <c r="BO9" s="128" t="s">
        <v>74</v>
      </c>
      <c r="BP9" s="128" t="s">
        <v>57</v>
      </c>
      <c r="BQ9" s="128" t="s">
        <v>127</v>
      </c>
      <c r="BR9" s="65" t="s">
        <v>129</v>
      </c>
      <c r="BS9" s="65"/>
      <c r="BT9" s="65"/>
      <c r="BU9" s="65"/>
      <c r="BV9" s="65"/>
      <c r="BW9" s="78"/>
      <c r="BX9" s="79" t="s">
        <v>71</v>
      </c>
      <c r="BY9" s="80" t="s">
        <v>72</v>
      </c>
      <c r="BZ9" s="80" t="s">
        <v>73</v>
      </c>
      <c r="CA9" s="80" t="s">
        <v>74</v>
      </c>
      <c r="CB9" s="80" t="s">
        <v>77</v>
      </c>
      <c r="CC9" s="80" t="s">
        <v>127</v>
      </c>
      <c r="CD9" s="202" t="s">
        <v>129</v>
      </c>
      <c r="CE9" s="81" t="s">
        <v>130</v>
      </c>
      <c r="CG9" s="12"/>
      <c r="CM9" s="40">
        <f>2/3</f>
        <v>0.66666666666666663</v>
      </c>
      <c r="CQ9" s="93"/>
      <c r="CR9" s="102" t="s">
        <v>48</v>
      </c>
      <c r="CS9" s="102" t="s">
        <v>89</v>
      </c>
      <c r="CT9" s="102" t="s">
        <v>91</v>
      </c>
      <c r="CU9" s="102" t="s">
        <v>107</v>
      </c>
      <c r="CV9" s="102"/>
      <c r="CW9" s="121">
        <v>2014</v>
      </c>
      <c r="CX9" s="122"/>
      <c r="CY9" s="106"/>
      <c r="CZ9" s="103"/>
      <c r="DA9" s="227">
        <v>0.04</v>
      </c>
      <c r="DB9" s="176"/>
      <c r="DC9" s="146"/>
      <c r="DD9" s="146"/>
      <c r="DE9" s="194"/>
      <c r="DF9" s="195"/>
      <c r="DG9" s="195"/>
      <c r="DH9" s="166"/>
      <c r="DI9" s="146"/>
      <c r="DK9" s="158"/>
      <c r="DL9" s="151"/>
      <c r="DM9" s="48"/>
      <c r="DN9" s="151"/>
      <c r="DO9" s="152"/>
      <c r="DP9" s="159"/>
      <c r="DQ9" s="159"/>
      <c r="DR9" s="150"/>
      <c r="DS9" s="108"/>
      <c r="DT9" s="107"/>
      <c r="DU9" s="109"/>
      <c r="DV9" s="136"/>
      <c r="DX9" s="8"/>
      <c r="DY9" s="4"/>
      <c r="DZ9" s="4"/>
      <c r="EA9" s="4"/>
      <c r="EB9" s="4"/>
      <c r="EC9" s="4"/>
      <c r="EO9" s="156"/>
    </row>
    <row r="10" spans="1:154" x14ac:dyDescent="0.25">
      <c r="A10" s="163" t="s">
        <v>110</v>
      </c>
      <c r="B10" s="4"/>
      <c r="C10" s="5">
        <f>-6*3000</f>
        <v>-18000</v>
      </c>
      <c r="D10" s="4" t="s">
        <v>50</v>
      </c>
      <c r="E10" s="164" t="s">
        <v>116</v>
      </c>
      <c r="F10" s="8"/>
      <c r="H10" s="3" t="s">
        <v>12</v>
      </c>
      <c r="I10" s="3" t="s">
        <v>8</v>
      </c>
      <c r="J10" s="42"/>
      <c r="K10" s="6"/>
      <c r="L10" s="248"/>
      <c r="M10" s="60"/>
      <c r="N10" s="60">
        <v>0</v>
      </c>
      <c r="O10" s="60">
        <f>105.024303130357*1.0362*1.006*1.0089*1.0057*1.0276*1.0091</f>
        <v>115.18773832871362</v>
      </c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>
        <v>-4390.85424576487</v>
      </c>
      <c r="AB10" s="60"/>
      <c r="AC10" s="60">
        <f>2280*1.0057*1.0276*1.0091</f>
        <v>2377.7248620753603</v>
      </c>
      <c r="AD10" s="60"/>
      <c r="AE10" s="60">
        <f>1616*1.006*1.0089*1.0057*1.0276*1.0091</f>
        <v>1710.4650753390854</v>
      </c>
      <c r="AF10" s="60">
        <f t="shared" ref="AF10:AF30" si="0">$AF$5*BR10</f>
        <v>1801.6666666666667</v>
      </c>
      <c r="AG10" s="60"/>
      <c r="AH10" s="60"/>
      <c r="AI10" s="60">
        <f>1200*1.0057*1.0276*1.0091</f>
        <v>1251.4341379344003</v>
      </c>
      <c r="AJ10" s="60"/>
      <c r="AK10" s="60">
        <f>840*1.0276*1.0091</f>
        <v>871.03897440000014</v>
      </c>
      <c r="AL10" s="60">
        <f>872*1.0276*1.0091</f>
        <v>904.22141152000017</v>
      </c>
      <c r="AM10" s="60">
        <f>1999*1.0276*1.0091</f>
        <v>2072.86536884</v>
      </c>
      <c r="AN10" s="60"/>
      <c r="AO10" s="60">
        <f>1700*1.0091</f>
        <v>1715.4700000000003</v>
      </c>
      <c r="AP10" s="60"/>
      <c r="AQ10" s="232">
        <f>SUM(L10:AP10)</f>
        <v>8429.2199893393572</v>
      </c>
      <c r="AS10" s="21" t="e">
        <f>(J10+#REF!)/($J$31+#REF!)</f>
        <v>#REF!</v>
      </c>
      <c r="AT10" s="14" t="e">
        <f>AS10*$AT$8</f>
        <v>#REF!</v>
      </c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72"/>
      <c r="BF10" s="46"/>
      <c r="BG10" s="46"/>
      <c r="BH10" s="46"/>
      <c r="BI10" s="46"/>
      <c r="BJ10" s="65"/>
      <c r="BK10" s="129">
        <v>0.22229763056321816</v>
      </c>
      <c r="BL10" s="129">
        <v>1.6345688618650489E-2</v>
      </c>
      <c r="BM10" s="129">
        <v>8.9655172413793102E-2</v>
      </c>
      <c r="BN10" s="130">
        <v>4.8595550095447332E-2</v>
      </c>
      <c r="BO10" s="129">
        <v>7.2577824414130814E-3</v>
      </c>
      <c r="BP10" s="129">
        <v>5.8305902581794161E-2</v>
      </c>
      <c r="BQ10" s="129">
        <v>2.47E-2</v>
      </c>
      <c r="BR10" s="129">
        <v>7.2066666666666668E-2</v>
      </c>
      <c r="BS10" s="82"/>
      <c r="BT10" s="82"/>
      <c r="BU10" s="82"/>
      <c r="BV10" s="82"/>
      <c r="BW10" s="83">
        <f>SUM(BK10*$BO$37)</f>
        <v>212850.11140234061</v>
      </c>
      <c r="BX10" s="83">
        <f t="shared" ref="BX10:BX30" si="1">SUM(BL10*$BO$39)</f>
        <v>2313.6270362207856</v>
      </c>
      <c r="BY10" s="83">
        <f t="shared" ref="BY10:BY30" si="2">SUM(BM10*$BO$40)</f>
        <v>9704.203834268139</v>
      </c>
      <c r="BZ10" s="83">
        <f t="shared" ref="BZ10:BZ30" si="3">BN10*$BR$41*$BS$41</f>
        <v>0</v>
      </c>
      <c r="CA10" s="83">
        <f t="shared" ref="CA10:CA30" si="4">SUM(BO10*$BO$42)</f>
        <v>543.86068198875421</v>
      </c>
      <c r="CB10" s="83">
        <f t="shared" ref="CB10:CB30" si="5">SUM(BP10*$BO$43)</f>
        <v>12621.96810649741</v>
      </c>
      <c r="CC10" s="83">
        <f>SUM(BQ10*$BO$44)</f>
        <v>3290.4715770349198</v>
      </c>
      <c r="CD10" s="83">
        <f>SUM(BR10*$BO$45)</f>
        <v>2400.1348007926777</v>
      </c>
      <c r="CE10" s="84">
        <f>SUM(BW10:CD10)</f>
        <v>243724.37743914328</v>
      </c>
      <c r="CG10" s="15">
        <f t="shared" ref="CG10:CG30" si="6">J10</f>
        <v>0</v>
      </c>
      <c r="CH10" s="5" t="e">
        <f>-#REF!</f>
        <v>#REF!</v>
      </c>
      <c r="CJ10" s="4">
        <v>32000</v>
      </c>
      <c r="CK10" s="5" t="e">
        <f>CG10-CH10-CI10-CJ10</f>
        <v>#REF!</v>
      </c>
      <c r="CL10" s="35" t="e">
        <f>CK10/$CK$31</f>
        <v>#REF!</v>
      </c>
      <c r="CM10" s="22" t="e">
        <f t="shared" ref="CM10:CM30" si="7">CL10*$C$15</f>
        <v>#REF!</v>
      </c>
      <c r="CQ10" s="93" t="s">
        <v>8</v>
      </c>
      <c r="CR10" s="96">
        <f>SUM(AQ10)</f>
        <v>8429.2199893393572</v>
      </c>
      <c r="CS10" s="96"/>
      <c r="CT10" s="96">
        <f>$B$22</f>
        <v>35300</v>
      </c>
      <c r="CU10" s="96">
        <f>CE10</f>
        <v>243724.37743914328</v>
      </c>
      <c r="CV10" s="96"/>
      <c r="CW10" s="123">
        <f>SUM(CR10:CU10)</f>
        <v>287453.59742848261</v>
      </c>
      <c r="CX10" s="124">
        <f>CW10/$CW$31</f>
        <v>0.11350998631677148</v>
      </c>
      <c r="CY10" s="110"/>
      <c r="CZ10" s="96"/>
      <c r="DA10" s="96">
        <f>SUM(CW10*0.04)</f>
        <v>11498.143897139305</v>
      </c>
      <c r="DB10" s="177"/>
      <c r="DC10" s="152"/>
      <c r="DD10" s="152"/>
      <c r="DE10" s="197"/>
      <c r="DF10" s="198"/>
      <c r="DG10" s="199"/>
      <c r="DH10" s="167"/>
      <c r="DI10" s="5"/>
      <c r="DK10" s="151"/>
      <c r="DL10" s="151"/>
      <c r="DM10" s="48"/>
      <c r="DN10" s="151"/>
      <c r="DO10" s="152"/>
      <c r="DP10" s="152"/>
      <c r="DQ10" s="152"/>
      <c r="DR10" s="152"/>
      <c r="DS10" s="112"/>
      <c r="DT10" s="111"/>
      <c r="DU10" s="113"/>
      <c r="DV10" s="137"/>
      <c r="DW10" s="49"/>
      <c r="DX10" s="5"/>
      <c r="DY10" s="4"/>
      <c r="DZ10" s="5"/>
      <c r="EA10" s="5"/>
      <c r="EB10" s="42"/>
      <c r="EC10" s="5"/>
      <c r="EE10" s="5"/>
      <c r="EF10" s="5"/>
      <c r="EG10" s="5"/>
      <c r="EH10" s="5"/>
      <c r="EJ10" s="5"/>
      <c r="EK10" s="42"/>
      <c r="EO10" s="42"/>
      <c r="EP10" s="42"/>
      <c r="EQ10" s="42"/>
      <c r="EU10" s="42"/>
      <c r="EV10" s="5"/>
      <c r="EX10" s="32"/>
    </row>
    <row r="11" spans="1:154" x14ac:dyDescent="0.25">
      <c r="A11" s="163" t="s">
        <v>111</v>
      </c>
      <c r="B11" s="4"/>
      <c r="C11" s="52">
        <f>-21*35300</f>
        <v>-741300</v>
      </c>
      <c r="D11" s="4" t="s">
        <v>181</v>
      </c>
      <c r="E11" s="164" t="s">
        <v>115</v>
      </c>
      <c r="F11" s="8"/>
      <c r="H11" s="3" t="s">
        <v>13</v>
      </c>
      <c r="I11" s="3" t="s">
        <v>2</v>
      </c>
      <c r="J11" s="42"/>
      <c r="K11" s="7"/>
      <c r="L11" s="248"/>
      <c r="M11" s="60"/>
      <c r="N11" s="60"/>
      <c r="O11" s="60"/>
      <c r="P11" s="60"/>
      <c r="Q11" s="60"/>
      <c r="R11" s="60"/>
      <c r="S11" s="60">
        <f>806.108818303748*1.0362*1.006*1.0089*1.0057*1.0276*1.0091</f>
        <v>884.1177599816084</v>
      </c>
      <c r="T11" s="60"/>
      <c r="U11" s="60"/>
      <c r="V11" s="60"/>
      <c r="W11" s="60"/>
      <c r="X11" s="60"/>
      <c r="Y11" s="60"/>
      <c r="Z11" s="60"/>
      <c r="AA11" s="60">
        <v>-932.28747605754802</v>
      </c>
      <c r="AB11" s="60"/>
      <c r="AC11" s="60"/>
      <c r="AD11" s="60"/>
      <c r="AE11" s="60">
        <f>-389*1.006*1.0089*1.0057*1.0276*1.0091</f>
        <v>-411.73942717011408</v>
      </c>
      <c r="AF11" s="60">
        <f t="shared" si="0"/>
        <v>919.16666666666674</v>
      </c>
      <c r="AG11" s="60"/>
      <c r="AH11" s="60"/>
      <c r="AI11" s="60"/>
      <c r="AJ11" s="60"/>
      <c r="AK11" s="60">
        <f>840*1.0276*1.0091</f>
        <v>871.03897440000014</v>
      </c>
      <c r="AL11" s="243">
        <f>3110*1.0276*1.0091</f>
        <v>3224.9181076000004</v>
      </c>
      <c r="AM11" s="60">
        <f>-450*1.0276*1.0091</f>
        <v>-466.62802200000004</v>
      </c>
      <c r="AN11" s="60"/>
      <c r="AO11" s="60"/>
      <c r="AP11" s="60"/>
      <c r="AQ11" s="232">
        <f t="shared" ref="AQ11:AQ30" si="8">SUM(L11:AP11)</f>
        <v>4088.5865834206134</v>
      </c>
      <c r="AS11" s="21" t="e">
        <f>(J11+#REF!)/($J$31+#REF!)</f>
        <v>#REF!</v>
      </c>
      <c r="AT11" s="14" t="e">
        <f t="shared" ref="AT11:AT30" si="9">AS11*$AT$8</f>
        <v>#REF!</v>
      </c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72"/>
      <c r="BF11" s="46"/>
      <c r="BG11" s="46"/>
      <c r="BH11" s="46"/>
      <c r="BI11" s="46"/>
      <c r="BJ11" s="65"/>
      <c r="BK11" s="129">
        <v>3.577108930627889E-2</v>
      </c>
      <c r="BL11" s="129">
        <v>1.9138455203796999E-2</v>
      </c>
      <c r="BM11" s="129">
        <v>2.7586206896551724E-2</v>
      </c>
      <c r="BN11" s="130">
        <v>1.9131968855911435E-2</v>
      </c>
      <c r="BO11" s="129">
        <v>8.656873032528857E-3</v>
      </c>
      <c r="BP11" s="129">
        <v>2.3162369926247581E-2</v>
      </c>
      <c r="BQ11" s="129">
        <v>3.6900000000000002E-2</v>
      </c>
      <c r="BR11" s="129">
        <v>3.676666666666667E-2</v>
      </c>
      <c r="BS11" s="82"/>
      <c r="BT11" s="82"/>
      <c r="BU11" s="82"/>
      <c r="BV11" s="82"/>
      <c r="BW11" s="83">
        <f t="shared" ref="BW11:BW30" si="10">SUM(BK11*$BO$37)</f>
        <v>34250.838951966522</v>
      </c>
      <c r="BX11" s="83">
        <f t="shared" si="1"/>
        <v>2708.9251743412228</v>
      </c>
      <c r="BY11" s="83">
        <f t="shared" si="2"/>
        <v>2985.9088720825043</v>
      </c>
      <c r="BZ11" s="83">
        <f t="shared" si="3"/>
        <v>0</v>
      </c>
      <c r="CA11" s="83">
        <f t="shared" si="4"/>
        <v>648.70129538417677</v>
      </c>
      <c r="CB11" s="83">
        <f t="shared" si="5"/>
        <v>5014.152624939873</v>
      </c>
      <c r="CC11" s="83">
        <f t="shared" ref="CC11:CC30" si="11">SUM(BQ11*$BO$44)</f>
        <v>4915.7247446392121</v>
      </c>
      <c r="CD11" s="83">
        <f t="shared" ref="CD11:CD30" si="12">SUM(BR11*$BO$45)</f>
        <v>1224.4906037346548</v>
      </c>
      <c r="CE11" s="84">
        <f t="shared" ref="CE11:CE30" si="13">SUM(BW11:CD11)</f>
        <v>51748.742267088164</v>
      </c>
      <c r="CG11" s="15">
        <f t="shared" si="6"/>
        <v>0</v>
      </c>
      <c r="CH11" s="5" t="e">
        <f>-#REF!</f>
        <v>#REF!</v>
      </c>
      <c r="CJ11" s="4">
        <v>32000</v>
      </c>
      <c r="CK11" s="5" t="e">
        <f t="shared" ref="CK11:CK30" si="14">CG11-CH11-CI11-CJ11</f>
        <v>#REF!</v>
      </c>
      <c r="CL11" s="35" t="e">
        <f t="shared" ref="CL11:CL30" si="15">CK11/$CK$31</f>
        <v>#REF!</v>
      </c>
      <c r="CM11" s="22" t="e">
        <f t="shared" si="7"/>
        <v>#REF!</v>
      </c>
      <c r="CQ11" s="93" t="s">
        <v>2</v>
      </c>
      <c r="CR11" s="96">
        <f t="shared" ref="CR11:CR30" si="16">SUM(AQ11)</f>
        <v>4088.5865834206134</v>
      </c>
      <c r="CS11" s="96"/>
      <c r="CT11" s="96">
        <f t="shared" ref="CT11:CT30" si="17">$B$22</f>
        <v>35300</v>
      </c>
      <c r="CU11" s="96">
        <f>CE11</f>
        <v>51748.742267088164</v>
      </c>
      <c r="CV11" s="96"/>
      <c r="CW11" s="123">
        <f t="shared" ref="CW11:CW30" si="18">SUM(CR11:CU11)</f>
        <v>91137.328850508784</v>
      </c>
      <c r="CX11" s="124">
        <f t="shared" ref="CX11:CX31" si="19">CW11/$CW$31</f>
        <v>3.5988406627411061E-2</v>
      </c>
      <c r="CY11" s="110"/>
      <c r="CZ11" s="96"/>
      <c r="DA11" s="96">
        <f t="shared" ref="DA11:DA30" si="20">SUM(CW11*0.04)</f>
        <v>3645.4931540203515</v>
      </c>
      <c r="DB11" s="177"/>
      <c r="DC11" s="152"/>
      <c r="DD11" s="152"/>
      <c r="DE11" s="197"/>
      <c r="DF11" s="198"/>
      <c r="DG11" s="199"/>
      <c r="DH11" s="167"/>
      <c r="DI11" s="5"/>
      <c r="DK11" s="151"/>
      <c r="DL11" s="151"/>
      <c r="DM11" s="48"/>
      <c r="DN11" s="151"/>
      <c r="DO11" s="152"/>
      <c r="DP11" s="152"/>
      <c r="DQ11" s="152"/>
      <c r="DR11" s="152"/>
      <c r="DS11" s="112"/>
      <c r="DT11" s="111"/>
      <c r="DU11" s="113"/>
      <c r="DV11" s="137"/>
      <c r="DW11" s="48"/>
      <c r="DX11" s="5"/>
      <c r="DY11" s="133"/>
      <c r="DZ11" s="5"/>
      <c r="EA11" s="5"/>
      <c r="EB11" s="42"/>
      <c r="EC11" s="5"/>
      <c r="EE11" s="5"/>
      <c r="EF11" s="5"/>
      <c r="EG11" s="5"/>
      <c r="EH11" s="5"/>
      <c r="EJ11" s="5"/>
      <c r="EK11" s="42"/>
      <c r="EO11" s="42"/>
      <c r="EP11" s="42"/>
      <c r="EQ11" s="42"/>
      <c r="EU11" s="42"/>
      <c r="EV11" s="5"/>
      <c r="EX11" s="32"/>
    </row>
    <row r="12" spans="1:154" x14ac:dyDescent="0.25">
      <c r="A12" s="163"/>
      <c r="B12" s="4"/>
      <c r="C12" s="4"/>
      <c r="D12" s="4"/>
      <c r="E12" s="164"/>
      <c r="F12" s="4"/>
      <c r="H12" s="3" t="s">
        <v>14</v>
      </c>
      <c r="I12" s="3" t="s">
        <v>15</v>
      </c>
      <c r="J12" s="42"/>
      <c r="K12" s="7"/>
      <c r="L12" s="248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>
        <v>-804.56111868257096</v>
      </c>
      <c r="AB12" s="60"/>
      <c r="AC12" s="60"/>
      <c r="AD12" s="60"/>
      <c r="AE12" s="60">
        <f>-275*1.006*1.0089*1.0057*1.0276*1.0091</f>
        <v>-291.07543051871818</v>
      </c>
      <c r="AF12" s="60">
        <f t="shared" si="0"/>
        <v>720.00000000000011</v>
      </c>
      <c r="AG12" s="60"/>
      <c r="AH12" s="60"/>
      <c r="AI12" s="60"/>
      <c r="AJ12" s="60"/>
      <c r="AK12" s="60">
        <f>840*1.0276*1.0091</f>
        <v>871.03897440000014</v>
      </c>
      <c r="AL12" s="60">
        <f>-1862*1.0276*1.0091</f>
        <v>-1930.8030599200001</v>
      </c>
      <c r="AM12" s="60">
        <f>-815*1.0276*1.0091</f>
        <v>-845.11519540000018</v>
      </c>
      <c r="AN12" s="60"/>
      <c r="AO12" s="60"/>
      <c r="AP12" s="60"/>
      <c r="AQ12" s="232">
        <f t="shared" si="8"/>
        <v>-2280.5158301212891</v>
      </c>
      <c r="AS12" s="21" t="e">
        <f>(J12+#REF!)/($J$31+#REF!)</f>
        <v>#REF!</v>
      </c>
      <c r="AT12" s="14" t="e">
        <f t="shared" si="9"/>
        <v>#REF!</v>
      </c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72"/>
      <c r="BF12" s="46"/>
      <c r="BG12" s="46"/>
      <c r="BH12" s="46"/>
      <c r="BI12" s="46"/>
      <c r="BJ12" s="65"/>
      <c r="BK12" s="129">
        <v>2.8744868472006063E-2</v>
      </c>
      <c r="BL12" s="129">
        <v>1.5728989792262355E-2</v>
      </c>
      <c r="BM12" s="129">
        <v>3.1034482758620689E-2</v>
      </c>
      <c r="BN12" s="130">
        <v>2.4052688932675932E-2</v>
      </c>
      <c r="BO12" s="129">
        <v>1.509851929579107E-2</v>
      </c>
      <c r="BP12" s="129">
        <v>2.6221274651684522E-2</v>
      </c>
      <c r="BQ12" s="129">
        <v>2.8400000000000002E-2</v>
      </c>
      <c r="BR12" s="129">
        <v>2.8800000000000003E-2</v>
      </c>
      <c r="BS12" s="82"/>
      <c r="BT12" s="82"/>
      <c r="BU12" s="82"/>
      <c r="BV12" s="82"/>
      <c r="BW12" s="83">
        <f t="shared" si="10"/>
        <v>27523.228389841748</v>
      </c>
      <c r="BX12" s="83">
        <f t="shared" si="1"/>
        <v>2226.3372859248439</v>
      </c>
      <c r="BY12" s="83">
        <f t="shared" si="2"/>
        <v>3359.1474810928171</v>
      </c>
      <c r="BZ12" s="83">
        <f t="shared" si="3"/>
        <v>0</v>
      </c>
      <c r="CA12" s="83">
        <f t="shared" si="4"/>
        <v>1131.4049528922678</v>
      </c>
      <c r="CB12" s="83">
        <f t="shared" si="5"/>
        <v>5676.3394049338249</v>
      </c>
      <c r="CC12" s="83">
        <f t="shared" si="11"/>
        <v>3783.3762262263858</v>
      </c>
      <c r="CD12" s="83">
        <f t="shared" si="12"/>
        <v>959.16580383204155</v>
      </c>
      <c r="CE12" s="84">
        <f t="shared" si="13"/>
        <v>44658.999544743929</v>
      </c>
      <c r="CG12" s="15">
        <f t="shared" si="6"/>
        <v>0</v>
      </c>
      <c r="CH12" s="5" t="e">
        <f>-#REF!</f>
        <v>#REF!</v>
      </c>
      <c r="CJ12" s="4">
        <v>32000</v>
      </c>
      <c r="CK12" s="5" t="e">
        <f t="shared" si="14"/>
        <v>#REF!</v>
      </c>
      <c r="CL12" s="35" t="e">
        <f t="shared" si="15"/>
        <v>#REF!</v>
      </c>
      <c r="CM12" s="22" t="e">
        <f t="shared" si="7"/>
        <v>#REF!</v>
      </c>
      <c r="CQ12" s="93" t="s">
        <v>15</v>
      </c>
      <c r="CR12" s="96">
        <f t="shared" si="16"/>
        <v>-2280.5158301212891</v>
      </c>
      <c r="CS12" s="96"/>
      <c r="CT12" s="96">
        <f t="shared" si="17"/>
        <v>35300</v>
      </c>
      <c r="CU12" s="96">
        <f t="shared" ref="CU12:CU29" si="21">CE12</f>
        <v>44658.999544743929</v>
      </c>
      <c r="CV12" s="96"/>
      <c r="CW12" s="123">
        <f t="shared" si="18"/>
        <v>77678.483714622649</v>
      </c>
      <c r="CX12" s="124">
        <f t="shared" si="19"/>
        <v>3.0673763356703441E-2</v>
      </c>
      <c r="CY12" s="110"/>
      <c r="CZ12" s="96"/>
      <c r="DA12" s="96">
        <f t="shared" si="20"/>
        <v>3107.1393485849062</v>
      </c>
      <c r="DB12" s="177"/>
      <c r="DC12" s="152"/>
      <c r="DD12" s="152"/>
      <c r="DE12" s="197"/>
      <c r="DF12" s="198"/>
      <c r="DG12" s="199"/>
      <c r="DH12" s="167"/>
      <c r="DI12" s="5"/>
      <c r="DK12" s="151"/>
      <c r="DL12" s="151"/>
      <c r="DM12" s="48"/>
      <c r="DN12" s="151"/>
      <c r="DO12" s="152"/>
      <c r="DP12" s="152"/>
      <c r="DQ12" s="152"/>
      <c r="DR12" s="152"/>
      <c r="DS12" s="112"/>
      <c r="DT12" s="111"/>
      <c r="DU12" s="113"/>
      <c r="DV12" s="98"/>
      <c r="DW12" s="48"/>
      <c r="DX12" s="5"/>
      <c r="DY12" s="133"/>
      <c r="DZ12" s="5"/>
      <c r="EA12" s="5"/>
      <c r="EB12" s="42"/>
      <c r="EC12" s="5"/>
      <c r="EE12" s="5"/>
      <c r="EF12" s="5"/>
      <c r="EG12" s="5"/>
      <c r="EH12" s="5"/>
      <c r="EJ12" s="5"/>
      <c r="EK12" s="42"/>
      <c r="EO12" s="42"/>
      <c r="EP12" s="42"/>
      <c r="EQ12" s="42"/>
      <c r="EU12" s="42"/>
      <c r="EV12" s="5"/>
      <c r="EX12" s="32"/>
    </row>
    <row r="13" spans="1:154" x14ac:dyDescent="0.25">
      <c r="A13" s="163" t="s">
        <v>51</v>
      </c>
      <c r="B13" s="4"/>
      <c r="C13" s="5">
        <f>SUM(C7:C12)</f>
        <v>1665218.4094306272</v>
      </c>
      <c r="D13" s="4"/>
      <c r="E13" s="164"/>
      <c r="F13" s="4"/>
      <c r="H13" s="3" t="s">
        <v>16</v>
      </c>
      <c r="I13" s="3" t="s">
        <v>17</v>
      </c>
      <c r="J13" s="42"/>
      <c r="K13" s="7"/>
      <c r="L13" s="248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>
        <v>-1358.6658244549201</v>
      </c>
      <c r="AB13" s="60"/>
      <c r="AC13" s="60"/>
      <c r="AD13" s="60"/>
      <c r="AE13" s="60">
        <f>577*1.006*1.0089*1.0057*1.0276*1.0091</f>
        <v>610.7291760338195</v>
      </c>
      <c r="AF13" s="60">
        <f t="shared" si="0"/>
        <v>1162.5000000000002</v>
      </c>
      <c r="AG13" s="60"/>
      <c r="AH13" s="60"/>
      <c r="AI13" s="60"/>
      <c r="AJ13" s="60"/>
      <c r="AK13" s="60">
        <f>840*1.0276*1.0091</f>
        <v>871.03897440000014</v>
      </c>
      <c r="AL13" s="60">
        <f>1143*1.0276*1.0091</f>
        <v>1185.2351758800003</v>
      </c>
      <c r="AM13" s="60">
        <f>1374*1.0276*1.0091</f>
        <v>1424.7708938400003</v>
      </c>
      <c r="AN13" s="60"/>
      <c r="AO13" s="60"/>
      <c r="AP13" s="60"/>
      <c r="AQ13" s="232">
        <f t="shared" si="8"/>
        <v>3895.6083956989005</v>
      </c>
      <c r="AS13" s="21" t="e">
        <f>(J13+#REF!)/($J$31+#REF!)</f>
        <v>#REF!</v>
      </c>
      <c r="AT13" s="14" t="e">
        <f t="shared" si="9"/>
        <v>#REF!</v>
      </c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72"/>
      <c r="BF13" s="46"/>
      <c r="BG13" s="46"/>
      <c r="BH13" s="46"/>
      <c r="BI13" s="46"/>
      <c r="BJ13" s="65"/>
      <c r="BK13" s="129">
        <v>4.5437670153302613E-2</v>
      </c>
      <c r="BL13" s="129">
        <v>2.7386508308964917E-2</v>
      </c>
      <c r="BM13" s="129">
        <v>4.4827586206896551E-2</v>
      </c>
      <c r="BN13" s="130">
        <v>3.0626396143953967E-2</v>
      </c>
      <c r="BO13" s="129">
        <v>1.7925848198670866E-2</v>
      </c>
      <c r="BP13" s="129">
        <v>5.8891469218187595E-2</v>
      </c>
      <c r="BQ13" s="129">
        <v>5.6599999999999998E-2</v>
      </c>
      <c r="BR13" s="129">
        <v>4.6500000000000007E-2</v>
      </c>
      <c r="BS13" s="82"/>
      <c r="BT13" s="82"/>
      <c r="BU13" s="82"/>
      <c r="BV13" s="82"/>
      <c r="BW13" s="83">
        <f t="shared" si="10"/>
        <v>43506.595772026732</v>
      </c>
      <c r="BX13" s="83">
        <f t="shared" si="1"/>
        <v>3876.3840135196233</v>
      </c>
      <c r="BY13" s="83">
        <f t="shared" si="2"/>
        <v>4852.1019171340695</v>
      </c>
      <c r="BZ13" s="83">
        <f t="shared" si="3"/>
        <v>0</v>
      </c>
      <c r="CA13" s="83">
        <f t="shared" si="4"/>
        <v>1343.2703591288507</v>
      </c>
      <c r="CB13" s="83">
        <f t="shared" si="5"/>
        <v>12748.730631070603</v>
      </c>
      <c r="CC13" s="83">
        <f t="shared" si="11"/>
        <v>7540.1089579018808</v>
      </c>
      <c r="CD13" s="83">
        <f t="shared" si="12"/>
        <v>1548.6531207704838</v>
      </c>
      <c r="CE13" s="84">
        <f t="shared" si="13"/>
        <v>75415.844771552234</v>
      </c>
      <c r="CG13" s="15">
        <f t="shared" si="6"/>
        <v>0</v>
      </c>
      <c r="CH13" s="5" t="e">
        <f>-#REF!</f>
        <v>#REF!</v>
      </c>
      <c r="CJ13" s="4">
        <v>32000</v>
      </c>
      <c r="CK13" s="5" t="e">
        <f t="shared" si="14"/>
        <v>#REF!</v>
      </c>
      <c r="CL13" s="35" t="e">
        <f t="shared" si="15"/>
        <v>#REF!</v>
      </c>
      <c r="CM13" s="22" t="e">
        <f t="shared" si="7"/>
        <v>#REF!</v>
      </c>
      <c r="CQ13" s="93" t="s">
        <v>17</v>
      </c>
      <c r="CR13" s="96">
        <f t="shared" si="16"/>
        <v>3895.6083956989005</v>
      </c>
      <c r="CS13" s="96"/>
      <c r="CT13" s="96">
        <f t="shared" si="17"/>
        <v>35300</v>
      </c>
      <c r="CU13" s="96">
        <f t="shared" si="21"/>
        <v>75415.844771552234</v>
      </c>
      <c r="CV13" s="96"/>
      <c r="CW13" s="123">
        <f t="shared" si="18"/>
        <v>114611.45316725114</v>
      </c>
      <c r="CX13" s="124">
        <f t="shared" si="19"/>
        <v>4.5257894133666904E-2</v>
      </c>
      <c r="CY13" s="110"/>
      <c r="CZ13" s="96"/>
      <c r="DA13" s="96">
        <f t="shared" si="20"/>
        <v>4584.4581266900459</v>
      </c>
      <c r="DB13" s="177"/>
      <c r="DC13" s="152"/>
      <c r="DD13" s="152"/>
      <c r="DE13" s="197"/>
      <c r="DF13" s="198"/>
      <c r="DG13" s="199"/>
      <c r="DH13" s="167"/>
      <c r="DI13" s="5"/>
      <c r="DK13" s="151"/>
      <c r="DL13" s="151"/>
      <c r="DM13" s="48"/>
      <c r="DN13" s="151"/>
      <c r="DO13" s="152"/>
      <c r="DP13" s="152"/>
      <c r="DQ13" s="152"/>
      <c r="DR13" s="152"/>
      <c r="DS13" s="112"/>
      <c r="DT13" s="111"/>
      <c r="DU13" s="113"/>
      <c r="DV13" s="137"/>
      <c r="DW13" s="49"/>
      <c r="DX13" s="5"/>
      <c r="DY13" s="133"/>
      <c r="DZ13" s="5"/>
      <c r="EA13" s="5"/>
      <c r="EB13" s="42"/>
      <c r="EC13" s="5"/>
      <c r="EE13" s="5"/>
      <c r="EF13" s="5"/>
      <c r="EG13" s="5"/>
      <c r="EH13" s="5"/>
      <c r="EJ13" s="5"/>
      <c r="EK13" s="42"/>
      <c r="EO13" s="42"/>
      <c r="EP13" s="42"/>
      <c r="EQ13" s="42"/>
      <c r="EU13" s="42"/>
      <c r="EV13" s="5"/>
      <c r="EX13" s="32"/>
    </row>
    <row r="14" spans="1:154" x14ac:dyDescent="0.25">
      <c r="A14" s="163"/>
      <c r="B14" s="4"/>
      <c r="C14" s="4"/>
      <c r="D14" s="4"/>
      <c r="E14" s="164"/>
      <c r="F14" s="4"/>
      <c r="H14" s="3" t="s">
        <v>18</v>
      </c>
      <c r="I14" s="3" t="s">
        <v>19</v>
      </c>
      <c r="J14" s="42"/>
      <c r="K14" s="6"/>
      <c r="L14" s="248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>
        <v>-1220.6188290431701</v>
      </c>
      <c r="AB14" s="60"/>
      <c r="AC14" s="60"/>
      <c r="AD14" s="60"/>
      <c r="AE14" s="60">
        <f>-960*1.006*1.0089*1.0057*1.0276*1.0091</f>
        <v>-1016.1178665380708</v>
      </c>
      <c r="AF14" s="60">
        <f t="shared" si="0"/>
        <v>1316.6666666666667</v>
      </c>
      <c r="AG14" s="60">
        <v>3000</v>
      </c>
      <c r="AH14" s="60"/>
      <c r="AI14" s="60"/>
      <c r="AJ14" s="60"/>
      <c r="AK14" s="60"/>
      <c r="AL14" s="60">
        <f>-1143*1.0276*1.0091</f>
        <v>-1185.2351758800003</v>
      </c>
      <c r="AM14" s="60">
        <f>-800*1.0276*1.0091</f>
        <v>-829.5609280000001</v>
      </c>
      <c r="AN14" s="60"/>
      <c r="AO14" s="60"/>
      <c r="AP14" s="60"/>
      <c r="AQ14" s="232">
        <f t="shared" si="8"/>
        <v>65.133867205425304</v>
      </c>
      <c r="AS14" s="21" t="e">
        <f>(J14+#REF!)/($J$31+#REF!)</f>
        <v>#REF!</v>
      </c>
      <c r="AT14" s="14" t="e">
        <f t="shared" si="9"/>
        <v>#REF!</v>
      </c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72"/>
      <c r="BF14" s="46"/>
      <c r="BG14" s="46"/>
      <c r="BH14" s="46"/>
      <c r="BI14" s="46"/>
      <c r="BJ14" s="65"/>
      <c r="BK14" s="129">
        <v>3.550866013849821E-2</v>
      </c>
      <c r="BL14" s="129">
        <v>2.6053763228258541E-2</v>
      </c>
      <c r="BM14" s="129">
        <v>4.4827586206896551E-2</v>
      </c>
      <c r="BN14" s="130">
        <v>1.5973392651191336E-2</v>
      </c>
      <c r="BO14" s="129">
        <v>2.0374256733123468E-2</v>
      </c>
      <c r="BP14" s="129">
        <v>6.2179052750986501E-2</v>
      </c>
      <c r="BQ14" s="129">
        <v>6.3600000000000004E-2</v>
      </c>
      <c r="BR14" s="129">
        <v>5.2666666666666667E-2</v>
      </c>
      <c r="BS14" s="82"/>
      <c r="BT14" s="82"/>
      <c r="BU14" s="82"/>
      <c r="BV14" s="82"/>
      <c r="BW14" s="83">
        <f t="shared" si="10"/>
        <v>33999.562870184556</v>
      </c>
      <c r="BX14" s="83">
        <f t="shared" si="1"/>
        <v>3687.7425238246428</v>
      </c>
      <c r="BY14" s="83">
        <f t="shared" si="2"/>
        <v>4852.1019171340695</v>
      </c>
      <c r="BZ14" s="83">
        <f t="shared" si="3"/>
        <v>0</v>
      </c>
      <c r="CA14" s="83">
        <f t="shared" si="4"/>
        <v>1526.7414325708398</v>
      </c>
      <c r="CB14" s="83">
        <f t="shared" si="5"/>
        <v>13460.421431847106</v>
      </c>
      <c r="CC14" s="83">
        <f t="shared" si="11"/>
        <v>8472.6312671830328</v>
      </c>
      <c r="CD14" s="83">
        <f t="shared" si="12"/>
        <v>1754.0300579335942</v>
      </c>
      <c r="CE14" s="84">
        <f t="shared" si="13"/>
        <v>67753.231500677837</v>
      </c>
      <c r="CG14" s="15">
        <f t="shared" si="6"/>
        <v>0</v>
      </c>
      <c r="CH14" s="5" t="e">
        <f>-#REF!</f>
        <v>#REF!</v>
      </c>
      <c r="CJ14" s="4">
        <v>32000</v>
      </c>
      <c r="CK14" s="5" t="e">
        <f t="shared" si="14"/>
        <v>#REF!</v>
      </c>
      <c r="CL14" s="35" t="e">
        <f t="shared" si="15"/>
        <v>#REF!</v>
      </c>
      <c r="CM14" s="22" t="e">
        <f t="shared" si="7"/>
        <v>#REF!</v>
      </c>
      <c r="CQ14" s="93" t="s">
        <v>19</v>
      </c>
      <c r="CR14" s="96">
        <f t="shared" si="16"/>
        <v>65.133867205425304</v>
      </c>
      <c r="CS14" s="96"/>
      <c r="CT14" s="96">
        <f t="shared" si="17"/>
        <v>35300</v>
      </c>
      <c r="CU14" s="96">
        <f t="shared" si="21"/>
        <v>67753.231500677837</v>
      </c>
      <c r="CV14" s="96"/>
      <c r="CW14" s="123">
        <f t="shared" si="18"/>
        <v>103118.36536788326</v>
      </c>
      <c r="CX14" s="124">
        <f t="shared" si="19"/>
        <v>4.0719491238332552E-2</v>
      </c>
      <c r="CY14" s="110"/>
      <c r="CZ14" s="96"/>
      <c r="DA14" s="96">
        <f t="shared" si="20"/>
        <v>4124.7346147153303</v>
      </c>
      <c r="DB14" s="177"/>
      <c r="DC14" s="152"/>
      <c r="DD14" s="152"/>
      <c r="DE14" s="197"/>
      <c r="DF14" s="198"/>
      <c r="DG14" s="199"/>
      <c r="DH14" s="167"/>
      <c r="DI14" s="5"/>
      <c r="DK14" s="151"/>
      <c r="DL14" s="151"/>
      <c r="DM14" s="48"/>
      <c r="DN14" s="151"/>
      <c r="DO14" s="152"/>
      <c r="DP14" s="152"/>
      <c r="DQ14" s="152"/>
      <c r="DR14" s="152"/>
      <c r="DS14" s="112"/>
      <c r="DT14" s="111"/>
      <c r="DU14" s="113"/>
      <c r="DV14" s="137"/>
      <c r="DW14" s="49"/>
      <c r="DX14" s="5"/>
      <c r="DY14" s="134"/>
      <c r="DZ14" s="5"/>
      <c r="EA14" s="5"/>
      <c r="EB14" s="42"/>
      <c r="EC14" s="5"/>
      <c r="EE14" s="5"/>
      <c r="EF14" s="5"/>
      <c r="EG14" s="5"/>
      <c r="EH14" s="5"/>
      <c r="EJ14" s="5"/>
      <c r="EK14" s="42"/>
      <c r="EO14" s="42"/>
      <c r="EP14" s="42"/>
      <c r="EQ14" s="42"/>
      <c r="EU14" s="42"/>
      <c r="EV14" s="5"/>
      <c r="EX14" s="32"/>
    </row>
    <row r="15" spans="1:154" x14ac:dyDescent="0.25">
      <c r="A15" s="163"/>
      <c r="B15" s="4"/>
      <c r="C15" s="5"/>
      <c r="D15" s="9"/>
      <c r="E15" s="164"/>
      <c r="F15" s="4"/>
      <c r="H15" s="3" t="s">
        <v>20</v>
      </c>
      <c r="I15" s="3" t="s">
        <v>1</v>
      </c>
      <c r="J15" s="42"/>
      <c r="K15" s="6"/>
      <c r="L15" s="248"/>
      <c r="M15" s="60"/>
      <c r="N15" s="60"/>
      <c r="O15" s="60"/>
      <c r="P15" s="60"/>
      <c r="Q15" s="60"/>
      <c r="R15" s="60"/>
      <c r="S15" s="60"/>
      <c r="T15" s="60">
        <f>332.519887550296*1.0362*1.006*1.0089*1.0057*1.0276*1.0091</f>
        <v>364.69857599241345</v>
      </c>
      <c r="U15" s="60"/>
      <c r="V15" s="60"/>
      <c r="W15" s="60"/>
      <c r="X15" s="60"/>
      <c r="Y15" s="60"/>
      <c r="Z15" s="60"/>
      <c r="AA15" s="60">
        <v>-688.07392304529105</v>
      </c>
      <c r="AB15" s="60"/>
      <c r="AC15" s="60"/>
      <c r="AD15" s="60"/>
      <c r="AE15" s="60">
        <f>-98*1.006*1.0089*1.0057*1.0276*1.0091</f>
        <v>-103.72869887576138</v>
      </c>
      <c r="AF15" s="60">
        <f t="shared" si="0"/>
        <v>913.33333333333337</v>
      </c>
      <c r="AG15" s="60"/>
      <c r="AH15" s="60"/>
      <c r="AI15" s="60"/>
      <c r="AJ15" s="60">
        <v>1500</v>
      </c>
      <c r="AK15" s="60"/>
      <c r="AL15" s="60">
        <f>-1272*1.0276*1.0091</f>
        <v>-1319.0018755200003</v>
      </c>
      <c r="AM15" s="60">
        <f>-551*1.0276*1.0091</f>
        <v>-571.36008916000014</v>
      </c>
      <c r="AN15" s="60"/>
      <c r="AO15" s="60"/>
      <c r="AP15" s="60"/>
      <c r="AQ15" s="232">
        <f t="shared" si="8"/>
        <v>95.86732272469385</v>
      </c>
      <c r="AS15" s="21" t="e">
        <f>(J15+#REF!)/($J$31+#REF!)</f>
        <v>#REF!</v>
      </c>
      <c r="AT15" s="14" t="e">
        <f t="shared" si="9"/>
        <v>#REF!</v>
      </c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72"/>
      <c r="BF15" s="46"/>
      <c r="BG15" s="46"/>
      <c r="BH15" s="46"/>
      <c r="BI15" s="46"/>
      <c r="BJ15" s="65"/>
      <c r="BK15" s="129">
        <v>1.9446726962950332E-2</v>
      </c>
      <c r="BL15" s="129">
        <v>2.0902415113363795E-2</v>
      </c>
      <c r="BM15" s="129">
        <v>2.7586206896551724E-2</v>
      </c>
      <c r="BN15" s="130">
        <v>1.7083418914716986E-2</v>
      </c>
      <c r="BO15" s="129">
        <v>1.6585053048851581E-2</v>
      </c>
      <c r="BP15" s="129">
        <v>2.6177897264383361E-2</v>
      </c>
      <c r="BQ15" s="129">
        <v>4.1300000000000003E-2</v>
      </c>
      <c r="BR15" s="129">
        <v>3.6533333333333334E-2</v>
      </c>
      <c r="BS15" s="82"/>
      <c r="BT15" s="82"/>
      <c r="BU15" s="82"/>
      <c r="BV15" s="82"/>
      <c r="BW15" s="83">
        <f t="shared" si="10"/>
        <v>18620.25245157861</v>
      </c>
      <c r="BX15" s="83">
        <f t="shared" si="1"/>
        <v>2958.6023481084208</v>
      </c>
      <c r="BY15" s="83">
        <f t="shared" si="2"/>
        <v>2985.9088720825043</v>
      </c>
      <c r="BZ15" s="83">
        <f t="shared" si="3"/>
        <v>0</v>
      </c>
      <c r="CA15" s="83">
        <f t="shared" si="4"/>
        <v>1242.7981046249042</v>
      </c>
      <c r="CB15" s="83">
        <f t="shared" si="5"/>
        <v>5666.9491378285284</v>
      </c>
      <c r="CC15" s="83">
        <f t="shared" si="11"/>
        <v>5501.8816247587938</v>
      </c>
      <c r="CD15" s="83">
        <f t="shared" si="12"/>
        <v>1216.719584490645</v>
      </c>
      <c r="CE15" s="84">
        <f t="shared" si="13"/>
        <v>38193.112123472405</v>
      </c>
      <c r="CG15" s="15">
        <f t="shared" si="6"/>
        <v>0</v>
      </c>
      <c r="CH15" s="5" t="e">
        <f>-#REF!</f>
        <v>#REF!</v>
      </c>
      <c r="CJ15" s="4">
        <v>32000</v>
      </c>
      <c r="CK15" s="5" t="e">
        <f t="shared" si="14"/>
        <v>#REF!</v>
      </c>
      <c r="CL15" s="35" t="e">
        <f t="shared" si="15"/>
        <v>#REF!</v>
      </c>
      <c r="CM15" s="22" t="e">
        <f t="shared" si="7"/>
        <v>#REF!</v>
      </c>
      <c r="CQ15" s="93" t="s">
        <v>1</v>
      </c>
      <c r="CR15" s="96">
        <f t="shared" si="16"/>
        <v>95.86732272469385</v>
      </c>
      <c r="CS15" s="96"/>
      <c r="CT15" s="96">
        <f t="shared" si="17"/>
        <v>35300</v>
      </c>
      <c r="CU15" s="96">
        <f t="shared" si="21"/>
        <v>38193.112123472405</v>
      </c>
      <c r="CV15" s="96"/>
      <c r="CW15" s="123">
        <f>SUM(CR15:CU15)+1</f>
        <v>73589.979446197103</v>
      </c>
      <c r="CX15" s="124">
        <f t="shared" si="19"/>
        <v>2.9059290385355402E-2</v>
      </c>
      <c r="CY15" s="110"/>
      <c r="CZ15" s="96"/>
      <c r="DA15" s="96">
        <f t="shared" si="20"/>
        <v>2943.5991778478842</v>
      </c>
      <c r="DB15" s="177"/>
      <c r="DC15" s="152"/>
      <c r="DD15" s="152"/>
      <c r="DE15" s="197"/>
      <c r="DF15" s="198"/>
      <c r="DG15" s="199"/>
      <c r="DH15" s="167"/>
      <c r="DI15" s="5"/>
      <c r="DK15" s="151"/>
      <c r="DL15" s="151"/>
      <c r="DM15" s="48"/>
      <c r="DN15" s="151"/>
      <c r="DO15" s="152"/>
      <c r="DP15" s="152"/>
      <c r="DQ15" s="152"/>
      <c r="DR15" s="152"/>
      <c r="DS15" s="112"/>
      <c r="DT15" s="111"/>
      <c r="DU15" s="113"/>
      <c r="DV15" s="98"/>
      <c r="DW15" s="48"/>
      <c r="DX15" s="5"/>
      <c r="DY15" s="134"/>
      <c r="DZ15" s="5"/>
      <c r="EA15" s="5"/>
      <c r="EB15" s="42"/>
      <c r="EC15" s="5"/>
      <c r="EE15" s="5"/>
      <c r="EF15" s="5"/>
      <c r="EG15" s="5"/>
      <c r="EH15" s="5"/>
      <c r="EJ15" s="5"/>
      <c r="EK15" s="42"/>
      <c r="EO15" s="42"/>
      <c r="EP15" s="42"/>
      <c r="EQ15" s="42"/>
      <c r="EU15" s="42"/>
      <c r="EV15" s="5"/>
      <c r="EX15" s="32"/>
    </row>
    <row r="16" spans="1:154" ht="16.5" thickBot="1" x14ac:dyDescent="0.3">
      <c r="A16" s="165" t="s">
        <v>117</v>
      </c>
      <c r="B16" s="184"/>
      <c r="C16" s="185">
        <f>C13*D16</f>
        <v>1665218.4094306272</v>
      </c>
      <c r="D16" s="186">
        <v>1</v>
      </c>
      <c r="E16" s="187"/>
      <c r="F16" s="4"/>
      <c r="H16" s="3" t="s">
        <v>21</v>
      </c>
      <c r="I16" s="3" t="s">
        <v>3</v>
      </c>
      <c r="J16" s="42"/>
      <c r="K16" s="7"/>
      <c r="L16" s="248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>
        <v>-280</v>
      </c>
      <c r="Y16" s="60">
        <v>-334</v>
      </c>
      <c r="Z16" s="60"/>
      <c r="AA16" s="60">
        <v>-964.16462282086195</v>
      </c>
      <c r="AB16" s="60"/>
      <c r="AC16" s="60"/>
      <c r="AD16" s="60"/>
      <c r="AE16" s="60">
        <f>-257*1.006*1.0089*1.0057*1.0276*1.0091</f>
        <v>-272.02322052112936</v>
      </c>
      <c r="AF16" s="60">
        <f t="shared" si="0"/>
        <v>1192.5</v>
      </c>
      <c r="AG16" s="60"/>
      <c r="AH16" s="60"/>
      <c r="AI16" s="60"/>
      <c r="AJ16" s="60"/>
      <c r="AK16" s="60">
        <f>1680*1.0276*1.0091</f>
        <v>1742.0779488000003</v>
      </c>
      <c r="AL16" s="60">
        <f>1272*1.0276*1.0091</f>
        <v>1319.0018755200003</v>
      </c>
      <c r="AM16" s="60">
        <f>-574*1.0276*1.0091</f>
        <v>-595.20996584000011</v>
      </c>
      <c r="AN16" s="60"/>
      <c r="AO16" s="60"/>
      <c r="AP16" s="60"/>
      <c r="AQ16" s="232">
        <f t="shared" si="8"/>
        <v>1808.1820151380089</v>
      </c>
      <c r="AS16" s="21" t="e">
        <f>(J16+#REF!)/($J$31+#REF!)</f>
        <v>#REF!</v>
      </c>
      <c r="AT16" s="14" t="e">
        <f t="shared" si="9"/>
        <v>#REF!</v>
      </c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72"/>
      <c r="BF16" s="46"/>
      <c r="BG16" s="46"/>
      <c r="BH16" s="46"/>
      <c r="BI16" s="46"/>
      <c r="BJ16" s="65"/>
      <c r="BK16" s="129">
        <v>2.4439713545210323E-2</v>
      </c>
      <c r="BL16" s="129">
        <v>2.6144864952665672E-2</v>
      </c>
      <c r="BM16" s="129">
        <v>4.1379310344827586E-2</v>
      </c>
      <c r="BN16" s="130">
        <v>3.1567035798027852E-2</v>
      </c>
      <c r="BO16" s="129">
        <v>3.8445843535035558E-2</v>
      </c>
      <c r="BP16" s="129">
        <v>4.3891952459480812E-2</v>
      </c>
      <c r="BQ16" s="129">
        <v>5.9799999999999999E-2</v>
      </c>
      <c r="BR16" s="129">
        <v>4.7699999999999999E-2</v>
      </c>
      <c r="BS16" s="82"/>
      <c r="BT16" s="82"/>
      <c r="BU16" s="82"/>
      <c r="BV16" s="82"/>
      <c r="BW16" s="83">
        <f t="shared" si="10"/>
        <v>23401.040027099792</v>
      </c>
      <c r="BX16" s="83">
        <f t="shared" si="1"/>
        <v>3700.637386656801</v>
      </c>
      <c r="BY16" s="83">
        <f t="shared" si="2"/>
        <v>4478.8633081237567</v>
      </c>
      <c r="BZ16" s="83">
        <f t="shared" si="3"/>
        <v>0</v>
      </c>
      <c r="CA16" s="83">
        <f t="shared" si="4"/>
        <v>2880.9326889283802</v>
      </c>
      <c r="CB16" s="83">
        <f t="shared" si="5"/>
        <v>9501.6593439795761</v>
      </c>
      <c r="CC16" s="83">
        <f t="shared" si="11"/>
        <v>7966.4048707161219</v>
      </c>
      <c r="CD16" s="83">
        <f t="shared" si="12"/>
        <v>1588.6183625968185</v>
      </c>
      <c r="CE16" s="84">
        <f t="shared" si="13"/>
        <v>53518.155988101244</v>
      </c>
      <c r="CG16" s="15">
        <f t="shared" si="6"/>
        <v>0</v>
      </c>
      <c r="CH16" s="5" t="e">
        <f>-#REF!</f>
        <v>#REF!</v>
      </c>
      <c r="CJ16" s="4">
        <v>32000</v>
      </c>
      <c r="CK16" s="5" t="e">
        <f t="shared" si="14"/>
        <v>#REF!</v>
      </c>
      <c r="CL16" s="35" t="e">
        <f t="shared" si="15"/>
        <v>#REF!</v>
      </c>
      <c r="CM16" s="22" t="e">
        <f t="shared" si="7"/>
        <v>#REF!</v>
      </c>
      <c r="CQ16" s="93" t="s">
        <v>3</v>
      </c>
      <c r="CR16" s="96">
        <f t="shared" si="16"/>
        <v>1808.1820151380089</v>
      </c>
      <c r="CS16" s="96"/>
      <c r="CT16" s="96">
        <f t="shared" si="17"/>
        <v>35300</v>
      </c>
      <c r="CU16" s="96">
        <f t="shared" si="21"/>
        <v>53518.155988101244</v>
      </c>
      <c r="CV16" s="96"/>
      <c r="CW16" s="123">
        <f t="shared" si="18"/>
        <v>90626.338003239245</v>
      </c>
      <c r="CX16" s="124">
        <f t="shared" si="19"/>
        <v>3.578662601099003E-2</v>
      </c>
      <c r="CY16" s="110"/>
      <c r="CZ16" s="96"/>
      <c r="DA16" s="96">
        <f t="shared" si="20"/>
        <v>3625.0535201295697</v>
      </c>
      <c r="DB16" s="177"/>
      <c r="DC16" s="152"/>
      <c r="DD16" s="152"/>
      <c r="DE16" s="197"/>
      <c r="DF16" s="198"/>
      <c r="DG16" s="199"/>
      <c r="DH16" s="167"/>
      <c r="DI16" s="5"/>
      <c r="DK16" s="151"/>
      <c r="DL16" s="151"/>
      <c r="DM16" s="48"/>
      <c r="DN16" s="151"/>
      <c r="DO16" s="152"/>
      <c r="DP16" s="152"/>
      <c r="DQ16" s="152"/>
      <c r="DR16" s="152"/>
      <c r="DS16" s="112"/>
      <c r="DT16" s="111"/>
      <c r="DU16" s="113"/>
      <c r="DV16" s="98"/>
      <c r="DW16" s="48"/>
      <c r="DX16" s="5"/>
      <c r="DY16" s="133"/>
      <c r="DZ16" s="5"/>
      <c r="EA16" s="5"/>
      <c r="EB16" s="42"/>
      <c r="EC16" s="5"/>
      <c r="EE16" s="5"/>
      <c r="EF16" s="5"/>
      <c r="EG16" s="5"/>
      <c r="EH16" s="5"/>
      <c r="EJ16" s="5"/>
      <c r="EK16" s="42"/>
      <c r="EO16" s="42"/>
      <c r="EP16" s="42"/>
      <c r="EQ16" s="42"/>
      <c r="EU16" s="42"/>
      <c r="EV16" s="5"/>
      <c r="EX16" s="32"/>
    </row>
    <row r="17" spans="1:154" x14ac:dyDescent="0.25">
      <c r="A17" s="4"/>
      <c r="B17" s="4"/>
      <c r="C17" s="4"/>
      <c r="D17" s="4"/>
      <c r="E17" s="4"/>
      <c r="F17" s="4"/>
      <c r="H17" s="3" t="s">
        <v>22</v>
      </c>
      <c r="I17" s="3" t="s">
        <v>7</v>
      </c>
      <c r="J17" s="42"/>
      <c r="K17" s="7"/>
      <c r="L17" s="248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>
        <v>-280</v>
      </c>
      <c r="Y17" s="60">
        <v>-334</v>
      </c>
      <c r="Z17" s="60"/>
      <c r="AA17" s="60">
        <v>-271.55109331569503</v>
      </c>
      <c r="AB17" s="60"/>
      <c r="AC17" s="60"/>
      <c r="AD17" s="60"/>
      <c r="AE17" s="60">
        <f>-128*1.006*1.0089*1.0057*1.0276*1.0091</f>
        <v>-135.48238220507611</v>
      </c>
      <c r="AF17" s="60">
        <f t="shared" si="0"/>
        <v>542.5</v>
      </c>
      <c r="AG17" s="60"/>
      <c r="AH17" s="60"/>
      <c r="AI17" s="60"/>
      <c r="AJ17" s="60">
        <v>1500</v>
      </c>
      <c r="AK17" s="60">
        <f>840*1.0276*1.0091</f>
        <v>871.03897440000014</v>
      </c>
      <c r="AL17" s="60">
        <f>-872*1.0276*1.0091</f>
        <v>-904.22141152000017</v>
      </c>
      <c r="AM17" s="60">
        <f>-352*1.0276*1.0091</f>
        <v>-365.00680832000006</v>
      </c>
      <c r="AN17" s="60"/>
      <c r="AO17" s="60"/>
      <c r="AP17" s="60"/>
      <c r="AQ17" s="232">
        <f t="shared" si="8"/>
        <v>623.27727903922869</v>
      </c>
      <c r="AS17" s="21" t="e">
        <f>(J17+#REF!)/($J$31+#REF!)</f>
        <v>#REF!</v>
      </c>
      <c r="AT17" s="14" t="e">
        <f t="shared" si="9"/>
        <v>#REF!</v>
      </c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72"/>
      <c r="BF17" s="46"/>
      <c r="BG17" s="46"/>
      <c r="BH17" s="46"/>
      <c r="BI17" s="46"/>
      <c r="BJ17" s="65"/>
      <c r="BK17" s="129">
        <v>5.9945026765258272E-3</v>
      </c>
      <c r="BL17" s="129">
        <v>7.0999053872018349E-3</v>
      </c>
      <c r="BM17" s="129">
        <v>3.4482758620689655E-3</v>
      </c>
      <c r="BN17" s="130">
        <v>2.3554233246670563E-2</v>
      </c>
      <c r="BO17" s="129">
        <v>2.1511017838405037E-2</v>
      </c>
      <c r="BP17" s="129">
        <v>9.1018336911227026E-3</v>
      </c>
      <c r="BQ17" s="129">
        <v>2.7400000000000001E-2</v>
      </c>
      <c r="BR17" s="129">
        <v>2.1700000000000001E-2</v>
      </c>
      <c r="BS17" s="82"/>
      <c r="BT17" s="82"/>
      <c r="BU17" s="82"/>
      <c r="BV17" s="82"/>
      <c r="BW17" s="83">
        <f t="shared" si="10"/>
        <v>5739.7398220908863</v>
      </c>
      <c r="BX17" s="83">
        <f t="shared" si="1"/>
        <v>1004.9459182586554</v>
      </c>
      <c r="BY17" s="83">
        <f t="shared" si="2"/>
        <v>373.23860901031304</v>
      </c>
      <c r="BZ17" s="83">
        <f t="shared" si="3"/>
        <v>0</v>
      </c>
      <c r="CA17" s="83">
        <f t="shared" si="4"/>
        <v>1611.9244309546209</v>
      </c>
      <c r="CB17" s="83">
        <f t="shared" si="5"/>
        <v>1970.3503328643476</v>
      </c>
      <c r="CC17" s="83">
        <f t="shared" si="11"/>
        <v>3650.1587534719356</v>
      </c>
      <c r="CD17" s="83">
        <f t="shared" si="12"/>
        <v>722.70478969289229</v>
      </c>
      <c r="CE17" s="84">
        <f t="shared" si="13"/>
        <v>15073.062656343649</v>
      </c>
      <c r="CG17" s="15">
        <f t="shared" si="6"/>
        <v>0</v>
      </c>
      <c r="CH17" s="5" t="e">
        <f>-#REF!</f>
        <v>#REF!</v>
      </c>
      <c r="CJ17" s="4">
        <v>32000</v>
      </c>
      <c r="CK17" s="5" t="e">
        <f t="shared" si="14"/>
        <v>#REF!</v>
      </c>
      <c r="CL17" s="35" t="e">
        <f t="shared" si="15"/>
        <v>#REF!</v>
      </c>
      <c r="CM17" s="22" t="e">
        <f t="shared" si="7"/>
        <v>#REF!</v>
      </c>
      <c r="CQ17" s="93" t="s">
        <v>7</v>
      </c>
      <c r="CR17" s="96">
        <f t="shared" si="16"/>
        <v>623.27727903922869</v>
      </c>
      <c r="CS17" s="96"/>
      <c r="CT17" s="96">
        <f t="shared" si="17"/>
        <v>35300</v>
      </c>
      <c r="CU17" s="96">
        <f t="shared" si="21"/>
        <v>15073.062656343649</v>
      </c>
      <c r="CV17" s="96"/>
      <c r="CW17" s="123">
        <f>SUM(CR17:CU17)+1</f>
        <v>50997.339935382872</v>
      </c>
      <c r="CX17" s="124">
        <f t="shared" si="19"/>
        <v>2.0137884549165409E-2</v>
      </c>
      <c r="CY17" s="110"/>
      <c r="CZ17" s="96"/>
      <c r="DA17" s="96">
        <f t="shared" si="20"/>
        <v>2039.8935974153148</v>
      </c>
      <c r="DB17" s="177"/>
      <c r="DC17" s="152"/>
      <c r="DD17" s="152"/>
      <c r="DE17" s="197"/>
      <c r="DF17" s="198"/>
      <c r="DG17" s="199"/>
      <c r="DH17" s="167"/>
      <c r="DI17" s="5"/>
      <c r="DK17" s="151"/>
      <c r="DL17" s="151"/>
      <c r="DM17" s="48"/>
      <c r="DN17" s="151"/>
      <c r="DO17" s="152"/>
      <c r="DP17" s="152"/>
      <c r="DQ17" s="152"/>
      <c r="DR17" s="152"/>
      <c r="DS17" s="112"/>
      <c r="DT17" s="111"/>
      <c r="DU17" s="113"/>
      <c r="DV17" s="98"/>
      <c r="DW17" s="48"/>
      <c r="DX17" s="5"/>
      <c r="DY17" s="133"/>
      <c r="DZ17" s="5"/>
      <c r="EA17" s="5"/>
      <c r="EB17" s="42"/>
      <c r="EC17" s="5"/>
      <c r="EE17" s="5"/>
      <c r="EF17" s="5"/>
      <c r="EG17" s="5"/>
      <c r="EH17" s="5"/>
      <c r="EJ17" s="5"/>
      <c r="EK17" s="42"/>
      <c r="EO17" s="42"/>
      <c r="EP17" s="42"/>
      <c r="EQ17" s="42"/>
      <c r="EU17" s="42"/>
      <c r="EV17" s="5"/>
      <c r="EX17" s="32"/>
    </row>
    <row r="18" spans="1:154" x14ac:dyDescent="0.25">
      <c r="A18" s="3" t="s">
        <v>169</v>
      </c>
      <c r="H18" s="3" t="s">
        <v>23</v>
      </c>
      <c r="I18" s="3" t="s">
        <v>4</v>
      </c>
      <c r="J18" s="42"/>
      <c r="K18" s="7"/>
      <c r="L18" s="248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>
        <v>-522.60363385580695</v>
      </c>
      <c r="AB18" s="60"/>
      <c r="AC18" s="60"/>
      <c r="AD18" s="60"/>
      <c r="AE18" s="60">
        <f>-76*1.006*1.0089*1.0057*1.0276*1.0091</f>
        <v>-80.442664434263946</v>
      </c>
      <c r="AF18" s="60">
        <f t="shared" si="0"/>
        <v>633.33333333333337</v>
      </c>
      <c r="AG18" s="60"/>
      <c r="AH18" s="60">
        <f>-4648*1.006*1.0089*1.0057*1.0276*1.0091</f>
        <v>-4919.7040038218247</v>
      </c>
      <c r="AI18" s="60"/>
      <c r="AJ18" s="60">
        <v>1500</v>
      </c>
      <c r="AK18" s="60">
        <f>840*1.0276*1.0091</f>
        <v>871.03897440000014</v>
      </c>
      <c r="AL18" s="60">
        <f>-1610*1.0276*1.0091</f>
        <v>-1669.4913676000003</v>
      </c>
      <c r="AM18" s="60">
        <f>-363*1.0276*1.0091</f>
        <v>-376.41327108000002</v>
      </c>
      <c r="AN18" s="60"/>
      <c r="AO18" s="60"/>
      <c r="AP18" s="60"/>
      <c r="AQ18" s="232">
        <f t="shared" si="8"/>
        <v>-4564.2826330585631</v>
      </c>
      <c r="AS18" s="21" t="e">
        <f>(J18+#REF!)/($J$31+#REF!)</f>
        <v>#REF!</v>
      </c>
      <c r="AT18" s="14" t="e">
        <f t="shared" si="9"/>
        <v>#REF!</v>
      </c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72"/>
      <c r="BF18" s="46"/>
      <c r="BG18" s="46"/>
      <c r="BH18" s="46"/>
      <c r="BI18" s="46"/>
      <c r="BJ18" s="65"/>
      <c r="BK18" s="129">
        <v>1.5998801078405497E-2</v>
      </c>
      <c r="BL18" s="129">
        <v>6.8434462749413696E-3</v>
      </c>
      <c r="BM18" s="129">
        <v>1.7241379310344827E-2</v>
      </c>
      <c r="BN18" s="130">
        <v>1.5384879115894487E-2</v>
      </c>
      <c r="BO18" s="129">
        <v>3.4948117057246118E-2</v>
      </c>
      <c r="BP18" s="129">
        <v>2.0300738351219764E-2</v>
      </c>
      <c r="BQ18" s="129">
        <v>2.2499999999999999E-2</v>
      </c>
      <c r="BR18" s="129">
        <v>2.5333333333333333E-2</v>
      </c>
      <c r="BS18" s="82"/>
      <c r="BT18" s="82"/>
      <c r="BU18" s="82"/>
      <c r="BV18" s="82"/>
      <c r="BW18" s="83">
        <f t="shared" si="10"/>
        <v>15318.861398633158</v>
      </c>
      <c r="BX18" s="83">
        <f t="shared" si="1"/>
        <v>968.64578128345465</v>
      </c>
      <c r="BY18" s="83">
        <f t="shared" si="2"/>
        <v>1866.1930450515652</v>
      </c>
      <c r="BZ18" s="83">
        <f t="shared" si="3"/>
        <v>0</v>
      </c>
      <c r="CA18" s="83">
        <f t="shared" si="4"/>
        <v>2618.8311554398238</v>
      </c>
      <c r="CB18" s="83">
        <f t="shared" si="5"/>
        <v>4394.671219573117</v>
      </c>
      <c r="CC18" s="83">
        <f t="shared" si="11"/>
        <v>2997.3931369751294</v>
      </c>
      <c r="CD18" s="83">
        <f t="shared" si="12"/>
        <v>843.71066077818455</v>
      </c>
      <c r="CE18" s="84">
        <f t="shared" si="13"/>
        <v>29008.306397734435</v>
      </c>
      <c r="CG18" s="15">
        <f t="shared" si="6"/>
        <v>0</v>
      </c>
      <c r="CH18" s="5" t="e">
        <f>-#REF!</f>
        <v>#REF!</v>
      </c>
      <c r="CJ18" s="4">
        <v>32000</v>
      </c>
      <c r="CK18" s="5" t="e">
        <f t="shared" si="14"/>
        <v>#REF!</v>
      </c>
      <c r="CL18" s="35" t="e">
        <f t="shared" si="15"/>
        <v>#REF!</v>
      </c>
      <c r="CM18" s="22" t="e">
        <f t="shared" si="7"/>
        <v>#REF!</v>
      </c>
      <c r="CQ18" s="93" t="s">
        <v>4</v>
      </c>
      <c r="CR18" s="96">
        <f t="shared" si="16"/>
        <v>-4564.2826330585631</v>
      </c>
      <c r="CS18" s="96"/>
      <c r="CT18" s="96">
        <f t="shared" si="17"/>
        <v>35300</v>
      </c>
      <c r="CU18" s="96">
        <f t="shared" si="21"/>
        <v>29008.306397734435</v>
      </c>
      <c r="CV18" s="96"/>
      <c r="CW18" s="123">
        <f>SUM(CR18:CU18)+1</f>
        <v>59745.023764675876</v>
      </c>
      <c r="CX18" s="124">
        <f t="shared" si="19"/>
        <v>2.3592179366309012E-2</v>
      </c>
      <c r="CY18" s="110"/>
      <c r="CZ18" s="96"/>
      <c r="DA18" s="96">
        <f t="shared" si="20"/>
        <v>2389.800950587035</v>
      </c>
      <c r="DB18" s="177"/>
      <c r="DC18" s="152"/>
      <c r="DD18" s="152"/>
      <c r="DE18" s="197"/>
      <c r="DF18" s="198"/>
      <c r="DG18" s="199"/>
      <c r="DH18" s="167"/>
      <c r="DI18" s="5"/>
      <c r="DK18" s="151"/>
      <c r="DL18" s="151"/>
      <c r="DM18" s="48"/>
      <c r="DN18" s="151"/>
      <c r="DO18" s="152"/>
      <c r="DP18" s="152"/>
      <c r="DQ18" s="152"/>
      <c r="DR18" s="152"/>
      <c r="DS18" s="112"/>
      <c r="DT18" s="111"/>
      <c r="DU18" s="113"/>
      <c r="DV18" s="98"/>
      <c r="DW18" s="48"/>
      <c r="DX18" s="5"/>
      <c r="DY18" s="133"/>
      <c r="DZ18" s="5"/>
      <c r="EA18" s="5"/>
      <c r="EB18" s="42"/>
      <c r="EC18" s="5"/>
      <c r="EE18" s="5"/>
      <c r="EF18" s="5"/>
      <c r="EG18" s="5"/>
      <c r="EH18" s="5"/>
      <c r="EJ18" s="5"/>
      <c r="EK18" s="42"/>
      <c r="EO18" s="42"/>
      <c r="EP18" s="42"/>
      <c r="EQ18" s="42"/>
      <c r="EU18" s="42"/>
      <c r="EV18" s="5"/>
      <c r="EX18" s="32"/>
    </row>
    <row r="19" spans="1:154" x14ac:dyDescent="0.25">
      <c r="A19" s="3" t="s">
        <v>170</v>
      </c>
      <c r="H19" s="3" t="s">
        <v>24</v>
      </c>
      <c r="I19" s="3" t="s">
        <v>5</v>
      </c>
      <c r="J19" s="42"/>
      <c r="K19" s="7"/>
      <c r="L19" s="248"/>
      <c r="M19" s="60"/>
      <c r="N19" s="60">
        <v>0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>
        <v>-3371.5930581200701</v>
      </c>
      <c r="AB19" s="60"/>
      <c r="AC19" s="60">
        <f>2280*1.0057*1.0276*1.0091</f>
        <v>2377.7248620753603</v>
      </c>
      <c r="AD19" s="60"/>
      <c r="AE19" s="60">
        <f>339*1.006*1.0089*1.0057*1.0276*1.0091</f>
        <v>358.81662162125627</v>
      </c>
      <c r="AF19" s="60">
        <f t="shared" si="0"/>
        <v>3273.333333333333</v>
      </c>
      <c r="AG19" s="60"/>
      <c r="AH19" s="60">
        <f>4648*1.006*1.0089*1.0057*1.0276*1.0091</f>
        <v>4919.7040038218247</v>
      </c>
      <c r="AI19" s="60">
        <f>1200*1.0057*1.0276*1.0091</f>
        <v>1251.4341379344003</v>
      </c>
      <c r="AJ19" s="60"/>
      <c r="AK19" s="60">
        <f>840*1.0276*1.0091</f>
        <v>871.03897440000014</v>
      </c>
      <c r="AL19" s="60">
        <f>1610*1.0276*1.0091</f>
        <v>1669.4913676000003</v>
      </c>
      <c r="AM19" s="60">
        <f>914*1.0276*1.0091</f>
        <v>947.7733602400001</v>
      </c>
      <c r="AN19" s="60"/>
      <c r="AO19" s="60"/>
      <c r="AP19" s="60"/>
      <c r="AQ19" s="232">
        <f t="shared" si="8"/>
        <v>12297.723602906104</v>
      </c>
      <c r="AS19" s="21" t="e">
        <f>(J19+#REF!)/($J$31+#REF!)</f>
        <v>#REF!</v>
      </c>
      <c r="AT19" s="14" t="e">
        <f t="shared" si="9"/>
        <v>#REF!</v>
      </c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72"/>
      <c r="BF19" s="46"/>
      <c r="BG19" s="46"/>
      <c r="BH19" s="46"/>
      <c r="BI19" s="46"/>
      <c r="BJ19" s="65"/>
      <c r="BK19" s="129">
        <v>0.13213542491665539</v>
      </c>
      <c r="BL19" s="129">
        <v>2.5234956002078628E-2</v>
      </c>
      <c r="BM19" s="129">
        <v>0.11379310344827587</v>
      </c>
      <c r="BN19" s="130">
        <v>3.9832257577114394E-2</v>
      </c>
      <c r="BO19" s="129">
        <v>1.7109712020519998E-2</v>
      </c>
      <c r="BP19" s="129">
        <v>0.10368030193605721</v>
      </c>
      <c r="BQ19" s="129">
        <v>0.125</v>
      </c>
      <c r="BR19" s="129">
        <v>0.13093333333333332</v>
      </c>
      <c r="BS19" s="82"/>
      <c r="BT19" s="82"/>
      <c r="BU19" s="82"/>
      <c r="BV19" s="82"/>
      <c r="BW19" s="83">
        <f t="shared" si="10"/>
        <v>126519.74671276295</v>
      </c>
      <c r="BX19" s="83">
        <f t="shared" si="1"/>
        <v>3571.845630145825</v>
      </c>
      <c r="BY19" s="83">
        <f t="shared" si="2"/>
        <v>12316.874097340331</v>
      </c>
      <c r="BZ19" s="83">
        <f t="shared" si="3"/>
        <v>0</v>
      </c>
      <c r="CA19" s="83">
        <f t="shared" si="4"/>
        <v>1282.1133346481877</v>
      </c>
      <c r="CB19" s="83">
        <f t="shared" si="5"/>
        <v>22444.545172302289</v>
      </c>
      <c r="CC19" s="83">
        <f t="shared" si="11"/>
        <v>16652.184094306274</v>
      </c>
      <c r="CD19" s="83">
        <f t="shared" si="12"/>
        <v>4360.6519414956692</v>
      </c>
      <c r="CE19" s="84">
        <f t="shared" si="13"/>
        <v>187147.96098300151</v>
      </c>
      <c r="CG19" s="15">
        <f t="shared" si="6"/>
        <v>0</v>
      </c>
      <c r="CH19" s="5" t="e">
        <f>-#REF!</f>
        <v>#REF!</v>
      </c>
      <c r="CI19" s="4">
        <v>3000</v>
      </c>
      <c r="CJ19" s="4">
        <v>32000</v>
      </c>
      <c r="CK19" s="5" t="e">
        <f t="shared" si="14"/>
        <v>#REF!</v>
      </c>
      <c r="CL19" s="35" t="e">
        <f t="shared" si="15"/>
        <v>#REF!</v>
      </c>
      <c r="CM19" s="22" t="e">
        <f t="shared" si="7"/>
        <v>#REF!</v>
      </c>
      <c r="CQ19" s="93" t="s">
        <v>5</v>
      </c>
      <c r="CR19" s="96">
        <f t="shared" si="16"/>
        <v>12297.723602906104</v>
      </c>
      <c r="CS19" s="96">
        <f>3000</f>
        <v>3000</v>
      </c>
      <c r="CT19" s="96">
        <f t="shared" si="17"/>
        <v>35300</v>
      </c>
      <c r="CU19" s="96">
        <f t="shared" si="21"/>
        <v>187147.96098300151</v>
      </c>
      <c r="CV19" s="96"/>
      <c r="CW19" s="123">
        <f t="shared" si="18"/>
        <v>237745.68458590761</v>
      </c>
      <c r="CX19" s="124">
        <f t="shared" si="19"/>
        <v>9.388127212751958E-2</v>
      </c>
      <c r="CY19" s="110"/>
      <c r="CZ19" s="96"/>
      <c r="DA19" s="96">
        <f t="shared" si="20"/>
        <v>9509.8273834363044</v>
      </c>
      <c r="DB19" s="177"/>
      <c r="DC19" s="152"/>
      <c r="DD19" s="152"/>
      <c r="DE19" s="197"/>
      <c r="DF19" s="198"/>
      <c r="DG19" s="199"/>
      <c r="DH19" s="167"/>
      <c r="DI19" s="5"/>
      <c r="DK19" s="151"/>
      <c r="DL19" s="151"/>
      <c r="DM19" s="48"/>
      <c r="DN19" s="151"/>
      <c r="DO19" s="152"/>
      <c r="DP19" s="152"/>
      <c r="DQ19" s="152"/>
      <c r="DR19" s="152"/>
      <c r="DS19" s="112"/>
      <c r="DT19" s="111"/>
      <c r="DU19" s="113"/>
      <c r="DV19" s="98"/>
      <c r="DW19" s="48"/>
      <c r="DX19" s="5"/>
      <c r="DY19" s="133"/>
      <c r="DZ19" s="5"/>
      <c r="EA19" s="5"/>
      <c r="EB19" s="42"/>
      <c r="EC19" s="5"/>
      <c r="EE19" s="5"/>
      <c r="EF19" s="5"/>
      <c r="EG19" s="5"/>
      <c r="EH19" s="5"/>
      <c r="EJ19" s="5"/>
      <c r="EK19" s="42"/>
      <c r="EO19" s="42"/>
      <c r="EP19" s="42"/>
      <c r="EQ19" s="42"/>
      <c r="EU19" s="42"/>
      <c r="EV19" s="5"/>
      <c r="EX19" s="32"/>
    </row>
    <row r="20" spans="1:154" x14ac:dyDescent="0.25">
      <c r="A20" s="3" t="s">
        <v>172</v>
      </c>
      <c r="H20" s="3" t="s">
        <v>25</v>
      </c>
      <c r="I20" s="3" t="s">
        <v>26</v>
      </c>
      <c r="J20" s="42"/>
      <c r="K20" s="7"/>
      <c r="L20" s="248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>
        <v>-904.717569529245</v>
      </c>
      <c r="AB20" s="60"/>
      <c r="AC20" s="60"/>
      <c r="AD20" s="60"/>
      <c r="AE20" s="60">
        <f>-203*1.006*1.0089*1.0057*1.0276*1.0091</f>
        <v>-214.86659052836285</v>
      </c>
      <c r="AF20" s="60">
        <f t="shared" si="0"/>
        <v>1299.1666666666667</v>
      </c>
      <c r="AG20" s="60"/>
      <c r="AH20" s="60"/>
      <c r="AI20" s="60"/>
      <c r="AJ20" s="60"/>
      <c r="AK20" s="60">
        <f>840*1.0276*1.0091</f>
        <v>871.03897440000014</v>
      </c>
      <c r="AL20" s="60"/>
      <c r="AM20" s="60">
        <f>-645*1.0276*1.0091</f>
        <v>-668.83349820000012</v>
      </c>
      <c r="AN20" s="60"/>
      <c r="AO20" s="60"/>
      <c r="AP20" s="60"/>
      <c r="AQ20" s="232">
        <f t="shared" si="8"/>
        <v>381.78798280905903</v>
      </c>
      <c r="AS20" s="21" t="e">
        <f>(J20+#REF!)/($J$31+#REF!)</f>
        <v>#REF!</v>
      </c>
      <c r="AT20" s="14" t="e">
        <f t="shared" si="9"/>
        <v>#REF!</v>
      </c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72"/>
      <c r="BF20" s="46"/>
      <c r="BG20" s="46"/>
      <c r="BH20" s="46"/>
      <c r="BI20" s="46"/>
      <c r="BJ20" s="65"/>
      <c r="BK20" s="129">
        <v>3.1807599286569899E-2</v>
      </c>
      <c r="BL20" s="129">
        <v>1.2711771610681148E-2</v>
      </c>
      <c r="BM20" s="129">
        <v>2.0689655172413793E-2</v>
      </c>
      <c r="BN20" s="130">
        <v>2.69264439203722E-2</v>
      </c>
      <c r="BO20" s="129">
        <v>7.7824414130814971E-3</v>
      </c>
      <c r="BP20" s="129">
        <v>2.9946241214054065E-2</v>
      </c>
      <c r="BQ20" s="129">
        <v>5.1999999999999998E-2</v>
      </c>
      <c r="BR20" s="129">
        <v>5.1966666666666668E-2</v>
      </c>
      <c r="BS20" s="82"/>
      <c r="BT20" s="82"/>
      <c r="BU20" s="82"/>
      <c r="BV20" s="82"/>
      <c r="BW20" s="83">
        <f t="shared" si="10"/>
        <v>30455.79493777849</v>
      </c>
      <c r="BX20" s="83">
        <f t="shared" si="1"/>
        <v>1799.2694687196285</v>
      </c>
      <c r="BY20" s="83">
        <f t="shared" si="2"/>
        <v>2239.4316540618784</v>
      </c>
      <c r="BZ20" s="83">
        <f t="shared" si="3"/>
        <v>0</v>
      </c>
      <c r="CA20" s="83">
        <f t="shared" si="4"/>
        <v>583.17591201203766</v>
      </c>
      <c r="CB20" s="83">
        <f t="shared" si="5"/>
        <v>6482.7141811760912</v>
      </c>
      <c r="CC20" s="83">
        <f t="shared" si="11"/>
        <v>6927.30858323141</v>
      </c>
      <c r="CD20" s="83">
        <f t="shared" si="12"/>
        <v>1730.7170002015655</v>
      </c>
      <c r="CE20" s="84">
        <f t="shared" si="13"/>
        <v>50218.411737181093</v>
      </c>
      <c r="CG20" s="15">
        <f t="shared" si="6"/>
        <v>0</v>
      </c>
      <c r="CH20" s="5" t="e">
        <f>-#REF!</f>
        <v>#REF!</v>
      </c>
      <c r="CJ20" s="4">
        <v>32000</v>
      </c>
      <c r="CK20" s="5" t="e">
        <f t="shared" si="14"/>
        <v>#REF!</v>
      </c>
      <c r="CL20" s="35" t="e">
        <f t="shared" si="15"/>
        <v>#REF!</v>
      </c>
      <c r="CM20" s="22" t="e">
        <f t="shared" si="7"/>
        <v>#REF!</v>
      </c>
      <c r="CQ20" s="93" t="s">
        <v>26</v>
      </c>
      <c r="CR20" s="96">
        <f t="shared" si="16"/>
        <v>381.78798280905903</v>
      </c>
      <c r="CS20" s="96"/>
      <c r="CT20" s="96">
        <f t="shared" si="17"/>
        <v>35300</v>
      </c>
      <c r="CU20" s="96">
        <f t="shared" si="21"/>
        <v>50218.411737181093</v>
      </c>
      <c r="CV20" s="96"/>
      <c r="CW20" s="123">
        <f t="shared" si="18"/>
        <v>85900.199719990153</v>
      </c>
      <c r="CX20" s="124">
        <f t="shared" si="19"/>
        <v>3.3920363432744703E-2</v>
      </c>
      <c r="CY20" s="110"/>
      <c r="CZ20" s="96"/>
      <c r="DA20" s="96">
        <f t="shared" si="20"/>
        <v>3436.0079887996062</v>
      </c>
      <c r="DB20" s="177"/>
      <c r="DC20" s="152"/>
      <c r="DD20" s="152"/>
      <c r="DE20" s="197"/>
      <c r="DF20" s="198"/>
      <c r="DG20" s="199"/>
      <c r="DH20" s="167"/>
      <c r="DI20" s="5"/>
      <c r="DK20" s="151"/>
      <c r="DL20" s="151"/>
      <c r="DM20" s="48"/>
      <c r="DN20" s="151"/>
      <c r="DO20" s="152"/>
      <c r="DP20" s="152"/>
      <c r="DQ20" s="152"/>
      <c r="DR20" s="152"/>
      <c r="DS20" s="112"/>
      <c r="DT20" s="111"/>
      <c r="DU20" s="113"/>
      <c r="DV20" s="98"/>
      <c r="DW20" s="48"/>
      <c r="DX20" s="5"/>
      <c r="DY20" s="133"/>
      <c r="DZ20" s="5"/>
      <c r="EA20" s="5"/>
      <c r="EB20" s="42"/>
      <c r="EC20" s="5"/>
      <c r="EE20" s="5"/>
      <c r="EF20" s="5"/>
      <c r="EG20" s="5"/>
      <c r="EH20" s="5"/>
      <c r="EJ20" s="5"/>
      <c r="EK20" s="42"/>
      <c r="EO20" s="42"/>
      <c r="EP20" s="42"/>
      <c r="EQ20" s="42"/>
      <c r="EU20" s="42"/>
      <c r="EV20" s="5"/>
      <c r="EX20" s="32"/>
    </row>
    <row r="21" spans="1:154" x14ac:dyDescent="0.25">
      <c r="H21" s="3" t="s">
        <v>10</v>
      </c>
      <c r="I21" s="3" t="s">
        <v>27</v>
      </c>
      <c r="J21" s="42"/>
      <c r="K21" s="7"/>
      <c r="L21" s="248"/>
      <c r="M21" s="60">
        <f>814.086210542326*1.0362*1.006*1.0089*1.0057*1.0276*1.0091</f>
        <v>892.86714219443104</v>
      </c>
      <c r="N21" s="60">
        <v>0</v>
      </c>
      <c r="O21" s="60"/>
      <c r="P21" s="60">
        <f>90.3209006921074*1.0362*1.006*1.0089*1.0057*1.0276*1.0091</f>
        <v>99.061454962694114</v>
      </c>
      <c r="Q21" s="60"/>
      <c r="R21" s="60">
        <f>608.938616937415*1.0362*1.006*1.0089*1.0057*1.0276*1.0091</f>
        <v>667.86696007851231</v>
      </c>
      <c r="S21" s="60">
        <f>806.108818303748*1.0362*1.006*1.0089*1.0057*1.0276*1.0091</f>
        <v>884.1177599816084</v>
      </c>
      <c r="T21" s="60"/>
      <c r="U21" s="60"/>
      <c r="V21" s="60"/>
      <c r="W21" s="60"/>
      <c r="X21" s="60">
        <v>-1160</v>
      </c>
      <c r="Y21" s="60">
        <v>-482</v>
      </c>
      <c r="Z21" s="60"/>
      <c r="AA21" s="60">
        <v>-4644.0894313672798</v>
      </c>
      <c r="AB21" s="60"/>
      <c r="AC21" s="60">
        <f>2280*1.0057*1.0276*1.0091</f>
        <v>2377.7248620753603</v>
      </c>
      <c r="AD21" s="60"/>
      <c r="AE21" s="60">
        <f>303*1.006*1.0089*1.0057*1.0276*1.0091</f>
        <v>320.71220162607852</v>
      </c>
      <c r="AF21" s="60">
        <f t="shared" si="0"/>
        <v>4470.833333333333</v>
      </c>
      <c r="AG21" s="60"/>
      <c r="AH21" s="60"/>
      <c r="AI21" s="60">
        <f>1200*1.0057*1.0276*1.0091</f>
        <v>1251.4341379344003</v>
      </c>
      <c r="AJ21" s="60"/>
      <c r="AK21" s="60">
        <f>(1680+720)*1.0276*1.0091</f>
        <v>2488.6827840000005</v>
      </c>
      <c r="AL21" s="60"/>
      <c r="AM21" s="60">
        <f>645*1.0276*1.0091</f>
        <v>668.83349820000012</v>
      </c>
      <c r="AN21" s="60">
        <f>2030*1.0276*1.0091</f>
        <v>2105.0108548000003</v>
      </c>
      <c r="AO21" s="60"/>
      <c r="AP21" s="60"/>
      <c r="AQ21" s="232">
        <f t="shared" si="8"/>
        <v>9941.0555578191397</v>
      </c>
      <c r="AS21" s="21" t="e">
        <f>(J21+#REF!)/($J$31+#REF!)</f>
        <v>#REF!</v>
      </c>
      <c r="AT21" s="14" t="e">
        <f t="shared" si="9"/>
        <v>#REF!</v>
      </c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72"/>
      <c r="BF21" s="46"/>
      <c r="BG21" s="46"/>
      <c r="BH21" s="46"/>
      <c r="BI21" s="46"/>
      <c r="BJ21" s="65"/>
      <c r="BK21" s="129">
        <v>0.16756206108705585</v>
      </c>
      <c r="BL21" s="129">
        <v>6.4415568916747754E-2</v>
      </c>
      <c r="BM21" s="129">
        <v>0.16896551724137931</v>
      </c>
      <c r="BN21" s="130">
        <v>7.2167687816114462E-2</v>
      </c>
      <c r="BO21" s="129">
        <v>7.5434301037658857E-2</v>
      </c>
      <c r="BP21" s="129">
        <v>0.14813464406572499</v>
      </c>
      <c r="BQ21" s="129">
        <v>0.1971</v>
      </c>
      <c r="BR21" s="129">
        <v>0.17883333333333332</v>
      </c>
      <c r="BS21" s="82"/>
      <c r="BT21" s="82"/>
      <c r="BU21" s="82"/>
      <c r="BV21" s="82"/>
      <c r="BW21" s="83">
        <f t="shared" si="10"/>
        <v>160440.77158547522</v>
      </c>
      <c r="BX21" s="83">
        <f t="shared" si="1"/>
        <v>9117.6092531998311</v>
      </c>
      <c r="BY21" s="83">
        <f t="shared" si="2"/>
        <v>18288.691841505341</v>
      </c>
      <c r="BZ21" s="83">
        <f t="shared" si="3"/>
        <v>0</v>
      </c>
      <c r="CA21" s="83">
        <f t="shared" si="4"/>
        <v>5652.6564055698627</v>
      </c>
      <c r="CB21" s="83">
        <f t="shared" si="5"/>
        <v>32067.949728450832</v>
      </c>
      <c r="CC21" s="83">
        <f t="shared" si="11"/>
        <v>26257.163879902135</v>
      </c>
      <c r="CD21" s="83">
        <f t="shared" si="12"/>
        <v>5955.93117773021</v>
      </c>
      <c r="CE21" s="84">
        <f t="shared" si="13"/>
        <v>257780.77387183343</v>
      </c>
      <c r="CG21" s="15">
        <f t="shared" si="6"/>
        <v>0</v>
      </c>
      <c r="CH21" s="5" t="e">
        <f>-#REF!</f>
        <v>#REF!</v>
      </c>
      <c r="CI21" s="4">
        <v>15000</v>
      </c>
      <c r="CJ21" s="4">
        <v>32000</v>
      </c>
      <c r="CK21" s="5" t="e">
        <f t="shared" si="14"/>
        <v>#REF!</v>
      </c>
      <c r="CL21" s="35" t="e">
        <f t="shared" si="15"/>
        <v>#REF!</v>
      </c>
      <c r="CM21" s="22" t="e">
        <f t="shared" si="7"/>
        <v>#REF!</v>
      </c>
      <c r="CQ21" s="93" t="s">
        <v>27</v>
      </c>
      <c r="CR21" s="96">
        <f t="shared" si="16"/>
        <v>9941.0555578191397</v>
      </c>
      <c r="CS21" s="96">
        <f>15000</f>
        <v>15000</v>
      </c>
      <c r="CT21" s="96">
        <f t="shared" si="17"/>
        <v>35300</v>
      </c>
      <c r="CU21" s="96">
        <f t="shared" si="21"/>
        <v>257780.77387183343</v>
      </c>
      <c r="CV21" s="96"/>
      <c r="CW21" s="123">
        <f>SUM(CR21:CU21)</f>
        <v>318021.82942965254</v>
      </c>
      <c r="CX21" s="124">
        <f t="shared" si="19"/>
        <v>0.12558080271016855</v>
      </c>
      <c r="CY21" s="110"/>
      <c r="CZ21" s="96"/>
      <c r="DA21" s="96">
        <f t="shared" si="20"/>
        <v>12720.873177186102</v>
      </c>
      <c r="DB21" s="177"/>
      <c r="DC21" s="152"/>
      <c r="DD21" s="152"/>
      <c r="DE21" s="197"/>
      <c r="DF21" s="198"/>
      <c r="DG21" s="199"/>
      <c r="DH21" s="167"/>
      <c r="DI21" s="5"/>
      <c r="DK21" s="151"/>
      <c r="DL21" s="151"/>
      <c r="DM21" s="48"/>
      <c r="DN21" s="151"/>
      <c r="DO21" s="152"/>
      <c r="DP21" s="152"/>
      <c r="DQ21" s="152"/>
      <c r="DR21" s="152"/>
      <c r="DS21" s="112"/>
      <c r="DT21" s="111"/>
      <c r="DU21" s="113"/>
      <c r="DV21" s="98"/>
      <c r="DW21" s="48"/>
      <c r="DX21" s="5"/>
      <c r="DY21" s="133"/>
      <c r="DZ21" s="5"/>
      <c r="EA21" s="5"/>
      <c r="EB21" s="42"/>
      <c r="EC21" s="5"/>
      <c r="EE21" s="5"/>
      <c r="EF21" s="5"/>
      <c r="EG21" s="5"/>
      <c r="EH21" s="5"/>
      <c r="EJ21" s="5"/>
      <c r="EK21" s="42"/>
      <c r="EO21" s="42"/>
      <c r="EP21" s="42"/>
      <c r="EQ21" s="42"/>
      <c r="EU21" s="42"/>
      <c r="EV21" s="5"/>
      <c r="EX21" s="32"/>
    </row>
    <row r="22" spans="1:154" x14ac:dyDescent="0.25">
      <c r="A22" s="3" t="s">
        <v>185</v>
      </c>
      <c r="B22" s="3">
        <v>35300</v>
      </c>
      <c r="H22" s="3" t="s">
        <v>28</v>
      </c>
      <c r="I22" s="3" t="s">
        <v>29</v>
      </c>
      <c r="J22" s="42"/>
      <c r="K22" s="6"/>
      <c r="L22" s="248"/>
      <c r="M22" s="60"/>
      <c r="N22" s="60"/>
      <c r="O22" s="60"/>
      <c r="P22" s="60">
        <f>184.842773509429*1.0362*1.006*1.0089*1.0057*1.0276*1.0091</f>
        <v>202.73041945853669</v>
      </c>
      <c r="Q22" s="60"/>
      <c r="R22" s="60"/>
      <c r="S22" s="60">
        <f>1083.20872459566*1.0362*1.006*1.0089*1.0057*1.0276*1.0091</f>
        <v>1188.0332399752849</v>
      </c>
      <c r="T22" s="60"/>
      <c r="U22" s="60"/>
      <c r="V22" s="60"/>
      <c r="W22" s="60"/>
      <c r="X22" s="60"/>
      <c r="Y22" s="60"/>
      <c r="Z22" s="60"/>
      <c r="AA22" s="60">
        <v>-1157.7325362404999</v>
      </c>
      <c r="AB22" s="60"/>
      <c r="AC22" s="60"/>
      <c r="AD22" s="60"/>
      <c r="AE22" s="60">
        <f>-649*1.006*1.0089*1.0057*1.0276*1.0091</f>
        <v>-686.938016024175</v>
      </c>
      <c r="AF22" s="60">
        <f t="shared" si="0"/>
        <v>951.66666666666663</v>
      </c>
      <c r="AG22" s="60"/>
      <c r="AH22" s="60"/>
      <c r="AI22" s="60"/>
      <c r="AJ22" s="60"/>
      <c r="AK22" s="60"/>
      <c r="AL22" s="60">
        <f>-1493*1.0276*1.0091</f>
        <v>-1548.1680818800003</v>
      </c>
      <c r="AM22" s="60">
        <f>-872*1.0276*1.0091</f>
        <v>-904.22141152000017</v>
      </c>
      <c r="AN22" s="60"/>
      <c r="AO22" s="60"/>
      <c r="AP22" s="60"/>
      <c r="AQ22" s="232">
        <f t="shared" si="8"/>
        <v>-1954.6297195641871</v>
      </c>
      <c r="AS22" s="21" t="e">
        <f>(J22+#REF!)/($J$31+#REF!)</f>
        <v>#REF!</v>
      </c>
      <c r="AT22" s="14" t="e">
        <f t="shared" si="9"/>
        <v>#REF!</v>
      </c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72"/>
      <c r="BF22" s="46"/>
      <c r="BG22" s="46"/>
      <c r="BH22" s="46"/>
      <c r="BI22" s="46"/>
      <c r="BJ22" s="65"/>
      <c r="BK22" s="129">
        <v>2.8602945551345002E-2</v>
      </c>
      <c r="BL22" s="129">
        <v>4.8594236111375873E-2</v>
      </c>
      <c r="BM22" s="129">
        <v>5.5172413793103448E-2</v>
      </c>
      <c r="BN22" s="130">
        <v>2.687122043915826E-2</v>
      </c>
      <c r="BO22" s="129">
        <v>6.6689984843185265E-2</v>
      </c>
      <c r="BP22" s="129">
        <v>5.280993255408746E-2</v>
      </c>
      <c r="BQ22" s="129">
        <v>4.7500000000000001E-2</v>
      </c>
      <c r="BR22" s="129">
        <v>3.8066666666666665E-2</v>
      </c>
      <c r="BS22" s="82"/>
      <c r="BT22" s="82"/>
      <c r="BU22" s="82"/>
      <c r="BV22" s="82"/>
      <c r="BW22" s="83">
        <f t="shared" si="10"/>
        <v>27387.337110223896</v>
      </c>
      <c r="BX22" s="83">
        <f t="shared" si="1"/>
        <v>6878.2014080149429</v>
      </c>
      <c r="BY22" s="83">
        <f t="shared" si="2"/>
        <v>5971.8177441650087</v>
      </c>
      <c r="BZ22" s="83">
        <f t="shared" si="3"/>
        <v>0</v>
      </c>
      <c r="CA22" s="83">
        <f t="shared" si="4"/>
        <v>4997.4025718484727</v>
      </c>
      <c r="CB22" s="83">
        <f t="shared" si="5"/>
        <v>11432.209345681311</v>
      </c>
      <c r="CC22" s="83">
        <f t="shared" si="11"/>
        <v>6327.8299558363842</v>
      </c>
      <c r="CD22" s="83">
        <f t="shared" si="12"/>
        <v>1267.7862823798509</v>
      </c>
      <c r="CE22" s="84">
        <f t="shared" si="13"/>
        <v>64262.584418149869</v>
      </c>
      <c r="CG22" s="15">
        <f t="shared" si="6"/>
        <v>0</v>
      </c>
      <c r="CH22" s="5" t="e">
        <f>-#REF!</f>
        <v>#REF!</v>
      </c>
      <c r="CJ22" s="4">
        <v>32000</v>
      </c>
      <c r="CK22" s="5" t="e">
        <f t="shared" si="14"/>
        <v>#REF!</v>
      </c>
      <c r="CL22" s="35" t="e">
        <f t="shared" si="15"/>
        <v>#REF!</v>
      </c>
      <c r="CM22" s="22" t="e">
        <f t="shared" si="7"/>
        <v>#REF!</v>
      </c>
      <c r="CQ22" s="93" t="s">
        <v>29</v>
      </c>
      <c r="CR22" s="96">
        <f t="shared" si="16"/>
        <v>-1954.6297195641871</v>
      </c>
      <c r="CS22" s="96"/>
      <c r="CT22" s="96">
        <f t="shared" si="17"/>
        <v>35300</v>
      </c>
      <c r="CU22" s="96">
        <f t="shared" si="21"/>
        <v>64262.584418149869</v>
      </c>
      <c r="CV22" s="96"/>
      <c r="CW22" s="123">
        <f>SUM(CR22:CU22)</f>
        <v>97607.954698585672</v>
      </c>
      <c r="CX22" s="124">
        <f t="shared" si="19"/>
        <v>3.8543534335140968E-2</v>
      </c>
      <c r="CY22" s="110"/>
      <c r="CZ22" s="96"/>
      <c r="DA22" s="96">
        <f t="shared" si="20"/>
        <v>3904.3181879434269</v>
      </c>
      <c r="DB22" s="177"/>
      <c r="DC22" s="152"/>
      <c r="DD22" s="152"/>
      <c r="DE22" s="197"/>
      <c r="DF22" s="198"/>
      <c r="DG22" s="199"/>
      <c r="DH22" s="167"/>
      <c r="DI22" s="5"/>
      <c r="DK22" s="151"/>
      <c r="DL22" s="151"/>
      <c r="DM22" s="48"/>
      <c r="DN22" s="151"/>
      <c r="DO22" s="152"/>
      <c r="DP22" s="152"/>
      <c r="DQ22" s="152"/>
      <c r="DR22" s="152"/>
      <c r="DS22" s="112"/>
      <c r="DT22" s="111"/>
      <c r="DU22" s="113"/>
      <c r="DV22" s="98"/>
      <c r="DW22" s="48"/>
      <c r="DX22" s="5"/>
      <c r="DY22" s="134"/>
      <c r="DZ22" s="5"/>
      <c r="EA22" s="5"/>
      <c r="EB22" s="42"/>
      <c r="EC22" s="5"/>
      <c r="EE22" s="5"/>
      <c r="EF22" s="5"/>
      <c r="EG22" s="5"/>
      <c r="EH22" s="5"/>
      <c r="EJ22" s="5"/>
      <c r="EK22" s="42"/>
      <c r="EO22" s="42"/>
      <c r="EP22" s="42"/>
      <c r="EQ22" s="42"/>
      <c r="EU22" s="42"/>
      <c r="EV22" s="5"/>
      <c r="EX22" s="32"/>
    </row>
    <row r="23" spans="1:154" x14ac:dyDescent="0.25">
      <c r="H23" s="3" t="s">
        <v>30</v>
      </c>
      <c r="I23" s="3" t="s">
        <v>31</v>
      </c>
      <c r="J23" s="42"/>
      <c r="K23" s="6"/>
      <c r="L23" s="248"/>
      <c r="M23" s="60"/>
      <c r="N23" s="60"/>
      <c r="O23" s="60"/>
      <c r="P23" s="60">
        <f>96.6223588799288*1.0362*1.006*1.0089*1.0057*1.0276*1.0091</f>
        <v>105.97271926241687</v>
      </c>
      <c r="Q23" s="60"/>
      <c r="R23" s="60"/>
      <c r="S23" s="60">
        <f>1083.20872459566*1.0362*1.006*1.0089*1.0057*1.0276*1.0091</f>
        <v>1188.0332399752849</v>
      </c>
      <c r="T23" s="60"/>
      <c r="U23" s="60"/>
      <c r="V23" s="60"/>
      <c r="W23" s="60"/>
      <c r="X23" s="60"/>
      <c r="Y23" s="60"/>
      <c r="Z23" s="60"/>
      <c r="AA23" s="60">
        <v>-926.25507593251405</v>
      </c>
      <c r="AB23" s="60"/>
      <c r="AC23" s="60"/>
      <c r="AD23" s="60">
        <f>700*1.006*1.0089*1.0057*1.0276*1.0091</f>
        <v>740.9192776840099</v>
      </c>
      <c r="AE23" s="60">
        <f>-147*1.006*1.0089*1.0057*1.0276*1.0091</f>
        <v>-155.59304831364207</v>
      </c>
      <c r="AF23" s="60">
        <f t="shared" si="0"/>
        <v>751.66666666666674</v>
      </c>
      <c r="AG23" s="60"/>
      <c r="AH23" s="60"/>
      <c r="AI23" s="60"/>
      <c r="AJ23" s="60"/>
      <c r="AK23" s="60"/>
      <c r="AL23" s="243">
        <f>1493*1.0276*1.0091</f>
        <v>1548.1680818800003</v>
      </c>
      <c r="AM23" s="60">
        <f>-601*1.0276*1.0091</f>
        <v>-623.20764716000008</v>
      </c>
      <c r="AN23" s="60"/>
      <c r="AO23" s="60"/>
      <c r="AP23" s="60"/>
      <c r="AQ23" s="232">
        <f t="shared" si="8"/>
        <v>2629.7042140622225</v>
      </c>
      <c r="AS23" s="21" t="e">
        <f>(J23+#REF!)/($J$31+#REF!)</f>
        <v>#REF!</v>
      </c>
      <c r="AT23" s="14" t="e">
        <f t="shared" si="9"/>
        <v>#REF!</v>
      </c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72"/>
      <c r="BF23" s="46"/>
      <c r="BG23" s="46"/>
      <c r="BH23" s="46"/>
      <c r="BI23" s="46"/>
      <c r="BJ23" s="65"/>
      <c r="BK23" s="129">
        <v>2.9636951863157665E-2</v>
      </c>
      <c r="BL23" s="129">
        <v>2.1467644790342348E-2</v>
      </c>
      <c r="BM23" s="129">
        <v>4.1379310344827586E-2</v>
      </c>
      <c r="BN23" s="130">
        <v>2.2093875704667101E-2</v>
      </c>
      <c r="BO23" s="129">
        <v>3.6463798530954876E-2</v>
      </c>
      <c r="BP23" s="129">
        <v>3.5733174073966235E-2</v>
      </c>
      <c r="BQ23" s="129">
        <v>3.04E-2</v>
      </c>
      <c r="BR23" s="129">
        <v>3.0066666666666669E-2</v>
      </c>
      <c r="BS23" s="82"/>
      <c r="BT23" s="82"/>
      <c r="BU23" s="82"/>
      <c r="BV23" s="82"/>
      <c r="BW23" s="83">
        <f t="shared" si="10"/>
        <v>28377.398759115196</v>
      </c>
      <c r="BX23" s="83">
        <f t="shared" si="1"/>
        <v>3038.606971519624</v>
      </c>
      <c r="BY23" s="83">
        <f t="shared" si="2"/>
        <v>4478.8633081237567</v>
      </c>
      <c r="BZ23" s="83">
        <f t="shared" si="3"/>
        <v>0</v>
      </c>
      <c r="CA23" s="83">
        <f t="shared" si="4"/>
        <v>2732.4084866181984</v>
      </c>
      <c r="CB23" s="83">
        <f t="shared" si="5"/>
        <v>7735.4601083965126</v>
      </c>
      <c r="CC23" s="83">
        <f t="shared" si="11"/>
        <v>4049.8111717352858</v>
      </c>
      <c r="CD23" s="83">
        <f t="shared" si="12"/>
        <v>1001.3513368709507</v>
      </c>
      <c r="CE23" s="84">
        <f t="shared" si="13"/>
        <v>51413.900142379527</v>
      </c>
      <c r="CG23" s="15">
        <f t="shared" si="6"/>
        <v>0</v>
      </c>
      <c r="CH23" s="5" t="e">
        <f>-#REF!</f>
        <v>#REF!</v>
      </c>
      <c r="CJ23" s="4">
        <v>32000</v>
      </c>
      <c r="CK23" s="5" t="e">
        <f t="shared" si="14"/>
        <v>#REF!</v>
      </c>
      <c r="CL23" s="35" t="e">
        <f t="shared" si="15"/>
        <v>#REF!</v>
      </c>
      <c r="CM23" s="22" t="e">
        <f t="shared" si="7"/>
        <v>#REF!</v>
      </c>
      <c r="CQ23" s="93" t="s">
        <v>31</v>
      </c>
      <c r="CR23" s="96">
        <f t="shared" si="16"/>
        <v>2629.7042140622225</v>
      </c>
      <c r="CS23" s="96"/>
      <c r="CT23" s="96">
        <f t="shared" si="17"/>
        <v>35300</v>
      </c>
      <c r="CU23" s="96">
        <f t="shared" si="21"/>
        <v>51413.900142379527</v>
      </c>
      <c r="CV23" s="96"/>
      <c r="CW23" s="123">
        <f t="shared" si="18"/>
        <v>89343.604356441749</v>
      </c>
      <c r="CX23" s="124">
        <f t="shared" si="19"/>
        <v>3.5280098766250045E-2</v>
      </c>
      <c r="CY23" s="110"/>
      <c r="CZ23" s="96"/>
      <c r="DA23" s="96">
        <f t="shared" si="20"/>
        <v>3573.7441742576702</v>
      </c>
      <c r="DB23" s="177"/>
      <c r="DC23" s="152"/>
      <c r="DD23" s="152"/>
      <c r="DE23" s="197"/>
      <c r="DF23" s="198"/>
      <c r="DG23" s="199"/>
      <c r="DH23" s="167"/>
      <c r="DI23" s="5"/>
      <c r="DK23" s="151"/>
      <c r="DL23" s="151"/>
      <c r="DM23" s="48"/>
      <c r="DN23" s="151"/>
      <c r="DO23" s="152"/>
      <c r="DP23" s="152"/>
      <c r="DQ23" s="152"/>
      <c r="DR23" s="152"/>
      <c r="DS23" s="112"/>
      <c r="DT23" s="111"/>
      <c r="DU23" s="113"/>
      <c r="DV23" s="98"/>
      <c r="DW23" s="48"/>
      <c r="DX23" s="5"/>
      <c r="DY23" s="134"/>
      <c r="DZ23" s="5"/>
      <c r="EA23" s="5"/>
      <c r="EB23" s="42"/>
      <c r="EC23" s="5"/>
      <c r="EE23" s="5"/>
      <c r="EF23" s="5"/>
      <c r="EG23" s="5"/>
      <c r="EH23" s="5"/>
      <c r="EJ23" s="5"/>
      <c r="EK23" s="42"/>
      <c r="EO23" s="42"/>
      <c r="EP23" s="42"/>
      <c r="EQ23" s="42"/>
      <c r="EU23" s="42"/>
      <c r="EV23" s="5"/>
      <c r="EX23" s="32"/>
    </row>
    <row r="24" spans="1:154" x14ac:dyDescent="0.25">
      <c r="H24" s="3" t="s">
        <v>32</v>
      </c>
      <c r="I24" s="3" t="s">
        <v>33</v>
      </c>
      <c r="J24" s="42"/>
      <c r="K24" s="6"/>
      <c r="L24" s="248"/>
      <c r="M24" s="60"/>
      <c r="N24" s="60"/>
      <c r="O24" s="60"/>
      <c r="P24" s="60"/>
      <c r="Q24" s="60"/>
      <c r="R24" s="60"/>
      <c r="S24" s="60">
        <f>806.108818303748*1.0362*1.006*1.0089*1.0057*1.0276*1.0091</f>
        <v>884.1177599816084</v>
      </c>
      <c r="T24" s="60"/>
      <c r="U24" s="60"/>
      <c r="V24" s="60"/>
      <c r="W24" s="60"/>
      <c r="X24" s="60"/>
      <c r="Y24" s="60"/>
      <c r="Z24" s="60"/>
      <c r="AA24" s="60">
        <v>-786.03274832052796</v>
      </c>
      <c r="AB24" s="60">
        <v>30000</v>
      </c>
      <c r="AC24" s="60"/>
      <c r="AD24" s="60"/>
      <c r="AE24" s="60">
        <f>-222*1.006*1.0089*1.0057*1.0276*1.0091</f>
        <v>-234.97725663692884</v>
      </c>
      <c r="AF24" s="60">
        <f t="shared" si="0"/>
        <v>581.66666666666674</v>
      </c>
      <c r="AG24" s="60"/>
      <c r="AH24" s="60"/>
      <c r="AI24" s="60"/>
      <c r="AJ24" s="60"/>
      <c r="AK24" s="60"/>
      <c r="AL24" s="60">
        <f>-1248*1.0276*1.0091</f>
        <v>-1294.1150476800001</v>
      </c>
      <c r="AM24" s="60">
        <f>-382*1.0276*1.0091</f>
        <v>-396.11534312000003</v>
      </c>
      <c r="AN24" s="60"/>
      <c r="AO24" s="60"/>
      <c r="AP24" s="60"/>
      <c r="AQ24" s="232">
        <f t="shared" si="8"/>
        <v>28754.544030890822</v>
      </c>
      <c r="AS24" s="21" t="e">
        <f>(J24+#REF!)/($J$31+#REF!)</f>
        <v>#REF!</v>
      </c>
      <c r="AT24" s="14" t="e">
        <f t="shared" si="9"/>
        <v>#REF!</v>
      </c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72"/>
      <c r="BF24" s="46"/>
      <c r="BG24" s="46"/>
      <c r="BH24" s="46"/>
      <c r="BI24" s="46"/>
      <c r="BJ24" s="65"/>
      <c r="BK24" s="129">
        <v>2.6818374705799026E-2</v>
      </c>
      <c r="BL24" s="129">
        <v>1.2747591656092809E-2</v>
      </c>
      <c r="BM24" s="129">
        <v>3.4482758620689655E-2</v>
      </c>
      <c r="BN24" s="130">
        <v>2.1039722957880997E-2</v>
      </c>
      <c r="BO24" s="129">
        <v>3.0226186312230383E-2</v>
      </c>
      <c r="BP24" s="129">
        <v>2.9892998741180149E-2</v>
      </c>
      <c r="BQ24" s="129">
        <v>2.18E-2</v>
      </c>
      <c r="BR24" s="129">
        <v>2.3266666666666668E-2</v>
      </c>
      <c r="BS24" s="82"/>
      <c r="BT24" s="82"/>
      <c r="BU24" s="82"/>
      <c r="BV24" s="82"/>
      <c r="BW24" s="83">
        <f t="shared" si="10"/>
        <v>25678.609480885501</v>
      </c>
      <c r="BX24" s="83">
        <f t="shared" si="1"/>
        <v>1804.3395656385503</v>
      </c>
      <c r="BY24" s="83">
        <f t="shared" si="2"/>
        <v>3732.3860901031303</v>
      </c>
      <c r="BZ24" s="83">
        <f t="shared" si="3"/>
        <v>0</v>
      </c>
      <c r="CA24" s="83">
        <f t="shared" si="4"/>
        <v>2264.9940852302734</v>
      </c>
      <c r="CB24" s="83">
        <f t="shared" si="5"/>
        <v>6471.1883361969685</v>
      </c>
      <c r="CC24" s="83">
        <f t="shared" si="11"/>
        <v>2904.1409060470141</v>
      </c>
      <c r="CD24" s="83">
        <f t="shared" si="12"/>
        <v>774.88163318838531</v>
      </c>
      <c r="CE24" s="84">
        <f t="shared" si="13"/>
        <v>43630.540097289821</v>
      </c>
      <c r="CG24" s="15">
        <f t="shared" si="6"/>
        <v>0</v>
      </c>
      <c r="CH24" s="5" t="e">
        <f>-#REF!</f>
        <v>#REF!</v>
      </c>
      <c r="CJ24" s="4">
        <v>32000</v>
      </c>
      <c r="CK24" s="5" t="e">
        <f t="shared" si="14"/>
        <v>#REF!</v>
      </c>
      <c r="CL24" s="35" t="e">
        <f t="shared" si="15"/>
        <v>#REF!</v>
      </c>
      <c r="CM24" s="22" t="e">
        <f t="shared" si="7"/>
        <v>#REF!</v>
      </c>
      <c r="CQ24" s="93" t="s">
        <v>33</v>
      </c>
      <c r="CR24" s="96">
        <f t="shared" si="16"/>
        <v>28754.544030890822</v>
      </c>
      <c r="CS24" s="96"/>
      <c r="CT24" s="96">
        <f t="shared" si="17"/>
        <v>35300</v>
      </c>
      <c r="CU24" s="96">
        <f t="shared" si="21"/>
        <v>43630.540097289821</v>
      </c>
      <c r="CV24" s="96"/>
      <c r="CW24" s="123">
        <f t="shared" si="18"/>
        <v>107685.08412818064</v>
      </c>
      <c r="CX24" s="124">
        <f t="shared" si="19"/>
        <v>4.252280206356189E-2</v>
      </c>
      <c r="CY24" s="110"/>
      <c r="CZ24" s="96"/>
      <c r="DA24" s="96">
        <f t="shared" si="20"/>
        <v>4307.4033651272257</v>
      </c>
      <c r="DB24" s="177"/>
      <c r="DC24" s="152"/>
      <c r="DD24" s="152"/>
      <c r="DE24" s="197"/>
      <c r="DF24" s="198"/>
      <c r="DG24" s="199"/>
      <c r="DH24" s="167"/>
      <c r="DI24" s="5"/>
      <c r="DK24" s="151"/>
      <c r="DL24" s="151"/>
      <c r="DM24" s="48"/>
      <c r="DN24" s="151"/>
      <c r="DO24" s="152"/>
      <c r="DP24" s="152"/>
      <c r="DQ24" s="152"/>
      <c r="DR24" s="152"/>
      <c r="DS24" s="112"/>
      <c r="DT24" s="111"/>
      <c r="DU24" s="113"/>
      <c r="DV24" s="98"/>
      <c r="DW24" s="48"/>
      <c r="DX24" s="5"/>
      <c r="DY24" s="134"/>
      <c r="DZ24" s="5"/>
      <c r="EA24" s="5"/>
      <c r="EB24" s="42"/>
      <c r="EC24" s="5"/>
      <c r="EE24" s="5"/>
      <c r="EF24" s="5"/>
      <c r="EG24" s="5"/>
      <c r="EH24" s="5"/>
      <c r="EJ24" s="5"/>
      <c r="EK24" s="42"/>
      <c r="EO24" s="42"/>
      <c r="EP24" s="42"/>
      <c r="EQ24" s="42"/>
      <c r="EU24" s="42"/>
      <c r="EV24" s="5"/>
      <c r="EX24" s="32"/>
    </row>
    <row r="25" spans="1:154" x14ac:dyDescent="0.25">
      <c r="H25" s="3" t="s">
        <v>34</v>
      </c>
      <c r="I25" s="3" t="s">
        <v>6</v>
      </c>
      <c r="J25" s="42"/>
      <c r="K25" s="7"/>
      <c r="L25" s="248"/>
      <c r="M25" s="60"/>
      <c r="N25" s="60"/>
      <c r="O25" s="60"/>
      <c r="P25" s="60">
        <f>151.234996507715*1.0362*1.006*1.0089*1.0057*1.0276*1.0091</f>
        <v>165.87034319334859</v>
      </c>
      <c r="Q25" s="60"/>
      <c r="R25" s="60"/>
      <c r="S25" s="60">
        <f t="shared" ref="S25:S30" si="22">1083.20872459566*1.0362*1.006*1.0089*1.0057*1.0276*1.0091</f>
        <v>1188.0332399752849</v>
      </c>
      <c r="T25" s="60"/>
      <c r="U25" s="60"/>
      <c r="V25" s="60"/>
      <c r="W25" s="60"/>
      <c r="X25" s="60"/>
      <c r="Y25" s="60"/>
      <c r="Z25" s="60"/>
      <c r="AA25" s="60">
        <v>-1110.3310812083</v>
      </c>
      <c r="AB25" s="60"/>
      <c r="AC25" s="60"/>
      <c r="AD25" s="60"/>
      <c r="AE25" s="60">
        <f>826*1.006*1.0089*1.0057*1.0276*1.0091</f>
        <v>874.28474766713168</v>
      </c>
      <c r="AF25" s="60">
        <f t="shared" si="0"/>
        <v>980</v>
      </c>
      <c r="AG25" s="60"/>
      <c r="AH25" s="60"/>
      <c r="AI25" s="60"/>
      <c r="AJ25" s="60"/>
      <c r="AK25" s="60"/>
      <c r="AL25" s="60">
        <f>1269*1.0276*1.0091</f>
        <v>1315.8910220400001</v>
      </c>
      <c r="AM25" s="60">
        <f>1952*1.0276*1.0091</f>
        <v>2024.1286643200003</v>
      </c>
      <c r="AN25" s="60"/>
      <c r="AO25" s="60"/>
      <c r="AP25" s="60">
        <v>3000</v>
      </c>
      <c r="AQ25" s="232">
        <f t="shared" si="8"/>
        <v>8437.8769359874641</v>
      </c>
      <c r="AS25" s="21" t="e">
        <f>(J25+#REF!)/($J$31+#REF!)</f>
        <v>#REF!</v>
      </c>
      <c r="AT25" s="14" t="e">
        <f t="shared" si="9"/>
        <v>#REF!</v>
      </c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72"/>
      <c r="BF25" s="46"/>
      <c r="BG25" s="46"/>
      <c r="BH25" s="46"/>
      <c r="BI25" s="46"/>
      <c r="BJ25" s="65"/>
      <c r="BK25" s="129">
        <v>2.8973238351495133E-2</v>
      </c>
      <c r="BL25" s="129">
        <v>6.7393110191592026E-2</v>
      </c>
      <c r="BM25" s="129">
        <v>5.1724137931034482E-2</v>
      </c>
      <c r="BN25" s="130">
        <v>5.7377697999052582E-2</v>
      </c>
      <c r="BO25" s="129">
        <v>6.698146204966772E-2</v>
      </c>
      <c r="BP25" s="129">
        <v>3.8082883570225344E-2</v>
      </c>
      <c r="BQ25" s="129">
        <v>3.1399999999999997E-2</v>
      </c>
      <c r="BR25" s="129">
        <v>3.9199999999999999E-2</v>
      </c>
      <c r="BS25" s="82"/>
      <c r="BT25" s="82"/>
      <c r="BU25" s="82"/>
      <c r="BV25" s="82"/>
      <c r="BW25" s="83">
        <f t="shared" si="10"/>
        <v>27741.892683145423</v>
      </c>
      <c r="BX25" s="83">
        <f t="shared" si="1"/>
        <v>9539.0610595851995</v>
      </c>
      <c r="BY25" s="83">
        <f t="shared" si="2"/>
        <v>5598.5791351546959</v>
      </c>
      <c r="BZ25" s="83">
        <f t="shared" si="3"/>
        <v>0</v>
      </c>
      <c r="CA25" s="83">
        <f t="shared" si="4"/>
        <v>5019.2443663058521</v>
      </c>
      <c r="CB25" s="83">
        <f t="shared" si="5"/>
        <v>8244.1214446945141</v>
      </c>
      <c r="CC25" s="83">
        <f t="shared" si="11"/>
        <v>4183.0286444897356</v>
      </c>
      <c r="CD25" s="83">
        <f t="shared" si="12"/>
        <v>1305.5312329936119</v>
      </c>
      <c r="CE25" s="84">
        <f t="shared" si="13"/>
        <v>61631.45856636903</v>
      </c>
      <c r="CG25" s="15">
        <f t="shared" si="6"/>
        <v>0</v>
      </c>
      <c r="CH25" s="5" t="e">
        <f>-#REF!</f>
        <v>#REF!</v>
      </c>
      <c r="CJ25" s="4">
        <v>32000</v>
      </c>
      <c r="CK25" s="5" t="e">
        <f t="shared" si="14"/>
        <v>#REF!</v>
      </c>
      <c r="CL25" s="35" t="e">
        <f t="shared" si="15"/>
        <v>#REF!</v>
      </c>
      <c r="CM25" s="22" t="e">
        <f t="shared" si="7"/>
        <v>#REF!</v>
      </c>
      <c r="CQ25" s="93" t="s">
        <v>6</v>
      </c>
      <c r="CR25" s="96">
        <f t="shared" si="16"/>
        <v>8437.8769359874641</v>
      </c>
      <c r="CS25" s="96"/>
      <c r="CT25" s="96">
        <f t="shared" si="17"/>
        <v>35300</v>
      </c>
      <c r="CU25" s="96">
        <f t="shared" si="21"/>
        <v>61631.45856636903</v>
      </c>
      <c r="CV25" s="96"/>
      <c r="CW25" s="123">
        <f t="shared" si="18"/>
        <v>105369.33550235649</v>
      </c>
      <c r="CX25" s="124">
        <f t="shared" si="19"/>
        <v>4.160835675071177E-2</v>
      </c>
      <c r="CY25" s="110"/>
      <c r="CZ25" s="96"/>
      <c r="DA25" s="96">
        <f t="shared" si="20"/>
        <v>4214.7734200942596</v>
      </c>
      <c r="DB25" s="177"/>
      <c r="DC25" s="152"/>
      <c r="DD25" s="152"/>
      <c r="DE25" s="197"/>
      <c r="DF25" s="198"/>
      <c r="DG25" s="199"/>
      <c r="DH25" s="167"/>
      <c r="DI25" s="5"/>
      <c r="DK25" s="151"/>
      <c r="DL25" s="151"/>
      <c r="DM25" s="48"/>
      <c r="DN25" s="151"/>
      <c r="DO25" s="152"/>
      <c r="DP25" s="152"/>
      <c r="DQ25" s="152"/>
      <c r="DR25" s="152"/>
      <c r="DS25" s="112"/>
      <c r="DT25" s="111"/>
      <c r="DU25" s="113"/>
      <c r="DV25" s="98"/>
      <c r="DW25" s="48"/>
      <c r="DX25" s="5"/>
      <c r="DY25" s="133"/>
      <c r="DZ25" s="5"/>
      <c r="EA25" s="5"/>
      <c r="EB25" s="42"/>
      <c r="EC25" s="5"/>
      <c r="EE25" s="5"/>
      <c r="EF25" s="5"/>
      <c r="EG25" s="5"/>
      <c r="EH25" s="5"/>
      <c r="EJ25" s="5"/>
      <c r="EK25" s="42"/>
      <c r="EO25" s="42"/>
      <c r="EP25" s="42"/>
      <c r="EQ25" s="42"/>
      <c r="EU25" s="42"/>
      <c r="EV25" s="5"/>
      <c r="EX25" s="32"/>
    </row>
    <row r="26" spans="1:154" x14ac:dyDescent="0.25">
      <c r="H26" s="3" t="s">
        <v>35</v>
      </c>
      <c r="I26" s="3" t="s">
        <v>9</v>
      </c>
      <c r="J26" s="42"/>
      <c r="K26" s="6"/>
      <c r="L26" s="248"/>
      <c r="M26" s="60"/>
      <c r="N26" s="60"/>
      <c r="O26" s="60"/>
      <c r="P26" s="60">
        <f>94.5218728173217*1.0362*1.006*1.0089*1.0057*1.0276*1.0091</f>
        <v>103.66896449584267</v>
      </c>
      <c r="Q26" s="60">
        <v>85</v>
      </c>
      <c r="R26" s="60"/>
      <c r="S26" s="60">
        <f t="shared" si="22"/>
        <v>1188.0332399752849</v>
      </c>
      <c r="T26" s="60"/>
      <c r="U26" s="60"/>
      <c r="V26" s="60"/>
      <c r="W26" s="60"/>
      <c r="X26" s="60"/>
      <c r="Y26" s="60"/>
      <c r="Z26" s="60"/>
      <c r="AA26" s="60">
        <v>-1060.9353640955101</v>
      </c>
      <c r="AB26" s="60"/>
      <c r="AC26" s="60"/>
      <c r="AD26" s="60"/>
      <c r="AE26" s="60">
        <f>-279*1.006*1.0089*1.0057*1.0276*1.0091</f>
        <v>-295.30925496262677</v>
      </c>
      <c r="AF26" s="60">
        <f t="shared" si="0"/>
        <v>820.83333333333326</v>
      </c>
      <c r="AG26" s="60"/>
      <c r="AH26" s="60"/>
      <c r="AI26" s="60">
        <f>700*1.0057*1.0276*1.0091</f>
        <v>730.00324712840018</v>
      </c>
      <c r="AJ26" s="60"/>
      <c r="AK26" s="60">
        <f>840*1.0276*1.0091</f>
        <v>871.03897440000014</v>
      </c>
      <c r="AL26" s="60">
        <f>-1269*1.0276*1.0091</f>
        <v>-1315.8910220400001</v>
      </c>
      <c r="AM26" s="60">
        <f>-479*1.0276*1.0091</f>
        <v>-496.69960564000007</v>
      </c>
      <c r="AN26" s="60"/>
      <c r="AO26" s="60"/>
      <c r="AP26" s="60"/>
      <c r="AQ26" s="232">
        <f t="shared" si="8"/>
        <v>629.7425125947243</v>
      </c>
      <c r="AS26" s="21" t="e">
        <f>(J26+#REF!)/($J$31+#REF!)</f>
        <v>#REF!</v>
      </c>
      <c r="AT26" s="14" t="e">
        <f t="shared" si="9"/>
        <v>#REF!</v>
      </c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72"/>
      <c r="BF26" s="46"/>
      <c r="BG26" s="46"/>
      <c r="BH26" s="46"/>
      <c r="BI26" s="46"/>
      <c r="BJ26" s="65"/>
      <c r="BK26" s="129">
        <v>2.8975684575161368E-2</v>
      </c>
      <c r="BL26" s="129">
        <v>4.3894495425452151E-2</v>
      </c>
      <c r="BM26" s="129">
        <v>3.4482758620689655E-2</v>
      </c>
      <c r="BN26" s="130">
        <v>2.2952255663567345E-2</v>
      </c>
      <c r="BO26" s="129">
        <v>7.9544129649061449E-2</v>
      </c>
      <c r="BP26" s="129">
        <v>4.4360996795511587E-2</v>
      </c>
      <c r="BQ26" s="129">
        <v>3.4099999999999998E-2</v>
      </c>
      <c r="BR26" s="129">
        <v>3.2833333333333332E-2</v>
      </c>
      <c r="BS26" s="82"/>
      <c r="BT26" s="82"/>
      <c r="BU26" s="82"/>
      <c r="BV26" s="82"/>
      <c r="BW26" s="83">
        <f t="shared" si="10"/>
        <v>27744.23494373792</v>
      </c>
      <c r="BX26" s="83">
        <f t="shared" si="1"/>
        <v>6212.9833576861674</v>
      </c>
      <c r="BY26" s="83">
        <f t="shared" si="2"/>
        <v>3732.3860901031303</v>
      </c>
      <c r="BZ26" s="83">
        <f t="shared" si="3"/>
        <v>0</v>
      </c>
      <c r="CA26" s="83">
        <f t="shared" si="4"/>
        <v>5960.625707418917</v>
      </c>
      <c r="CB26" s="83">
        <f t="shared" si="5"/>
        <v>9603.1973081952656</v>
      </c>
      <c r="CC26" s="83">
        <f t="shared" si="11"/>
        <v>4542.7158209267518</v>
      </c>
      <c r="CD26" s="83">
        <f t="shared" si="12"/>
        <v>1093.4934221927786</v>
      </c>
      <c r="CE26" s="84">
        <f t="shared" si="13"/>
        <v>58889.636650260931</v>
      </c>
      <c r="CG26" s="15">
        <f t="shared" si="6"/>
        <v>0</v>
      </c>
      <c r="CH26" s="5" t="e">
        <f>-#REF!</f>
        <v>#REF!</v>
      </c>
      <c r="CJ26" s="4">
        <v>32000</v>
      </c>
      <c r="CK26" s="5" t="e">
        <f t="shared" si="14"/>
        <v>#REF!</v>
      </c>
      <c r="CL26" s="35" t="e">
        <f t="shared" si="15"/>
        <v>#REF!</v>
      </c>
      <c r="CM26" s="22" t="e">
        <f t="shared" si="7"/>
        <v>#REF!</v>
      </c>
      <c r="CQ26" s="93" t="s">
        <v>9</v>
      </c>
      <c r="CR26" s="96">
        <f t="shared" si="16"/>
        <v>629.7425125947243</v>
      </c>
      <c r="CS26" s="96"/>
      <c r="CT26" s="96">
        <f t="shared" si="17"/>
        <v>35300</v>
      </c>
      <c r="CU26" s="96">
        <f t="shared" si="21"/>
        <v>58889.636650260931</v>
      </c>
      <c r="CV26" s="96"/>
      <c r="CW26" s="123">
        <f t="shared" si="18"/>
        <v>94819.37916285565</v>
      </c>
      <c r="CX26" s="124">
        <f t="shared" si="19"/>
        <v>3.7442378622582005E-2</v>
      </c>
      <c r="CY26" s="110"/>
      <c r="CZ26" s="96"/>
      <c r="DA26" s="96">
        <f t="shared" si="20"/>
        <v>3792.7751665142259</v>
      </c>
      <c r="DB26" s="177"/>
      <c r="DC26" s="152"/>
      <c r="DD26" s="152"/>
      <c r="DE26" s="197"/>
      <c r="DF26" s="198"/>
      <c r="DG26" s="199"/>
      <c r="DH26" s="167"/>
      <c r="DI26" s="5"/>
      <c r="DK26" s="151"/>
      <c r="DL26" s="151"/>
      <c r="DM26" s="48"/>
      <c r="DN26" s="151"/>
      <c r="DO26" s="152"/>
      <c r="DP26" s="152"/>
      <c r="DQ26" s="152"/>
      <c r="DR26" s="152"/>
      <c r="DS26" s="112"/>
      <c r="DT26" s="111"/>
      <c r="DU26" s="113"/>
      <c r="DV26" s="98"/>
      <c r="DW26" s="48"/>
      <c r="DX26" s="5"/>
      <c r="DY26" s="134"/>
      <c r="DZ26" s="5"/>
      <c r="EA26" s="5"/>
      <c r="EB26" s="42"/>
      <c r="EC26" s="5"/>
      <c r="EE26" s="5"/>
      <c r="EF26" s="5"/>
      <c r="EG26" s="5"/>
      <c r="EH26" s="5"/>
      <c r="EJ26" s="5"/>
      <c r="EK26" s="42"/>
      <c r="EO26" s="42"/>
      <c r="EP26" s="42"/>
      <c r="EQ26" s="42"/>
      <c r="EU26" s="42"/>
      <c r="EV26" s="5"/>
      <c r="EX26" s="32"/>
    </row>
    <row r="27" spans="1:154" x14ac:dyDescent="0.25">
      <c r="H27" s="3" t="s">
        <v>36</v>
      </c>
      <c r="I27" s="3" t="s">
        <v>37</v>
      </c>
      <c r="J27" s="42"/>
      <c r="K27" s="6"/>
      <c r="L27" s="248"/>
      <c r="M27" s="60"/>
      <c r="N27" s="60"/>
      <c r="O27" s="60"/>
      <c r="P27" s="60">
        <f>59.8638527843037*1.0362*1.006*1.0089*1.0057*1.0276*1.0091</f>
        <v>65.65701084736699</v>
      </c>
      <c r="Q27" s="60"/>
      <c r="R27" s="60"/>
      <c r="S27" s="60">
        <f t="shared" si="22"/>
        <v>1188.0332399752849</v>
      </c>
      <c r="T27" s="60"/>
      <c r="U27" s="60"/>
      <c r="V27" s="60"/>
      <c r="W27" s="60"/>
      <c r="X27" s="60"/>
      <c r="Y27" s="60"/>
      <c r="Z27" s="60"/>
      <c r="AA27" s="60">
        <v>-1051.01471162292</v>
      </c>
      <c r="AB27" s="60"/>
      <c r="AC27" s="60"/>
      <c r="AD27" s="60"/>
      <c r="AE27" s="60">
        <f>210*1.006*1.0089*1.0057*1.0276*1.0091</f>
        <v>222.27578330520294</v>
      </c>
      <c r="AF27" s="60">
        <f t="shared" si="0"/>
        <v>750</v>
      </c>
      <c r="AG27" s="60"/>
      <c r="AH27" s="60"/>
      <c r="AI27" s="60"/>
      <c r="AJ27" s="60"/>
      <c r="AK27" s="60">
        <f>1680*1.0276*1.0091</f>
        <v>1742.0779488000003</v>
      </c>
      <c r="AL27" s="60">
        <f>1560*1.0276*1.0091</f>
        <v>1617.6438096000002</v>
      </c>
      <c r="AM27" s="60">
        <f>512*1.0276*1.0091</f>
        <v>530.91899392000005</v>
      </c>
      <c r="AN27" s="60">
        <f>2540*1.0276*1.0091</f>
        <v>2633.8559464000004</v>
      </c>
      <c r="AO27" s="60"/>
      <c r="AP27" s="60"/>
      <c r="AQ27" s="232">
        <f t="shared" si="8"/>
        <v>7699.4480212249364</v>
      </c>
      <c r="AS27" s="21" t="e">
        <f>(J27+#REF!)/($J$31+#REF!)</f>
        <v>#REF!</v>
      </c>
      <c r="AT27" s="14" t="e">
        <f t="shared" si="9"/>
        <v>#REF!</v>
      </c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72"/>
      <c r="BF27" s="46"/>
      <c r="BG27" s="46"/>
      <c r="BH27" s="46"/>
      <c r="BI27" s="46"/>
      <c r="BJ27" s="65"/>
      <c r="BK27" s="129">
        <v>2.5338805684749732E-2</v>
      </c>
      <c r="BL27" s="129">
        <v>5.1307781878266644E-2</v>
      </c>
      <c r="BM27" s="129">
        <v>2.4137931034482758E-2</v>
      </c>
      <c r="BN27" s="130">
        <v>2.1779868782484425E-2</v>
      </c>
      <c r="BO27" s="129">
        <v>0.10099685204616998</v>
      </c>
      <c r="BP27" s="129">
        <v>5.5607885638932014E-2</v>
      </c>
      <c r="BQ27" s="129">
        <v>2.7E-2</v>
      </c>
      <c r="BR27" s="129">
        <v>0.03</v>
      </c>
      <c r="BS27" s="82"/>
      <c r="BT27" s="82"/>
      <c r="BU27" s="82"/>
      <c r="BV27" s="82"/>
      <c r="BW27" s="83">
        <f t="shared" si="10"/>
        <v>24261.921277057641</v>
      </c>
      <c r="BX27" s="83">
        <f t="shared" si="1"/>
        <v>7262.2863491129638</v>
      </c>
      <c r="BY27" s="83">
        <f t="shared" si="2"/>
        <v>2612.6702630721911</v>
      </c>
      <c r="BZ27" s="83">
        <f t="shared" si="3"/>
        <v>0</v>
      </c>
      <c r="CA27" s="83">
        <f t="shared" si="4"/>
        <v>7568.1817794820608</v>
      </c>
      <c r="CB27" s="83">
        <f t="shared" si="5"/>
        <v>12037.905733810137</v>
      </c>
      <c r="CC27" s="83">
        <f t="shared" si="11"/>
        <v>3596.8717643701552</v>
      </c>
      <c r="CD27" s="83">
        <f t="shared" si="12"/>
        <v>999.13104565837648</v>
      </c>
      <c r="CE27" s="84">
        <f t="shared" si="13"/>
        <v>58338.968212563515</v>
      </c>
      <c r="CG27" s="15">
        <f t="shared" si="6"/>
        <v>0</v>
      </c>
      <c r="CH27" s="5" t="e">
        <f>-#REF!</f>
        <v>#REF!</v>
      </c>
      <c r="CJ27" s="4">
        <v>32000</v>
      </c>
      <c r="CK27" s="5" t="e">
        <f t="shared" si="14"/>
        <v>#REF!</v>
      </c>
      <c r="CL27" s="35" t="e">
        <f t="shared" si="15"/>
        <v>#REF!</v>
      </c>
      <c r="CM27" s="22" t="e">
        <f t="shared" si="7"/>
        <v>#REF!</v>
      </c>
      <c r="CQ27" s="93" t="s">
        <v>37</v>
      </c>
      <c r="CR27" s="96">
        <f t="shared" si="16"/>
        <v>7699.4480212249364</v>
      </c>
      <c r="CS27" s="96"/>
      <c r="CT27" s="96">
        <f t="shared" si="17"/>
        <v>35300</v>
      </c>
      <c r="CU27" s="96">
        <f t="shared" si="21"/>
        <v>58338.968212563515</v>
      </c>
      <c r="CV27" s="96"/>
      <c r="CW27" s="123">
        <f t="shared" si="18"/>
        <v>101338.41623378845</v>
      </c>
      <c r="CX27" s="124">
        <f t="shared" si="19"/>
        <v>4.0016623006161899E-2</v>
      </c>
      <c r="CY27" s="110"/>
      <c r="CZ27" s="96"/>
      <c r="DA27" s="96">
        <f t="shared" si="20"/>
        <v>4053.536649351538</v>
      </c>
      <c r="DB27" s="177"/>
      <c r="DC27" s="152"/>
      <c r="DD27" s="152"/>
      <c r="DE27" s="197"/>
      <c r="DF27" s="198"/>
      <c r="DG27" s="199"/>
      <c r="DH27" s="167"/>
      <c r="DI27" s="5"/>
      <c r="DK27" s="151"/>
      <c r="DL27" s="151"/>
      <c r="DM27" s="48"/>
      <c r="DN27" s="151"/>
      <c r="DO27" s="152"/>
      <c r="DP27" s="152"/>
      <c r="DQ27" s="152"/>
      <c r="DR27" s="152"/>
      <c r="DS27" s="112"/>
      <c r="DT27" s="111"/>
      <c r="DU27" s="113"/>
      <c r="DV27" s="98"/>
      <c r="DW27" s="48"/>
      <c r="DX27" s="5"/>
      <c r="DY27" s="134"/>
      <c r="DZ27" s="5"/>
      <c r="EA27" s="5"/>
      <c r="EB27" s="42"/>
      <c r="EC27" s="5"/>
      <c r="EE27" s="5"/>
      <c r="EF27" s="5"/>
      <c r="EG27" s="5"/>
      <c r="EH27" s="5"/>
      <c r="EJ27" s="5"/>
      <c r="EK27" s="42"/>
      <c r="EO27" s="42"/>
      <c r="EP27" s="42"/>
      <c r="EQ27" s="42"/>
      <c r="EU27" s="42"/>
      <c r="EV27" s="5"/>
      <c r="EX27" s="32"/>
    </row>
    <row r="28" spans="1:154" x14ac:dyDescent="0.25">
      <c r="A28" s="239" t="s">
        <v>178</v>
      </c>
      <c r="B28" s="3">
        <v>1.0091000000000001</v>
      </c>
      <c r="H28" s="3" t="s">
        <v>38</v>
      </c>
      <c r="I28" s="3" t="s">
        <v>39</v>
      </c>
      <c r="J28" s="42"/>
      <c r="K28" s="6"/>
      <c r="L28" s="248">
        <f>3479.45516270874*1.0362*1.006*1.0089*1.0057*1.0276*1.0091</f>
        <v>3816.169770830295</v>
      </c>
      <c r="M28" s="60"/>
      <c r="N28" s="60"/>
      <c r="O28" s="60"/>
      <c r="P28" s="60">
        <f>79.8184703790716*1.0362*1.006*1.0089*1.0057*1.0276*1.0091</f>
        <v>87.542681129822654</v>
      </c>
      <c r="Q28" s="60"/>
      <c r="R28" s="60"/>
      <c r="S28" s="60">
        <f t="shared" si="22"/>
        <v>1188.0332399752849</v>
      </c>
      <c r="T28" s="60"/>
      <c r="U28" s="60">
        <v>-45.343621029585826</v>
      </c>
      <c r="V28" s="60"/>
      <c r="W28" s="60"/>
      <c r="X28" s="60"/>
      <c r="Y28" s="60"/>
      <c r="Z28" s="60">
        <f>(2598*1.0089*1.0057*1.0276*1.0091)+1000</f>
        <v>3733.4681673147652</v>
      </c>
      <c r="AA28" s="60">
        <v>-919.11582940596804</v>
      </c>
      <c r="AB28" s="60"/>
      <c r="AC28" s="60"/>
      <c r="AD28" s="60"/>
      <c r="AE28" s="60">
        <f>-278*1.006*1.0089*1.0057*1.0276*1.0091</f>
        <v>-294.25079885164962</v>
      </c>
      <c r="AF28" s="60">
        <f t="shared" si="0"/>
        <v>610.83333333333337</v>
      </c>
      <c r="AG28" s="60"/>
      <c r="AH28" s="60"/>
      <c r="AI28" s="60"/>
      <c r="AJ28" s="60">
        <v>500</v>
      </c>
      <c r="AK28" s="60"/>
      <c r="AL28" s="60">
        <f>-1560*1.0276*1.0091</f>
        <v>-1617.6438096000002</v>
      </c>
      <c r="AM28" s="60">
        <f>-512*1.0276*1.0091</f>
        <v>-530.91899392000005</v>
      </c>
      <c r="AN28" s="60"/>
      <c r="AO28" s="60"/>
      <c r="AP28" s="60"/>
      <c r="AQ28" s="232">
        <f t="shared" si="8"/>
        <v>6528.7741397762966</v>
      </c>
      <c r="AS28" s="21" t="e">
        <f>(J28+#REF!)/($J$31+#REF!)</f>
        <v>#REF!</v>
      </c>
      <c r="AT28" s="14" t="e">
        <f t="shared" si="9"/>
        <v>#REF!</v>
      </c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72"/>
      <c r="BF28" s="46"/>
      <c r="BG28" s="46"/>
      <c r="BH28" s="46"/>
      <c r="BI28" s="46"/>
      <c r="BJ28" s="65"/>
      <c r="BK28" s="129">
        <v>1.3218914006577468E-2</v>
      </c>
      <c r="BL28" s="129">
        <v>0.11991735499819527</v>
      </c>
      <c r="BM28" s="129">
        <v>2.7586206896551724E-2</v>
      </c>
      <c r="BN28" s="130">
        <v>7.3230435498111271E-2</v>
      </c>
      <c r="BO28" s="129">
        <v>0.10580622595313047</v>
      </c>
      <c r="BP28" s="129">
        <v>2.8556102323617299E-2</v>
      </c>
      <c r="BQ28" s="129">
        <v>2.6100000000000002E-2</v>
      </c>
      <c r="BR28" s="129">
        <v>2.4433333333333335E-2</v>
      </c>
      <c r="BS28" s="82"/>
      <c r="BT28" s="82"/>
      <c r="BU28" s="82"/>
      <c r="BV28" s="82"/>
      <c r="BW28" s="83">
        <f t="shared" si="10"/>
        <v>12657.117899949073</v>
      </c>
      <c r="BX28" s="83">
        <f t="shared" si="1"/>
        <v>16973.52990802392</v>
      </c>
      <c r="BY28" s="83">
        <f t="shared" si="2"/>
        <v>2985.9088720825043</v>
      </c>
      <c r="BZ28" s="83">
        <f t="shared" si="3"/>
        <v>0</v>
      </c>
      <c r="CA28" s="83">
        <f t="shared" si="4"/>
        <v>7928.5713880288258</v>
      </c>
      <c r="CB28" s="83">
        <f t="shared" si="5"/>
        <v>6181.7791478133913</v>
      </c>
      <c r="CC28" s="83">
        <f t="shared" si="11"/>
        <v>3476.9760388911504</v>
      </c>
      <c r="CD28" s="83">
        <f t="shared" si="12"/>
        <v>813.73672940843335</v>
      </c>
      <c r="CE28" s="84">
        <f t="shared" si="13"/>
        <v>51017.619984197307</v>
      </c>
      <c r="CG28" s="15">
        <f t="shared" si="6"/>
        <v>0</v>
      </c>
      <c r="CH28" s="5" t="e">
        <f>-#REF!</f>
        <v>#REF!</v>
      </c>
      <c r="CJ28" s="4">
        <v>32000</v>
      </c>
      <c r="CK28" s="5" t="e">
        <f t="shared" si="14"/>
        <v>#REF!</v>
      </c>
      <c r="CL28" s="35" t="e">
        <f t="shared" si="15"/>
        <v>#REF!</v>
      </c>
      <c r="CM28" s="22" t="e">
        <f t="shared" si="7"/>
        <v>#REF!</v>
      </c>
      <c r="CQ28" s="93" t="s">
        <v>39</v>
      </c>
      <c r="CR28" s="96">
        <f t="shared" si="16"/>
        <v>6528.7741397762966</v>
      </c>
      <c r="CS28" s="96"/>
      <c r="CT28" s="96">
        <f t="shared" si="17"/>
        <v>35300</v>
      </c>
      <c r="CU28" s="96">
        <f t="shared" si="21"/>
        <v>51017.619984197307</v>
      </c>
      <c r="CV28" s="96"/>
      <c r="CW28" s="123">
        <f t="shared" si="18"/>
        <v>92846.394123973601</v>
      </c>
      <c r="CX28" s="124">
        <f t="shared" si="19"/>
        <v>3.6663284164310646E-2</v>
      </c>
      <c r="CY28" s="110"/>
      <c r="CZ28" s="96"/>
      <c r="DA28" s="96">
        <f t="shared" si="20"/>
        <v>3713.8557649589443</v>
      </c>
      <c r="DB28" s="177"/>
      <c r="DC28" s="152"/>
      <c r="DD28" s="152"/>
      <c r="DE28" s="197"/>
      <c r="DF28" s="198"/>
      <c r="DG28" s="199"/>
      <c r="DH28" s="167"/>
      <c r="DI28" s="5"/>
      <c r="DK28" s="151"/>
      <c r="DL28" s="151"/>
      <c r="DM28" s="48"/>
      <c r="DN28" s="151"/>
      <c r="DO28" s="152"/>
      <c r="DP28" s="152"/>
      <c r="DQ28" s="152"/>
      <c r="DR28" s="152"/>
      <c r="DS28" s="112"/>
      <c r="DT28" s="111"/>
      <c r="DU28" s="113"/>
      <c r="DV28" s="98"/>
      <c r="DW28" s="48"/>
      <c r="DX28" s="5"/>
      <c r="DY28" s="4"/>
      <c r="DZ28" s="5"/>
      <c r="EA28" s="5"/>
      <c r="EB28" s="42"/>
      <c r="EC28" s="5"/>
      <c r="EE28" s="5"/>
      <c r="EF28" s="5"/>
      <c r="EG28" s="5"/>
      <c r="EH28" s="5"/>
      <c r="EJ28" s="5"/>
      <c r="EK28" s="42"/>
      <c r="EO28" s="42"/>
      <c r="EP28" s="42"/>
      <c r="EQ28" s="42"/>
      <c r="EU28" s="42"/>
      <c r="EV28" s="5"/>
      <c r="EX28" s="32"/>
    </row>
    <row r="29" spans="1:154" x14ac:dyDescent="0.25">
      <c r="H29" s="3" t="s">
        <v>40</v>
      </c>
      <c r="I29" s="3" t="s">
        <v>41</v>
      </c>
      <c r="J29" s="42"/>
      <c r="K29" s="6"/>
      <c r="L29" s="248">
        <f>3703.1569283764*1.0362*1.006*1.0089*1.0057*1.0276*1.0091</f>
        <v>4061.5196534704551</v>
      </c>
      <c r="M29" s="60"/>
      <c r="N29" s="60"/>
      <c r="O29" s="60"/>
      <c r="P29" s="60">
        <f>91.371143723411*1.0362*1.006*1.0089*1.0057*1.0276*1.0091</f>
        <v>100.21333234598127</v>
      </c>
      <c r="Q29" s="60"/>
      <c r="R29" s="60"/>
      <c r="S29" s="60">
        <f t="shared" si="22"/>
        <v>1188.0332399752849</v>
      </c>
      <c r="T29" s="60"/>
      <c r="U29" s="60">
        <v>-260</v>
      </c>
      <c r="V29" s="60"/>
      <c r="W29" s="60"/>
      <c r="X29" s="60"/>
      <c r="Y29" s="60"/>
      <c r="Z29" s="60">
        <f>(1795*1.0089*1.0057*1.0276*1.0091)+1300</f>
        <v>3188.5971363856825</v>
      </c>
      <c r="AA29" s="60">
        <v>-1347.3546626253401</v>
      </c>
      <c r="AB29" s="60"/>
      <c r="AC29" s="60"/>
      <c r="AD29" s="60"/>
      <c r="AE29" s="60">
        <f>-143*1.006*1.0089*1.0057*1.0276*1.0091</f>
        <v>-151.35922386973348</v>
      </c>
      <c r="AF29" s="60">
        <f t="shared" si="0"/>
        <v>785.00000000000011</v>
      </c>
      <c r="AG29" s="60"/>
      <c r="AH29" s="60"/>
      <c r="AI29" s="60"/>
      <c r="AJ29" s="60"/>
      <c r="AK29" s="60">
        <f>840*1.0276*1.0091</f>
        <v>871.03897440000014</v>
      </c>
      <c r="AL29" s="60"/>
      <c r="AM29" s="60">
        <f>-607*1.0276*1.0091</f>
        <v>-629.42935412000008</v>
      </c>
      <c r="AN29" s="60"/>
      <c r="AO29" s="60"/>
      <c r="AP29" s="60"/>
      <c r="AQ29" s="232">
        <f t="shared" si="8"/>
        <v>7806.2590959623303</v>
      </c>
      <c r="AS29" s="21" t="e">
        <f>(J29+#REF!)/($J$31+#REF!)</f>
        <v>#REF!</v>
      </c>
      <c r="AT29" s="14" t="e">
        <f t="shared" si="9"/>
        <v>#REF!</v>
      </c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72"/>
      <c r="BF29" s="46"/>
      <c r="BG29" s="46"/>
      <c r="BH29" s="46"/>
      <c r="BI29" s="46"/>
      <c r="BJ29" s="65"/>
      <c r="BK29" s="129">
        <v>2.72409397254323E-2</v>
      </c>
      <c r="BL29" s="129">
        <v>0.13152952214552144</v>
      </c>
      <c r="BM29" s="129">
        <v>5.1724137931034482E-2</v>
      </c>
      <c r="BN29" s="130">
        <v>0.1293588930276045</v>
      </c>
      <c r="BO29" s="129">
        <v>0.11061559986009094</v>
      </c>
      <c r="BP29" s="129">
        <v>5.1726933875363701E-2</v>
      </c>
      <c r="BQ29" s="129">
        <v>2.9700000000000001E-2</v>
      </c>
      <c r="BR29" s="129">
        <v>3.1400000000000004E-2</v>
      </c>
      <c r="BS29" s="82"/>
      <c r="BT29" s="82"/>
      <c r="BU29" s="82"/>
      <c r="BV29" s="82"/>
      <c r="BW29" s="83">
        <f t="shared" si="10"/>
        <v>26083.215734563477</v>
      </c>
      <c r="BX29" s="83">
        <f t="shared" si="1"/>
        <v>18617.157441128533</v>
      </c>
      <c r="BY29" s="83">
        <f t="shared" si="2"/>
        <v>5598.5791351546959</v>
      </c>
      <c r="BZ29" s="83">
        <f t="shared" si="3"/>
        <v>0</v>
      </c>
      <c r="CA29" s="83">
        <f t="shared" si="4"/>
        <v>8288.9609965755899</v>
      </c>
      <c r="CB29" s="83">
        <f t="shared" si="5"/>
        <v>11197.76353184533</v>
      </c>
      <c r="CC29" s="83">
        <f t="shared" si="11"/>
        <v>3956.558940807171</v>
      </c>
      <c r="CD29" s="83">
        <f t="shared" si="12"/>
        <v>1045.7571611224341</v>
      </c>
      <c r="CE29" s="84">
        <f t="shared" si="13"/>
        <v>74787.992941197226</v>
      </c>
      <c r="CG29" s="15">
        <f t="shared" si="6"/>
        <v>0</v>
      </c>
      <c r="CH29" s="5" t="e">
        <f>-#REF!</f>
        <v>#REF!</v>
      </c>
      <c r="CJ29" s="4">
        <v>32000</v>
      </c>
      <c r="CK29" s="5" t="e">
        <f t="shared" si="14"/>
        <v>#REF!</v>
      </c>
      <c r="CL29" s="35" t="e">
        <f t="shared" si="15"/>
        <v>#REF!</v>
      </c>
      <c r="CM29" s="22" t="e">
        <f t="shared" si="7"/>
        <v>#REF!</v>
      </c>
      <c r="CQ29" s="93" t="s">
        <v>41</v>
      </c>
      <c r="CR29" s="96">
        <f t="shared" si="16"/>
        <v>7806.2590959623303</v>
      </c>
      <c r="CS29" s="96"/>
      <c r="CT29" s="96">
        <f t="shared" si="17"/>
        <v>35300</v>
      </c>
      <c r="CU29" s="96">
        <f t="shared" si="21"/>
        <v>74787.992941197226</v>
      </c>
      <c r="CV29" s="96"/>
      <c r="CW29" s="123">
        <f t="shared" si="18"/>
        <v>117894.25203715956</v>
      </c>
      <c r="CX29" s="124">
        <f t="shared" si="19"/>
        <v>4.6554209289008545E-2</v>
      </c>
      <c r="CY29" s="110"/>
      <c r="CZ29" s="96"/>
      <c r="DA29" s="96">
        <f t="shared" si="20"/>
        <v>4715.7700814863829</v>
      </c>
      <c r="DB29" s="177"/>
      <c r="DC29" s="152"/>
      <c r="DD29" s="152"/>
      <c r="DE29" s="197"/>
      <c r="DF29" s="198"/>
      <c r="DG29" s="199"/>
      <c r="DH29" s="167"/>
      <c r="DI29" s="5"/>
      <c r="DK29" s="151"/>
      <c r="DL29" s="151"/>
      <c r="DM29" s="48"/>
      <c r="DN29" s="151"/>
      <c r="DO29" s="152"/>
      <c r="DP29" s="152"/>
      <c r="DQ29" s="152"/>
      <c r="DR29" s="152"/>
      <c r="DS29" s="112"/>
      <c r="DT29" s="111"/>
      <c r="DU29" s="113"/>
      <c r="DV29" s="98"/>
      <c r="DW29" s="48"/>
      <c r="DX29" s="5"/>
      <c r="DY29" s="4"/>
      <c r="DZ29" s="5"/>
      <c r="EA29" s="5"/>
      <c r="EB29" s="42"/>
      <c r="EC29" s="5"/>
      <c r="EE29" s="5"/>
      <c r="EF29" s="5"/>
      <c r="EG29" s="5"/>
      <c r="EH29" s="5"/>
      <c r="EJ29" s="5"/>
      <c r="EK29" s="42"/>
      <c r="EO29" s="42"/>
      <c r="EP29" s="42"/>
      <c r="EQ29" s="42"/>
      <c r="EU29" s="42"/>
      <c r="EV29" s="5"/>
      <c r="EX29" s="32"/>
    </row>
    <row r="30" spans="1:154" x14ac:dyDescent="0.25">
      <c r="H30" s="3" t="s">
        <v>42</v>
      </c>
      <c r="I30" s="3" t="s">
        <v>43</v>
      </c>
      <c r="J30" s="42"/>
      <c r="K30" s="6"/>
      <c r="L30" s="248">
        <f>5374.09359118039*1.0362*1.006*1.0089*1.0057*1.0276*1.0091</f>
        <v>5894.1565702802991</v>
      </c>
      <c r="M30" s="60"/>
      <c r="N30" s="60"/>
      <c r="O30" s="60"/>
      <c r="P30" s="60">
        <f>201.646662010286*1.0362*1.006*1.0089*1.0057*1.0276*1.0091</f>
        <v>221.16045759113072</v>
      </c>
      <c r="Q30" s="60"/>
      <c r="R30" s="60"/>
      <c r="S30" s="60">
        <f t="shared" si="22"/>
        <v>1188.0332399752849</v>
      </c>
      <c r="T30" s="60"/>
      <c r="U30" s="60">
        <v>-1625</v>
      </c>
      <c r="V30" s="60"/>
      <c r="W30" s="60"/>
      <c r="X30" s="60"/>
      <c r="Y30" s="60"/>
      <c r="Z30" s="60">
        <f>(1207*1.0089*1.0057*1.0276*1.0091)+1050</f>
        <v>2319.9369045222948</v>
      </c>
      <c r="AA30" s="60">
        <v>-1567.44716449109</v>
      </c>
      <c r="AB30" s="60"/>
      <c r="AC30" s="60"/>
      <c r="AD30" s="60"/>
      <c r="AE30" s="60">
        <f>233*1.006*1.0089*1.0057*1.0276*1.0091</f>
        <v>246.6202738576776</v>
      </c>
      <c r="AF30" s="60">
        <f t="shared" si="0"/>
        <v>523.33333333333326</v>
      </c>
      <c r="AG30" s="60"/>
      <c r="AH30" s="60"/>
      <c r="AI30" s="60">
        <f>700*1.0057*1.0276*1.0091</f>
        <v>730.00324712840018</v>
      </c>
      <c r="AJ30" s="60"/>
      <c r="AK30" s="60">
        <f>840*1.0276*1.0091</f>
        <v>871.03897440000014</v>
      </c>
      <c r="AL30" s="60"/>
      <c r="AM30" s="60">
        <f>607*1.0276*1.0091</f>
        <v>629.42935412000008</v>
      </c>
      <c r="AN30" s="60">
        <f>3030*1.0276*1.0091</f>
        <v>3141.9620148000004</v>
      </c>
      <c r="AO30" s="60"/>
      <c r="AP30" s="60"/>
      <c r="AQ30" s="232">
        <f t="shared" si="8"/>
        <v>12573.227205517331</v>
      </c>
      <c r="AS30" s="21" t="e">
        <f>(J30+#REF!)/($J$31+#REF!)</f>
        <v>#REF!</v>
      </c>
      <c r="AT30" s="14" t="e">
        <f t="shared" si="9"/>
        <v>#REF!</v>
      </c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72"/>
      <c r="BF30" s="46"/>
      <c r="BG30" s="46"/>
      <c r="BH30" s="46"/>
      <c r="BI30" s="46"/>
      <c r="BJ30" s="65"/>
      <c r="BK30" s="129">
        <v>2.6049397349605291E-2</v>
      </c>
      <c r="BL30" s="129">
        <v>0.23514192939354803</v>
      </c>
      <c r="BM30" s="129">
        <v>4.8275862068965517E-2</v>
      </c>
      <c r="BN30" s="130">
        <v>0.26039995321440784</v>
      </c>
      <c r="BO30" s="129">
        <v>0.12154599510318292</v>
      </c>
      <c r="BP30" s="129">
        <v>5.3235414316172944E-2</v>
      </c>
      <c r="BQ30" s="129">
        <v>1.67E-2</v>
      </c>
      <c r="BR30" s="129">
        <v>2.0933333333333332E-2</v>
      </c>
      <c r="BS30" s="82"/>
      <c r="BT30" s="82"/>
      <c r="BU30" s="82"/>
      <c r="BV30" s="82"/>
      <c r="BW30" s="83">
        <f t="shared" si="10"/>
        <v>24942.313212153269</v>
      </c>
      <c r="BX30" s="83">
        <f t="shared" si="1"/>
        <v>33282.826920689695</v>
      </c>
      <c r="BY30" s="83">
        <f t="shared" si="2"/>
        <v>5225.3405261443822</v>
      </c>
      <c r="BZ30" s="83">
        <f t="shared" si="3"/>
        <v>0</v>
      </c>
      <c r="CA30" s="83">
        <f t="shared" si="4"/>
        <v>9108.0282887273279</v>
      </c>
      <c r="CB30" s="83">
        <f t="shared" si="5"/>
        <v>11524.316953884534</v>
      </c>
      <c r="CC30" s="83">
        <f t="shared" si="11"/>
        <v>2224.731794999318</v>
      </c>
      <c r="CD30" s="83">
        <f t="shared" si="12"/>
        <v>697.17144074828934</v>
      </c>
      <c r="CE30" s="84">
        <f t="shared" si="13"/>
        <v>87004.729137346818</v>
      </c>
      <c r="CG30" s="15">
        <f t="shared" si="6"/>
        <v>0</v>
      </c>
      <c r="CH30" s="5" t="e">
        <f>-#REF!</f>
        <v>#REF!</v>
      </c>
      <c r="CJ30" s="4">
        <v>32000</v>
      </c>
      <c r="CK30" s="5" t="e">
        <f t="shared" si="14"/>
        <v>#REF!</v>
      </c>
      <c r="CL30" s="35" t="e">
        <f t="shared" si="15"/>
        <v>#REF!</v>
      </c>
      <c r="CM30" s="22" t="e">
        <f t="shared" si="7"/>
        <v>#REF!</v>
      </c>
      <c r="CQ30" s="93" t="s">
        <v>43</v>
      </c>
      <c r="CR30" s="96">
        <f t="shared" si="16"/>
        <v>12573.227205517331</v>
      </c>
      <c r="CS30" s="96"/>
      <c r="CT30" s="96">
        <f t="shared" si="17"/>
        <v>35300</v>
      </c>
      <c r="CU30" s="96">
        <f>CE30</f>
        <v>87004.729137346818</v>
      </c>
      <c r="CV30" s="96"/>
      <c r="CW30" s="123">
        <f t="shared" si="18"/>
        <v>134877.95634286414</v>
      </c>
      <c r="CX30" s="124">
        <f t="shared" si="19"/>
        <v>5.3260752747134009E-2</v>
      </c>
      <c r="CY30" s="110"/>
      <c r="CZ30" s="96"/>
      <c r="DA30" s="96">
        <f t="shared" si="20"/>
        <v>5395.118253714566</v>
      </c>
      <c r="DB30" s="177"/>
      <c r="DE30" s="197"/>
      <c r="DF30" s="198"/>
      <c r="DG30" s="199"/>
      <c r="DH30" s="167"/>
      <c r="DI30" s="5"/>
      <c r="DK30" s="151"/>
      <c r="DL30" s="5"/>
      <c r="DM30" s="48"/>
      <c r="DN30" s="5"/>
      <c r="DO30" s="5"/>
      <c r="DP30" s="5"/>
      <c r="DQ30" s="5"/>
      <c r="DR30" s="152"/>
      <c r="DS30" s="112"/>
      <c r="DT30" s="111"/>
      <c r="DU30" s="113"/>
      <c r="DV30" s="98"/>
      <c r="DW30" s="48"/>
      <c r="DX30" s="5"/>
      <c r="DY30" s="4"/>
      <c r="DZ30" s="5"/>
      <c r="EA30" s="5"/>
      <c r="EB30" s="42"/>
      <c r="EC30" s="5"/>
      <c r="EE30" s="5"/>
      <c r="EF30" s="5"/>
      <c r="EG30" s="5"/>
      <c r="EH30" s="5"/>
      <c r="EJ30" s="5"/>
      <c r="EK30" s="42"/>
      <c r="EO30" s="42"/>
      <c r="EP30" s="42"/>
      <c r="EQ30" s="42"/>
      <c r="EU30" s="42"/>
      <c r="EV30" s="5"/>
      <c r="EX30" s="32"/>
    </row>
    <row r="31" spans="1:154" x14ac:dyDescent="0.25">
      <c r="H31" s="3" t="s">
        <v>55</v>
      </c>
      <c r="J31" s="5"/>
      <c r="K31" s="5"/>
      <c r="L31" s="248">
        <f>SUM(L10:L30)</f>
        <v>13771.84599458105</v>
      </c>
      <c r="M31" s="60">
        <f t="shared" ref="M31:V31" si="23">SUM(M10:M30)</f>
        <v>892.86714219443104</v>
      </c>
      <c r="N31" s="60">
        <f t="shared" si="23"/>
        <v>0</v>
      </c>
      <c r="O31" s="60">
        <f t="shared" si="23"/>
        <v>115.18773832871362</v>
      </c>
      <c r="P31" s="60">
        <f t="shared" si="23"/>
        <v>1151.8773832871407</v>
      </c>
      <c r="Q31" s="60">
        <f t="shared" si="23"/>
        <v>85</v>
      </c>
      <c r="R31" s="60">
        <f t="shared" si="23"/>
        <v>667.86696007851231</v>
      </c>
      <c r="S31" s="60">
        <f t="shared" si="23"/>
        <v>12156.619199747103</v>
      </c>
      <c r="T31" s="60">
        <f t="shared" si="23"/>
        <v>364.69857599241345</v>
      </c>
      <c r="U31" s="60">
        <f t="shared" si="23"/>
        <v>-1930.3436210295858</v>
      </c>
      <c r="V31" s="60">
        <f t="shared" si="23"/>
        <v>0</v>
      </c>
      <c r="W31" s="60">
        <f t="shared" ref="W31:AC31" si="24">SUM(W10:W30)</f>
        <v>0</v>
      </c>
      <c r="X31" s="60">
        <f t="shared" si="24"/>
        <v>-1720</v>
      </c>
      <c r="Y31" s="60">
        <f t="shared" si="24"/>
        <v>-1150</v>
      </c>
      <c r="Z31" s="60">
        <f>SUM(Z10:Z30)</f>
        <v>9242.0022082227424</v>
      </c>
      <c r="AA31" s="60">
        <f>SUM(AA10:AA30)</f>
        <v>-30000</v>
      </c>
      <c r="AB31" s="60">
        <f>SUM(AB10:AB30)</f>
        <v>30000</v>
      </c>
      <c r="AC31" s="60">
        <f t="shared" si="24"/>
        <v>7133.1745862260814</v>
      </c>
      <c r="AD31" s="60">
        <f t="shared" ref="AD31:AH31" si="25">SUM(AD10:AD30)</f>
        <v>740.9192776840099</v>
      </c>
      <c r="AE31" s="60">
        <f t="shared" si="25"/>
        <v>-6.5369931689929217E-13</v>
      </c>
      <c r="AF31" s="60">
        <f t="shared" si="25"/>
        <v>25000</v>
      </c>
      <c r="AG31" s="60">
        <f t="shared" si="25"/>
        <v>3000</v>
      </c>
      <c r="AH31" s="60">
        <f t="shared" si="25"/>
        <v>0</v>
      </c>
      <c r="AI31" s="60">
        <f t="shared" ref="AI31:AM31" si="26">SUM(AI10:AI30)</f>
        <v>5214.3089080600012</v>
      </c>
      <c r="AJ31" s="60">
        <f t="shared" si="26"/>
        <v>5000</v>
      </c>
      <c r="AK31" s="60">
        <f t="shared" si="26"/>
        <v>15554.267400000004</v>
      </c>
      <c r="AL31" s="60">
        <f>SUM(AL10:AL30)</f>
        <v>0</v>
      </c>
      <c r="AM31" s="60">
        <f t="shared" si="26"/>
        <v>0</v>
      </c>
      <c r="AN31" s="60">
        <f>SUM(AN10:AN30)</f>
        <v>7880.8288160000011</v>
      </c>
      <c r="AO31" s="60">
        <f>SUM(AO10:AO30)</f>
        <v>1715.4700000000003</v>
      </c>
      <c r="AP31" s="60"/>
      <c r="AQ31" s="232">
        <f>SUM(AQ10:AQ30)</f>
        <v>107886.59056937264</v>
      </c>
      <c r="AS31" s="21" t="e">
        <f>(J31+#REF!)/($J$31+#REF!)</f>
        <v>#REF!</v>
      </c>
      <c r="AT31" s="14" t="e">
        <f>SUM(AT10:AT30)</f>
        <v>#REF!</v>
      </c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72"/>
      <c r="BF31" s="46"/>
      <c r="BG31" s="46"/>
      <c r="BH31" s="46"/>
      <c r="BI31" s="46"/>
      <c r="BJ31" s="65"/>
      <c r="BK31" s="226">
        <f>SUM(BK10:BK30)</f>
        <v>1.0000000000000002</v>
      </c>
      <c r="BL31" s="226">
        <f t="shared" ref="BL31:BQ31" si="27">SUM(BL10:BL30)</f>
        <v>1</v>
      </c>
      <c r="BM31" s="226">
        <f t="shared" si="27"/>
        <v>0.99999999999999989</v>
      </c>
      <c r="BN31" s="131">
        <f t="shared" si="27"/>
        <v>0.99999987635502507</v>
      </c>
      <c r="BO31" s="226">
        <f t="shared" si="27"/>
        <v>1</v>
      </c>
      <c r="BP31" s="226">
        <f t="shared" si="27"/>
        <v>0.99999999999999989</v>
      </c>
      <c r="BQ31" s="226">
        <f t="shared" si="27"/>
        <v>1</v>
      </c>
      <c r="BR31" s="225">
        <f>SUM(BR10:BR30)</f>
        <v>1</v>
      </c>
      <c r="BS31" s="85"/>
      <c r="BT31" s="85"/>
      <c r="BU31" s="85"/>
      <c r="BV31" s="85"/>
      <c r="BW31" s="86">
        <f t="shared" ref="BW31:CC31" si="28">SUM(BW10:BW30)</f>
        <v>957500.58542261086</v>
      </c>
      <c r="BX31" s="86">
        <f t="shared" si="28"/>
        <v>141543.56480160332</v>
      </c>
      <c r="BY31" s="86">
        <f t="shared" si="28"/>
        <v>108239.19661299077</v>
      </c>
      <c r="BZ31" s="86">
        <f t="shared" si="28"/>
        <v>0</v>
      </c>
      <c r="CA31" s="86">
        <f t="shared" si="28"/>
        <v>74934.82842437824</v>
      </c>
      <c r="CB31" s="86">
        <f t="shared" si="28"/>
        <v>216478.39322598153</v>
      </c>
      <c r="CC31" s="86">
        <f t="shared" si="28"/>
        <v>133217.47275445019</v>
      </c>
      <c r="CD31" s="203">
        <f>SUM(CD10:CD30)</f>
        <v>33304.368188612549</v>
      </c>
      <c r="CE31" s="84">
        <f>SUM(CE10:CE30)</f>
        <v>1665218.4094306272</v>
      </c>
      <c r="CG31" s="16">
        <f>SUM(CG10:CG30)</f>
        <v>0</v>
      </c>
      <c r="CH31" s="17" t="e">
        <f>SUM(CH10:CH30)</f>
        <v>#REF!</v>
      </c>
      <c r="CI31" s="17"/>
      <c r="CJ31" s="17"/>
      <c r="CK31" s="17" t="e">
        <f>SUM(CK10:CK30)</f>
        <v>#REF!</v>
      </c>
      <c r="CL31" s="41" t="e">
        <f>SUM(CL10:CL30)</f>
        <v>#REF!</v>
      </c>
      <c r="CM31" s="18" t="e">
        <f>SUM(CM9:CM30)</f>
        <v>#REF!</v>
      </c>
      <c r="CQ31" s="93"/>
      <c r="CR31" s="97">
        <f t="shared" ref="CR31:CW31" si="29">SUM(CR10:CR30)</f>
        <v>107886.59056937264</v>
      </c>
      <c r="CS31" s="97">
        <f t="shared" si="29"/>
        <v>18000</v>
      </c>
      <c r="CT31" s="97">
        <f t="shared" si="29"/>
        <v>741300</v>
      </c>
      <c r="CU31" s="97">
        <f t="shared" si="29"/>
        <v>1665218.4094306272</v>
      </c>
      <c r="CV31" s="97"/>
      <c r="CW31" s="125">
        <f t="shared" si="29"/>
        <v>2532408</v>
      </c>
      <c r="CX31" s="126">
        <f t="shared" si="19"/>
        <v>1</v>
      </c>
      <c r="CY31" s="127"/>
      <c r="CZ31" s="97"/>
      <c r="DA31" s="97">
        <f>SUM(DA10:DA30)</f>
        <v>101296.31999999999</v>
      </c>
      <c r="DB31" s="177"/>
      <c r="DE31" s="197"/>
      <c r="DF31" s="198"/>
      <c r="DG31" s="199"/>
      <c r="DH31" s="167"/>
      <c r="DI31" s="5"/>
      <c r="DR31" s="152"/>
      <c r="DS31" s="112"/>
      <c r="DT31" s="112"/>
      <c r="DU31" s="113"/>
      <c r="DV31" s="98"/>
      <c r="DW31" s="48"/>
      <c r="DX31" s="5"/>
      <c r="DY31" s="5"/>
      <c r="DZ31" s="5"/>
      <c r="EA31" s="5"/>
      <c r="EB31" s="42"/>
      <c r="EC31" s="5"/>
      <c r="ED31" s="42"/>
      <c r="EE31" s="5"/>
      <c r="EF31" s="5"/>
      <c r="EG31" s="5"/>
      <c r="EH31" s="5"/>
      <c r="EJ31" s="5"/>
      <c r="EK31" s="42"/>
      <c r="EO31" s="42"/>
      <c r="EP31" s="42"/>
      <c r="EQ31" s="42"/>
      <c r="EU31" s="42"/>
      <c r="EV31" s="5"/>
      <c r="EX31" s="144"/>
    </row>
    <row r="32" spans="1:154" ht="16.5" thickBot="1" x14ac:dyDescent="0.3">
      <c r="J32" s="5"/>
      <c r="K32" s="6"/>
      <c r="L32" s="24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6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232">
        <f>SUM(L32:AO32)</f>
        <v>0</v>
      </c>
      <c r="AS32" s="20"/>
      <c r="AT32" s="13"/>
      <c r="BE32" s="64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7"/>
      <c r="CQ32" s="114"/>
      <c r="CR32" s="115"/>
      <c r="CS32" s="115"/>
      <c r="CT32" s="115"/>
      <c r="CU32" s="115"/>
      <c r="CV32" s="115"/>
      <c r="CW32" s="115"/>
      <c r="CX32" s="115"/>
      <c r="CY32" s="115"/>
      <c r="CZ32" s="116"/>
      <c r="DA32" s="116"/>
      <c r="DB32" s="178"/>
      <c r="DE32" s="192"/>
      <c r="DF32" s="193"/>
      <c r="DG32" s="193"/>
      <c r="DI32" s="5"/>
      <c r="DR32" s="5"/>
      <c r="DS32" s="97"/>
      <c r="DT32" s="96"/>
      <c r="DU32" s="106"/>
      <c r="DV32" s="106"/>
      <c r="DW32" s="4"/>
      <c r="DX32" s="4"/>
      <c r="DY32" s="4"/>
      <c r="DZ32" s="4"/>
      <c r="EA32" s="4"/>
      <c r="EB32" s="4"/>
      <c r="EC32" s="4"/>
      <c r="ED32" s="4"/>
      <c r="EO32" s="42"/>
      <c r="EU32" s="42"/>
      <c r="EV32" s="5"/>
    </row>
    <row r="33" spans="8:153" ht="16.5" thickBot="1" x14ac:dyDescent="0.3">
      <c r="H33" s="3" t="s">
        <v>44</v>
      </c>
      <c r="J33" s="5"/>
      <c r="K33" s="5"/>
      <c r="L33" s="248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232">
        <f>SUM(L33:AP33)</f>
        <v>0</v>
      </c>
      <c r="AR33" s="5"/>
      <c r="AS33" s="20"/>
      <c r="AT33" s="13"/>
      <c r="BE33" s="87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  <c r="CD33" s="88"/>
      <c r="CE33" s="89"/>
      <c r="DE33" s="192"/>
      <c r="DF33" s="193"/>
      <c r="DG33" s="193"/>
      <c r="EO33" s="42"/>
      <c r="EQ33" s="42"/>
      <c r="EU33" s="42"/>
      <c r="EV33" s="5"/>
    </row>
    <row r="34" spans="8:153" x14ac:dyDescent="0.25">
      <c r="H34" s="3" t="s">
        <v>45</v>
      </c>
      <c r="J34" s="5"/>
      <c r="K34" s="5"/>
      <c r="L34" s="248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232">
        <f>SUM(L34:AO34)</f>
        <v>0</v>
      </c>
      <c r="AS34" s="20"/>
      <c r="AT34" s="13"/>
      <c r="CQ34" s="3" t="s">
        <v>119</v>
      </c>
      <c r="CW34" s="3">
        <f>-C5</f>
        <v>2000</v>
      </c>
      <c r="DE34" s="192"/>
      <c r="DF34" s="193"/>
      <c r="DG34" s="199"/>
      <c r="EO34" s="42"/>
      <c r="EQ34" s="42"/>
      <c r="EU34" s="42"/>
      <c r="EV34" s="5"/>
    </row>
    <row r="35" spans="8:153" x14ac:dyDescent="0.25">
      <c r="H35" s="3" t="s">
        <v>46</v>
      </c>
      <c r="J35" s="5"/>
      <c r="K35" s="5"/>
      <c r="L35" s="248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60"/>
      <c r="AN35" s="57"/>
      <c r="AO35" s="57"/>
      <c r="AP35" s="57"/>
      <c r="AQ35" s="232">
        <f>SUM(L35:AO35)</f>
        <v>0</v>
      </c>
      <c r="AS35" s="20"/>
      <c r="AT35" s="13"/>
      <c r="BJ35" s="34"/>
      <c r="BK35" s="170" t="s">
        <v>56</v>
      </c>
      <c r="BL35" s="170"/>
      <c r="BM35" s="170"/>
      <c r="BN35" s="34"/>
      <c r="BO35" s="171">
        <f>C16</f>
        <v>1665218.4094306272</v>
      </c>
      <c r="BP35" s="34"/>
      <c r="BQ35" s="34"/>
      <c r="BR35" s="34"/>
      <c r="BS35" s="34"/>
      <c r="BT35" s="34"/>
      <c r="BU35" s="34"/>
      <c r="BV35" s="34"/>
      <c r="BW35" s="34"/>
      <c r="CQ35" s="3" t="s">
        <v>160</v>
      </c>
      <c r="CU35" s="34"/>
      <c r="CW35" s="42">
        <f>AQ33</f>
        <v>0</v>
      </c>
      <c r="DE35" s="192"/>
      <c r="DF35" s="193"/>
      <c r="DG35" s="193"/>
      <c r="EO35" s="42"/>
      <c r="EQ35" s="42"/>
      <c r="EU35" s="42"/>
      <c r="EV35" s="5"/>
    </row>
    <row r="36" spans="8:153" ht="16.5" thickBot="1" x14ac:dyDescent="0.3">
      <c r="J36" s="5"/>
      <c r="K36" s="5"/>
      <c r="L36" s="248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232">
        <f>SUM(L36:AC36)</f>
        <v>0</v>
      </c>
      <c r="AS36" s="20"/>
      <c r="AT36" s="13"/>
      <c r="BK36" s="2" t="s">
        <v>57</v>
      </c>
      <c r="BL36" s="2"/>
      <c r="BM36" s="24" t="s">
        <v>58</v>
      </c>
      <c r="BO36" s="23"/>
      <c r="BP36" s="33"/>
      <c r="BQ36" s="33"/>
      <c r="BR36" s="233"/>
      <c r="BS36" s="233"/>
      <c r="CQ36" s="3" t="s">
        <v>188</v>
      </c>
      <c r="CU36" s="34"/>
      <c r="CW36" s="42">
        <v>-3</v>
      </c>
      <c r="DE36" s="192"/>
      <c r="DF36" s="193"/>
      <c r="DG36" s="192"/>
      <c r="EO36" s="42"/>
      <c r="EQ36" s="42"/>
      <c r="EU36" s="42"/>
      <c r="EV36" s="5"/>
    </row>
    <row r="37" spans="8:153" s="34" customFormat="1" ht="16.5" thickBot="1" x14ac:dyDescent="0.3">
      <c r="H37" s="34" t="s">
        <v>54</v>
      </c>
      <c r="J37" s="138"/>
      <c r="K37" s="138"/>
      <c r="L37" s="250">
        <f t="shared" ref="L37:W37" si="30">SUM(L31:L35)</f>
        <v>13771.84599458105</v>
      </c>
      <c r="M37" s="161">
        <f t="shared" si="30"/>
        <v>892.86714219443104</v>
      </c>
      <c r="N37" s="161">
        <f t="shared" si="30"/>
        <v>0</v>
      </c>
      <c r="O37" s="161">
        <f t="shared" si="30"/>
        <v>115.18773832871362</v>
      </c>
      <c r="P37" s="161">
        <f t="shared" si="30"/>
        <v>1151.8773832871407</v>
      </c>
      <c r="Q37" s="161">
        <f t="shared" si="30"/>
        <v>85</v>
      </c>
      <c r="R37" s="161">
        <f t="shared" si="30"/>
        <v>667.86696007851231</v>
      </c>
      <c r="S37" s="161">
        <f t="shared" si="30"/>
        <v>12156.619199747103</v>
      </c>
      <c r="T37" s="161">
        <f t="shared" si="30"/>
        <v>364.69857599241345</v>
      </c>
      <c r="U37" s="161">
        <f t="shared" si="30"/>
        <v>-1930.3436210295858</v>
      </c>
      <c r="V37" s="161">
        <f t="shared" si="30"/>
        <v>0</v>
      </c>
      <c r="W37" s="161">
        <f t="shared" si="30"/>
        <v>0</v>
      </c>
      <c r="X37" s="161">
        <f t="shared" ref="X37:AD37" si="31">SUM(X31:X35)</f>
        <v>-1720</v>
      </c>
      <c r="Y37" s="161">
        <f t="shared" si="31"/>
        <v>-1150</v>
      </c>
      <c r="Z37" s="161">
        <f t="shared" si="31"/>
        <v>9242.0022082227424</v>
      </c>
      <c r="AA37" s="161">
        <f t="shared" si="31"/>
        <v>-30000</v>
      </c>
      <c r="AB37" s="161">
        <f t="shared" si="31"/>
        <v>30000</v>
      </c>
      <c r="AC37" s="161">
        <f t="shared" si="31"/>
        <v>7133.1745862260814</v>
      </c>
      <c r="AD37" s="161">
        <f t="shared" si="31"/>
        <v>740.9192776840099</v>
      </c>
      <c r="AE37" s="161">
        <f t="shared" ref="AE37:AO37" si="32">SUM(AE31:AE36)</f>
        <v>-6.5369931689929217E-13</v>
      </c>
      <c r="AF37" s="161">
        <f t="shared" si="32"/>
        <v>25000</v>
      </c>
      <c r="AG37" s="161">
        <f t="shared" si="32"/>
        <v>3000</v>
      </c>
      <c r="AH37" s="161">
        <f t="shared" si="32"/>
        <v>0</v>
      </c>
      <c r="AI37" s="161">
        <f t="shared" si="32"/>
        <v>5214.3089080600012</v>
      </c>
      <c r="AJ37" s="161">
        <f t="shared" si="32"/>
        <v>5000</v>
      </c>
      <c r="AK37" s="161">
        <f t="shared" si="32"/>
        <v>15554.267400000004</v>
      </c>
      <c r="AL37" s="161">
        <f>SUM(AL31:AL36)</f>
        <v>0</v>
      </c>
      <c r="AM37" s="161">
        <f>SUM(AM31:AM36)</f>
        <v>0</v>
      </c>
      <c r="AN37" s="161">
        <f t="shared" si="32"/>
        <v>7880.8288160000011</v>
      </c>
      <c r="AO37" s="161">
        <f t="shared" si="32"/>
        <v>1715.4700000000003</v>
      </c>
      <c r="AP37" s="161"/>
      <c r="AQ37" s="191">
        <f>SUM(AQ31:AQ35)</f>
        <v>107886.59056937264</v>
      </c>
      <c r="AS37" s="168"/>
      <c r="AT37" s="169"/>
      <c r="BJ37" s="3">
        <v>1</v>
      </c>
      <c r="BK37" s="2" t="s">
        <v>59</v>
      </c>
      <c r="BL37" s="2"/>
      <c r="BM37" s="140">
        <v>0.57499999999999996</v>
      </c>
      <c r="BN37" s="3"/>
      <c r="BO37" s="23">
        <f>BM37*$BO$35</f>
        <v>957500.58542261063</v>
      </c>
      <c r="BP37" s="28"/>
      <c r="BQ37" s="28"/>
      <c r="BR37" s="29"/>
      <c r="BS37" s="234"/>
      <c r="BT37" s="3"/>
      <c r="BU37" s="3"/>
      <c r="BV37" s="3"/>
      <c r="BW37" s="3"/>
      <c r="CG37" s="8"/>
      <c r="CH37" s="8"/>
      <c r="CI37" s="8"/>
      <c r="CJ37" s="8"/>
      <c r="CK37" s="8"/>
      <c r="CL37" s="172"/>
      <c r="CM37" s="8"/>
      <c r="CQ37" s="3" t="s">
        <v>0</v>
      </c>
      <c r="CR37" s="3"/>
      <c r="CS37" s="3"/>
      <c r="CT37" s="3"/>
      <c r="CV37" s="3"/>
      <c r="CW37" s="42">
        <f>SUM(CW31+CW34+CW35+CW36)</f>
        <v>2534405</v>
      </c>
      <c r="CZ37" s="154"/>
      <c r="DA37" s="154"/>
      <c r="DB37" s="154"/>
      <c r="DC37" s="138"/>
      <c r="DD37" s="138"/>
      <c r="DE37" s="179"/>
      <c r="DF37" s="160"/>
      <c r="DG37" s="160"/>
      <c r="DH37" s="160"/>
      <c r="DI37" s="154"/>
      <c r="DJ37" s="138"/>
      <c r="DK37" s="154"/>
      <c r="DL37" s="154"/>
      <c r="DM37" s="154"/>
      <c r="DN37" s="154"/>
      <c r="DO37" s="154"/>
      <c r="DP37" s="154"/>
      <c r="DQ37" s="154"/>
      <c r="DR37" s="154"/>
      <c r="DS37" s="138"/>
      <c r="DT37" s="154"/>
      <c r="DU37" s="8"/>
      <c r="EE37" s="8"/>
      <c r="EF37" s="8"/>
      <c r="EG37" s="8"/>
      <c r="EH37" s="8"/>
      <c r="EI37" s="8"/>
      <c r="EJ37" s="8"/>
      <c r="EO37" s="154"/>
      <c r="EQ37" s="154"/>
      <c r="ES37" s="8"/>
      <c r="ET37" s="8"/>
      <c r="EU37" s="154"/>
      <c r="EV37" s="138"/>
      <c r="EW37" s="154"/>
    </row>
    <row r="38" spans="8:153" x14ac:dyDescent="0.25">
      <c r="X38" s="223"/>
      <c r="Y38" s="223" t="s">
        <v>140</v>
      </c>
      <c r="BK38" s="2"/>
      <c r="BL38" s="2"/>
      <c r="BM38" s="142"/>
      <c r="BO38" s="23"/>
      <c r="BP38" s="28"/>
      <c r="BQ38" s="28"/>
      <c r="BR38" s="29"/>
      <c r="BS38" s="234"/>
    </row>
    <row r="39" spans="8:153" x14ac:dyDescent="0.25">
      <c r="X39" s="223"/>
      <c r="Y39" s="223" t="s">
        <v>136</v>
      </c>
      <c r="BJ39" s="3">
        <v>2</v>
      </c>
      <c r="BK39" s="2" t="s">
        <v>60</v>
      </c>
      <c r="BL39" s="2"/>
      <c r="BM39" s="142">
        <v>8.5000000000000006E-2</v>
      </c>
      <c r="BO39" s="23">
        <f t="shared" ref="BO39:BO45" si="33">BM39*$BO$35</f>
        <v>141543.56480160332</v>
      </c>
      <c r="BP39" s="30"/>
      <c r="BQ39" s="30"/>
      <c r="BR39" s="29"/>
      <c r="BS39" s="234"/>
      <c r="BT39" s="33"/>
      <c r="BU39" s="33"/>
      <c r="BV39" s="33"/>
    </row>
    <row r="40" spans="8:153" ht="15" customHeight="1" x14ac:dyDescent="0.25">
      <c r="X40" s="223"/>
      <c r="Y40" s="223" t="s">
        <v>137</v>
      </c>
      <c r="BJ40" s="3">
        <v>3</v>
      </c>
      <c r="BK40" s="2" t="s">
        <v>61</v>
      </c>
      <c r="BL40" s="2"/>
      <c r="BM40" s="141">
        <v>6.5000000000000002E-2</v>
      </c>
      <c r="BO40" s="23">
        <f t="shared" si="33"/>
        <v>108239.19661299078</v>
      </c>
      <c r="BP40" s="28"/>
      <c r="BQ40" s="28"/>
      <c r="BR40" s="29"/>
      <c r="BS40" s="234"/>
      <c r="BT40" s="28"/>
      <c r="BU40" s="28"/>
      <c r="BV40" s="28"/>
    </row>
    <row r="41" spans="8:153" ht="1.5" hidden="1" customHeight="1" x14ac:dyDescent="0.25">
      <c r="BK41" s="2" t="s">
        <v>62</v>
      </c>
      <c r="BL41" s="2"/>
      <c r="BM41" s="142">
        <v>0</v>
      </c>
      <c r="BO41" s="23">
        <f t="shared" si="33"/>
        <v>0</v>
      </c>
      <c r="BP41" s="30"/>
      <c r="BQ41" s="30"/>
      <c r="BR41" s="31"/>
      <c r="BS41" s="235"/>
      <c r="BT41" s="28"/>
      <c r="BU41" s="28"/>
      <c r="BV41" s="28"/>
    </row>
    <row r="42" spans="8:153" x14ac:dyDescent="0.25">
      <c r="BJ42" s="3">
        <v>4</v>
      </c>
      <c r="BK42" s="2" t="s">
        <v>63</v>
      </c>
      <c r="BL42" s="2"/>
      <c r="BM42" s="142">
        <v>4.4999999999999998E-2</v>
      </c>
      <c r="BO42" s="23">
        <f t="shared" si="33"/>
        <v>74934.828424378225</v>
      </c>
      <c r="BP42" s="28"/>
      <c r="BQ42" s="30"/>
      <c r="BR42" s="31"/>
      <c r="BS42" s="236"/>
      <c r="BT42" s="30"/>
      <c r="BU42" s="30"/>
      <c r="BV42" s="30"/>
    </row>
    <row r="43" spans="8:153" x14ac:dyDescent="0.25">
      <c r="BJ43" s="3">
        <v>5</v>
      </c>
      <c r="BK43" s="2" t="s">
        <v>64</v>
      </c>
      <c r="BL43" s="2"/>
      <c r="BM43" s="25">
        <v>0.13</v>
      </c>
      <c r="BO43" s="23">
        <f t="shared" si="33"/>
        <v>216478.39322598156</v>
      </c>
      <c r="BP43" s="28"/>
      <c r="BQ43" s="30"/>
      <c r="BR43" s="31"/>
      <c r="BS43" s="236"/>
      <c r="BT43" s="28"/>
      <c r="BU43" s="28"/>
      <c r="BV43" s="28"/>
    </row>
    <row r="44" spans="8:153" x14ac:dyDescent="0.25">
      <c r="BJ44" s="3">
        <v>6</v>
      </c>
      <c r="BK44" s="2" t="s">
        <v>131</v>
      </c>
      <c r="BL44" s="2"/>
      <c r="BM44" s="25">
        <v>0.08</v>
      </c>
      <c r="BO44" s="23">
        <f t="shared" si="33"/>
        <v>133217.47275445019</v>
      </c>
      <c r="BP44" s="30"/>
      <c r="BQ44" s="30"/>
      <c r="BR44" s="29"/>
      <c r="BS44" s="234"/>
      <c r="BT44" s="30"/>
      <c r="BU44" s="30"/>
      <c r="BV44" s="30"/>
    </row>
    <row r="45" spans="8:153" ht="12.75" customHeight="1" x14ac:dyDescent="0.25">
      <c r="AN45" s="5"/>
      <c r="BJ45" s="3">
        <v>7</v>
      </c>
      <c r="BK45" s="26" t="s">
        <v>132</v>
      </c>
      <c r="BL45" s="26"/>
      <c r="BM45" s="204">
        <v>0.02</v>
      </c>
      <c r="BO45" s="23">
        <f t="shared" si="33"/>
        <v>33304.368188612549</v>
      </c>
      <c r="BT45" s="30"/>
      <c r="BU45" s="30"/>
      <c r="BV45" s="30"/>
    </row>
    <row r="46" spans="8:153" ht="12.75" customHeight="1" thickBot="1" x14ac:dyDescent="0.3">
      <c r="BK46" s="26"/>
      <c r="BL46" s="26"/>
      <c r="BM46" s="205">
        <f>SUM(BM37:BM45)</f>
        <v>0.99999999999999989</v>
      </c>
      <c r="BO46" s="27">
        <f>SUM(BO37:BO45)</f>
        <v>1665218.4094306275</v>
      </c>
      <c r="BR46" s="42"/>
      <c r="BT46" s="30"/>
      <c r="BU46" s="30"/>
      <c r="BV46" s="30"/>
    </row>
    <row r="47" spans="8:153" ht="14.25" customHeight="1" x14ac:dyDescent="0.25">
      <c r="BT47" s="30"/>
      <c r="BU47" s="30"/>
      <c r="BV47" s="30"/>
    </row>
    <row r="48" spans="8:153" ht="10.5" customHeight="1" x14ac:dyDescent="0.25">
      <c r="BJ48" s="51" t="s">
        <v>112</v>
      </c>
      <c r="BM48" s="132">
        <f>BM37+BM39+BM40</f>
        <v>0.72499999999999987</v>
      </c>
      <c r="BT48" s="30"/>
      <c r="BU48" s="30"/>
      <c r="BV48" s="30"/>
    </row>
    <row r="49" spans="62:65" x14ac:dyDescent="0.25">
      <c r="BJ49" s="206" t="s">
        <v>133</v>
      </c>
      <c r="BM49" s="132">
        <f>BM42+BM43+BM44+BM45</f>
        <v>0.27500000000000002</v>
      </c>
    </row>
    <row r="50" spans="62:65" ht="12" customHeight="1" x14ac:dyDescent="0.25"/>
  </sheetData>
  <phoneticPr fontId="2" type="noConversion"/>
  <hyperlinks>
    <hyperlink ref="BL3" r:id="rId1"/>
  </hyperlinks>
  <pageMargins left="0.19685039370078741" right="0.19685039370078741" top="0.39370078740157483" bottom="0.39370078740157483" header="0.43307086614173229" footer="0.51181102362204722"/>
  <pageSetup paperSize="9" scale="73" orientation="landscape" r:id="rId2"/>
  <headerFooter alignWithMargins="0">
    <oddHeader>&amp;RBilaga 2 till regeringsbeslut 2014-12-18 nr V:2</oddHeader>
  </headerFooter>
  <colBreaks count="4" manualBreakCount="4">
    <brk id="6" max="1048575" man="1"/>
    <brk id="11" max="1048575" man="1"/>
    <brk id="54" max="48" man="1"/>
    <brk id="93" max="48" man="1"/>
  </colBreaks>
  <ignoredErrors>
    <ignoredError sqref="AL31:AO31" formulaRange="1"/>
    <ignoredError sqref="AQ3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workbookViewId="0">
      <selection activeCell="H5" sqref="H5:H25"/>
    </sheetView>
  </sheetViews>
  <sheetFormatPr defaultRowHeight="12.75" x14ac:dyDescent="0.2"/>
  <cols>
    <col min="6" max="6" width="10.85546875" style="45" bestFit="1" customWidth="1"/>
    <col min="8" max="8" width="9.140625" style="1"/>
  </cols>
  <sheetData>
    <row r="1" spans="2:9" ht="13.5" thickBot="1" x14ac:dyDescent="0.25"/>
    <row r="2" spans="2:9" x14ac:dyDescent="0.2">
      <c r="B2" s="207"/>
      <c r="C2" s="208"/>
      <c r="D2" s="208"/>
      <c r="E2" s="208"/>
      <c r="F2" s="209"/>
      <c r="G2" s="208"/>
      <c r="H2" s="210"/>
      <c r="I2" s="211"/>
    </row>
    <row r="3" spans="2:9" x14ac:dyDescent="0.2">
      <c r="B3" s="212"/>
      <c r="C3" s="53"/>
      <c r="D3" s="53"/>
      <c r="E3" s="53"/>
      <c r="F3" s="213" t="s">
        <v>75</v>
      </c>
      <c r="G3" s="53"/>
      <c r="H3" s="214">
        <v>30000</v>
      </c>
      <c r="I3" s="215"/>
    </row>
    <row r="4" spans="2:9" x14ac:dyDescent="0.2">
      <c r="B4" s="212"/>
      <c r="C4" s="53"/>
      <c r="D4" s="53"/>
      <c r="E4" s="53"/>
      <c r="F4" s="213" t="s">
        <v>130</v>
      </c>
      <c r="G4" s="53"/>
      <c r="H4" s="214"/>
      <c r="I4" s="215"/>
    </row>
    <row r="5" spans="2:9" x14ac:dyDescent="0.2">
      <c r="B5" s="212"/>
      <c r="C5" s="3" t="s">
        <v>12</v>
      </c>
      <c r="D5" s="3" t="s">
        <v>8</v>
      </c>
      <c r="E5" s="53"/>
      <c r="F5" s="216">
        <f>'RB 2013'!CE10</f>
        <v>243724.37743914328</v>
      </c>
      <c r="G5" s="217">
        <f>F5/$F$32</f>
        <v>0.14636180819216243</v>
      </c>
      <c r="H5" s="214">
        <f>G5*$H$3</f>
        <v>4390.8542457648728</v>
      </c>
      <c r="I5" s="231"/>
    </row>
    <row r="6" spans="2:9" x14ac:dyDescent="0.2">
      <c r="B6" s="212"/>
      <c r="C6" s="3" t="s">
        <v>13</v>
      </c>
      <c r="D6" s="3" t="s">
        <v>2</v>
      </c>
      <c r="E6" s="53"/>
      <c r="F6" s="216">
        <f>'RB 2013'!CE11</f>
        <v>51748.742267088164</v>
      </c>
      <c r="G6" s="217">
        <f t="shared" ref="G6:G32" si="0">F6/$F$32</f>
        <v>3.1076249201918284E-2</v>
      </c>
      <c r="H6" s="214">
        <f t="shared" ref="H6:H25" si="1">G6*$H$3</f>
        <v>932.28747605754859</v>
      </c>
      <c r="I6" s="231"/>
    </row>
    <row r="7" spans="2:9" x14ac:dyDescent="0.2">
      <c r="B7" s="212"/>
      <c r="C7" s="3" t="s">
        <v>14</v>
      </c>
      <c r="D7" s="3" t="s">
        <v>15</v>
      </c>
      <c r="E7" s="53"/>
      <c r="F7" s="216">
        <f>'RB 2013'!CE12</f>
        <v>44658.999544743929</v>
      </c>
      <c r="G7" s="217">
        <f t="shared" si="0"/>
        <v>2.6818703956085717E-2</v>
      </c>
      <c r="H7" s="214">
        <f t="shared" si="1"/>
        <v>804.56111868257153</v>
      </c>
      <c r="I7" s="231"/>
    </row>
    <row r="8" spans="2:9" x14ac:dyDescent="0.2">
      <c r="B8" s="212"/>
      <c r="C8" s="3" t="s">
        <v>16</v>
      </c>
      <c r="D8" s="3" t="s">
        <v>17</v>
      </c>
      <c r="E8" s="53"/>
      <c r="F8" s="216">
        <f>'RB 2013'!CE13</f>
        <v>75415.844771552234</v>
      </c>
      <c r="G8" s="217">
        <f t="shared" si="0"/>
        <v>4.5288860815163867E-2</v>
      </c>
      <c r="H8" s="214">
        <f t="shared" si="1"/>
        <v>1358.665824454916</v>
      </c>
      <c r="I8" s="231"/>
    </row>
    <row r="9" spans="2:9" x14ac:dyDescent="0.2">
      <c r="B9" s="212"/>
      <c r="C9" s="3" t="s">
        <v>18</v>
      </c>
      <c r="D9" s="3" t="s">
        <v>19</v>
      </c>
      <c r="E9" s="53"/>
      <c r="F9" s="216">
        <f>'RB 2013'!CE14</f>
        <v>67753.231500677837</v>
      </c>
      <c r="G9" s="217">
        <f t="shared" si="0"/>
        <v>4.0687294301438859E-2</v>
      </c>
      <c r="H9" s="214">
        <f t="shared" si="1"/>
        <v>1220.6188290431658</v>
      </c>
      <c r="I9" s="231"/>
    </row>
    <row r="10" spans="2:9" x14ac:dyDescent="0.2">
      <c r="B10" s="212"/>
      <c r="C10" s="3" t="s">
        <v>20</v>
      </c>
      <c r="D10" s="3" t="s">
        <v>1</v>
      </c>
      <c r="E10" s="53"/>
      <c r="F10" s="216">
        <f>'RB 2013'!CE15</f>
        <v>38193.112123472405</v>
      </c>
      <c r="G10" s="217">
        <f t="shared" si="0"/>
        <v>2.2935797434843051E-2</v>
      </c>
      <c r="H10" s="214">
        <f t="shared" si="1"/>
        <v>688.07392304529151</v>
      </c>
      <c r="I10" s="231"/>
    </row>
    <row r="11" spans="2:9" x14ac:dyDescent="0.2">
      <c r="B11" s="212"/>
      <c r="C11" s="3" t="s">
        <v>21</v>
      </c>
      <c r="D11" s="3" t="s">
        <v>3</v>
      </c>
      <c r="E11" s="53"/>
      <c r="F11" s="216">
        <f>'RB 2013'!CE16</f>
        <v>53518.155988101244</v>
      </c>
      <c r="G11" s="217">
        <f t="shared" si="0"/>
        <v>3.2138820760695415E-2</v>
      </c>
      <c r="H11" s="214">
        <f t="shared" si="1"/>
        <v>964.16462282086241</v>
      </c>
      <c r="I11" s="231"/>
    </row>
    <row r="12" spans="2:9" x14ac:dyDescent="0.2">
      <c r="B12" s="212"/>
      <c r="C12" s="3" t="s">
        <v>22</v>
      </c>
      <c r="D12" s="3" t="s">
        <v>7</v>
      </c>
      <c r="E12" s="53"/>
      <c r="F12" s="216">
        <f>'RB 2013'!CE17</f>
        <v>15073.062656343649</v>
      </c>
      <c r="G12" s="217">
        <f t="shared" si="0"/>
        <v>9.0517031105231665E-3</v>
      </c>
      <c r="H12" s="214">
        <f t="shared" si="1"/>
        <v>271.55109331569497</v>
      </c>
      <c r="I12" s="231"/>
    </row>
    <row r="13" spans="2:9" x14ac:dyDescent="0.2">
      <c r="B13" s="212"/>
      <c r="C13" s="3" t="s">
        <v>23</v>
      </c>
      <c r="D13" s="3" t="s">
        <v>4</v>
      </c>
      <c r="E13" s="53"/>
      <c r="F13" s="216">
        <f>'RB 2013'!CE18</f>
        <v>29008.306397734435</v>
      </c>
      <c r="G13" s="217">
        <f t="shared" si="0"/>
        <v>1.7420121128526905E-2</v>
      </c>
      <c r="H13" s="214">
        <f t="shared" si="1"/>
        <v>522.60363385580717</v>
      </c>
      <c r="I13" s="231"/>
    </row>
    <row r="14" spans="2:9" x14ac:dyDescent="0.2">
      <c r="B14" s="212"/>
      <c r="C14" s="3" t="s">
        <v>24</v>
      </c>
      <c r="D14" s="3" t="s">
        <v>5</v>
      </c>
      <c r="E14" s="53"/>
      <c r="F14" s="216">
        <f>'RB 2013'!CE19</f>
        <v>187147.96098300151</v>
      </c>
      <c r="G14" s="217">
        <f t="shared" si="0"/>
        <v>0.11238643527066897</v>
      </c>
      <c r="H14" s="214">
        <f t="shared" si="1"/>
        <v>3371.5930581200691</v>
      </c>
      <c r="I14" s="231"/>
    </row>
    <row r="15" spans="2:9" x14ac:dyDescent="0.2">
      <c r="B15" s="212"/>
      <c r="C15" s="3" t="s">
        <v>25</v>
      </c>
      <c r="D15" s="3" t="s">
        <v>26</v>
      </c>
      <c r="E15" s="53"/>
      <c r="F15" s="216">
        <f>'RB 2013'!CE20</f>
        <v>50218.411737181093</v>
      </c>
      <c r="G15" s="217">
        <f t="shared" si="0"/>
        <v>3.0157252317641509E-2</v>
      </c>
      <c r="H15" s="214">
        <f t="shared" si="1"/>
        <v>904.71756952924522</v>
      </c>
      <c r="I15" s="231"/>
    </row>
    <row r="16" spans="2:9" x14ac:dyDescent="0.2">
      <c r="B16" s="212"/>
      <c r="C16" s="3" t="s">
        <v>10</v>
      </c>
      <c r="D16" s="3" t="s">
        <v>27</v>
      </c>
      <c r="E16" s="53"/>
      <c r="F16" s="216">
        <f>'RB 2013'!CE21</f>
        <v>257780.77387183343</v>
      </c>
      <c r="G16" s="217">
        <f t="shared" si="0"/>
        <v>0.15480298104557588</v>
      </c>
      <c r="H16" s="214">
        <f t="shared" si="1"/>
        <v>4644.0894313672761</v>
      </c>
      <c r="I16" s="231"/>
    </row>
    <row r="17" spans="2:9" x14ac:dyDescent="0.2">
      <c r="B17" s="212"/>
      <c r="C17" s="3" t="s">
        <v>28</v>
      </c>
      <c r="D17" s="3" t="s">
        <v>29</v>
      </c>
      <c r="E17" s="53"/>
      <c r="F17" s="216">
        <f>'RB 2013'!CE22</f>
        <v>64262.584418149869</v>
      </c>
      <c r="G17" s="217">
        <f t="shared" si="0"/>
        <v>3.8591084541350094E-2</v>
      </c>
      <c r="H17" s="214">
        <f t="shared" si="1"/>
        <v>1157.7325362405029</v>
      </c>
      <c r="I17" s="231"/>
    </row>
    <row r="18" spans="2:9" x14ac:dyDescent="0.2">
      <c r="B18" s="212"/>
      <c r="C18" s="3" t="s">
        <v>30</v>
      </c>
      <c r="D18" s="3" t="s">
        <v>31</v>
      </c>
      <c r="E18" s="53"/>
      <c r="F18" s="216">
        <f>'RB 2013'!CE23</f>
        <v>51413.900142379527</v>
      </c>
      <c r="G18" s="217">
        <f t="shared" si="0"/>
        <v>3.0875169197750466E-2</v>
      </c>
      <c r="H18" s="214">
        <f t="shared" si="1"/>
        <v>926.25507593251393</v>
      </c>
      <c r="I18" s="231"/>
    </row>
    <row r="19" spans="2:9" x14ac:dyDescent="0.2">
      <c r="B19" s="212"/>
      <c r="C19" s="3" t="s">
        <v>32</v>
      </c>
      <c r="D19" s="3" t="s">
        <v>33</v>
      </c>
      <c r="E19" s="53"/>
      <c r="F19" s="216">
        <f>'RB 2013'!CE24</f>
        <v>43630.540097289821</v>
      </c>
      <c r="G19" s="217">
        <f t="shared" si="0"/>
        <v>2.6201091610684277E-2</v>
      </c>
      <c r="H19" s="214">
        <f t="shared" si="1"/>
        <v>786.0327483205283</v>
      </c>
      <c r="I19" s="231"/>
    </row>
    <row r="20" spans="2:9" x14ac:dyDescent="0.2">
      <c r="B20" s="212"/>
      <c r="C20" s="3" t="s">
        <v>34</v>
      </c>
      <c r="D20" s="3" t="s">
        <v>6</v>
      </c>
      <c r="E20" s="53"/>
      <c r="F20" s="216">
        <f>'RB 2013'!CE25</f>
        <v>61631.45856636903</v>
      </c>
      <c r="G20" s="217">
        <f t="shared" si="0"/>
        <v>3.7011036040276606E-2</v>
      </c>
      <c r="H20" s="214">
        <f t="shared" si="1"/>
        <v>1110.3310812082982</v>
      </c>
      <c r="I20" s="231"/>
    </row>
    <row r="21" spans="2:9" x14ac:dyDescent="0.2">
      <c r="B21" s="212"/>
      <c r="C21" s="3" t="s">
        <v>35</v>
      </c>
      <c r="D21" s="3" t="s">
        <v>9</v>
      </c>
      <c r="E21" s="53"/>
      <c r="F21" s="216">
        <f>'RB 2013'!CE26</f>
        <v>58889.636650260931</v>
      </c>
      <c r="G21" s="217">
        <f t="shared" si="0"/>
        <v>3.5364512136516986E-2</v>
      </c>
      <c r="H21" s="214">
        <f t="shared" si="1"/>
        <v>1060.9353640955096</v>
      </c>
      <c r="I21" s="231"/>
    </row>
    <row r="22" spans="2:9" x14ac:dyDescent="0.2">
      <c r="B22" s="212"/>
      <c r="C22" s="3" t="s">
        <v>36</v>
      </c>
      <c r="D22" s="3" t="s">
        <v>37</v>
      </c>
      <c r="E22" s="53"/>
      <c r="F22" s="216">
        <f>'RB 2013'!CE27</f>
        <v>58338.968212563515</v>
      </c>
      <c r="G22" s="217">
        <f t="shared" si="0"/>
        <v>3.5033823720763947E-2</v>
      </c>
      <c r="H22" s="214">
        <f t="shared" si="1"/>
        <v>1051.0147116229184</v>
      </c>
      <c r="I22" s="231"/>
    </row>
    <row r="23" spans="2:9" x14ac:dyDescent="0.2">
      <c r="B23" s="212"/>
      <c r="C23" s="3" t="s">
        <v>38</v>
      </c>
      <c r="D23" s="3" t="s">
        <v>39</v>
      </c>
      <c r="E23" s="53"/>
      <c r="F23" s="216">
        <f>'RB 2013'!CE28</f>
        <v>51017.619984197307</v>
      </c>
      <c r="G23" s="217">
        <f t="shared" si="0"/>
        <v>3.0637194313532297E-2</v>
      </c>
      <c r="H23" s="214">
        <f t="shared" si="1"/>
        <v>919.11582940596895</v>
      </c>
      <c r="I23" s="231"/>
    </row>
    <row r="24" spans="2:9" x14ac:dyDescent="0.2">
      <c r="B24" s="212"/>
      <c r="C24" s="3" t="s">
        <v>40</v>
      </c>
      <c r="D24" s="3" t="s">
        <v>41</v>
      </c>
      <c r="E24" s="53"/>
      <c r="F24" s="216">
        <f>'RB 2013'!CE29</f>
        <v>74787.992941197226</v>
      </c>
      <c r="G24" s="217">
        <f t="shared" si="0"/>
        <v>4.4911822087511509E-2</v>
      </c>
      <c r="H24" s="214">
        <f t="shared" si="1"/>
        <v>1347.3546626253453</v>
      </c>
      <c r="I24" s="231"/>
    </row>
    <row r="25" spans="2:9" x14ac:dyDescent="0.2">
      <c r="B25" s="212"/>
      <c r="C25" s="3" t="s">
        <v>42</v>
      </c>
      <c r="D25" s="3" t="s">
        <v>43</v>
      </c>
      <c r="E25" s="53"/>
      <c r="F25" s="216">
        <f>'RB 2013'!CE30</f>
        <v>87004.729137346818</v>
      </c>
      <c r="G25" s="217">
        <f t="shared" si="0"/>
        <v>5.2248238816369766E-2</v>
      </c>
      <c r="H25" s="214">
        <f t="shared" si="1"/>
        <v>1567.447164491093</v>
      </c>
      <c r="I25" s="231"/>
    </row>
    <row r="26" spans="2:9" x14ac:dyDescent="0.2">
      <c r="B26" s="212"/>
      <c r="C26" s="3" t="s">
        <v>55</v>
      </c>
      <c r="D26" s="3"/>
      <c r="E26" s="53"/>
      <c r="F26" s="213"/>
      <c r="G26" s="217"/>
      <c r="H26" s="214"/>
      <c r="I26" s="215"/>
    </row>
    <row r="27" spans="2:9" x14ac:dyDescent="0.2">
      <c r="B27" s="212"/>
      <c r="C27" s="3"/>
      <c r="D27" s="3"/>
      <c r="E27" s="53"/>
      <c r="F27" s="213"/>
      <c r="G27" s="217"/>
      <c r="H27" s="214"/>
      <c r="I27" s="215"/>
    </row>
    <row r="28" spans="2:9" x14ac:dyDescent="0.2">
      <c r="B28" s="212"/>
      <c r="C28" s="3" t="s">
        <v>44</v>
      </c>
      <c r="D28" s="3"/>
      <c r="E28" s="53"/>
      <c r="F28" s="213"/>
      <c r="G28" s="217"/>
      <c r="H28" s="214"/>
      <c r="I28" s="215"/>
    </row>
    <row r="29" spans="2:9" x14ac:dyDescent="0.2">
      <c r="B29" s="212"/>
      <c r="C29" s="3" t="s">
        <v>45</v>
      </c>
      <c r="D29" s="3"/>
      <c r="E29" s="53"/>
      <c r="F29" s="213"/>
      <c r="G29" s="217"/>
      <c r="H29" s="214"/>
      <c r="I29" s="215"/>
    </row>
    <row r="30" spans="2:9" x14ac:dyDescent="0.2">
      <c r="B30" s="212"/>
      <c r="C30" s="3" t="s">
        <v>46</v>
      </c>
      <c r="D30" s="3"/>
      <c r="E30" s="53"/>
      <c r="F30" s="213"/>
      <c r="G30" s="217"/>
      <c r="H30" s="214"/>
      <c r="I30" s="215"/>
    </row>
    <row r="31" spans="2:9" x14ac:dyDescent="0.2">
      <c r="B31" s="212"/>
      <c r="C31" s="3"/>
      <c r="D31" s="3"/>
      <c r="E31" s="53"/>
      <c r="F31" s="213"/>
      <c r="G31" s="217"/>
      <c r="H31" s="214"/>
      <c r="I31" s="215"/>
    </row>
    <row r="32" spans="2:9" x14ac:dyDescent="0.2">
      <c r="B32" s="212"/>
      <c r="C32" s="34" t="s">
        <v>54</v>
      </c>
      <c r="D32" s="34"/>
      <c r="E32" s="53"/>
      <c r="F32" s="216">
        <f>SUM(F5:F31)</f>
        <v>1665218.4094306272</v>
      </c>
      <c r="G32" s="217">
        <f t="shared" si="0"/>
        <v>1</v>
      </c>
      <c r="H32" s="216">
        <f>SUM(H5:H31)</f>
        <v>30000</v>
      </c>
      <c r="I32" s="215"/>
    </row>
    <row r="33" spans="2:9" x14ac:dyDescent="0.2">
      <c r="B33" s="212"/>
      <c r="C33" s="53"/>
      <c r="D33" s="53"/>
      <c r="E33" s="53"/>
      <c r="F33" s="213"/>
      <c r="G33" s="53"/>
      <c r="H33" s="214"/>
      <c r="I33" s="215"/>
    </row>
    <row r="34" spans="2:9" ht="13.5" thickBot="1" x14ac:dyDescent="0.25">
      <c r="B34" s="218"/>
      <c r="C34" s="219"/>
      <c r="D34" s="219"/>
      <c r="E34" s="219"/>
      <c r="F34" s="220"/>
      <c r="G34" s="219"/>
      <c r="H34" s="221"/>
      <c r="I34" s="222"/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Urls xmlns="http://schemas.microsoft.com/sharepoint/v3/contenttype/forms/url">
  <Edit>_layouts/RK.Dhs/RKEditForm.aspx</Edit>
  <New>_layouts/RK.Dhs/RKEditForm.aspx</New>
</FormUrls>
</file>

<file path=customXml/item5.xml><?xml version="1.0" encoding="utf-8"?>
<LongProperties xmlns="http://schemas.microsoft.com/office/2006/metadata/longProperties"/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RKDokument" ma:contentTypeID="0x01010053E1D612BA3F4E21AA250ECD751942B3006F778B9470D87E4BA353C6AA74F40988" ma:contentTypeVersion="10" ma:contentTypeDescription="Skapa ett nytt dokument." ma:contentTypeScope="" ma:versionID="66c2baefc518d2d8c5b0c6d8fcc53489">
  <xsd:schema xmlns:xsd="http://www.w3.org/2001/XMLSchema" xmlns:xs="http://www.w3.org/2001/XMLSchema" xmlns:p="http://schemas.microsoft.com/office/2006/metadata/properties" xmlns:ns2="9fede613-ef1a-4478-8d3b-0cff805fb151" targetNamespace="http://schemas.microsoft.com/office/2006/metadata/properties" ma:root="true" ma:fieldsID="22a3294317e23a83222fb751c5f3111d" ns2:_="">
    <xsd:import namespace="9fede613-ef1a-4478-8d3b-0cff805fb15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Diarienummer" minOccurs="0"/>
                <xsd:element ref="ns2:Nyckelord" minOccurs="0"/>
                <xsd:element ref="ns2:Sekretess_x0020_m.m." minOccurs="0"/>
                <xsd:element ref="ns2:k46d94c0acf84ab9a79866a9d8b1905f" minOccurs="0"/>
                <xsd:element ref="ns2:c9cd366cc722410295b9eacffbd7390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de613-ef1a-4478-8d3b-0cff805fb15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331efc9c-9192-46af-94a4-03bcf57bb32a}" ma:internalName="TaxCatchAll" ma:showField="CatchAllData" ma:web="9fede613-ef1a-4478-8d3b-0cff805fb1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331efc9c-9192-46af-94a4-03bcf57bb32a}" ma:internalName="TaxCatchAllLabel" ma:readOnly="true" ma:showField="CatchAllDataLabel" ma:web="9fede613-ef1a-4478-8d3b-0cff805fb1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iarienummer" ma:index="13" nillable="true" ma:displayName="Diarienummer" ma:internalName="Diarienummer">
      <xsd:simpleType>
        <xsd:restriction base="dms:Text"/>
      </xsd:simpleType>
    </xsd:element>
    <xsd:element name="Nyckelord" ma:index="14" nillable="true" ma:displayName="Nyckelord" ma:internalName="Nyckelord">
      <xsd:simpleType>
        <xsd:restriction base="dms:Text"/>
      </xsd:simpleType>
    </xsd:element>
    <xsd:element name="Sekretess_x0020_m.m." ma:index="15" nillable="true" ma:displayName="Sekretess m.m." ma:internalName="Sekretess_x0020_m_x002e_m_x002e_">
      <xsd:simpleType>
        <xsd:restriction base="dms:Boolean"/>
      </xsd:simpleType>
    </xsd:element>
    <xsd:element name="k46d94c0acf84ab9a79866a9d8b1905f" ma:index="16" nillable="true" ma:taxonomy="true" ma:internalName="k46d94c0acf84ab9a79866a9d8b1905f" ma:taxonomyFieldName="RKDepartementsenhet" ma:displayName="Departement/enhet" ma:fieldId="{446d94c0-acf8-4ab9-a798-66a9d8b1905f}" ma:sspId="c94f65f0-adaa-4e77-b268-a4f99eefe5fc" ma:termSetId="45ad205f-092c-4ea4-aa45-736caa0a31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9cd366cc722410295b9eacffbd73909" ma:index="18" nillable="true" ma:taxonomy="true" ma:internalName="c9cd366cc722410295b9eacffbd73909" ma:taxonomyFieldName="RKAktivitetskategori" ma:displayName="Aktivitetskategori" ma:fieldId="{c9cd366c-c722-4102-95b9-eacffbd73909}" ma:sspId="c94f65f0-adaa-4e77-b268-a4f99eefe5fc" ma:termSetId="87ed9f0f-1fdd-47f5-a4b5-c96124763a1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ede613-ef1a-4478-8d3b-0cff805fb151"/>
    <Diarienummer xmlns="9fede613-ef1a-4478-8d3b-0cff805fb151" xsi:nil="true"/>
    <Sekretess_x0020_m.m. xmlns="9fede613-ef1a-4478-8d3b-0cff805fb151">false</Sekretess_x0020_m.m.>
    <Nyckelord xmlns="9fede613-ef1a-4478-8d3b-0cff805fb151" xsi:nil="true"/>
    <k46d94c0acf84ab9a79866a9d8b1905f xmlns="9fede613-ef1a-4478-8d3b-0cff805fb151">
      <Terms xmlns="http://schemas.microsoft.com/office/infopath/2007/PartnerControls"/>
    </k46d94c0acf84ab9a79866a9d8b1905f>
    <c9cd366cc722410295b9eacffbd73909 xmlns="9fede613-ef1a-4478-8d3b-0cff805fb151">
      <Terms xmlns="http://schemas.microsoft.com/office/infopath/2007/PartnerControls"/>
    </c9cd366cc722410295b9eacffbd73909>
    <_dlc_DocId xmlns="9fede613-ef1a-4478-8d3b-0cff805fb151">H2RM4RCWYCXE-18-13767</_dlc_DocId>
    <_dlc_DocIdUrl xmlns="9fede613-ef1a-4478-8d3b-0cff805fb151">
      <Url>http://rkdhs-s/enhet/sfoe/_layouts/DocIdRedir.aspx?ID=H2RM4RCWYCXE-18-13767</Url>
      <Description>H2RM4RCWYCXE-18-13767</Description>
    </_dlc_DocIdUrl>
  </documentManagement>
</p:properties>
</file>

<file path=customXml/itemProps1.xml><?xml version="1.0" encoding="utf-8"?>
<ds:datastoreItem xmlns:ds="http://schemas.openxmlformats.org/officeDocument/2006/customXml" ds:itemID="{E408E70E-9F4D-467D-AB9D-2F10C52B9A14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42AB4535-CF1A-4DA3-B6ED-1F502A854A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1A0236-B0E3-4843-8D90-7CACC5C2DA8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9714A4E-368B-461D-9ADA-0E28211B854B}">
  <ds:schemaRefs>
    <ds:schemaRef ds:uri="http://schemas.microsoft.com/sharepoint/v3/contenttype/forms/url"/>
  </ds:schemaRefs>
</ds:datastoreItem>
</file>

<file path=customXml/itemProps5.xml><?xml version="1.0" encoding="utf-8"?>
<ds:datastoreItem xmlns:ds="http://schemas.openxmlformats.org/officeDocument/2006/customXml" ds:itemID="{55472C5A-FABF-43C1-BEE5-6B15A4F1A578}">
  <ds:schemaRefs>
    <ds:schemaRef ds:uri="http://schemas.microsoft.com/office/2006/metadata/longProperties"/>
  </ds:schemaRefs>
</ds:datastoreItem>
</file>

<file path=customXml/itemProps6.xml><?xml version="1.0" encoding="utf-8"?>
<ds:datastoreItem xmlns:ds="http://schemas.openxmlformats.org/officeDocument/2006/customXml" ds:itemID="{9885F589-C90F-4480-94D8-BA93DA0BB7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ede613-ef1a-4478-8d3b-0cff805fb1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7.xml><?xml version="1.0" encoding="utf-8"?>
<ds:datastoreItem xmlns:ds="http://schemas.openxmlformats.org/officeDocument/2006/customXml" ds:itemID="{BE7362D4-6705-4370-8921-4A890FF68B7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9fede613-ef1a-4478-8d3b-0cff805fb15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RB 2013</vt:lpstr>
      <vt:lpstr>Utvecklingsmedel</vt:lpstr>
      <vt:lpstr>Blad1</vt:lpstr>
      <vt:lpstr>'RB 2013'!Utskriftsrubriker</vt:lpstr>
    </vt:vector>
  </TitlesOfParts>
  <Company>Regeringskansliet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Bilaga 2 - beräkning av anslagspost per länsstyrelse.xls</dc:title>
  <dc:creator>htn0420</dc:creator>
  <cp:lastModifiedBy>Johan Krabb</cp:lastModifiedBy>
  <cp:lastPrinted>2014-12-15T12:44:54Z</cp:lastPrinted>
  <dcterms:created xsi:type="dcterms:W3CDTF">2007-01-26T09:50:15Z</dcterms:created>
  <dcterms:modified xsi:type="dcterms:W3CDTF">2014-12-18T09:56:49Z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KOrdnaDepartement">
    <vt:lpwstr>Socialdepartementet</vt:lpwstr>
  </property>
  <property fmtid="{D5CDD505-2E9C-101B-9397-08002B2CF9AE}" pid="3" name="RKOrdnaActivityCategory">
    <vt:lpwstr>2. Budgetprocessen, styrning av statliga myndigheterna m.m.</vt:lpwstr>
  </property>
  <property fmtid="{D5CDD505-2E9C-101B-9397-08002B2CF9AE}" pid="4" name="QFMSP source name">
    <vt:lpwstr>Bil 7 förd modell.xls</vt:lpwstr>
  </property>
  <property fmtid="{D5CDD505-2E9C-101B-9397-08002B2CF9AE}" pid="5" name="Subject">
    <vt:lpwstr/>
  </property>
  <property fmtid="{D5CDD505-2E9C-101B-9397-08002B2CF9AE}" pid="6" name="Keywords">
    <vt:lpwstr/>
  </property>
  <property fmtid="{D5CDD505-2E9C-101B-9397-08002B2CF9AE}" pid="7" name="_Author">
    <vt:lpwstr>htn0420</vt:lpwstr>
  </property>
  <property fmtid="{D5CDD505-2E9C-101B-9397-08002B2CF9AE}" pid="8" name="_Category">
    <vt:lpwstr/>
  </property>
  <property fmtid="{D5CDD505-2E9C-101B-9397-08002B2CF9AE}" pid="9" name="Categories">
    <vt:lpwstr/>
  </property>
  <property fmtid="{D5CDD505-2E9C-101B-9397-08002B2CF9AE}" pid="10" name="Approval Level">
    <vt:lpwstr/>
  </property>
  <property fmtid="{D5CDD505-2E9C-101B-9397-08002B2CF9AE}" pid="11" name="_Comments">
    <vt:lpwstr/>
  </property>
  <property fmtid="{D5CDD505-2E9C-101B-9397-08002B2CF9AE}" pid="12" name="Assigned To">
    <vt:lpwstr/>
  </property>
  <property fmtid="{D5CDD505-2E9C-101B-9397-08002B2CF9AE}" pid="13" name="RKOrdnaDiarienummer">
    <vt:lpwstr/>
  </property>
  <property fmtid="{D5CDD505-2E9C-101B-9397-08002B2CF9AE}" pid="14" name="ContentType">
    <vt:lpwstr>Word</vt:lpwstr>
  </property>
  <property fmtid="{D5CDD505-2E9C-101B-9397-08002B2CF9AE}" pid="15" name="RKOrdnaSearchKeywords">
    <vt:lpwstr/>
  </property>
  <property fmtid="{D5CDD505-2E9C-101B-9397-08002B2CF9AE}" pid="16" name="RKOrdnaSarskildSkyddsvard">
    <vt:lpwstr>0</vt:lpwstr>
  </property>
  <property fmtid="{D5CDD505-2E9C-101B-9397-08002B2CF9AE}" pid="17" name="display_urn:schemas-microsoft-com:office:office#Editor">
    <vt:lpwstr>Mats Kryhl</vt:lpwstr>
  </property>
  <property fmtid="{D5CDD505-2E9C-101B-9397-08002B2CF9AE}" pid="18" name="xd_Signature">
    <vt:lpwstr/>
  </property>
  <property fmtid="{D5CDD505-2E9C-101B-9397-08002B2CF9AE}" pid="19" name="RKOrdnaCheckInComment">
    <vt:lpwstr/>
  </property>
  <property fmtid="{D5CDD505-2E9C-101B-9397-08002B2CF9AE}" pid="20" name="TemplateUrl">
    <vt:lpwstr/>
  </property>
  <property fmtid="{D5CDD505-2E9C-101B-9397-08002B2CF9AE}" pid="21" name="RKOrdnaClass">
    <vt:lpwstr>3</vt:lpwstr>
  </property>
  <property fmtid="{D5CDD505-2E9C-101B-9397-08002B2CF9AE}" pid="22" name="xd_ProgID">
    <vt:lpwstr/>
  </property>
  <property fmtid="{D5CDD505-2E9C-101B-9397-08002B2CF9AE}" pid="23" name="display_urn:schemas-microsoft-com:office:office#Author">
    <vt:lpwstr>Mats Kryhl</vt:lpwstr>
  </property>
  <property fmtid="{D5CDD505-2E9C-101B-9397-08002B2CF9AE}" pid="24" name="Order">
    <vt:lpwstr>1489200.00000000</vt:lpwstr>
  </property>
  <property fmtid="{D5CDD505-2E9C-101B-9397-08002B2CF9AE}" pid="25" name="ContentTypeId">
    <vt:lpwstr>0x01010053E1D612BA3F4E21AA250ECD751942B3006F778B9470D87E4BA353C6AA74F40988</vt:lpwstr>
  </property>
  <property fmtid="{D5CDD505-2E9C-101B-9397-08002B2CF9AE}" pid="26" name="_dlc_DocId">
    <vt:lpwstr>H2RM4RCWYCXE-18-11918</vt:lpwstr>
  </property>
  <property fmtid="{D5CDD505-2E9C-101B-9397-08002B2CF9AE}" pid="27" name="_dlc_DocIdItemGuid">
    <vt:lpwstr>2e1020f3-847d-4498-b8cd-b7e33dc5a7ff</vt:lpwstr>
  </property>
  <property fmtid="{D5CDD505-2E9C-101B-9397-08002B2CF9AE}" pid="28" name="_dlc_DocIdUrl">
    <vt:lpwstr>http://rkdhs-s/enhet/sfoe/_layouts/DocIdRedir.aspx?ID=H2RM4RCWYCXE-18-11918, H2RM4RCWYCXE-18-11918</vt:lpwstr>
  </property>
  <property fmtid="{D5CDD505-2E9C-101B-9397-08002B2CF9AE}" pid="29" name="RKDepartementsenhet">
    <vt:lpwstr/>
  </property>
  <property fmtid="{D5CDD505-2E9C-101B-9397-08002B2CF9AE}" pid="30" name="RKAktivitetskategori">
    <vt:lpwstr/>
  </property>
</Properties>
</file>