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8795" windowHeight="8205" tabRatio="598" activeTab="1"/>
  </bookViews>
  <sheets>
    <sheet name="RB 2016" sheetId="3" r:id="rId1"/>
    <sheet name="Utvecklingsmedel" sheetId="6" r:id="rId2"/>
  </sheets>
  <definedNames>
    <definedName name="_xlnm.Print_Titles" localSheetId="0">'RB 2016'!$H:$I</definedName>
  </definedNames>
  <calcPr calcId="145621"/>
</workbook>
</file>

<file path=xl/calcChain.xml><?xml version="1.0" encoding="utf-8"?>
<calcChain xmlns="http://schemas.openxmlformats.org/spreadsheetml/2006/main">
  <c r="CW25" i="3" l="1"/>
  <c r="C11" i="3" l="1"/>
  <c r="AO10" i="3"/>
  <c r="AN30" i="3"/>
  <c r="AN27" i="3"/>
  <c r="AN2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L28" i="3"/>
  <c r="AL27" i="3"/>
  <c r="AL26" i="3"/>
  <c r="AL25" i="3"/>
  <c r="AL24" i="3"/>
  <c r="AL23" i="3"/>
  <c r="AL22" i="3"/>
  <c r="AL19" i="3"/>
  <c r="AL18" i="3"/>
  <c r="AL17" i="3"/>
  <c r="AL16" i="3"/>
  <c r="AL15" i="3"/>
  <c r="AL14" i="3"/>
  <c r="AL13" i="3"/>
  <c r="AL12" i="3"/>
  <c r="AL11" i="3"/>
  <c r="AL10" i="3"/>
  <c r="AK30" i="3"/>
  <c r="AK29" i="3"/>
  <c r="AK27" i="3"/>
  <c r="AK26" i="3"/>
  <c r="AK21" i="3"/>
  <c r="AK20" i="3"/>
  <c r="AK19" i="3"/>
  <c r="AK18" i="3"/>
  <c r="AK17" i="3"/>
  <c r="AK16" i="3"/>
  <c r="AK13" i="3"/>
  <c r="AK12" i="3"/>
  <c r="AK11" i="3"/>
  <c r="AK10" i="3"/>
  <c r="AI30" i="3"/>
  <c r="AI26" i="3"/>
  <c r="AI21" i="3"/>
  <c r="AI19" i="3"/>
  <c r="AI10" i="3"/>
  <c r="AH19" i="3"/>
  <c r="AH18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D23" i="3"/>
  <c r="AC21" i="3"/>
  <c r="AC19" i="3"/>
  <c r="AC10" i="3"/>
  <c r="Z30" i="3"/>
  <c r="Z29" i="3"/>
  <c r="Z28" i="3"/>
  <c r="T15" i="3"/>
  <c r="S30" i="3"/>
  <c r="S29" i="3"/>
  <c r="S28" i="3"/>
  <c r="S27" i="3"/>
  <c r="S26" i="3"/>
  <c r="S25" i="3"/>
  <c r="S24" i="3"/>
  <c r="S23" i="3"/>
  <c r="S22" i="3"/>
  <c r="S21" i="3"/>
  <c r="S11" i="3"/>
  <c r="R21" i="3"/>
  <c r="P30" i="3"/>
  <c r="P29" i="3"/>
  <c r="P28" i="3"/>
  <c r="P27" i="3"/>
  <c r="P26" i="3"/>
  <c r="P25" i="3"/>
  <c r="P23" i="3"/>
  <c r="P22" i="3"/>
  <c r="P21" i="3"/>
  <c r="M21" i="3"/>
  <c r="L30" i="3"/>
  <c r="L29" i="3"/>
  <c r="L28" i="3"/>
  <c r="AQ11" i="3" l="1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10" i="3"/>
  <c r="AA31" i="3" l="1"/>
  <c r="CT11" i="3" l="1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10" i="3"/>
  <c r="AQ33" i="3"/>
  <c r="O10" i="3" l="1"/>
  <c r="Z31" i="3" l="1"/>
  <c r="Z37" i="3" s="1"/>
  <c r="T31" i="3"/>
  <c r="T37" i="3" s="1"/>
  <c r="R31" i="3"/>
  <c r="R37" i="3" s="1"/>
  <c r="O31" i="3"/>
  <c r="O37" i="3" s="1"/>
  <c r="M31" i="3"/>
  <c r="M37" i="3" s="1"/>
  <c r="AO31" i="3"/>
  <c r="AO37" i="3" s="1"/>
  <c r="AN31" i="3"/>
  <c r="AN37" i="3" s="1"/>
  <c r="AL31" i="3"/>
  <c r="AL37" i="3" s="1"/>
  <c r="AQ35" i="3"/>
  <c r="AQ34" i="3"/>
  <c r="AQ32" i="3"/>
  <c r="CW34" i="3"/>
  <c r="AK31" i="3"/>
  <c r="AK37" i="3" s="1"/>
  <c r="CR18" i="3"/>
  <c r="CR22" i="3"/>
  <c r="CR26" i="3"/>
  <c r="AM31" i="3"/>
  <c r="AM37" i="3" s="1"/>
  <c r="AJ31" i="3"/>
  <c r="AJ37" i="3" s="1"/>
  <c r="C7" i="3"/>
  <c r="C10" i="3"/>
  <c r="BZ10" i="3"/>
  <c r="BZ13" i="3"/>
  <c r="BZ15" i="3"/>
  <c r="BZ17" i="3"/>
  <c r="BZ19" i="3"/>
  <c r="CS19" i="3"/>
  <c r="BZ20" i="3"/>
  <c r="BZ21" i="3"/>
  <c r="CS21" i="3"/>
  <c r="BZ22" i="3"/>
  <c r="BZ23" i="3"/>
  <c r="BZ24" i="3"/>
  <c r="BZ25" i="3"/>
  <c r="BZ26" i="3"/>
  <c r="BZ27" i="3"/>
  <c r="BZ28" i="3"/>
  <c r="BZ29" i="3"/>
  <c r="BZ30" i="3"/>
  <c r="AG31" i="3"/>
  <c r="AG37" i="3" s="1"/>
  <c r="BM49" i="3"/>
  <c r="BM46" i="3"/>
  <c r="BR31" i="3"/>
  <c r="AD31" i="3"/>
  <c r="AD37" i="3" s="1"/>
  <c r="AB31" i="3"/>
  <c r="AB37" i="3" s="1"/>
  <c r="Y31" i="3"/>
  <c r="Y37" i="3" s="1"/>
  <c r="AQ36" i="3"/>
  <c r="X31" i="3"/>
  <c r="X37" i="3" s="1"/>
  <c r="Q31" i="3"/>
  <c r="Q37" i="3"/>
  <c r="BM48" i="3"/>
  <c r="N31" i="3"/>
  <c r="N37" i="3" s="1"/>
  <c r="U31" i="3"/>
  <c r="U37" i="3" s="1"/>
  <c r="V31" i="3"/>
  <c r="V37" i="3" s="1"/>
  <c r="W31" i="3"/>
  <c r="W37" i="3" s="1"/>
  <c r="CG11" i="3"/>
  <c r="CH11" i="3"/>
  <c r="CG10" i="3"/>
  <c r="CH10" i="3"/>
  <c r="CK10" i="3" s="1"/>
  <c r="CG12" i="3"/>
  <c r="CK12" i="3" s="1"/>
  <c r="CH12" i="3"/>
  <c r="CG13" i="3"/>
  <c r="CH13" i="3"/>
  <c r="CG14" i="3"/>
  <c r="CH14" i="3"/>
  <c r="CG15" i="3"/>
  <c r="CH15" i="3"/>
  <c r="CK15" i="3" s="1"/>
  <c r="CG16" i="3"/>
  <c r="CK16" i="3" s="1"/>
  <c r="CH16" i="3"/>
  <c r="CG17" i="3"/>
  <c r="CH17" i="3"/>
  <c r="CG18" i="3"/>
  <c r="CH18" i="3"/>
  <c r="CG19" i="3"/>
  <c r="CH19" i="3"/>
  <c r="CK19" i="3" s="1"/>
  <c r="CG20" i="3"/>
  <c r="CK20" i="3" s="1"/>
  <c r="CH20" i="3"/>
  <c r="CG21" i="3"/>
  <c r="CH21" i="3"/>
  <c r="CG22" i="3"/>
  <c r="CH22" i="3"/>
  <c r="CG23" i="3"/>
  <c r="CH23" i="3"/>
  <c r="CG24" i="3"/>
  <c r="CH24" i="3"/>
  <c r="CG25" i="3"/>
  <c r="CH25" i="3"/>
  <c r="CG26" i="3"/>
  <c r="CH26" i="3"/>
  <c r="CG27" i="3"/>
  <c r="CH27" i="3"/>
  <c r="CG28" i="3"/>
  <c r="CH28" i="3"/>
  <c r="CG29" i="3"/>
  <c r="CH29" i="3"/>
  <c r="CK29" i="3" s="1"/>
  <c r="CG30" i="3"/>
  <c r="CH30" i="3"/>
  <c r="AS10" i="3"/>
  <c r="AT8" i="3"/>
  <c r="AT12" i="3" s="1"/>
  <c r="AS11" i="3"/>
  <c r="AS12" i="3"/>
  <c r="AS13" i="3"/>
  <c r="AS14" i="3"/>
  <c r="AT14" i="3" s="1"/>
  <c r="AS15" i="3"/>
  <c r="AT15" i="3" s="1"/>
  <c r="AS16" i="3"/>
  <c r="AS17" i="3"/>
  <c r="AS18" i="3"/>
  <c r="AT18" i="3" s="1"/>
  <c r="AS19" i="3"/>
  <c r="AS20" i="3"/>
  <c r="AS21" i="3"/>
  <c r="AS22" i="3"/>
  <c r="AT22" i="3" s="1"/>
  <c r="AS23" i="3"/>
  <c r="AS24" i="3"/>
  <c r="AS25" i="3"/>
  <c r="AS26" i="3"/>
  <c r="AT26" i="3" s="1"/>
  <c r="AS27" i="3"/>
  <c r="AT27" i="3" s="1"/>
  <c r="AS28" i="3"/>
  <c r="AS29" i="3"/>
  <c r="AS30" i="3"/>
  <c r="AT30" i="3" s="1"/>
  <c r="AS31" i="3"/>
  <c r="CM9" i="3"/>
  <c r="CT31" i="3"/>
  <c r="BL31" i="3"/>
  <c r="BM31" i="3"/>
  <c r="BN31" i="3"/>
  <c r="BO31" i="3"/>
  <c r="BP31" i="3"/>
  <c r="BQ31" i="3"/>
  <c r="BK31" i="3"/>
  <c r="CK22" i="3"/>
  <c r="BZ18" i="3"/>
  <c r="BZ16" i="3"/>
  <c r="BZ14" i="3"/>
  <c r="BZ11" i="3"/>
  <c r="BZ12" i="3"/>
  <c r="AA37" i="3"/>
  <c r="CK21" i="3"/>
  <c r="CS31" i="3"/>
  <c r="CG31" i="3" l="1"/>
  <c r="AH31" i="3"/>
  <c r="AH37" i="3" s="1"/>
  <c r="AT28" i="3"/>
  <c r="AT10" i="3"/>
  <c r="AT31" i="3" s="1"/>
  <c r="AT20" i="3"/>
  <c r="CK28" i="3"/>
  <c r="CK26" i="3"/>
  <c r="CL26" i="3" s="1"/>
  <c r="CM26" i="3" s="1"/>
  <c r="AT17" i="3"/>
  <c r="AT25" i="3"/>
  <c r="CK27" i="3"/>
  <c r="AT24" i="3"/>
  <c r="AT23" i="3"/>
  <c r="AT11" i="3"/>
  <c r="CK24" i="3"/>
  <c r="CK14" i="3"/>
  <c r="CR16" i="3"/>
  <c r="CR12" i="3"/>
  <c r="AE31" i="3"/>
  <c r="AE37" i="3" s="1"/>
  <c r="CR11" i="3"/>
  <c r="AT29" i="3"/>
  <c r="AT21" i="3"/>
  <c r="AT13" i="3"/>
  <c r="CK25" i="3"/>
  <c r="AT19" i="3"/>
  <c r="AT16" i="3"/>
  <c r="CK18" i="3"/>
  <c r="CK11" i="3"/>
  <c r="CK30" i="3"/>
  <c r="CK23" i="3"/>
  <c r="CK17" i="3"/>
  <c r="CK13" i="3"/>
  <c r="BZ31" i="3"/>
  <c r="CK31" i="3"/>
  <c r="CL23" i="3" s="1"/>
  <c r="CM23" i="3" s="1"/>
  <c r="CL14" i="3"/>
  <c r="CM14" i="3" s="1"/>
  <c r="CR24" i="3"/>
  <c r="CH31" i="3"/>
  <c r="CR25" i="3"/>
  <c r="CR29" i="3"/>
  <c r="AC31" i="3"/>
  <c r="AC37" i="3" s="1"/>
  <c r="CR20" i="3"/>
  <c r="CR15" i="3"/>
  <c r="CR30" i="3"/>
  <c r="CR13" i="3"/>
  <c r="CR17" i="3"/>
  <c r="CR10" i="3"/>
  <c r="AI31" i="3"/>
  <c r="AI37" i="3" s="1"/>
  <c r="CR27" i="3"/>
  <c r="CR14" i="3"/>
  <c r="CR21" i="3"/>
  <c r="CR19" i="3"/>
  <c r="CR23" i="3"/>
  <c r="S31" i="3"/>
  <c r="S37" i="3" s="1"/>
  <c r="CR28" i="3"/>
  <c r="P31" i="3"/>
  <c r="P37" i="3" s="1"/>
  <c r="L31" i="3"/>
  <c r="L37" i="3" s="1"/>
  <c r="CL18" i="3" l="1"/>
  <c r="CM18" i="3" s="1"/>
  <c r="CL20" i="3"/>
  <c r="CM20" i="3" s="1"/>
  <c r="CL21" i="3"/>
  <c r="CM21" i="3" s="1"/>
  <c r="CL19" i="3"/>
  <c r="CM19" i="3" s="1"/>
  <c r="CL25" i="3"/>
  <c r="CM25" i="3" s="1"/>
  <c r="CL16" i="3"/>
  <c r="CM16" i="3" s="1"/>
  <c r="CL10" i="3"/>
  <c r="CM10" i="3" s="1"/>
  <c r="CM31" i="3" s="1"/>
  <c r="CL13" i="3"/>
  <c r="CM13" i="3" s="1"/>
  <c r="CL11" i="3"/>
  <c r="CM11" i="3" s="1"/>
  <c r="CL17" i="3"/>
  <c r="CM17" i="3" s="1"/>
  <c r="CL12" i="3"/>
  <c r="CM12" i="3" s="1"/>
  <c r="CL28" i="3"/>
  <c r="CM28" i="3" s="1"/>
  <c r="CL24" i="3"/>
  <c r="CM24" i="3" s="1"/>
  <c r="CL27" i="3"/>
  <c r="CM27" i="3" s="1"/>
  <c r="CL15" i="3"/>
  <c r="CM15" i="3" s="1"/>
  <c r="CL22" i="3"/>
  <c r="CM22" i="3" s="1"/>
  <c r="CL29" i="3"/>
  <c r="CM29" i="3" s="1"/>
  <c r="CL30" i="3"/>
  <c r="CM30" i="3" s="1"/>
  <c r="CR31" i="3"/>
  <c r="AQ31" i="3"/>
  <c r="AQ37" i="3" s="1"/>
  <c r="C9" i="3" s="1"/>
  <c r="C13" i="3" s="1"/>
  <c r="C16" i="3" l="1"/>
  <c r="BO35" i="3" s="1"/>
  <c r="CL31" i="3"/>
  <c r="BO43" i="3" l="1"/>
  <c r="CB19" i="3" s="1"/>
  <c r="BO40" i="3"/>
  <c r="BY26" i="3" s="1"/>
  <c r="BO37" i="3"/>
  <c r="BW17" i="3" s="1"/>
  <c r="BO39" i="3"/>
  <c r="BX27" i="3" s="1"/>
  <c r="CB28" i="3"/>
  <c r="BO42" i="3"/>
  <c r="CA15" i="3" s="1"/>
  <c r="BO41" i="3"/>
  <c r="CB17" i="3"/>
  <c r="CB20" i="3"/>
  <c r="BO44" i="3"/>
  <c r="CC10" i="3" s="1"/>
  <c r="BO45" i="3"/>
  <c r="CD13" i="3" s="1"/>
  <c r="CB25" i="3"/>
  <c r="CB24" i="3"/>
  <c r="CB30" i="3"/>
  <c r="BW22" i="3"/>
  <c r="BX22" i="3"/>
  <c r="CD12" i="3"/>
  <c r="BY11" i="3"/>
  <c r="BW16" i="3"/>
  <c r="BW12" i="3"/>
  <c r="BW11" i="3"/>
  <c r="CA21" i="3"/>
  <c r="BW23" i="3"/>
  <c r="BW10" i="3"/>
  <c r="BW19" i="3"/>
  <c r="CD18" i="3"/>
  <c r="BY22" i="3" l="1"/>
  <c r="BY28" i="3"/>
  <c r="CA12" i="3"/>
  <c r="BY24" i="3"/>
  <c r="BY17" i="3"/>
  <c r="CA17" i="3"/>
  <c r="CA11" i="3"/>
  <c r="CA10" i="3"/>
  <c r="CA26" i="3"/>
  <c r="CA14" i="3"/>
  <c r="CA13" i="3"/>
  <c r="BY12" i="3"/>
  <c r="BY10" i="3"/>
  <c r="CA27" i="3"/>
  <c r="CA22" i="3"/>
  <c r="BY16" i="3"/>
  <c r="CA23" i="3"/>
  <c r="BY30" i="3"/>
  <c r="CA30" i="3"/>
  <c r="CA19" i="3"/>
  <c r="CA16" i="3"/>
  <c r="CA29" i="3"/>
  <c r="BY29" i="3"/>
  <c r="BY20" i="3"/>
  <c r="BY18" i="3"/>
  <c r="CA20" i="3"/>
  <c r="BY15" i="3"/>
  <c r="BY25" i="3"/>
  <c r="CB12" i="3"/>
  <c r="CA28" i="3"/>
  <c r="CA18" i="3"/>
  <c r="CA24" i="3"/>
  <c r="CA25" i="3"/>
  <c r="BY21" i="3"/>
  <c r="BY19" i="3"/>
  <c r="BY23" i="3"/>
  <c r="BY27" i="3"/>
  <c r="BY14" i="3"/>
  <c r="BY31" i="3" s="1"/>
  <c r="BY13" i="3"/>
  <c r="CD14" i="3"/>
  <c r="CD16" i="3"/>
  <c r="BX18" i="3"/>
  <c r="CD22" i="3"/>
  <c r="BW15" i="3"/>
  <c r="BW28" i="3"/>
  <c r="CD20" i="3"/>
  <c r="CD29" i="3"/>
  <c r="CD10" i="3"/>
  <c r="CB23" i="3"/>
  <c r="CB21" i="3"/>
  <c r="CD23" i="3"/>
  <c r="CD26" i="3"/>
  <c r="CD28" i="3"/>
  <c r="CD21" i="3"/>
  <c r="CC29" i="3"/>
  <c r="BX26" i="3"/>
  <c r="BX19" i="3"/>
  <c r="BX25" i="3"/>
  <c r="BX10" i="3"/>
  <c r="BW30" i="3"/>
  <c r="BX14" i="3"/>
  <c r="BW25" i="3"/>
  <c r="BW20" i="3"/>
  <c r="BX23" i="3"/>
  <c r="BW14" i="3"/>
  <c r="BX30" i="3"/>
  <c r="BX16" i="3"/>
  <c r="BX29" i="3"/>
  <c r="BX20" i="3"/>
  <c r="BX21" i="3"/>
  <c r="BX28" i="3"/>
  <c r="BX24" i="3"/>
  <c r="BX13" i="3"/>
  <c r="BW24" i="3"/>
  <c r="BX15" i="3"/>
  <c r="BW27" i="3"/>
  <c r="BW29" i="3"/>
  <c r="BW21" i="3"/>
  <c r="BW13" i="3"/>
  <c r="BW26" i="3"/>
  <c r="BX17" i="3"/>
  <c r="BW18" i="3"/>
  <c r="BX12" i="3"/>
  <c r="BX11" i="3"/>
  <c r="CB13" i="3"/>
  <c r="CB15" i="3"/>
  <c r="CB22" i="3"/>
  <c r="CB11" i="3"/>
  <c r="CB29" i="3"/>
  <c r="CB16" i="3"/>
  <c r="CB18" i="3"/>
  <c r="CB26" i="3"/>
  <c r="CB27" i="3"/>
  <c r="CB10" i="3"/>
  <c r="CB14" i="3"/>
  <c r="CC30" i="3"/>
  <c r="CC28" i="3"/>
  <c r="CC23" i="3"/>
  <c r="CD11" i="3"/>
  <c r="CD27" i="3"/>
  <c r="CC20" i="3"/>
  <c r="CC22" i="3"/>
  <c r="CE22" i="3" s="1"/>
  <c r="F17" i="6" s="1"/>
  <c r="BO46" i="3"/>
  <c r="CC11" i="3"/>
  <c r="CC16" i="3"/>
  <c r="CC26" i="3"/>
  <c r="CD17" i="3"/>
  <c r="CC17" i="3"/>
  <c r="CD19" i="3"/>
  <c r="CD25" i="3"/>
  <c r="CD15" i="3"/>
  <c r="CC15" i="3"/>
  <c r="CD24" i="3"/>
  <c r="CC21" i="3"/>
  <c r="CE21" i="3" s="1"/>
  <c r="CU21" i="3" s="1"/>
  <c r="CD30" i="3"/>
  <c r="CC19" i="3"/>
  <c r="CC14" i="3"/>
  <c r="CC18" i="3"/>
  <c r="CE18" i="3" s="1"/>
  <c r="F13" i="6" s="1"/>
  <c r="CC13" i="3"/>
  <c r="CC24" i="3"/>
  <c r="CC25" i="3"/>
  <c r="CC27" i="3"/>
  <c r="CC12" i="3"/>
  <c r="CE30" i="3" l="1"/>
  <c r="F25" i="6" s="1"/>
  <c r="CA31" i="3"/>
  <c r="CE27" i="3"/>
  <c r="F22" i="6" s="1"/>
  <c r="CE26" i="3"/>
  <c r="F21" i="6" s="1"/>
  <c r="CE23" i="3"/>
  <c r="F18" i="6" s="1"/>
  <c r="CE19" i="3"/>
  <c r="F14" i="6" s="1"/>
  <c r="CB31" i="3"/>
  <c r="BW31" i="3"/>
  <c r="CE28" i="3"/>
  <c r="CU28" i="3" s="1"/>
  <c r="CW28" i="3" s="1"/>
  <c r="DA28" i="3" s="1"/>
  <c r="BX31" i="3"/>
  <c r="CE29" i="3"/>
  <c r="F24" i="6" s="1"/>
  <c r="CE16" i="3"/>
  <c r="CU16" i="3" s="1"/>
  <c r="CW16" i="3" s="1"/>
  <c r="DA16" i="3" s="1"/>
  <c r="CE20" i="3"/>
  <c r="F15" i="6" s="1"/>
  <c r="CE10" i="3"/>
  <c r="F5" i="6" s="1"/>
  <c r="CE25" i="3"/>
  <c r="F20" i="6" s="1"/>
  <c r="CE14" i="3"/>
  <c r="F9" i="6" s="1"/>
  <c r="CD31" i="3"/>
  <c r="CE12" i="3"/>
  <c r="F7" i="6" s="1"/>
  <c r="CE13" i="3"/>
  <c r="CU13" i="3" s="1"/>
  <c r="CW13" i="3" s="1"/>
  <c r="DA13" i="3" s="1"/>
  <c r="CC31" i="3"/>
  <c r="CE24" i="3"/>
  <c r="F19" i="6" s="1"/>
  <c r="CE15" i="3"/>
  <c r="F10" i="6" s="1"/>
  <c r="CE17" i="3"/>
  <c r="CU17" i="3" s="1"/>
  <c r="CW17" i="3" s="1"/>
  <c r="DA17" i="3" s="1"/>
  <c r="CE11" i="3"/>
  <c r="CU11" i="3" s="1"/>
  <c r="CW11" i="3" s="1"/>
  <c r="DA11" i="3" s="1"/>
  <c r="CW21" i="3"/>
  <c r="DA21" i="3" s="1"/>
  <c r="CU27" i="3"/>
  <c r="CW27" i="3" s="1"/>
  <c r="DA27" i="3" s="1"/>
  <c r="CU20" i="3"/>
  <c r="CW20" i="3" s="1"/>
  <c r="DA20" i="3" s="1"/>
  <c r="CU22" i="3"/>
  <c r="CW22" i="3" s="1"/>
  <c r="DA22" i="3" s="1"/>
  <c r="CU18" i="3"/>
  <c r="CW18" i="3" s="1"/>
  <c r="F12" i="6"/>
  <c r="F16" i="6"/>
  <c r="CU29" i="3"/>
  <c r="CW29" i="3" s="1"/>
  <c r="DA29" i="3" s="1"/>
  <c r="CU14" i="3"/>
  <c r="CW14" i="3" s="1"/>
  <c r="DA14" i="3" s="1"/>
  <c r="CU30" i="3"/>
  <c r="CW30" i="3" s="1"/>
  <c r="DA30" i="3" s="1"/>
  <c r="CU26" i="3"/>
  <c r="CW26" i="3" s="1"/>
  <c r="DA26" i="3" s="1"/>
  <c r="CU19" i="3" l="1"/>
  <c r="CW19" i="3" s="1"/>
  <c r="DA19" i="3" s="1"/>
  <c r="F11" i="6"/>
  <c r="CU23" i="3"/>
  <c r="CW23" i="3" s="1"/>
  <c r="DA23" i="3" s="1"/>
  <c r="CE31" i="3"/>
  <c r="F23" i="6"/>
  <c r="CU15" i="3"/>
  <c r="CW15" i="3" s="1"/>
  <c r="DA15" i="3" s="1"/>
  <c r="CU24" i="3"/>
  <c r="CW24" i="3" s="1"/>
  <c r="DA24" i="3" s="1"/>
  <c r="CU10" i="3"/>
  <c r="CW10" i="3" s="1"/>
  <c r="CU25" i="3"/>
  <c r="DA25" i="3" s="1"/>
  <c r="CU12" i="3"/>
  <c r="CW12" i="3" s="1"/>
  <c r="DA12" i="3" s="1"/>
  <c r="F6" i="6"/>
  <c r="F8" i="6"/>
  <c r="DA18" i="3"/>
  <c r="CW31" i="3" l="1"/>
  <c r="CW37" i="3" s="1"/>
  <c r="DA10" i="3"/>
  <c r="CU31" i="3"/>
  <c r="F32" i="6"/>
  <c r="G25" i="6" s="1"/>
  <c r="H25" i="6" s="1"/>
  <c r="DA31" i="3"/>
  <c r="G7" i="6"/>
  <c r="H7" i="6" s="1"/>
  <c r="G13" i="6"/>
  <c r="H13" i="6" s="1"/>
  <c r="G24" i="6"/>
  <c r="H24" i="6" s="1"/>
  <c r="G9" i="6"/>
  <c r="H9" i="6" s="1"/>
  <c r="G32" i="6"/>
  <c r="G20" i="6" l="1"/>
  <c r="H20" i="6" s="1"/>
  <c r="G21" i="6"/>
  <c r="H21" i="6" s="1"/>
  <c r="G15" i="6"/>
  <c r="H15" i="6" s="1"/>
  <c r="G16" i="6"/>
  <c r="H16" i="6" s="1"/>
  <c r="G11" i="6"/>
  <c r="H11" i="6" s="1"/>
  <c r="G14" i="6"/>
  <c r="H14" i="6" s="1"/>
  <c r="G8" i="6"/>
  <c r="H8" i="6" s="1"/>
  <c r="G10" i="6"/>
  <c r="H10" i="6" s="1"/>
  <c r="G17" i="6"/>
  <c r="H17" i="6" s="1"/>
  <c r="CX10" i="3"/>
  <c r="G22" i="6"/>
  <c r="H22" i="6" s="1"/>
  <c r="G6" i="6"/>
  <c r="H6" i="6" s="1"/>
  <c r="G19" i="6"/>
  <c r="H19" i="6" s="1"/>
  <c r="G12" i="6"/>
  <c r="H12" i="6" s="1"/>
  <c r="G5" i="6"/>
  <c r="H5" i="6" s="1"/>
  <c r="G23" i="6"/>
  <c r="H23" i="6" s="1"/>
  <c r="G18" i="6"/>
  <c r="H18" i="6" s="1"/>
  <c r="CX14" i="3"/>
  <c r="CX18" i="3"/>
  <c r="CX28" i="3"/>
  <c r="CX30" i="3"/>
  <c r="CX26" i="3"/>
  <c r="CX15" i="3"/>
  <c r="CX23" i="3"/>
  <c r="CX25" i="3"/>
  <c r="CX19" i="3"/>
  <c r="CX21" i="3"/>
  <c r="CX12" i="3"/>
  <c r="CX20" i="3"/>
  <c r="CX17" i="3"/>
  <c r="CX22" i="3"/>
  <c r="CX13" i="3"/>
  <c r="CX29" i="3"/>
  <c r="CX16" i="3"/>
  <c r="CX31" i="3"/>
  <c r="CX11" i="3"/>
  <c r="CX27" i="3"/>
  <c r="CX24" i="3"/>
  <c r="H32" i="6" l="1"/>
</calcChain>
</file>

<file path=xl/sharedStrings.xml><?xml version="1.0" encoding="utf-8"?>
<sst xmlns="http://schemas.openxmlformats.org/spreadsheetml/2006/main" count="313" uniqueCount="187">
  <si>
    <t>Summa</t>
  </si>
  <si>
    <t>Kronoberg</t>
  </si>
  <si>
    <t>Uppsala</t>
  </si>
  <si>
    <t>Kalmar</t>
  </si>
  <si>
    <t>Blekinge</t>
  </si>
  <si>
    <t>Skåne</t>
  </si>
  <si>
    <t>Dalarna</t>
  </si>
  <si>
    <t>Gotland</t>
  </si>
  <si>
    <t>Stockholm</t>
  </si>
  <si>
    <t>Gävleborg</t>
  </si>
  <si>
    <t>O</t>
  </si>
  <si>
    <t>Avgår riktade medel</t>
  </si>
  <si>
    <t>AB</t>
  </si>
  <si>
    <t>C</t>
  </si>
  <si>
    <t>D</t>
  </si>
  <si>
    <t>Södermanland</t>
  </si>
  <si>
    <t>E</t>
  </si>
  <si>
    <t>Östergötland</t>
  </si>
  <si>
    <t>F</t>
  </si>
  <si>
    <t>Jönköping</t>
  </si>
  <si>
    <t>G</t>
  </si>
  <si>
    <t>H</t>
  </si>
  <si>
    <t>I</t>
  </si>
  <si>
    <t>K</t>
  </si>
  <si>
    <t>M</t>
  </si>
  <si>
    <t>N</t>
  </si>
  <si>
    <t>Halland</t>
  </si>
  <si>
    <t>Västra Götaland</t>
  </si>
  <si>
    <t>S</t>
  </si>
  <si>
    <t>Värmland</t>
  </si>
  <si>
    <t>T</t>
  </si>
  <si>
    <t>Örebro</t>
  </si>
  <si>
    <t>U</t>
  </si>
  <si>
    <t>Västmanland</t>
  </si>
  <si>
    <t>W</t>
  </si>
  <si>
    <t>X</t>
  </si>
  <si>
    <t>Y</t>
  </si>
  <si>
    <t>Västernorrland</t>
  </si>
  <si>
    <t>Z</t>
  </si>
  <si>
    <t>Jämtland</t>
  </si>
  <si>
    <t>AC</t>
  </si>
  <si>
    <t>Västerbotten</t>
  </si>
  <si>
    <t>BD</t>
  </si>
  <si>
    <t>Norrbotten</t>
  </si>
  <si>
    <t>Ofördelat</t>
  </si>
  <si>
    <t>Reg. disp</t>
  </si>
  <si>
    <t>RK-disp</t>
  </si>
  <si>
    <t>Rennäring</t>
  </si>
  <si>
    <t>medel</t>
  </si>
  <si>
    <t>Att fördela</t>
  </si>
  <si>
    <t>6*3 mnkr</t>
  </si>
  <si>
    <t>Till modellen</t>
  </si>
  <si>
    <t>Gammal modell</t>
  </si>
  <si>
    <t>Andel</t>
  </si>
  <si>
    <t>Summa tot</t>
  </si>
  <si>
    <t>Summa lst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</si>
  <si>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</si>
  <si>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</si>
  <si>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</si>
  <si>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</si>
  <si>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</si>
  <si>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</si>
  <si>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naturreservat</t>
  </si>
  <si>
    <t>länsanslag</t>
  </si>
  <si>
    <t>Miljöavgifter</t>
  </si>
  <si>
    <t>folkmängd</t>
  </si>
  <si>
    <t xml:space="preserve">areal </t>
  </si>
  <si>
    <t>kommun-</t>
  </si>
  <si>
    <t>reser-</t>
  </si>
  <si>
    <t>läns-</t>
  </si>
  <si>
    <t>miljöavgift</t>
  </si>
  <si>
    <t>inkl strand</t>
  </si>
  <si>
    <t>antal</t>
  </si>
  <si>
    <t>vat</t>
  </si>
  <si>
    <t>anslag</t>
  </si>
  <si>
    <t>SUMMA</t>
  </si>
  <si>
    <t>miljö-</t>
  </si>
  <si>
    <t>avgifter</t>
  </si>
  <si>
    <t xml:space="preserve">GIS </t>
  </si>
  <si>
    <t xml:space="preserve">Integration </t>
  </si>
  <si>
    <t xml:space="preserve">Stiftelserev </t>
  </si>
  <si>
    <t xml:space="preserve">Jaktbrott </t>
  </si>
  <si>
    <t xml:space="preserve">L-h nätverk </t>
  </si>
  <si>
    <t xml:space="preserve">Rovdjursförv </t>
  </si>
  <si>
    <t xml:space="preserve">Åsnen </t>
  </si>
  <si>
    <t xml:space="preserve">Sametinget </t>
  </si>
  <si>
    <t>Summa totalt</t>
  </si>
  <si>
    <t xml:space="preserve">Riktade </t>
  </si>
  <si>
    <t>Extra</t>
  </si>
  <si>
    <t>orter</t>
  </si>
  <si>
    <t>Grund-</t>
  </si>
  <si>
    <t>belopp</t>
  </si>
  <si>
    <t>modell</t>
  </si>
  <si>
    <t>Avgår riktade</t>
  </si>
  <si>
    <t xml:space="preserve">2/3 gammal </t>
  </si>
  <si>
    <t>Extra orter</t>
  </si>
  <si>
    <t>Grundblopp</t>
  </si>
  <si>
    <t>Inkl KSO</t>
  </si>
  <si>
    <t>32:2</t>
  </si>
  <si>
    <t>Strukturfond</t>
  </si>
  <si>
    <t>RB 2007</t>
  </si>
  <si>
    <t xml:space="preserve">Adm chefer </t>
  </si>
  <si>
    <t xml:space="preserve">Hämtat från </t>
  </si>
  <si>
    <t>Statistik fördelningsmodell.xls</t>
  </si>
  <si>
    <t>Från villkor</t>
  </si>
  <si>
    <t>32:1</t>
  </si>
  <si>
    <t>Från anslag</t>
  </si>
  <si>
    <t>parametrar</t>
  </si>
  <si>
    <t xml:space="preserve"> Miljösam. </t>
  </si>
  <si>
    <t xml:space="preserve">Sverige </t>
  </si>
  <si>
    <t xml:space="preserve">Avgår extra orter </t>
  </si>
  <si>
    <t>Avgår grundbelopp</t>
  </si>
  <si>
    <t>1-3</t>
  </si>
  <si>
    <t>omf 2009 KSO</t>
  </si>
  <si>
    <t>Att fördela i modell</t>
  </si>
  <si>
    <t>inkl PLO</t>
  </si>
  <si>
    <t>ej PLO</t>
  </si>
  <si>
    <t>Till parametrar</t>
  </si>
  <si>
    <t>Avgår ap 22 utvanslag</t>
  </si>
  <si>
    <t>Ap 22</t>
  </si>
  <si>
    <t>Gem utv medel</t>
  </si>
  <si>
    <t>Terrr.prgrm</t>
  </si>
  <si>
    <t>konc.</t>
  </si>
  <si>
    <t>stiftelser</t>
  </si>
  <si>
    <t>Kamp</t>
  </si>
  <si>
    <t>sport</t>
  </si>
  <si>
    <t>jordbrukar</t>
  </si>
  <si>
    <t>landsb. stöd</t>
  </si>
  <si>
    <t>djurskydds</t>
  </si>
  <si>
    <t>kontr</t>
  </si>
  <si>
    <t>7 parameter</t>
  </si>
  <si>
    <t>jordbr. landsb. stöd</t>
  </si>
  <si>
    <t>djurskyddskontr</t>
  </si>
  <si>
    <t>4-7</t>
  </si>
  <si>
    <t>medel till Z,AC</t>
  </si>
  <si>
    <t>och BD för</t>
  </si>
  <si>
    <t>neddraget med motsv. belopp</t>
  </si>
  <si>
    <t>i villkor till resp. anslagspost</t>
  </si>
  <si>
    <t>Terrr.prgrm*</t>
  </si>
  <si>
    <t>omf 2009 KSO*</t>
  </si>
  <si>
    <t>*Utbet. till KSO.</t>
  </si>
  <si>
    <t xml:space="preserve">modellen </t>
  </si>
  <si>
    <t>samordning</t>
  </si>
  <si>
    <t>flyktingmott/</t>
  </si>
  <si>
    <t>ensamkomm.</t>
  </si>
  <si>
    <t>överföring</t>
  </si>
  <si>
    <t>jordbr stöd</t>
  </si>
  <si>
    <t>Skåne/Blekinge</t>
  </si>
  <si>
    <t>a-kredit</t>
  </si>
  <si>
    <t>Avfallstransp.</t>
  </si>
  <si>
    <t>BP11</t>
  </si>
  <si>
    <t>plo</t>
  </si>
  <si>
    <t>ok</t>
  </si>
  <si>
    <t>U-län</t>
  </si>
  <si>
    <t>Havs</t>
  </si>
  <si>
    <t>planering</t>
  </si>
  <si>
    <t>sju</t>
  </si>
  <si>
    <t>De sju ingångsparametrarna:</t>
  </si>
  <si>
    <t>ofördelat</t>
  </si>
  <si>
    <t>extra medel</t>
  </si>
  <si>
    <t>Penningtv</t>
  </si>
  <si>
    <t>och 2012</t>
  </si>
  <si>
    <t>2009 och</t>
  </si>
  <si>
    <t>utrednings</t>
  </si>
  <si>
    <t xml:space="preserve">kontoren </t>
  </si>
  <si>
    <t>centralmynd</t>
  </si>
  <si>
    <t>för intern delg</t>
  </si>
  <si>
    <t>grundbeloppet = 34,0 - 0,1 * 1,0057. 2012 drogs 100 tkr från varje lst för</t>
  </si>
  <si>
    <t xml:space="preserve">slopanden av Hermesavgiften. From 2013 regleras detta genom att </t>
  </si>
  <si>
    <t>Rresultat per parameter:</t>
  </si>
  <si>
    <t>grundbeloppet justeras isf egen kolumn under riktade medel.</t>
  </si>
  <si>
    <t>konc. av</t>
  </si>
  <si>
    <t>MPD</t>
  </si>
  <si>
    <t xml:space="preserve">konc. av </t>
  </si>
  <si>
    <t>div. verks.</t>
  </si>
  <si>
    <t>PLO:</t>
  </si>
  <si>
    <t>ej plo</t>
  </si>
  <si>
    <t>2014-2017</t>
  </si>
  <si>
    <t>Modell 2015, avgår riktade medel som fördelats sedan 1998 (berörda poster uppräknat i 2015-års nivå)</t>
  </si>
  <si>
    <t>överförmyndar</t>
  </si>
  <si>
    <t>statistik</t>
  </si>
  <si>
    <t>Grundbelopp</t>
  </si>
  <si>
    <t>Fördelning 2015</t>
  </si>
  <si>
    <t>Att fördela enligt riksdagsbeslut</t>
  </si>
  <si>
    <t>Avrundningseffekt</t>
  </si>
  <si>
    <t>21* 35,9 mnkr</t>
  </si>
  <si>
    <t>Ofördelat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</si>
</sst>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OrigGarmnd BT"/>
      <family val="1"/>
    </font>
    <font>
      <sz val="8"/>
      <name val="OrigGarmnd BT"/>
      <family val="1"/>
    </font>
    <font>
      <sz val="8"/>
      <color indexed="10"/>
      <name val="OrigGarmnd BT"/>
      <family val="1"/>
    </font>
    <font>
      <b/>
      <sz val="8"/>
      <name val="Arial"/>
      <family val="2"/>
    </font>
    <font>
      <b/>
      <sz val="8"/>
      <name val="OrigGarmnd BT"/>
      <family val="1"/>
    </font>
    <font>
      <u/>
      <sz val="10"/>
      <color indexed="12"/>
      <name val="Arial"/>
      <family val="2"/>
    </font>
    <font>
      <sz val="8"/>
      <color indexed="11"/>
      <name val="Arial"/>
      <family val="2"/>
    </font>
    <font>
      <b/>
      <sz val="11"/>
      <name val="OrigGarmnd BT"/>
      <family val="1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10"/>
      <color rgb="FFFFFF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56">
    <xf numFmtId="0" fontId="0" fillId="0" borderId="0" xfId="0"/>
    <xf numFmtId="3" fontId="0" fillId="0" borderId="0" xfId="0" applyNumberFormat="1"/>
    <xf numFmtId="0" fontId="4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8" fillId="0" borderId="0" xfId="0" applyNumberFormat="1" applyFont="1" applyBorder="1"/>
    <xf numFmtId="0" fontId="9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/>
    <xf numFmtId="3" fontId="2" fillId="0" borderId="4" xfId="0" applyNumberFormat="1" applyFont="1" applyFill="1" applyBorder="1"/>
    <xf numFmtId="3" fontId="2" fillId="0" borderId="3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8" xfId="0" applyFont="1" applyFill="1" applyBorder="1"/>
    <xf numFmtId="0" fontId="2" fillId="0" borderId="3" xfId="0" applyFont="1" applyFill="1" applyBorder="1"/>
    <xf numFmtId="10" fontId="2" fillId="0" borderId="3" xfId="2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165" fontId="4" fillId="0" borderId="9" xfId="2" applyNumberFormat="1" applyFont="1" applyBorder="1"/>
    <xf numFmtId="0" fontId="7" fillId="0" borderId="0" xfId="0" applyFont="1"/>
    <xf numFmtId="3" fontId="7" fillId="0" borderId="0" xfId="0" applyNumberFormat="1" applyFont="1"/>
    <xf numFmtId="0" fontId="4" fillId="0" borderId="0" xfId="0" applyFont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9" fontId="4" fillId="0" borderId="0" xfId="0" applyNumberFormat="1" applyFont="1" applyBorder="1"/>
    <xf numFmtId="165" fontId="2" fillId="0" borderId="0" xfId="2" applyNumberFormat="1" applyFont="1" applyFill="1" applyBorder="1"/>
    <xf numFmtId="0" fontId="9" fillId="0" borderId="0" xfId="0" applyFont="1" applyBorder="1"/>
    <xf numFmtId="0" fontId="9" fillId="0" borderId="0" xfId="0" applyFont="1" applyFill="1" applyBorder="1"/>
    <xf numFmtId="165" fontId="2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9" fillId="0" borderId="0" xfId="0" quotePrefix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0" fillId="0" borderId="0" xfId="0" applyAlignment="1">
      <alignment horizontal="right"/>
    </xf>
    <xf numFmtId="3" fontId="2" fillId="2" borderId="0" xfId="0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165" fontId="12" fillId="0" borderId="0" xfId="2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2" fillId="0" borderId="0" xfId="0" quotePrefix="1" applyFont="1" applyFill="1" applyBorder="1"/>
    <xf numFmtId="3" fontId="4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3" borderId="11" xfId="0" applyFont="1" applyFill="1" applyBorder="1" applyAlignment="1">
      <alignment horizontal="right"/>
    </xf>
    <xf numFmtId="0" fontId="0" fillId="3" borderId="11" xfId="0" applyFill="1" applyBorder="1"/>
    <xf numFmtId="0" fontId="2" fillId="3" borderId="0" xfId="0" applyFont="1" applyFill="1" applyBorder="1" applyAlignment="1">
      <alignment horizontal="right"/>
    </xf>
    <xf numFmtId="0" fontId="0" fillId="3" borderId="0" xfId="0" applyFill="1" applyBorder="1"/>
    <xf numFmtId="46" fontId="2" fillId="3" borderId="0" xfId="0" quotePrefix="1" applyNumberFormat="1" applyFon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2" fillId="2" borderId="12" xfId="0" applyFont="1" applyFill="1" applyBorder="1"/>
    <xf numFmtId="0" fontId="2" fillId="2" borderId="0" xfId="0" applyFont="1" applyFill="1" applyBorder="1"/>
    <xf numFmtId="0" fontId="11" fillId="2" borderId="0" xfId="1" applyFill="1" applyBorder="1" applyAlignment="1" applyProtection="1"/>
    <xf numFmtId="0" fontId="2" fillId="2" borderId="14" xfId="0" applyFont="1" applyFill="1" applyBorder="1"/>
    <xf numFmtId="0" fontId="17" fillId="2" borderId="0" xfId="0" applyFont="1" applyFill="1" applyBorder="1"/>
    <xf numFmtId="0" fontId="10" fillId="2" borderId="15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3" fontId="2" fillId="2" borderId="12" xfId="0" applyNumberFormat="1" applyFont="1" applyFill="1" applyBorder="1"/>
    <xf numFmtId="3" fontId="4" fillId="2" borderId="15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right"/>
    </xf>
    <xf numFmtId="3" fontId="7" fillId="2" borderId="15" xfId="0" applyNumberFormat="1" applyFont="1" applyFill="1" applyBorder="1"/>
    <xf numFmtId="0" fontId="7" fillId="2" borderId="15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center"/>
    </xf>
    <xf numFmtId="0" fontId="10" fillId="2" borderId="16" xfId="0" applyFont="1" applyFill="1" applyBorder="1"/>
    <xf numFmtId="165" fontId="2" fillId="2" borderId="0" xfId="2" applyNumberFormat="1" applyFont="1" applyFill="1" applyBorder="1"/>
    <xf numFmtId="3" fontId="2" fillId="2" borderId="15" xfId="0" applyNumberFormat="1" applyFont="1" applyFill="1" applyBorder="1"/>
    <xf numFmtId="3" fontId="10" fillId="2" borderId="16" xfId="0" applyNumberFormat="1" applyFont="1" applyFill="1" applyBorder="1"/>
    <xf numFmtId="165" fontId="2" fillId="2" borderId="0" xfId="0" applyNumberFormat="1" applyFont="1" applyFill="1" applyBorder="1"/>
    <xf numFmtId="3" fontId="10" fillId="2" borderId="15" xfId="0" applyNumberFormat="1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17" fillId="4" borderId="10" xfId="0" applyFont="1" applyFill="1" applyBorder="1"/>
    <xf numFmtId="0" fontId="2" fillId="4" borderId="11" xfId="0" applyFont="1" applyFill="1" applyBorder="1"/>
    <xf numFmtId="3" fontId="2" fillId="4" borderId="11" xfId="0" applyNumberFormat="1" applyFont="1" applyFill="1" applyBorder="1"/>
    <xf numFmtId="0" fontId="2" fillId="4" borderId="12" xfId="0" applyFont="1" applyFill="1" applyBorder="1"/>
    <xf numFmtId="0" fontId="2" fillId="4" borderId="0" xfId="0" applyFont="1" applyFill="1" applyBorder="1"/>
    <xf numFmtId="3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165" fontId="5" fillId="4" borderId="0" xfId="2" applyNumberFormat="1" applyFont="1" applyFill="1" applyBorder="1" applyAlignment="1">
      <alignment horizontal="right"/>
    </xf>
    <xf numFmtId="0" fontId="9" fillId="4" borderId="0" xfId="0" applyFont="1" applyFill="1" applyBorder="1"/>
    <xf numFmtId="3" fontId="9" fillId="4" borderId="0" xfId="0" applyNumberFormat="1" applyFont="1" applyFill="1" applyBorder="1" applyAlignment="1">
      <alignment horizontal="right"/>
    </xf>
    <xf numFmtId="165" fontId="5" fillId="4" borderId="0" xfId="2" quotePrefix="1" applyNumberFormat="1" applyFont="1" applyFill="1" applyBorder="1" applyAlignment="1">
      <alignment horizontal="right"/>
    </xf>
    <xf numFmtId="0" fontId="9" fillId="4" borderId="0" xfId="0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right"/>
    </xf>
    <xf numFmtId="3" fontId="4" fillId="4" borderId="0" xfId="0" quotePrefix="1" applyNumberFormat="1" applyFont="1" applyFill="1" applyBorder="1" applyAlignment="1">
      <alignment horizontal="right"/>
    </xf>
    <xf numFmtId="165" fontId="15" fillId="4" borderId="0" xfId="2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9" fontId="2" fillId="4" borderId="0" xfId="2" applyFont="1" applyFill="1" applyBorder="1" applyAlignment="1">
      <alignment horizontal="right"/>
    </xf>
    <xf numFmtId="9" fontId="4" fillId="4" borderId="0" xfId="2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10" fontId="2" fillId="4" borderId="0" xfId="0" applyNumberFormat="1" applyFont="1" applyFill="1" applyBorder="1" applyAlignment="1">
      <alignment horizontal="right"/>
    </xf>
    <xf numFmtId="3" fontId="2" fillId="4" borderId="0" xfId="2" applyNumberFormat="1" applyFont="1" applyFill="1" applyBorder="1" applyAlignment="1">
      <alignment horizontal="right"/>
    </xf>
    <xf numFmtId="3" fontId="4" fillId="4" borderId="0" xfId="2" applyNumberFormat="1" applyFont="1" applyFill="1" applyBorder="1" applyAlignment="1">
      <alignment horizontal="right"/>
    </xf>
    <xf numFmtId="10" fontId="5" fillId="4" borderId="0" xfId="2" applyNumberFormat="1" applyFont="1" applyFill="1" applyBorder="1" applyAlignment="1">
      <alignment horizontal="right"/>
    </xf>
    <xf numFmtId="0" fontId="2" fillId="4" borderId="17" xfId="0" applyFont="1" applyFill="1" applyBorder="1"/>
    <xf numFmtId="0" fontId="2" fillId="4" borderId="18" xfId="0" applyFont="1" applyFill="1" applyBorder="1" applyAlignment="1">
      <alignment horizontal="right"/>
    </xf>
    <xf numFmtId="3" fontId="2" fillId="4" borderId="18" xfId="0" applyNumberFormat="1" applyFont="1" applyFill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0" fontId="2" fillId="4" borderId="2" xfId="0" applyFont="1" applyFill="1" applyBorder="1"/>
    <xf numFmtId="0" fontId="9" fillId="4" borderId="3" xfId="0" applyFont="1" applyFill="1" applyBorder="1" applyAlignment="1">
      <alignment horizontal="left"/>
    </xf>
    <xf numFmtId="0" fontId="2" fillId="5" borderId="4" xfId="0" applyFont="1" applyFill="1" applyBorder="1"/>
    <xf numFmtId="0" fontId="9" fillId="4" borderId="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10" fontId="2" fillId="4" borderId="4" xfId="0" applyNumberFormat="1" applyFont="1" applyFill="1" applyBorder="1" applyAlignment="1">
      <alignment horizontal="right"/>
    </xf>
    <xf numFmtId="3" fontId="4" fillId="4" borderId="5" xfId="0" applyNumberFormat="1" applyFont="1" applyFill="1" applyBorder="1" applyAlignment="1">
      <alignment horizontal="right"/>
    </xf>
    <xf numFmtId="10" fontId="4" fillId="4" borderId="7" xfId="0" applyNumberFormat="1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0" fontId="2" fillId="2" borderId="0" xfId="2" applyNumberFormat="1" applyFont="1" applyFill="1" applyBorder="1" applyAlignment="1">
      <alignment horizontal="right"/>
    </xf>
    <xf numFmtId="165" fontId="2" fillId="2" borderId="0" xfId="2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3" fontId="8" fillId="0" borderId="0" xfId="0" applyNumberFormat="1" applyFont="1" applyFill="1" applyBorder="1"/>
    <xf numFmtId="3" fontId="7" fillId="0" borderId="0" xfId="0" applyNumberFormat="1" applyFont="1" applyFill="1" applyBorder="1"/>
    <xf numFmtId="165" fontId="5" fillId="4" borderId="0" xfId="2" applyNumberFormat="1" applyFont="1" applyFill="1" applyBorder="1"/>
    <xf numFmtId="0" fontId="5" fillId="4" borderId="0" xfId="0" applyFont="1" applyFill="1" applyBorder="1"/>
    <xf numFmtId="165" fontId="16" fillId="4" borderId="0" xfId="2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9" fillId="2" borderId="0" xfId="0" applyFont="1" applyFill="1" applyBorder="1" applyAlignment="1">
      <alignment horizontal="right"/>
    </xf>
    <xf numFmtId="165" fontId="4" fillId="0" borderId="20" xfId="2" applyNumberFormat="1" applyFont="1" applyFill="1" applyBorder="1"/>
    <xf numFmtId="165" fontId="4" fillId="0" borderId="9" xfId="2" quotePrefix="1" applyNumberFormat="1" applyFont="1" applyFill="1" applyBorder="1"/>
    <xf numFmtId="165" fontId="4" fillId="0" borderId="9" xfId="2" applyNumberFormat="1" applyFont="1" applyFill="1" applyBorder="1"/>
    <xf numFmtId="9" fontId="2" fillId="0" borderId="0" xfId="0" applyNumberFormat="1" applyFont="1" applyFill="1" applyBorder="1" applyAlignment="1">
      <alignment horizontal="right"/>
    </xf>
    <xf numFmtId="9" fontId="2" fillId="0" borderId="0" xfId="2" applyFont="1" applyFill="1" applyBorder="1"/>
    <xf numFmtId="1" fontId="3" fillId="0" borderId="0" xfId="0" quotePrefix="1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9" fontId="2" fillId="0" borderId="0" xfId="2" applyFont="1" applyFill="1" applyBorder="1" applyAlignment="1">
      <alignment horizontal="right"/>
    </xf>
    <xf numFmtId="10" fontId="2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0" fontId="18" fillId="0" borderId="0" xfId="0" applyFont="1" applyFill="1" applyBorder="1"/>
    <xf numFmtId="3" fontId="9" fillId="0" borderId="0" xfId="0" applyNumberFormat="1" applyFont="1" applyFill="1" applyBorder="1"/>
    <xf numFmtId="9" fontId="9" fillId="0" borderId="0" xfId="2" applyFont="1" applyFill="1" applyBorder="1" applyAlignment="1">
      <alignment horizontal="right"/>
    </xf>
    <xf numFmtId="1" fontId="9" fillId="0" borderId="0" xfId="0" quotePrefix="1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/>
    </xf>
    <xf numFmtId="10" fontId="2" fillId="0" borderId="0" xfId="2" quotePrefix="1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9" fillId="3" borderId="18" xfId="0" applyNumberFormat="1" applyFont="1" applyFill="1" applyBorder="1" applyAlignment="1">
      <alignment horizontal="right"/>
    </xf>
    <xf numFmtId="0" fontId="2" fillId="0" borderId="10" xfId="0" applyFont="1" applyFill="1" applyBorder="1"/>
    <xf numFmtId="0" fontId="2" fillId="0" borderId="12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7" xfId="0" applyFont="1" applyFill="1" applyBorder="1"/>
    <xf numFmtId="1" fontId="17" fillId="0" borderId="0" xfId="0" applyNumberFormat="1" applyFont="1" applyFill="1" applyBorder="1" applyAlignment="1">
      <alignment horizontal="right"/>
    </xf>
    <xf numFmtId="3" fontId="17" fillId="0" borderId="0" xfId="2" applyNumberFormat="1" applyFont="1" applyFill="1" applyBorder="1" applyAlignment="1">
      <alignment horizontal="right"/>
    </xf>
    <xf numFmtId="0" fontId="9" fillId="0" borderId="5" xfId="0" applyFont="1" applyFill="1" applyBorder="1"/>
    <xf numFmtId="0" fontId="9" fillId="0" borderId="7" xfId="0" applyFont="1" applyFill="1" applyBorder="1"/>
    <xf numFmtId="0" fontId="9" fillId="0" borderId="0" xfId="0" applyFont="1"/>
    <xf numFmtId="3" fontId="9" fillId="0" borderId="0" xfId="0" applyNumberFormat="1" applyFont="1"/>
    <xf numFmtId="165" fontId="9" fillId="0" borderId="0" xfId="0" applyNumberFormat="1" applyFont="1" applyFill="1" applyBorder="1" applyAlignment="1">
      <alignment horizontal="right"/>
    </xf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1" fontId="3" fillId="5" borderId="14" xfId="0" quotePrefix="1" applyNumberFormat="1" applyFont="1" applyFill="1" applyBorder="1" applyAlignment="1">
      <alignment horizontal="right"/>
    </xf>
    <xf numFmtId="1" fontId="3" fillId="5" borderId="14" xfId="0" applyNumberFormat="1" applyFont="1" applyFill="1" applyBorder="1" applyAlignment="1">
      <alignment horizontal="right"/>
    </xf>
    <xf numFmtId="3" fontId="2" fillId="5" borderId="14" xfId="0" applyNumberFormat="1" applyFont="1" applyFill="1" applyBorder="1" applyAlignment="1">
      <alignment horizontal="right"/>
    </xf>
    <xf numFmtId="3" fontId="2" fillId="5" borderId="19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0" fontId="2" fillId="0" borderId="11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8" xfId="0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right"/>
    </xf>
    <xf numFmtId="2" fontId="2" fillId="0" borderId="18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0" fillId="3" borderId="13" xfId="0" applyFill="1" applyBorder="1"/>
    <xf numFmtId="0" fontId="0" fillId="3" borderId="14" xfId="0" applyFill="1" applyBorder="1"/>
    <xf numFmtId="0" fontId="2" fillId="3" borderId="14" xfId="0" applyFont="1" applyFill="1" applyBorder="1" applyAlignment="1">
      <alignment horizontal="right"/>
    </xf>
    <xf numFmtId="3" fontId="9" fillId="3" borderId="19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" fontId="20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9" fontId="21" fillId="0" borderId="0" xfId="2" applyFont="1" applyFill="1" applyBorder="1" applyAlignment="1">
      <alignment horizontal="right"/>
    </xf>
    <xf numFmtId="3" fontId="20" fillId="0" borderId="0" xfId="2" applyNumberFormat="1" applyFont="1" applyFill="1" applyBorder="1" applyAlignment="1">
      <alignment horizontal="right"/>
    </xf>
    <xf numFmtId="165" fontId="21" fillId="0" borderId="0" xfId="2" applyNumberFormat="1" applyFont="1" applyFill="1" applyBorder="1" applyAlignment="1">
      <alignment horizontal="right"/>
    </xf>
    <xf numFmtId="3" fontId="21" fillId="0" borderId="0" xfId="2" applyNumberFormat="1" applyFont="1" applyFill="1" applyBorder="1" applyAlignment="1">
      <alignment horizontal="right"/>
    </xf>
    <xf numFmtId="0" fontId="2" fillId="2" borderId="21" xfId="0" applyFont="1" applyFill="1" applyBorder="1"/>
    <xf numFmtId="3" fontId="4" fillId="2" borderId="21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3" fontId="10" fillId="2" borderId="21" xfId="0" applyNumberFormat="1" applyFont="1" applyFill="1" applyBorder="1"/>
    <xf numFmtId="165" fontId="7" fillId="0" borderId="9" xfId="0" applyNumberFormat="1" applyFont="1" applyBorder="1"/>
    <xf numFmtId="165" fontId="7" fillId="0" borderId="22" xfId="0" applyNumberFormat="1" applyFont="1" applyBorder="1"/>
    <xf numFmtId="16" fontId="2" fillId="0" borderId="0" xfId="0" quotePrefix="1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3" fontId="0" fillId="0" borderId="11" xfId="0" applyNumberFormat="1" applyBorder="1"/>
    <xf numFmtId="0" fontId="0" fillId="0" borderId="13" xfId="0" applyBorder="1"/>
    <xf numFmtId="0" fontId="0" fillId="0" borderId="12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0" fillId="0" borderId="14" xfId="0" applyBorder="1"/>
    <xf numFmtId="3" fontId="0" fillId="0" borderId="0" xfId="0" applyNumberFormat="1" applyBorder="1" applyAlignment="1">
      <alignment horizontal="right"/>
    </xf>
    <xf numFmtId="165" fontId="0" fillId="0" borderId="0" xfId="2" applyNumberFormat="1" applyFont="1" applyBorder="1"/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2" fillId="0" borderId="0" xfId="0" applyFont="1"/>
    <xf numFmtId="0" fontId="2" fillId="3" borderId="0" xfId="0" applyFont="1" applyFill="1" applyBorder="1"/>
    <xf numFmtId="10" fontId="2" fillId="2" borderId="0" xfId="0" applyNumberFormat="1" applyFont="1" applyFill="1" applyBorder="1"/>
    <xf numFmtId="10" fontId="2" fillId="2" borderId="0" xfId="0" applyNumberFormat="1" applyFont="1" applyFill="1" applyBorder="1" applyAlignment="1">
      <alignment horizontal="right"/>
    </xf>
    <xf numFmtId="9" fontId="9" fillId="4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22" fillId="3" borderId="0" xfId="0" applyFont="1" applyFill="1" applyBorder="1" applyAlignment="1">
      <alignment horizontal="right"/>
    </xf>
    <xf numFmtId="0" fontId="4" fillId="2" borderId="0" xfId="0" applyFont="1" applyFill="1" applyBorder="1"/>
    <xf numFmtId="3" fontId="0" fillId="0" borderId="14" xfId="0" applyNumberFormat="1" applyBorder="1"/>
    <xf numFmtId="3" fontId="2" fillId="3" borderId="14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/>
    <xf numFmtId="1" fontId="9" fillId="0" borderId="0" xfId="0" applyNumberFormat="1" applyFont="1" applyBorder="1"/>
    <xf numFmtId="3" fontId="9" fillId="0" borderId="0" xfId="0" applyNumberFormat="1" applyFont="1" applyBorder="1"/>
    <xf numFmtId="0" fontId="23" fillId="3" borderId="0" xfId="0" applyFont="1" applyFill="1" applyBorder="1" applyAlignment="1">
      <alignment horizontal="right"/>
    </xf>
    <xf numFmtId="0" fontId="24" fillId="3" borderId="14" xfId="0" applyFont="1" applyFill="1" applyBorder="1"/>
    <xf numFmtId="0" fontId="4" fillId="0" borderId="0" xfId="0" applyFont="1" applyFill="1" applyBorder="1"/>
    <xf numFmtId="0" fontId="25" fillId="3" borderId="0" xfId="0" applyFont="1" applyFill="1" applyBorder="1"/>
    <xf numFmtId="0" fontId="23" fillId="2" borderId="0" xfId="0" applyFont="1" applyFill="1" applyBorder="1" applyAlignment="1">
      <alignment horizontal="right"/>
    </xf>
    <xf numFmtId="0" fontId="22" fillId="2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0" fontId="17" fillId="3" borderId="23" xfId="0" applyFont="1" applyFill="1" applyBorder="1" applyAlignment="1">
      <alignment horizontal="left"/>
    </xf>
    <xf numFmtId="0" fontId="17" fillId="3" borderId="24" xfId="0" applyFont="1" applyFill="1" applyBorder="1" applyAlignment="1">
      <alignment horizontal="left"/>
    </xf>
    <xf numFmtId="0" fontId="22" fillId="3" borderId="24" xfId="0" applyFont="1" applyFill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3" fontId="2" fillId="3" borderId="24" xfId="0" applyNumberFormat="1" applyFont="1" applyFill="1" applyBorder="1" applyAlignment="1">
      <alignment horizontal="right"/>
    </xf>
    <xf numFmtId="3" fontId="6" fillId="3" borderId="24" xfId="0" applyNumberFormat="1" applyFont="1" applyFill="1" applyBorder="1" applyAlignment="1">
      <alignment horizontal="right" vertical="top" wrapText="1"/>
    </xf>
    <xf numFmtId="3" fontId="9" fillId="3" borderId="25" xfId="0" applyNumberFormat="1" applyFont="1" applyFill="1" applyBorder="1" applyAlignment="1">
      <alignment horizontal="right"/>
    </xf>
    <xf numFmtId="3" fontId="9" fillId="6" borderId="11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8" xfId="0" applyFill="1" applyBorder="1" applyAlignment="1">
      <alignment horizontal="right"/>
    </xf>
    <xf numFmtId="0" fontId="2" fillId="6" borderId="0" xfId="0" applyFont="1" applyFill="1" applyBorder="1" applyAlignment="1">
      <alignment horizontal="right"/>
    </xf>
    <xf numFmtId="0" fontId="0" fillId="6" borderId="0" xfId="0" applyFill="1" applyBorder="1" applyAlignment="1">
      <alignment horizontal="right"/>
    </xf>
  </cellXfs>
  <cellStyles count="3">
    <cellStyle name="Hyperlä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SSN1005A\AppData\Local\Microsoft\Windows\Temporary%20Internet%20Files\L&#228;nsstyrelserna%2014\L&#228;nsstyrelserna%2010\L&#228;nsstyrelserna%2009\Beslutat%20ex\Statistik%20f&#246;rdelningsmodell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0"/>
  <sheetViews>
    <sheetView showGridLines="0" view="pageLayout" zoomScale="80" zoomScaleNormal="75" zoomScaleSheetLayoutView="90" zoomScalePageLayoutView="80" workbookViewId="0">
      <selection activeCell="CB1" sqref="CB1"/>
    </sheetView>
  </sheetViews>
  <sheetFormatPr defaultRowHeight="15.75" x14ac:dyDescent="0.25"/>
  <cols>
    <col min="1" max="1" width="15.140625" style="3" bestFit="1" customWidth="1"/>
    <col min="2" max="2" width="9.140625" style="3"/>
    <col min="3" max="3" width="10.5703125" style="3" bestFit="1" customWidth="1"/>
    <col min="4" max="4" width="12.140625" style="3" customWidth="1"/>
    <col min="5" max="5" width="9.140625" style="3"/>
    <col min="6" max="6" width="3.85546875" style="3" customWidth="1"/>
    <col min="7" max="7" width="2.7109375" style="3" customWidth="1"/>
    <col min="8" max="8" width="8.85546875" style="3" bestFit="1" customWidth="1"/>
    <col min="9" max="9" width="14.5703125" style="3" bestFit="1" customWidth="1"/>
    <col min="10" max="10" width="2.28515625" style="4" customWidth="1"/>
    <col min="11" max="11" width="1.42578125" style="4" customWidth="1"/>
    <col min="12" max="12" width="8.7109375" style="4" customWidth="1"/>
    <col min="13" max="13" width="5.28515625" style="4" bestFit="1" customWidth="1"/>
    <col min="14" max="14" width="0" style="4" hidden="1" customWidth="1"/>
    <col min="15" max="15" width="10.5703125" style="4" bestFit="1" customWidth="1"/>
    <col min="16" max="16" width="8" style="4" bestFit="1" customWidth="1"/>
    <col min="17" max="17" width="9.42578125" style="4" bestFit="1" customWidth="1"/>
    <col min="18" max="18" width="9.42578125" style="4" customWidth="1"/>
    <col min="19" max="19" width="10.85546875" style="4" bestFit="1" customWidth="1"/>
    <col min="20" max="20" width="6" style="4" bestFit="1" customWidth="1"/>
    <col min="21" max="21" width="9.28515625" style="4" bestFit="1" customWidth="1"/>
    <col min="22" max="22" width="9.28515625" style="4" hidden="1" customWidth="1"/>
    <col min="23" max="23" width="11.28515625" style="4" hidden="1" customWidth="1"/>
    <col min="24" max="26" width="11.140625" customWidth="1"/>
    <col min="27" max="28" width="11.28515625" bestFit="1" customWidth="1"/>
    <col min="29" max="29" width="7.42578125" customWidth="1"/>
    <col min="30" max="30" width="6.85546875" customWidth="1"/>
    <col min="31" max="31" width="8.140625" customWidth="1"/>
    <col min="32" max="32" width="10" bestFit="1" customWidth="1"/>
    <col min="33" max="33" width="10" customWidth="1"/>
    <col min="34" max="34" width="11.42578125" bestFit="1" customWidth="1"/>
    <col min="35" max="35" width="11.42578125" customWidth="1"/>
    <col min="36" max="36" width="9" bestFit="1" customWidth="1"/>
    <col min="37" max="37" width="8.140625" customWidth="1"/>
    <col min="38" max="39" width="8.7109375" customWidth="1"/>
    <col min="40" max="40" width="8.140625" customWidth="1"/>
    <col min="41" max="42" width="9.85546875" customWidth="1"/>
    <col min="43" max="43" width="7.7109375" bestFit="1" customWidth="1"/>
    <col min="44" max="44" width="2.28515625" style="3" customWidth="1"/>
    <col min="45" max="46" width="11.5703125" style="3" hidden="1" customWidth="1"/>
    <col min="47" max="47" width="6.5703125" style="3" customWidth="1"/>
    <col min="48" max="53" width="11.5703125" style="3" hidden="1" customWidth="1"/>
    <col min="54" max="56" width="3" style="3" customWidth="1"/>
    <col min="57" max="57" width="5.140625" style="3" customWidth="1"/>
    <col min="58" max="61" width="11.5703125" style="3" hidden="1" customWidth="1"/>
    <col min="62" max="62" width="3.85546875" style="3" customWidth="1"/>
    <col min="63" max="65" width="9.140625" style="3"/>
    <col min="66" max="66" width="0.140625" style="3" customWidth="1"/>
    <col min="67" max="67" width="11.7109375" style="3" bestFit="1" customWidth="1"/>
    <col min="68" max="69" width="9.140625" style="3"/>
    <col min="70" max="70" width="9.7109375" style="3" customWidth="1"/>
    <col min="71" max="71" width="9.140625" style="3"/>
    <col min="72" max="74" width="9.140625" style="3" hidden="1" customWidth="1"/>
    <col min="75" max="75" width="9.7109375" style="3" customWidth="1"/>
    <col min="76" max="76" width="8.5703125" style="3" bestFit="1" customWidth="1"/>
    <col min="77" max="77" width="8.7109375" style="3" bestFit="1" customWidth="1"/>
    <col min="78" max="78" width="5.28515625" style="3" hidden="1" customWidth="1"/>
    <col min="79" max="79" width="7.5703125" style="3" bestFit="1" customWidth="1"/>
    <col min="80" max="82" width="9.28515625" style="3" bestFit="1" customWidth="1"/>
    <col min="83" max="83" width="11.140625" style="3" bestFit="1" customWidth="1"/>
    <col min="84" max="84" width="3.5703125" style="3" customWidth="1"/>
    <col min="85" max="85" width="11.5703125" style="4" hidden="1" customWidth="1"/>
    <col min="86" max="88" width="10.5703125" style="4" hidden="1" customWidth="1"/>
    <col min="89" max="89" width="8.7109375" style="4" hidden="1" customWidth="1"/>
    <col min="90" max="90" width="6.28515625" style="35" hidden="1" customWidth="1"/>
    <col min="91" max="91" width="9.7109375" style="4" hidden="1" customWidth="1"/>
    <col min="92" max="92" width="2.85546875" style="3" hidden="1" customWidth="1"/>
    <col min="93" max="93" width="4.5703125" style="3" customWidth="1"/>
    <col min="94" max="94" width="2" style="3" customWidth="1"/>
    <col min="95" max="95" width="12.5703125" style="3" bestFit="1" customWidth="1"/>
    <col min="96" max="96" width="9.28515625" style="3" bestFit="1" customWidth="1"/>
    <col min="97" max="97" width="6.42578125" style="3" bestFit="1" customWidth="1"/>
    <col min="98" max="98" width="7.85546875" style="3" bestFit="1" customWidth="1"/>
    <col min="99" max="99" width="10.85546875" style="3" bestFit="1" customWidth="1"/>
    <col min="100" max="100" width="2.140625" style="3" customWidth="1"/>
    <col min="101" max="101" width="9.42578125" style="3" customWidth="1"/>
    <col min="102" max="102" width="7.28515625" style="3" bestFit="1" customWidth="1"/>
    <col min="103" max="103" width="1.28515625" style="3" customWidth="1"/>
    <col min="104" max="104" width="2.28515625" style="42" customWidth="1"/>
    <col min="105" max="105" width="7.5703125" style="42" customWidth="1"/>
    <col min="106" max="106" width="2.28515625" style="42" customWidth="1"/>
    <col min="107" max="108" width="10.5703125" style="5" customWidth="1"/>
    <col min="109" max="109" width="15.42578125" style="179" customWidth="1"/>
    <col min="110" max="110" width="12.140625" style="160" customWidth="1"/>
    <col min="111" max="111" width="15.7109375" style="160" bestFit="1" customWidth="1"/>
    <col min="112" max="112" width="12.140625" style="160" customWidth="1"/>
    <col min="113" max="113" width="10.5703125" style="42" customWidth="1"/>
    <col min="114" max="114" width="11.5703125" style="5" customWidth="1"/>
    <col min="115" max="115" width="6.28515625" style="42" bestFit="1" customWidth="1"/>
    <col min="116" max="116" width="2.42578125" style="42" customWidth="1"/>
    <col min="117" max="117" width="8.5703125" style="42" customWidth="1"/>
    <col min="118" max="118" width="2.28515625" style="42" customWidth="1"/>
    <col min="119" max="119" width="8.140625" style="42" customWidth="1"/>
    <col min="120" max="120" width="5.7109375" style="42" bestFit="1" customWidth="1"/>
    <col min="121" max="121" width="5.42578125" style="42" bestFit="1" customWidth="1"/>
    <col min="122" max="122" width="1.5703125" style="42" customWidth="1"/>
    <col min="123" max="123" width="9.5703125" style="52" hidden="1" customWidth="1"/>
    <col min="124" max="124" width="2.140625" style="42" hidden="1" customWidth="1"/>
    <col min="125" max="125" width="9.42578125" style="4" hidden="1" customWidth="1"/>
    <col min="126" max="126" width="1.5703125" style="3" hidden="1" customWidth="1"/>
    <col min="127" max="127" width="10.7109375" style="3" customWidth="1"/>
    <col min="128" max="128" width="12.140625" style="3" hidden="1" customWidth="1"/>
    <col min="129" max="129" width="6" style="3" hidden="1" customWidth="1"/>
    <col min="130" max="130" width="8.5703125" style="3" hidden="1" customWidth="1"/>
    <col min="131" max="131" width="2.85546875" style="3" hidden="1" customWidth="1"/>
    <col min="132" max="132" width="6.5703125" style="3" hidden="1" customWidth="1"/>
    <col min="133" max="133" width="2.28515625" style="3" hidden="1" customWidth="1"/>
    <col min="134" max="134" width="12.28515625" style="3" hidden="1" customWidth="1"/>
    <col min="135" max="135" width="10.28515625" style="4" hidden="1" customWidth="1"/>
    <col min="136" max="136" width="2.7109375" style="4" hidden="1" customWidth="1"/>
    <col min="137" max="137" width="0" style="4" hidden="1" customWidth="1"/>
    <col min="138" max="138" width="7" style="4" hidden="1" customWidth="1"/>
    <col min="139" max="139" width="3.28515625" style="4" hidden="1" customWidth="1"/>
    <col min="140" max="140" width="13.7109375" style="4" hidden="1" customWidth="1"/>
    <col min="141" max="143" width="0" style="3" hidden="1" customWidth="1"/>
    <col min="144" max="144" width="12.42578125" style="3" bestFit="1" customWidth="1"/>
    <col min="145" max="146" width="12.140625" style="3" bestFit="1" customWidth="1"/>
    <col min="147" max="147" width="9.140625" style="3"/>
    <col min="148" max="148" width="2.5703125" style="3" customWidth="1"/>
    <col min="149" max="149" width="11.5703125" style="4" hidden="1" customWidth="1"/>
    <col min="150" max="150" width="12.28515625" style="4" hidden="1" customWidth="1"/>
    <col min="151" max="151" width="0" style="3" hidden="1" customWidth="1"/>
    <col min="152" max="152" width="10.7109375" style="4" bestFit="1" customWidth="1"/>
    <col min="153" max="153" width="7.5703125" style="42" customWidth="1"/>
    <col min="154" max="16384" width="9.140625" style="3"/>
  </cols>
  <sheetData>
    <row r="1" spans="1:154" ht="16.5" thickBot="1" x14ac:dyDescent="0.3">
      <c r="I1" s="51"/>
      <c r="J1" s="3"/>
      <c r="L1" s="50"/>
      <c r="BK1" s="4"/>
      <c r="BL1" s="4"/>
      <c r="BM1" s="4"/>
      <c r="BN1" s="4"/>
      <c r="BO1" s="4"/>
      <c r="BP1" s="254"/>
      <c r="BQ1" s="4"/>
      <c r="BR1" s="4"/>
    </row>
    <row r="2" spans="1:154" ht="16.5" thickBot="1" x14ac:dyDescent="0.3">
      <c r="I2" s="5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255"/>
      <c r="AA2" s="252"/>
      <c r="AB2" s="252"/>
      <c r="AC2" s="252"/>
      <c r="AD2" s="252"/>
      <c r="AE2" s="252"/>
      <c r="AF2" s="252"/>
      <c r="AG2" s="252"/>
      <c r="AH2" s="50"/>
      <c r="AI2" s="50"/>
      <c r="AJ2" s="50"/>
      <c r="AK2" s="50"/>
      <c r="AL2" s="50"/>
      <c r="AM2" s="50"/>
      <c r="AN2" s="50"/>
      <c r="AO2" s="50"/>
      <c r="AP2" s="50"/>
      <c r="AQ2" s="50"/>
      <c r="BE2" s="61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3"/>
      <c r="DE2" s="192"/>
      <c r="DF2" s="193"/>
      <c r="DG2" s="193"/>
    </row>
    <row r="3" spans="1:154" ht="16.5" thickBot="1" x14ac:dyDescent="0.3">
      <c r="A3" s="162" t="s">
        <v>183</v>
      </c>
      <c r="B3" s="181"/>
      <c r="C3" s="251">
        <v>2595248</v>
      </c>
      <c r="D3" s="181"/>
      <c r="E3" s="182"/>
      <c r="Q3" s="254"/>
      <c r="X3" s="252"/>
      <c r="Y3" s="252"/>
      <c r="Z3" s="255"/>
      <c r="AA3" s="255"/>
      <c r="AB3" s="252"/>
      <c r="AC3" s="252"/>
      <c r="AD3" s="252"/>
      <c r="AE3" s="252"/>
      <c r="AF3" s="253"/>
      <c r="AG3" s="253"/>
      <c r="AH3" s="213"/>
      <c r="AI3" s="213"/>
      <c r="AJ3" s="255"/>
      <c r="AK3" s="213"/>
      <c r="AL3" s="213"/>
      <c r="AM3" s="213"/>
      <c r="AN3" s="213"/>
      <c r="AO3" s="213"/>
      <c r="AP3" s="255"/>
      <c r="AQ3" s="213"/>
      <c r="BE3" s="64"/>
      <c r="BF3" s="65"/>
      <c r="BG3" s="65"/>
      <c r="BH3" s="65"/>
      <c r="BI3" s="65"/>
      <c r="BJ3" s="65"/>
      <c r="BK3" s="65" t="s">
        <v>102</v>
      </c>
      <c r="BL3" s="66" t="s">
        <v>103</v>
      </c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7"/>
      <c r="CQ3" s="90" t="s">
        <v>182</v>
      </c>
      <c r="CR3" s="91"/>
      <c r="CS3" s="91"/>
      <c r="CT3" s="91"/>
      <c r="CU3" s="91"/>
      <c r="CV3" s="91"/>
      <c r="CW3" s="91"/>
      <c r="CX3" s="91"/>
      <c r="CY3" s="91"/>
      <c r="CZ3" s="92"/>
      <c r="DA3" s="92"/>
      <c r="DB3" s="173"/>
      <c r="DE3" s="192"/>
      <c r="DF3" s="193"/>
      <c r="DG3" s="193"/>
      <c r="DS3" s="97"/>
      <c r="DT3" s="95"/>
      <c r="DU3" s="98"/>
      <c r="DV3" s="135"/>
      <c r="DW3" s="32"/>
    </row>
    <row r="4" spans="1:154" x14ac:dyDescent="0.25">
      <c r="A4" s="163"/>
      <c r="E4" s="183"/>
      <c r="L4" s="244" t="s">
        <v>178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5"/>
      <c r="Z4" s="55"/>
      <c r="AA4" s="55"/>
      <c r="AB4" s="55"/>
      <c r="AC4" s="55"/>
      <c r="AD4" s="55"/>
      <c r="AE4" s="55"/>
      <c r="AF4" s="229"/>
      <c r="AG4" s="229"/>
      <c r="AH4" s="55"/>
      <c r="AI4" s="55"/>
      <c r="AJ4" s="55"/>
      <c r="AK4" s="55"/>
      <c r="AL4" s="55"/>
      <c r="AM4" s="55"/>
      <c r="AN4" s="55"/>
      <c r="AO4" s="55"/>
      <c r="AP4" s="55"/>
      <c r="AQ4" s="188"/>
      <c r="AS4" s="19" t="s">
        <v>100</v>
      </c>
      <c r="AT4" s="11" t="s">
        <v>52</v>
      </c>
      <c r="BE4" s="64"/>
      <c r="BF4" s="65"/>
      <c r="BG4" s="65"/>
      <c r="BH4" s="65"/>
      <c r="BI4" s="65"/>
      <c r="BJ4" s="65"/>
      <c r="BK4" s="68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7"/>
      <c r="CQ4" s="93"/>
      <c r="CR4" s="94"/>
      <c r="CS4" s="94"/>
      <c r="CT4" s="94"/>
      <c r="CU4" s="94"/>
      <c r="CV4" s="94"/>
      <c r="CW4" s="94"/>
      <c r="CX4" s="94"/>
      <c r="CY4" s="94"/>
      <c r="CZ4" s="95"/>
      <c r="DA4" s="95"/>
      <c r="DB4" s="174"/>
      <c r="DE4" s="192"/>
      <c r="DF4" s="193"/>
      <c r="DG4" s="193"/>
      <c r="DS4" s="97" t="s">
        <v>101</v>
      </c>
      <c r="DT4" s="95"/>
      <c r="DU4" s="98"/>
      <c r="DV4" s="135"/>
      <c r="DW4" s="32"/>
      <c r="ES4" s="8"/>
    </row>
    <row r="5" spans="1:154" x14ac:dyDescent="0.25">
      <c r="A5" s="163" t="s">
        <v>118</v>
      </c>
      <c r="C5" s="3">
        <v>-3895</v>
      </c>
      <c r="E5" s="183"/>
      <c r="L5" s="245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7"/>
      <c r="Y5" s="57"/>
      <c r="Z5" s="57"/>
      <c r="AA5" s="57"/>
      <c r="AB5" s="57"/>
      <c r="AC5" s="57"/>
      <c r="AD5" s="57"/>
      <c r="AE5" s="57"/>
      <c r="AF5" s="229"/>
      <c r="AG5" s="229"/>
      <c r="AH5" s="57"/>
      <c r="AI5" s="237"/>
      <c r="AJ5" s="229"/>
      <c r="AK5" s="237"/>
      <c r="AL5" s="237"/>
      <c r="AM5" s="237"/>
      <c r="AN5" s="237"/>
      <c r="AO5" s="240"/>
      <c r="AP5" s="240"/>
      <c r="AQ5" s="189"/>
      <c r="AS5" s="20"/>
      <c r="AT5" s="13"/>
      <c r="BE5" s="64"/>
      <c r="BF5" s="65"/>
      <c r="BG5" s="65"/>
      <c r="BH5" s="65"/>
      <c r="BI5" s="65"/>
      <c r="BJ5" s="65"/>
      <c r="BK5" s="68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7"/>
      <c r="CQ5" s="93"/>
      <c r="CR5" s="94"/>
      <c r="CS5" s="94"/>
      <c r="CT5" s="94"/>
      <c r="CU5" s="94"/>
      <c r="CV5" s="94"/>
      <c r="CW5" s="94"/>
      <c r="CX5" s="94"/>
      <c r="CY5" s="94"/>
      <c r="CZ5" s="95"/>
      <c r="DA5" s="95"/>
      <c r="DB5" s="174"/>
      <c r="DE5" s="192"/>
      <c r="DF5" s="193"/>
      <c r="DG5" s="193"/>
      <c r="DS5" s="97"/>
      <c r="DT5" s="95"/>
      <c r="DU5" s="98"/>
      <c r="DV5" s="135"/>
      <c r="DW5" s="32"/>
      <c r="ES5" s="8"/>
    </row>
    <row r="6" spans="1:154" x14ac:dyDescent="0.25">
      <c r="A6" s="163" t="s">
        <v>186</v>
      </c>
      <c r="E6" s="183"/>
      <c r="J6" s="157"/>
      <c r="L6" s="246" t="s">
        <v>151</v>
      </c>
      <c r="M6" s="229" t="s">
        <v>151</v>
      </c>
      <c r="N6" s="237"/>
      <c r="O6" s="229" t="s">
        <v>151</v>
      </c>
      <c r="P6" s="229" t="s">
        <v>151</v>
      </c>
      <c r="Q6" s="229" t="s">
        <v>176</v>
      </c>
      <c r="R6" s="229" t="s">
        <v>151</v>
      </c>
      <c r="S6" s="229" t="s">
        <v>151</v>
      </c>
      <c r="T6" s="229" t="s">
        <v>151</v>
      </c>
      <c r="U6" s="229" t="s">
        <v>176</v>
      </c>
      <c r="V6" s="229"/>
      <c r="W6" s="229"/>
      <c r="X6" s="229" t="s">
        <v>176</v>
      </c>
      <c r="Y6" s="229" t="s">
        <v>176</v>
      </c>
      <c r="Z6" s="229" t="s">
        <v>151</v>
      </c>
      <c r="AA6" s="229" t="s">
        <v>176</v>
      </c>
      <c r="AB6" s="229" t="s">
        <v>176</v>
      </c>
      <c r="AC6" s="229" t="s">
        <v>151</v>
      </c>
      <c r="AD6" s="229" t="s">
        <v>151</v>
      </c>
      <c r="AE6" s="229" t="s">
        <v>151</v>
      </c>
      <c r="AF6" s="229"/>
      <c r="AG6" s="229" t="s">
        <v>176</v>
      </c>
      <c r="AH6" s="229" t="s">
        <v>151</v>
      </c>
      <c r="AI6" s="229" t="s">
        <v>151</v>
      </c>
      <c r="AJ6" s="229" t="s">
        <v>176</v>
      </c>
      <c r="AK6" s="229" t="s">
        <v>151</v>
      </c>
      <c r="AL6" s="229" t="s">
        <v>151</v>
      </c>
      <c r="AM6" s="229" t="s">
        <v>151</v>
      </c>
      <c r="AN6" s="229" t="s">
        <v>151</v>
      </c>
      <c r="AO6" s="229" t="s">
        <v>151</v>
      </c>
      <c r="AP6" s="229"/>
      <c r="AQ6" s="238"/>
      <c r="AS6" s="20"/>
      <c r="AT6" s="13"/>
      <c r="BE6" s="64"/>
      <c r="BF6" s="65"/>
      <c r="BG6" s="65"/>
      <c r="BH6" s="65"/>
      <c r="BI6" s="65"/>
      <c r="BJ6" s="65"/>
      <c r="BK6" s="242" t="s">
        <v>152</v>
      </c>
      <c r="BL6" s="242" t="s">
        <v>152</v>
      </c>
      <c r="BM6" s="242" t="s">
        <v>152</v>
      </c>
      <c r="BN6" s="241"/>
      <c r="BO6" s="242" t="s">
        <v>152</v>
      </c>
      <c r="BP6" s="242" t="s">
        <v>152</v>
      </c>
      <c r="BQ6" s="242" t="s">
        <v>152</v>
      </c>
      <c r="BR6" s="242" t="s">
        <v>152</v>
      </c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7"/>
      <c r="CQ6" s="93"/>
      <c r="CR6" s="94"/>
      <c r="CS6" s="94"/>
      <c r="CT6" s="94"/>
      <c r="CU6" s="94"/>
      <c r="CV6" s="94"/>
      <c r="CW6" s="94"/>
      <c r="CX6" s="94"/>
      <c r="CY6" s="94"/>
      <c r="CZ6" s="95"/>
      <c r="DA6" s="95"/>
      <c r="DB6" s="174"/>
      <c r="DE6" s="192"/>
      <c r="DF6" s="193"/>
      <c r="DG6" s="193"/>
      <c r="DJ6" s="147"/>
      <c r="DK6" s="147"/>
      <c r="DL6" s="147"/>
      <c r="DM6" s="147"/>
      <c r="DN6" s="147"/>
      <c r="DP6" s="147"/>
      <c r="DQ6" s="147"/>
      <c r="DS6" s="97"/>
      <c r="DT6" s="95"/>
      <c r="DU6" s="98"/>
      <c r="DV6" s="135"/>
      <c r="DW6" s="32"/>
      <c r="EN6" s="153"/>
      <c r="EO6" s="138"/>
      <c r="EP6" s="154"/>
      <c r="EQ6" s="34"/>
      <c r="ES6" s="8"/>
      <c r="ET6" s="8"/>
      <c r="EU6" s="8"/>
      <c r="EV6" s="143"/>
    </row>
    <row r="7" spans="1:154" x14ac:dyDescent="0.25">
      <c r="A7" s="163" t="s">
        <v>114</v>
      </c>
      <c r="B7" s="4"/>
      <c r="C7" s="138">
        <f>SUM(C3:C6)</f>
        <v>2591353</v>
      </c>
      <c r="D7" s="4" t="s">
        <v>97</v>
      </c>
      <c r="E7" s="164"/>
      <c r="F7" s="180"/>
      <c r="L7" s="247" t="s">
        <v>47</v>
      </c>
      <c r="M7" s="56" t="s">
        <v>78</v>
      </c>
      <c r="N7" s="56" t="s">
        <v>79</v>
      </c>
      <c r="O7" s="56" t="s">
        <v>80</v>
      </c>
      <c r="P7" s="56" t="s">
        <v>81</v>
      </c>
      <c r="Q7" s="56" t="s">
        <v>82</v>
      </c>
      <c r="R7" s="56" t="s">
        <v>108</v>
      </c>
      <c r="S7" s="56" t="s">
        <v>83</v>
      </c>
      <c r="T7" s="56" t="s">
        <v>84</v>
      </c>
      <c r="U7" s="56" t="s">
        <v>85</v>
      </c>
      <c r="V7" s="56" t="s">
        <v>104</v>
      </c>
      <c r="W7" s="56" t="s">
        <v>106</v>
      </c>
      <c r="X7" s="56" t="s">
        <v>99</v>
      </c>
      <c r="Y7" s="56" t="s">
        <v>99</v>
      </c>
      <c r="Z7" s="56" t="s">
        <v>134</v>
      </c>
      <c r="AA7" s="56" t="s">
        <v>120</v>
      </c>
      <c r="AB7" s="56" t="s">
        <v>120</v>
      </c>
      <c r="AC7" s="228" t="s">
        <v>160</v>
      </c>
      <c r="AD7" s="56" t="s">
        <v>124</v>
      </c>
      <c r="AE7" s="56" t="s">
        <v>122</v>
      </c>
      <c r="AF7" s="56"/>
      <c r="AG7" s="56" t="s">
        <v>142</v>
      </c>
      <c r="AH7" s="56" t="s">
        <v>145</v>
      </c>
      <c r="AI7" s="56" t="s">
        <v>149</v>
      </c>
      <c r="AJ7" s="56" t="s">
        <v>159</v>
      </c>
      <c r="AK7" s="56" t="s">
        <v>154</v>
      </c>
      <c r="AL7" s="56" t="s">
        <v>171</v>
      </c>
      <c r="AM7" s="56" t="s">
        <v>173</v>
      </c>
      <c r="AN7" s="56" t="s">
        <v>163</v>
      </c>
      <c r="AO7" s="56" t="s">
        <v>165</v>
      </c>
      <c r="AP7" s="56" t="s">
        <v>179</v>
      </c>
      <c r="AQ7" s="190" t="s">
        <v>0</v>
      </c>
      <c r="AS7" s="20" t="s">
        <v>53</v>
      </c>
      <c r="AT7" s="13" t="s">
        <v>49</v>
      </c>
      <c r="BE7" s="64"/>
      <c r="BF7" s="65"/>
      <c r="BG7" s="65"/>
      <c r="BH7" s="65"/>
      <c r="BI7" s="65"/>
      <c r="BJ7" s="65"/>
      <c r="BK7" s="65" t="s">
        <v>157</v>
      </c>
      <c r="BL7" s="65"/>
      <c r="BM7" s="230"/>
      <c r="BN7" s="65"/>
      <c r="BO7" s="230"/>
      <c r="BP7" s="230"/>
      <c r="BQ7" s="65"/>
      <c r="BR7" s="230"/>
      <c r="BS7" s="65"/>
      <c r="BT7" s="65"/>
      <c r="BU7" s="65"/>
      <c r="BV7" s="65"/>
      <c r="BW7" s="69" t="s">
        <v>169</v>
      </c>
      <c r="BX7" s="70"/>
      <c r="BY7" s="70"/>
      <c r="BZ7" s="70"/>
      <c r="CA7" s="70"/>
      <c r="CB7" s="70"/>
      <c r="CC7" s="70"/>
      <c r="CD7" s="200"/>
      <c r="CE7" s="71"/>
      <c r="CG7" s="36" t="s">
        <v>52</v>
      </c>
      <c r="CH7" s="10" t="s">
        <v>93</v>
      </c>
      <c r="CI7" s="10" t="s">
        <v>93</v>
      </c>
      <c r="CJ7" s="10" t="s">
        <v>93</v>
      </c>
      <c r="CK7" s="10" t="s">
        <v>0</v>
      </c>
      <c r="CL7" s="37" t="s">
        <v>53</v>
      </c>
      <c r="CM7" s="38" t="s">
        <v>94</v>
      </c>
      <c r="CQ7" s="93"/>
      <c r="CR7" s="99" t="s">
        <v>86</v>
      </c>
      <c r="CS7" s="99"/>
      <c r="CT7" s="99"/>
      <c r="CU7" s="99"/>
      <c r="CV7" s="99"/>
      <c r="CW7" s="117" t="s">
        <v>0</v>
      </c>
      <c r="CX7" s="118"/>
      <c r="CY7" s="94"/>
      <c r="CZ7" s="95"/>
      <c r="DA7" s="95"/>
      <c r="DB7" s="174"/>
      <c r="DC7" s="148"/>
      <c r="DD7" s="148"/>
      <c r="DE7" s="192"/>
      <c r="DF7" s="193"/>
      <c r="DG7" s="193"/>
      <c r="DJ7" s="145"/>
      <c r="DK7" s="146"/>
      <c r="DL7" s="146"/>
      <c r="DM7" s="146"/>
      <c r="DN7" s="5"/>
      <c r="DO7" s="148"/>
      <c r="DP7" s="149"/>
      <c r="DQ7" s="149"/>
      <c r="DS7" s="97"/>
      <c r="DT7" s="95"/>
      <c r="DU7" s="101"/>
      <c r="DV7" s="135"/>
      <c r="DW7" s="32"/>
      <c r="EO7" s="138"/>
      <c r="EP7" s="155"/>
      <c r="EQ7" s="34"/>
      <c r="ES7" s="8"/>
      <c r="ET7" s="8"/>
    </row>
    <row r="8" spans="1:154" x14ac:dyDescent="0.25">
      <c r="A8" s="163"/>
      <c r="B8" s="4"/>
      <c r="C8" s="5"/>
      <c r="D8" s="4"/>
      <c r="E8" s="164"/>
      <c r="F8" s="4"/>
      <c r="L8" s="247">
        <v>2004</v>
      </c>
      <c r="M8" s="56">
        <v>1999</v>
      </c>
      <c r="N8" s="56">
        <v>1999</v>
      </c>
      <c r="O8" s="56">
        <v>2004</v>
      </c>
      <c r="P8" s="56">
        <v>2004</v>
      </c>
      <c r="Q8" s="56">
        <v>2005</v>
      </c>
      <c r="R8" s="56" t="s">
        <v>109</v>
      </c>
      <c r="S8" s="56">
        <v>2007</v>
      </c>
      <c r="T8" s="56">
        <v>2007</v>
      </c>
      <c r="U8" s="56">
        <v>2007</v>
      </c>
      <c r="V8" s="58" t="s">
        <v>105</v>
      </c>
      <c r="W8" s="58" t="s">
        <v>98</v>
      </c>
      <c r="X8" s="56" t="s">
        <v>113</v>
      </c>
      <c r="Y8" s="56" t="s">
        <v>139</v>
      </c>
      <c r="Z8" s="56" t="s">
        <v>135</v>
      </c>
      <c r="AA8" s="56" t="s">
        <v>153</v>
      </c>
      <c r="AB8" s="56" t="s">
        <v>153</v>
      </c>
      <c r="AC8" s="228" t="s">
        <v>162</v>
      </c>
      <c r="AD8" s="56" t="s">
        <v>125</v>
      </c>
      <c r="AE8" s="56" t="s">
        <v>123</v>
      </c>
      <c r="AF8" s="56"/>
      <c r="AG8" s="56" t="s">
        <v>143</v>
      </c>
      <c r="AH8" s="56" t="s">
        <v>146</v>
      </c>
      <c r="AI8" s="56" t="s">
        <v>150</v>
      </c>
      <c r="AJ8" s="56" t="s">
        <v>177</v>
      </c>
      <c r="AK8" s="56" t="s">
        <v>155</v>
      </c>
      <c r="AL8" s="56" t="s">
        <v>172</v>
      </c>
      <c r="AM8" s="56" t="s">
        <v>174</v>
      </c>
      <c r="AN8" s="56" t="s">
        <v>164</v>
      </c>
      <c r="AO8" s="56" t="s">
        <v>166</v>
      </c>
      <c r="AP8" s="56" t="s">
        <v>180</v>
      </c>
      <c r="AQ8" s="190"/>
      <c r="AS8" s="20"/>
      <c r="AT8" s="14">
        <f>C15</f>
        <v>0</v>
      </c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72"/>
      <c r="BF8" s="46"/>
      <c r="BG8" s="46"/>
      <c r="BH8" s="46"/>
      <c r="BI8" s="46"/>
      <c r="BJ8" s="65"/>
      <c r="BK8" s="128" t="s">
        <v>65</v>
      </c>
      <c r="BL8" s="128" t="s">
        <v>66</v>
      </c>
      <c r="BM8" s="128" t="s">
        <v>67</v>
      </c>
      <c r="BN8" s="128" t="s">
        <v>68</v>
      </c>
      <c r="BO8" s="128" t="s">
        <v>69</v>
      </c>
      <c r="BP8" s="139" t="s">
        <v>70</v>
      </c>
      <c r="BQ8" s="139" t="s">
        <v>126</v>
      </c>
      <c r="BR8" s="65" t="s">
        <v>128</v>
      </c>
      <c r="BS8" s="65"/>
      <c r="BT8" s="65"/>
      <c r="BU8" s="65"/>
      <c r="BV8" s="65"/>
      <c r="BW8" s="73" t="s">
        <v>65</v>
      </c>
      <c r="BX8" s="74" t="s">
        <v>66</v>
      </c>
      <c r="BY8" s="75" t="s">
        <v>67</v>
      </c>
      <c r="BZ8" s="75" t="s">
        <v>68</v>
      </c>
      <c r="CA8" s="75" t="s">
        <v>69</v>
      </c>
      <c r="CB8" s="75" t="s">
        <v>76</v>
      </c>
      <c r="CC8" s="76" t="s">
        <v>126</v>
      </c>
      <c r="CD8" s="201" t="s">
        <v>128</v>
      </c>
      <c r="CE8" s="77" t="s">
        <v>75</v>
      </c>
      <c r="CG8" s="12"/>
      <c r="CH8" s="4" t="s">
        <v>48</v>
      </c>
      <c r="CI8" s="4" t="s">
        <v>95</v>
      </c>
      <c r="CJ8" s="4" t="s">
        <v>96</v>
      </c>
      <c r="CM8" s="39" t="s">
        <v>92</v>
      </c>
      <c r="CQ8" s="93"/>
      <c r="CR8" s="102" t="s">
        <v>87</v>
      </c>
      <c r="CS8" s="102" t="s">
        <v>88</v>
      </c>
      <c r="CT8" s="102" t="s">
        <v>90</v>
      </c>
      <c r="CU8" s="102" t="s">
        <v>156</v>
      </c>
      <c r="CV8" s="102"/>
      <c r="CW8" s="119" t="s">
        <v>141</v>
      </c>
      <c r="CX8" s="120"/>
      <c r="CY8" s="102"/>
      <c r="CZ8" s="103"/>
      <c r="DA8" s="103" t="s">
        <v>148</v>
      </c>
      <c r="DB8" s="175"/>
      <c r="DC8" s="146"/>
      <c r="DD8" s="146"/>
      <c r="DE8" s="194"/>
      <c r="DF8" s="195"/>
      <c r="DG8" s="196"/>
      <c r="DH8" s="166"/>
      <c r="DI8" s="146"/>
      <c r="DK8" s="151"/>
      <c r="DL8" s="151"/>
      <c r="DM8" s="48"/>
      <c r="DN8" s="151"/>
      <c r="DO8" s="152"/>
      <c r="DP8" s="152"/>
      <c r="DQ8" s="152"/>
      <c r="DR8" s="147"/>
      <c r="DS8" s="104"/>
      <c r="DT8" s="100"/>
      <c r="DU8" s="105"/>
      <c r="DV8" s="105"/>
      <c r="DW8" s="47"/>
      <c r="DX8" s="8"/>
      <c r="DY8" s="4"/>
      <c r="DZ8" s="4"/>
      <c r="EA8" s="8"/>
      <c r="EB8" s="43"/>
      <c r="EC8" s="8"/>
      <c r="EE8" s="44"/>
      <c r="EO8" s="138"/>
      <c r="EP8" s="34"/>
      <c r="EQ8" s="34"/>
      <c r="ES8" s="8"/>
      <c r="ET8" s="8"/>
    </row>
    <row r="9" spans="1:154" x14ac:dyDescent="0.25">
      <c r="A9" s="163" t="s">
        <v>11</v>
      </c>
      <c r="B9" s="4"/>
      <c r="C9" s="5">
        <f>SUM(-AQ37)</f>
        <v>-81417.679354800377</v>
      </c>
      <c r="D9" s="4" t="s">
        <v>115</v>
      </c>
      <c r="E9" s="164"/>
      <c r="F9" s="4"/>
      <c r="L9" s="247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 t="s">
        <v>138</v>
      </c>
      <c r="Y9" s="57"/>
      <c r="Z9" s="56" t="s">
        <v>121</v>
      </c>
      <c r="AA9" s="57"/>
      <c r="AB9" s="57"/>
      <c r="AC9" s="228" t="s">
        <v>161</v>
      </c>
      <c r="AD9" s="224">
        <v>2010</v>
      </c>
      <c r="AE9" s="57"/>
      <c r="AF9" s="56"/>
      <c r="AG9" s="224" t="s">
        <v>144</v>
      </c>
      <c r="AH9" s="224" t="s">
        <v>147</v>
      </c>
      <c r="AI9" s="56"/>
      <c r="AJ9" s="224"/>
      <c r="AK9" s="224">
        <v>2012</v>
      </c>
      <c r="AL9" s="224">
        <v>2013</v>
      </c>
      <c r="AM9" s="224">
        <v>2013</v>
      </c>
      <c r="AN9" s="224">
        <v>2013</v>
      </c>
      <c r="AO9" s="224">
        <v>2014</v>
      </c>
      <c r="AP9" s="224">
        <v>2015</v>
      </c>
      <c r="AQ9" s="232"/>
      <c r="AS9" s="20"/>
      <c r="AT9" s="13"/>
      <c r="BE9" s="64"/>
      <c r="BF9" s="65"/>
      <c r="BG9" s="65"/>
      <c r="BH9" s="65"/>
      <c r="BI9" s="65"/>
      <c r="BJ9" s="65"/>
      <c r="BK9" s="128"/>
      <c r="BL9" s="128" t="s">
        <v>71</v>
      </c>
      <c r="BM9" s="128" t="s">
        <v>72</v>
      </c>
      <c r="BN9" s="128" t="s">
        <v>73</v>
      </c>
      <c r="BO9" s="128" t="s">
        <v>74</v>
      </c>
      <c r="BP9" s="128" t="s">
        <v>57</v>
      </c>
      <c r="BQ9" s="128" t="s">
        <v>127</v>
      </c>
      <c r="BR9" s="65" t="s">
        <v>129</v>
      </c>
      <c r="BS9" s="65"/>
      <c r="BT9" s="65"/>
      <c r="BU9" s="65"/>
      <c r="BV9" s="65"/>
      <c r="BW9" s="78"/>
      <c r="BX9" s="79" t="s">
        <v>71</v>
      </c>
      <c r="BY9" s="80" t="s">
        <v>72</v>
      </c>
      <c r="BZ9" s="80" t="s">
        <v>73</v>
      </c>
      <c r="CA9" s="80" t="s">
        <v>74</v>
      </c>
      <c r="CB9" s="80" t="s">
        <v>77</v>
      </c>
      <c r="CC9" s="80" t="s">
        <v>127</v>
      </c>
      <c r="CD9" s="202" t="s">
        <v>129</v>
      </c>
      <c r="CE9" s="81" t="s">
        <v>130</v>
      </c>
      <c r="CG9" s="12"/>
      <c r="CM9" s="40">
        <f>2/3</f>
        <v>0.66666666666666663</v>
      </c>
      <c r="CQ9" s="93"/>
      <c r="CR9" s="102" t="s">
        <v>48</v>
      </c>
      <c r="CS9" s="102" t="s">
        <v>89</v>
      </c>
      <c r="CT9" s="102" t="s">
        <v>91</v>
      </c>
      <c r="CU9" s="102" t="s">
        <v>107</v>
      </c>
      <c r="CV9" s="102"/>
      <c r="CW9" s="121">
        <v>2016</v>
      </c>
      <c r="CX9" s="122"/>
      <c r="CY9" s="106"/>
      <c r="CZ9" s="103"/>
      <c r="DA9" s="227">
        <v>0.04</v>
      </c>
      <c r="DB9" s="176"/>
      <c r="DC9" s="146"/>
      <c r="DD9" s="146"/>
      <c r="DE9" s="194"/>
      <c r="DF9" s="195"/>
      <c r="DG9" s="195"/>
      <c r="DH9" s="166"/>
      <c r="DI9" s="146"/>
      <c r="DK9" s="158"/>
      <c r="DL9" s="151"/>
      <c r="DM9" s="48"/>
      <c r="DN9" s="151"/>
      <c r="DO9" s="152"/>
      <c r="DP9" s="159"/>
      <c r="DQ9" s="159"/>
      <c r="DR9" s="150"/>
      <c r="DS9" s="108"/>
      <c r="DT9" s="107"/>
      <c r="DU9" s="109"/>
      <c r="DV9" s="136"/>
      <c r="DX9" s="8"/>
      <c r="DY9" s="4"/>
      <c r="DZ9" s="4"/>
      <c r="EA9" s="4"/>
      <c r="EB9" s="4"/>
      <c r="EC9" s="4"/>
      <c r="EO9" s="156"/>
    </row>
    <row r="10" spans="1:154" x14ac:dyDescent="0.25">
      <c r="A10" s="163" t="s">
        <v>110</v>
      </c>
      <c r="B10" s="4"/>
      <c r="C10" s="5">
        <f>-6*3000</f>
        <v>-18000</v>
      </c>
      <c r="D10" s="4" t="s">
        <v>50</v>
      </c>
      <c r="E10" s="164" t="s">
        <v>116</v>
      </c>
      <c r="F10" s="8"/>
      <c r="H10" s="3" t="s">
        <v>12</v>
      </c>
      <c r="I10" s="3" t="s">
        <v>8</v>
      </c>
      <c r="J10" s="42"/>
      <c r="K10" s="6"/>
      <c r="L10" s="248"/>
      <c r="M10" s="60"/>
      <c r="N10" s="60">
        <v>0</v>
      </c>
      <c r="O10" s="60">
        <f>105.024303130357*1.0362*1.006*1.0089*1.0057*1.0276*1.0091</f>
        <v>115.18773832871362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>
        <v>-4409.4242125313503</v>
      </c>
      <c r="AB10" s="60"/>
      <c r="AC10" s="60">
        <f>2280*1.0057*1.0276*1.0091*1.0182</f>
        <v>2420.9994545651321</v>
      </c>
      <c r="AD10" s="60"/>
      <c r="AE10" s="60">
        <f>1616*1.006*1.0089*1.0057*1.0276*1.0091*1.0182</f>
        <v>1741.5955397102568</v>
      </c>
      <c r="AF10" s="60"/>
      <c r="AG10" s="60"/>
      <c r="AH10" s="60"/>
      <c r="AI10" s="60">
        <f>1200*1.0057*1.0276*1.0091*1.0182</f>
        <v>1274.2102392448064</v>
      </c>
      <c r="AJ10" s="60"/>
      <c r="AK10" s="60">
        <f>840*1.0276*1.0091*1.0182</f>
        <v>886.89188373408012</v>
      </c>
      <c r="AL10" s="60">
        <f>872*1.0276*1.0091*1.0182</f>
        <v>920.67824120966418</v>
      </c>
      <c r="AM10" s="60">
        <f>1999*1.0276*1.0091*1.0182</f>
        <v>2110.5915185528879</v>
      </c>
      <c r="AN10" s="60"/>
      <c r="AO10" s="60">
        <f>1700*1.0091*1.0182</f>
        <v>1746.6915540000002</v>
      </c>
      <c r="AP10" s="60"/>
      <c r="AQ10" s="232">
        <f>SUM(L10:AP10)</f>
        <v>6807.4219568141907</v>
      </c>
      <c r="AS10" s="21" t="e">
        <f>(J10+#REF!)/($J$31+#REF!)</f>
        <v>#REF!</v>
      </c>
      <c r="AT10" s="14" t="e">
        <f>AS10*$AT$8</f>
        <v>#REF!</v>
      </c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72"/>
      <c r="BF10" s="46"/>
      <c r="BG10" s="46"/>
      <c r="BH10" s="46"/>
      <c r="BI10" s="46"/>
      <c r="BJ10" s="65"/>
      <c r="BK10" s="129">
        <v>0.22403245832975516</v>
      </c>
      <c r="BL10" s="129">
        <v>1.6345688618650489E-2</v>
      </c>
      <c r="BM10" s="129">
        <v>8.9655172413793102E-2</v>
      </c>
      <c r="BN10" s="130">
        <v>4.8595550095447332E-2</v>
      </c>
      <c r="BO10" s="129">
        <v>7.266678340045526E-3</v>
      </c>
      <c r="BP10" s="129">
        <v>5.5391076512707978E-2</v>
      </c>
      <c r="BQ10" s="129">
        <v>2.47E-2</v>
      </c>
      <c r="BR10" s="129">
        <v>7.2066666666666668E-2</v>
      </c>
      <c r="BS10" s="82"/>
      <c r="BT10" s="82"/>
      <c r="BU10" s="82"/>
      <c r="BV10" s="82"/>
      <c r="BW10" s="83">
        <f>SUM(BK10*$BO$37)</f>
        <v>223891.38719015077</v>
      </c>
      <c r="BX10" s="83">
        <f t="shared" ref="BX10:BX30" si="0">SUM(BL10*$BO$39)</f>
        <v>2414.7976535560374</v>
      </c>
      <c r="BY10" s="83">
        <f t="shared" ref="BY10:BY30" si="1">SUM(BM10*$BO$40)</f>
        <v>10128.550661690992</v>
      </c>
      <c r="BZ10" s="83">
        <f t="shared" ref="BZ10:BZ30" si="2">BN10*$BR$41*$BS$41</f>
        <v>0</v>
      </c>
      <c r="CA10" s="83">
        <f t="shared" ref="CA10:CA30" si="3">SUM(BO10*$BO$42)</f>
        <v>568.33846284449487</v>
      </c>
      <c r="CB10" s="83">
        <f t="shared" ref="CB10:CB30" si="4">SUM(BP10*$BO$43)</f>
        <v>12515.314165594136</v>
      </c>
      <c r="CC10" s="83">
        <f>SUM(BQ10*$BO$44)</f>
        <v>3434.3577935949147</v>
      </c>
      <c r="CD10" s="83">
        <f>SUM(BR10*$BO$45)</f>
        <v>2505.0882421566143</v>
      </c>
      <c r="CE10" s="84">
        <f>SUM(BW10:CD10)</f>
        <v>255457.83416958796</v>
      </c>
      <c r="CG10" s="15">
        <f t="shared" ref="CG10:CG30" si="5">J10</f>
        <v>0</v>
      </c>
      <c r="CH10" s="5" t="e">
        <f>-#REF!</f>
        <v>#REF!</v>
      </c>
      <c r="CJ10" s="4">
        <v>32000</v>
      </c>
      <c r="CK10" s="5" t="e">
        <f>CG10-CH10-CI10-CJ10</f>
        <v>#REF!</v>
      </c>
      <c r="CL10" s="35" t="e">
        <f>CK10/$CK$31</f>
        <v>#REF!</v>
      </c>
      <c r="CM10" s="22" t="e">
        <f t="shared" ref="CM10:CM30" si="6">CL10*$C$15</f>
        <v>#REF!</v>
      </c>
      <c r="CQ10" s="93" t="s">
        <v>8</v>
      </c>
      <c r="CR10" s="96">
        <f>SUM(AQ10)</f>
        <v>6807.4219568141907</v>
      </c>
      <c r="CS10" s="96"/>
      <c r="CT10" s="96">
        <f>$B$22</f>
        <v>35900</v>
      </c>
      <c r="CU10" s="96">
        <f>CE10</f>
        <v>255457.83416958796</v>
      </c>
      <c r="CV10" s="96"/>
      <c r="CW10" s="123">
        <f>SUM(CR10:CU10)</f>
        <v>298165.25612640218</v>
      </c>
      <c r="CX10" s="124">
        <f>CW10/$CW$31</f>
        <v>0.11506156863415887</v>
      </c>
      <c r="CY10" s="110"/>
      <c r="CZ10" s="96"/>
      <c r="DA10" s="96">
        <f>SUM(CW10*0.04)</f>
        <v>11926.610245056087</v>
      </c>
      <c r="DB10" s="177"/>
      <c r="DC10" s="152"/>
      <c r="DD10" s="152"/>
      <c r="DE10" s="197"/>
      <c r="DF10" s="198"/>
      <c r="DG10" s="199"/>
      <c r="DH10" s="167"/>
      <c r="DI10" s="5"/>
      <c r="DK10" s="151"/>
      <c r="DL10" s="151"/>
      <c r="DM10" s="48"/>
      <c r="DN10" s="151"/>
      <c r="DO10" s="152"/>
      <c r="DP10" s="152"/>
      <c r="DQ10" s="152"/>
      <c r="DR10" s="152"/>
      <c r="DS10" s="112"/>
      <c r="DT10" s="111"/>
      <c r="DU10" s="113"/>
      <c r="DV10" s="137"/>
      <c r="DW10" s="49"/>
      <c r="DX10" s="5"/>
      <c r="DY10" s="4"/>
      <c r="DZ10" s="5"/>
      <c r="EA10" s="5"/>
      <c r="EB10" s="42"/>
      <c r="EC10" s="5"/>
      <c r="EE10" s="5"/>
      <c r="EF10" s="5"/>
      <c r="EG10" s="5"/>
      <c r="EH10" s="5"/>
      <c r="EJ10" s="5"/>
      <c r="EK10" s="42"/>
      <c r="EO10" s="42"/>
      <c r="EP10" s="42"/>
      <c r="EQ10" s="42"/>
      <c r="EU10" s="42"/>
      <c r="EV10" s="5"/>
      <c r="EX10" s="32"/>
    </row>
    <row r="11" spans="1:154" x14ac:dyDescent="0.25">
      <c r="A11" s="163" t="s">
        <v>111</v>
      </c>
      <c r="B11" s="4"/>
      <c r="C11" s="52">
        <f>-21*35900</f>
        <v>-753900</v>
      </c>
      <c r="D11" s="4" t="s">
        <v>185</v>
      </c>
      <c r="E11" s="164" t="s">
        <v>115</v>
      </c>
      <c r="F11" s="8"/>
      <c r="H11" s="3" t="s">
        <v>13</v>
      </c>
      <c r="I11" s="3" t="s">
        <v>2</v>
      </c>
      <c r="J11" s="42"/>
      <c r="K11" s="7"/>
      <c r="L11" s="248"/>
      <c r="M11" s="60"/>
      <c r="N11" s="60"/>
      <c r="O11" s="60"/>
      <c r="P11" s="60"/>
      <c r="Q11" s="60"/>
      <c r="R11" s="60"/>
      <c r="S11" s="60">
        <f>806.108818303748*1.0362*1.006*1.0089*1.0057*1.0276*1.0091*1.0182</f>
        <v>900.20870321327368</v>
      </c>
      <c r="T11" s="60"/>
      <c r="U11" s="60"/>
      <c r="V11" s="60"/>
      <c r="W11" s="60"/>
      <c r="X11" s="60"/>
      <c r="Y11" s="60"/>
      <c r="Z11" s="60"/>
      <c r="AA11" s="60">
        <v>-927.73880185784606</v>
      </c>
      <c r="AB11" s="60"/>
      <c r="AC11" s="60"/>
      <c r="AD11" s="60"/>
      <c r="AE11" s="60">
        <f>-389*1.006*1.0089*1.0057*1.0276*1.0091*1.0182</f>
        <v>-419.23308474461015</v>
      </c>
      <c r="AF11" s="60"/>
      <c r="AG11" s="60"/>
      <c r="AH11" s="60"/>
      <c r="AI11" s="60"/>
      <c r="AJ11" s="60"/>
      <c r="AK11" s="60">
        <f>840*1.0276*1.0091*1.0182</f>
        <v>886.89188373408012</v>
      </c>
      <c r="AL11" s="243">
        <f>3110*1.0276*1.0091*1.0182</f>
        <v>3283.6116171583203</v>
      </c>
      <c r="AM11" s="60">
        <f>-450*1.0276*1.0091*1.0182</f>
        <v>-475.12065200040001</v>
      </c>
      <c r="AN11" s="60"/>
      <c r="AO11" s="60"/>
      <c r="AP11" s="60"/>
      <c r="AQ11" s="232">
        <f t="shared" ref="AQ11:AQ30" si="7">SUM(L11:AP11)</f>
        <v>3248.619665502818</v>
      </c>
      <c r="AS11" s="21" t="e">
        <f>(J11+#REF!)/($J$31+#REF!)</f>
        <v>#REF!</v>
      </c>
      <c r="AT11" s="14" t="e">
        <f t="shared" ref="AT11:AT30" si="8">AS11*$AT$8</f>
        <v>#REF!</v>
      </c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72"/>
      <c r="BF11" s="46"/>
      <c r="BG11" s="46"/>
      <c r="BH11" s="46"/>
      <c r="BI11" s="46"/>
      <c r="BJ11" s="65"/>
      <c r="BK11" s="129">
        <v>3.5811839694259558E-2</v>
      </c>
      <c r="BL11" s="129">
        <v>1.9138455203796999E-2</v>
      </c>
      <c r="BM11" s="129">
        <v>2.7586206896551724E-2</v>
      </c>
      <c r="BN11" s="130">
        <v>1.9131968855911435E-2</v>
      </c>
      <c r="BO11" s="129">
        <v>8.6674838031868331E-3</v>
      </c>
      <c r="BP11" s="129">
        <v>2.1812128148617587E-2</v>
      </c>
      <c r="BQ11" s="129">
        <v>3.6900000000000002E-2</v>
      </c>
      <c r="BR11" s="129">
        <v>3.676666666666667E-2</v>
      </c>
      <c r="BS11" s="82"/>
      <c r="BT11" s="82"/>
      <c r="BU11" s="82"/>
      <c r="BV11" s="82"/>
      <c r="BW11" s="83">
        <f t="shared" ref="BW11:BW30" si="9">SUM(BK11*$BO$37)</f>
        <v>35789.289314396461</v>
      </c>
      <c r="BX11" s="83">
        <f t="shared" si="0"/>
        <v>2827.3814457767339</v>
      </c>
      <c r="BY11" s="83">
        <f t="shared" si="1"/>
        <v>3116.4771266741514</v>
      </c>
      <c r="BZ11" s="83">
        <f t="shared" si="2"/>
        <v>0</v>
      </c>
      <c r="CA11" s="83">
        <f t="shared" si="3"/>
        <v>677.8976845976506</v>
      </c>
      <c r="CB11" s="83">
        <f t="shared" si="4"/>
        <v>4928.3323882957784</v>
      </c>
      <c r="CC11" s="83">
        <f t="shared" ref="CC11:CC30" si="10">SUM(BQ11*$BO$44)</f>
        <v>5130.6802665446294</v>
      </c>
      <c r="CD11" s="83">
        <f t="shared" ref="CD11:CD30" si="11">SUM(BR11*$BO$45)</f>
        <v>1278.0353057811037</v>
      </c>
      <c r="CE11" s="84">
        <f t="shared" ref="CE11:CE30" si="12">SUM(BW11:CD11)</f>
        <v>53748.093532066508</v>
      </c>
      <c r="CG11" s="15">
        <f t="shared" si="5"/>
        <v>0</v>
      </c>
      <c r="CH11" s="5" t="e">
        <f>-#REF!</f>
        <v>#REF!</v>
      </c>
      <c r="CJ11" s="4">
        <v>32000</v>
      </c>
      <c r="CK11" s="5" t="e">
        <f t="shared" ref="CK11:CK30" si="13">CG11-CH11-CI11-CJ11</f>
        <v>#REF!</v>
      </c>
      <c r="CL11" s="35" t="e">
        <f t="shared" ref="CL11:CL30" si="14">CK11/$CK$31</f>
        <v>#REF!</v>
      </c>
      <c r="CM11" s="22" t="e">
        <f t="shared" si="6"/>
        <v>#REF!</v>
      </c>
      <c r="CQ11" s="93" t="s">
        <v>2</v>
      </c>
      <c r="CR11" s="96">
        <f t="shared" ref="CR11:CR30" si="15">SUM(AQ11)</f>
        <v>3248.619665502818</v>
      </c>
      <c r="CS11" s="96"/>
      <c r="CT11" s="96">
        <f t="shared" ref="CT11:CT30" si="16">$B$22</f>
        <v>35900</v>
      </c>
      <c r="CU11" s="96">
        <f>CE11</f>
        <v>53748.093532066508</v>
      </c>
      <c r="CV11" s="96"/>
      <c r="CW11" s="123">
        <f t="shared" ref="CW11:CW30" si="17">SUM(CR11:CU11)</f>
        <v>92896.713197569334</v>
      </c>
      <c r="CX11" s="124">
        <f t="shared" ref="CX11:CX31" si="18">CW11/$CW$31</f>
        <v>3.5848715844137589E-2</v>
      </c>
      <c r="CY11" s="110"/>
      <c r="CZ11" s="96"/>
      <c r="DA11" s="96">
        <f t="shared" ref="DA11:DA30" si="19">SUM(CW11*0.04)</f>
        <v>3715.8685279027736</v>
      </c>
      <c r="DB11" s="177"/>
      <c r="DC11" s="152"/>
      <c r="DD11" s="152"/>
      <c r="DE11" s="197"/>
      <c r="DF11" s="198"/>
      <c r="DG11" s="199"/>
      <c r="DH11" s="167"/>
      <c r="DI11" s="5"/>
      <c r="DK11" s="151"/>
      <c r="DL11" s="151"/>
      <c r="DM11" s="48"/>
      <c r="DN11" s="151"/>
      <c r="DO11" s="152"/>
      <c r="DP11" s="152"/>
      <c r="DQ11" s="152"/>
      <c r="DR11" s="152"/>
      <c r="DS11" s="112"/>
      <c r="DT11" s="111"/>
      <c r="DU11" s="113"/>
      <c r="DV11" s="137"/>
      <c r="DW11" s="48"/>
      <c r="DX11" s="5"/>
      <c r="DY11" s="133"/>
      <c r="DZ11" s="5"/>
      <c r="EA11" s="5"/>
      <c r="EB11" s="42"/>
      <c r="EC11" s="5"/>
      <c r="EE11" s="5"/>
      <c r="EF11" s="5"/>
      <c r="EG11" s="5"/>
      <c r="EH11" s="5"/>
      <c r="EJ11" s="5"/>
      <c r="EK11" s="42"/>
      <c r="EO11" s="42"/>
      <c r="EP11" s="42"/>
      <c r="EQ11" s="42"/>
      <c r="EU11" s="42"/>
      <c r="EV11" s="5"/>
      <c r="EX11" s="32"/>
    </row>
    <row r="12" spans="1:154" x14ac:dyDescent="0.25">
      <c r="A12" s="163"/>
      <c r="B12" s="4"/>
      <c r="C12" s="4"/>
      <c r="D12" s="4"/>
      <c r="E12" s="164"/>
      <c r="F12" s="4"/>
      <c r="H12" s="3" t="s">
        <v>14</v>
      </c>
      <c r="I12" s="3" t="s">
        <v>15</v>
      </c>
      <c r="J12" s="42"/>
      <c r="K12" s="7"/>
      <c r="L12" s="248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>
        <v>-810.15777735509698</v>
      </c>
      <c r="AB12" s="60"/>
      <c r="AC12" s="60"/>
      <c r="AD12" s="60"/>
      <c r="AE12" s="60">
        <f>-275*1.006*1.0089*1.0057*1.0276*1.0091*1.0182</f>
        <v>-296.37300335415887</v>
      </c>
      <c r="AF12" s="60"/>
      <c r="AG12" s="60"/>
      <c r="AH12" s="60"/>
      <c r="AI12" s="60"/>
      <c r="AJ12" s="60"/>
      <c r="AK12" s="60">
        <f>840*1.0276*1.0091*1.0182</f>
        <v>886.89188373408012</v>
      </c>
      <c r="AL12" s="60">
        <f>-1862*1.0276*1.0091*1.0182</f>
        <v>-1965.943675610544</v>
      </c>
      <c r="AM12" s="60">
        <f>-815*1.0276*1.0091*1.0182</f>
        <v>-860.49629195628017</v>
      </c>
      <c r="AN12" s="60"/>
      <c r="AO12" s="60"/>
      <c r="AP12" s="60"/>
      <c r="AQ12" s="232">
        <f t="shared" si="7"/>
        <v>-3046.0788645419998</v>
      </c>
      <c r="AS12" s="21" t="e">
        <f>(J12+#REF!)/($J$31+#REF!)</f>
        <v>#REF!</v>
      </c>
      <c r="AT12" s="14" t="e">
        <f t="shared" si="8"/>
        <v>#REF!</v>
      </c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72"/>
      <c r="BF12" s="46"/>
      <c r="BG12" s="46"/>
      <c r="BH12" s="46"/>
      <c r="BI12" s="46"/>
      <c r="BJ12" s="65"/>
      <c r="BK12" s="129">
        <v>2.8764491704306977E-2</v>
      </c>
      <c r="BL12" s="129">
        <v>1.5728989792262355E-2</v>
      </c>
      <c r="BM12" s="129">
        <v>3.1034482758620689E-2</v>
      </c>
      <c r="BN12" s="130">
        <v>2.4052688932675932E-2</v>
      </c>
      <c r="BO12" s="129">
        <v>1.5117025623066598E-2</v>
      </c>
      <c r="BP12" s="129">
        <v>2.7563114234636449E-2</v>
      </c>
      <c r="BQ12" s="129">
        <v>2.8400000000000002E-2</v>
      </c>
      <c r="BR12" s="129">
        <v>2.8800000000000003E-2</v>
      </c>
      <c r="BS12" s="82"/>
      <c r="BT12" s="82"/>
      <c r="BU12" s="82"/>
      <c r="BV12" s="82"/>
      <c r="BW12" s="83">
        <f t="shared" si="9"/>
        <v>28746.378973432529</v>
      </c>
      <c r="BX12" s="83">
        <f t="shared" si="0"/>
        <v>2323.6908844466807</v>
      </c>
      <c r="BY12" s="83">
        <f t="shared" si="1"/>
        <v>3506.0367675084203</v>
      </c>
      <c r="BZ12" s="83">
        <f t="shared" si="2"/>
        <v>0</v>
      </c>
      <c r="CA12" s="83">
        <f t="shared" si="3"/>
        <v>1182.3266014194712</v>
      </c>
      <c r="CB12" s="83">
        <f t="shared" si="4"/>
        <v>6227.7365912809619</v>
      </c>
      <c r="CC12" s="83">
        <f t="shared" si="10"/>
        <v>3948.8162485058938</v>
      </c>
      <c r="CD12" s="83">
        <f t="shared" si="11"/>
        <v>1001.1083446916351</v>
      </c>
      <c r="CE12" s="84">
        <f t="shared" si="12"/>
        <v>46936.094411285601</v>
      </c>
      <c r="CG12" s="15">
        <f t="shared" si="5"/>
        <v>0</v>
      </c>
      <c r="CH12" s="5" t="e">
        <f>-#REF!</f>
        <v>#REF!</v>
      </c>
      <c r="CJ12" s="4">
        <v>32000</v>
      </c>
      <c r="CK12" s="5" t="e">
        <f t="shared" si="13"/>
        <v>#REF!</v>
      </c>
      <c r="CL12" s="35" t="e">
        <f t="shared" si="14"/>
        <v>#REF!</v>
      </c>
      <c r="CM12" s="22" t="e">
        <f t="shared" si="6"/>
        <v>#REF!</v>
      </c>
      <c r="CQ12" s="93" t="s">
        <v>15</v>
      </c>
      <c r="CR12" s="96">
        <f t="shared" si="15"/>
        <v>-3046.0788645419998</v>
      </c>
      <c r="CS12" s="96"/>
      <c r="CT12" s="96">
        <f t="shared" si="16"/>
        <v>35900</v>
      </c>
      <c r="CU12" s="96">
        <f t="shared" ref="CU12:CU29" si="20">CE12</f>
        <v>46936.094411285601</v>
      </c>
      <c r="CV12" s="96"/>
      <c r="CW12" s="123">
        <f t="shared" si="17"/>
        <v>79790.015546743613</v>
      </c>
      <c r="CX12" s="124">
        <f t="shared" si="18"/>
        <v>3.0790858966680584E-2</v>
      </c>
      <c r="CY12" s="110"/>
      <c r="CZ12" s="96"/>
      <c r="DA12" s="96">
        <f t="shared" si="19"/>
        <v>3191.6006218697444</v>
      </c>
      <c r="DB12" s="177"/>
      <c r="DC12" s="152"/>
      <c r="DD12" s="152"/>
      <c r="DE12" s="197"/>
      <c r="DF12" s="198"/>
      <c r="DG12" s="199"/>
      <c r="DH12" s="167"/>
      <c r="DI12" s="5"/>
      <c r="DK12" s="151"/>
      <c r="DL12" s="151"/>
      <c r="DM12" s="48"/>
      <c r="DN12" s="151"/>
      <c r="DO12" s="152"/>
      <c r="DP12" s="152"/>
      <c r="DQ12" s="152"/>
      <c r="DR12" s="152"/>
      <c r="DS12" s="112"/>
      <c r="DT12" s="111"/>
      <c r="DU12" s="113"/>
      <c r="DV12" s="98"/>
      <c r="DW12" s="48"/>
      <c r="DX12" s="5"/>
      <c r="DY12" s="133"/>
      <c r="DZ12" s="5"/>
      <c r="EA12" s="5"/>
      <c r="EB12" s="42"/>
      <c r="EC12" s="5"/>
      <c r="EE12" s="5"/>
      <c r="EF12" s="5"/>
      <c r="EG12" s="5"/>
      <c r="EH12" s="5"/>
      <c r="EJ12" s="5"/>
      <c r="EK12" s="42"/>
      <c r="EO12" s="42"/>
      <c r="EP12" s="42"/>
      <c r="EQ12" s="42"/>
      <c r="EU12" s="42"/>
      <c r="EV12" s="5"/>
      <c r="EX12" s="32"/>
    </row>
    <row r="13" spans="1:154" x14ac:dyDescent="0.25">
      <c r="A13" s="163" t="s">
        <v>51</v>
      </c>
      <c r="B13" s="4"/>
      <c r="C13" s="5">
        <f>SUM(C7:C12)</f>
        <v>1738035.3206451996</v>
      </c>
      <c r="D13" s="4"/>
      <c r="E13" s="164"/>
      <c r="F13" s="4"/>
      <c r="H13" s="3" t="s">
        <v>16</v>
      </c>
      <c r="I13" s="3" t="s">
        <v>17</v>
      </c>
      <c r="J13" s="42"/>
      <c r="K13" s="7"/>
      <c r="L13" s="248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>
        <v>-1358.80082519091</v>
      </c>
      <c r="AB13" s="60"/>
      <c r="AC13" s="60"/>
      <c r="AD13" s="60"/>
      <c r="AE13" s="60">
        <f>577*1.006*1.0089*1.0057*1.0276*1.0091*1.0182</f>
        <v>621.84444703763506</v>
      </c>
      <c r="AF13" s="60"/>
      <c r="AG13" s="60"/>
      <c r="AH13" s="60"/>
      <c r="AI13" s="60"/>
      <c r="AJ13" s="60"/>
      <c r="AK13" s="60">
        <f>840*1.0276*1.0091*1.0182</f>
        <v>886.89188373408012</v>
      </c>
      <c r="AL13" s="60">
        <f>1143*1.0276*1.0091*1.0182</f>
        <v>1206.8064560810162</v>
      </c>
      <c r="AM13" s="60">
        <f>1374*1.0276*1.0091*1.0182</f>
        <v>1450.7017241078884</v>
      </c>
      <c r="AN13" s="60"/>
      <c r="AO13" s="60"/>
      <c r="AP13" s="60"/>
      <c r="AQ13" s="232">
        <f t="shared" si="7"/>
        <v>2807.4436857697096</v>
      </c>
      <c r="AS13" s="21" t="e">
        <f>(J13+#REF!)/($J$31+#REF!)</f>
        <v>#REF!</v>
      </c>
      <c r="AT13" s="14" t="e">
        <f t="shared" si="8"/>
        <v>#REF!</v>
      </c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72"/>
      <c r="BF13" s="46"/>
      <c r="BG13" s="46"/>
      <c r="BH13" s="46"/>
      <c r="BI13" s="46"/>
      <c r="BJ13" s="65"/>
      <c r="BK13" s="129">
        <v>4.5390452677477773E-2</v>
      </c>
      <c r="BL13" s="129">
        <v>2.7386508308964917E-2</v>
      </c>
      <c r="BM13" s="129">
        <v>4.4827586206896551E-2</v>
      </c>
      <c r="BN13" s="130">
        <v>3.0626396143953967E-2</v>
      </c>
      <c r="BO13" s="129">
        <v>1.7947819996497985E-2</v>
      </c>
      <c r="BP13" s="129">
        <v>5.9127325696881415E-2</v>
      </c>
      <c r="BQ13" s="129">
        <v>5.6599999999999998E-2</v>
      </c>
      <c r="BR13" s="129">
        <v>4.6500000000000007E-2</v>
      </c>
      <c r="BS13" s="82"/>
      <c r="BT13" s="82"/>
      <c r="BU13" s="82"/>
      <c r="BV13" s="82"/>
      <c r="BW13" s="83">
        <f t="shared" si="9"/>
        <v>45361.870734780226</v>
      </c>
      <c r="BX13" s="83">
        <f t="shared" si="0"/>
        <v>4045.8910937605624</v>
      </c>
      <c r="BY13" s="83">
        <f t="shared" si="1"/>
        <v>5064.2753308454958</v>
      </c>
      <c r="BZ13" s="83">
        <f t="shared" si="2"/>
        <v>0</v>
      </c>
      <c r="CA13" s="83">
        <f t="shared" si="3"/>
        <v>1403.7275287123064</v>
      </c>
      <c r="CB13" s="83">
        <f t="shared" si="4"/>
        <v>13359.499461941419</v>
      </c>
      <c r="CC13" s="83">
        <f t="shared" si="10"/>
        <v>7869.823931881464</v>
      </c>
      <c r="CD13" s="83">
        <f t="shared" si="11"/>
        <v>1616.3728482000358</v>
      </c>
      <c r="CE13" s="84">
        <f t="shared" si="12"/>
        <v>78721.460930121495</v>
      </c>
      <c r="CG13" s="15">
        <f t="shared" si="5"/>
        <v>0</v>
      </c>
      <c r="CH13" s="5" t="e">
        <f>-#REF!</f>
        <v>#REF!</v>
      </c>
      <c r="CJ13" s="4">
        <v>32000</v>
      </c>
      <c r="CK13" s="5" t="e">
        <f t="shared" si="13"/>
        <v>#REF!</v>
      </c>
      <c r="CL13" s="35" t="e">
        <f t="shared" si="14"/>
        <v>#REF!</v>
      </c>
      <c r="CM13" s="22" t="e">
        <f t="shared" si="6"/>
        <v>#REF!</v>
      </c>
      <c r="CQ13" s="93" t="s">
        <v>17</v>
      </c>
      <c r="CR13" s="96">
        <f t="shared" si="15"/>
        <v>2807.4436857697096</v>
      </c>
      <c r="CS13" s="96"/>
      <c r="CT13" s="96">
        <f t="shared" si="16"/>
        <v>35900</v>
      </c>
      <c r="CU13" s="96">
        <f t="shared" si="20"/>
        <v>78721.460930121495</v>
      </c>
      <c r="CV13" s="96"/>
      <c r="CW13" s="123">
        <f t="shared" si="17"/>
        <v>117428.9046158912</v>
      </c>
      <c r="CX13" s="124">
        <f t="shared" si="18"/>
        <v>4.5315655296764228E-2</v>
      </c>
      <c r="CY13" s="110"/>
      <c r="CZ13" s="96"/>
      <c r="DA13" s="96">
        <f t="shared" si="19"/>
        <v>4697.1561846356481</v>
      </c>
      <c r="DB13" s="177"/>
      <c r="DC13" s="152"/>
      <c r="DD13" s="152"/>
      <c r="DE13" s="197"/>
      <c r="DF13" s="198"/>
      <c r="DG13" s="199"/>
      <c r="DH13" s="167"/>
      <c r="DI13" s="5"/>
      <c r="DK13" s="151"/>
      <c r="DL13" s="151"/>
      <c r="DM13" s="48"/>
      <c r="DN13" s="151"/>
      <c r="DO13" s="152"/>
      <c r="DP13" s="152"/>
      <c r="DQ13" s="152"/>
      <c r="DR13" s="152"/>
      <c r="DS13" s="112"/>
      <c r="DT13" s="111"/>
      <c r="DU13" s="113"/>
      <c r="DV13" s="137"/>
      <c r="DW13" s="49"/>
      <c r="DX13" s="5"/>
      <c r="DY13" s="133"/>
      <c r="DZ13" s="5"/>
      <c r="EA13" s="5"/>
      <c r="EB13" s="42"/>
      <c r="EC13" s="5"/>
      <c r="EE13" s="5"/>
      <c r="EF13" s="5"/>
      <c r="EG13" s="5"/>
      <c r="EH13" s="5"/>
      <c r="EJ13" s="5"/>
      <c r="EK13" s="42"/>
      <c r="EO13" s="42"/>
      <c r="EP13" s="42"/>
      <c r="EQ13" s="42"/>
      <c r="EU13" s="42"/>
      <c r="EV13" s="5"/>
      <c r="EX13" s="32"/>
    </row>
    <row r="14" spans="1:154" x14ac:dyDescent="0.25">
      <c r="A14" s="163"/>
      <c r="B14" s="4"/>
      <c r="C14" s="4"/>
      <c r="D14" s="4"/>
      <c r="E14" s="164"/>
      <c r="F14" s="4"/>
      <c r="H14" s="3" t="s">
        <v>18</v>
      </c>
      <c r="I14" s="3" t="s">
        <v>19</v>
      </c>
      <c r="J14" s="42"/>
      <c r="K14" s="6"/>
      <c r="L14" s="248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>
        <v>-1216.9811124077401</v>
      </c>
      <c r="AB14" s="60"/>
      <c r="AC14" s="60"/>
      <c r="AD14" s="60"/>
      <c r="AE14" s="60">
        <f>-960*1.006*1.0089*1.0057*1.0276*1.0091*1.0182</f>
        <v>-1034.6112117090636</v>
      </c>
      <c r="AF14" s="60"/>
      <c r="AG14" s="60">
        <v>3000</v>
      </c>
      <c r="AH14" s="60"/>
      <c r="AI14" s="60"/>
      <c r="AJ14" s="60"/>
      <c r="AK14" s="60"/>
      <c r="AL14" s="60">
        <f>-1143*1.0276*1.0091*1.0182</f>
        <v>-1206.8064560810162</v>
      </c>
      <c r="AM14" s="60">
        <f>-800*1.0276*1.0091*1.0182</f>
        <v>-844.65893688960011</v>
      </c>
      <c r="AN14" s="60"/>
      <c r="AO14" s="60"/>
      <c r="AP14" s="60"/>
      <c r="AQ14" s="232">
        <f t="shared" si="7"/>
        <v>-1303.0577170874203</v>
      </c>
      <c r="AS14" s="21" t="e">
        <f>(J14+#REF!)/($J$31+#REF!)</f>
        <v>#REF!</v>
      </c>
      <c r="AT14" s="14" t="e">
        <f t="shared" si="8"/>
        <v>#REF!</v>
      </c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72"/>
      <c r="BF14" s="46"/>
      <c r="BG14" s="46"/>
      <c r="BH14" s="46"/>
      <c r="BI14" s="46"/>
      <c r="BJ14" s="65"/>
      <c r="BK14" s="129">
        <v>3.5397685043653489E-2</v>
      </c>
      <c r="BL14" s="129">
        <v>2.6053763228258541E-2</v>
      </c>
      <c r="BM14" s="129">
        <v>4.4827586206896551E-2</v>
      </c>
      <c r="BN14" s="130">
        <v>1.5973392651191336E-2</v>
      </c>
      <c r="BO14" s="129">
        <v>2.0399229556995271E-2</v>
      </c>
      <c r="BP14" s="129">
        <v>6.1728511837761658E-2</v>
      </c>
      <c r="BQ14" s="129">
        <v>6.3600000000000004E-2</v>
      </c>
      <c r="BR14" s="129">
        <v>5.2666666666666667E-2</v>
      </c>
      <c r="BS14" s="82"/>
      <c r="BT14" s="82"/>
      <c r="BU14" s="82"/>
      <c r="BV14" s="82"/>
      <c r="BW14" s="83">
        <f t="shared" si="9"/>
        <v>35375.395453092839</v>
      </c>
      <c r="BX14" s="83">
        <f t="shared" si="0"/>
        <v>3849.0006617474378</v>
      </c>
      <c r="BY14" s="83">
        <f t="shared" si="1"/>
        <v>5064.2753308454958</v>
      </c>
      <c r="BZ14" s="83">
        <f t="shared" si="2"/>
        <v>0</v>
      </c>
      <c r="CA14" s="83">
        <f t="shared" si="3"/>
        <v>1595.4561667803289</v>
      </c>
      <c r="CB14" s="83">
        <f t="shared" si="4"/>
        <v>13947.223402436362</v>
      </c>
      <c r="CC14" s="83">
        <f t="shared" si="10"/>
        <v>8843.1237114427768</v>
      </c>
      <c r="CD14" s="83">
        <f t="shared" si="11"/>
        <v>1830.7305377462769</v>
      </c>
      <c r="CE14" s="84">
        <f t="shared" si="12"/>
        <v>70505.205264091521</v>
      </c>
      <c r="CG14" s="15">
        <f t="shared" si="5"/>
        <v>0</v>
      </c>
      <c r="CH14" s="5" t="e">
        <f>-#REF!</f>
        <v>#REF!</v>
      </c>
      <c r="CJ14" s="4">
        <v>32000</v>
      </c>
      <c r="CK14" s="5" t="e">
        <f t="shared" si="13"/>
        <v>#REF!</v>
      </c>
      <c r="CL14" s="35" t="e">
        <f t="shared" si="14"/>
        <v>#REF!</v>
      </c>
      <c r="CM14" s="22" t="e">
        <f t="shared" si="6"/>
        <v>#REF!</v>
      </c>
      <c r="CQ14" s="93" t="s">
        <v>19</v>
      </c>
      <c r="CR14" s="96">
        <f t="shared" si="15"/>
        <v>-1303.0577170874203</v>
      </c>
      <c r="CS14" s="96"/>
      <c r="CT14" s="96">
        <f t="shared" si="16"/>
        <v>35900</v>
      </c>
      <c r="CU14" s="96">
        <f t="shared" si="20"/>
        <v>70505.205264091521</v>
      </c>
      <c r="CV14" s="96"/>
      <c r="CW14" s="123">
        <f t="shared" si="17"/>
        <v>105102.1475470041</v>
      </c>
      <c r="CX14" s="124">
        <f t="shared" si="18"/>
        <v>4.0558776433865878E-2</v>
      </c>
      <c r="CY14" s="110"/>
      <c r="CZ14" s="96"/>
      <c r="DA14" s="96">
        <f t="shared" si="19"/>
        <v>4204.0859018801639</v>
      </c>
      <c r="DB14" s="177"/>
      <c r="DC14" s="152"/>
      <c r="DD14" s="152"/>
      <c r="DE14" s="197"/>
      <c r="DF14" s="198"/>
      <c r="DG14" s="199"/>
      <c r="DH14" s="167"/>
      <c r="DI14" s="5"/>
      <c r="DK14" s="151"/>
      <c r="DL14" s="151"/>
      <c r="DM14" s="48"/>
      <c r="DN14" s="151"/>
      <c r="DO14" s="152"/>
      <c r="DP14" s="152"/>
      <c r="DQ14" s="152"/>
      <c r="DR14" s="152"/>
      <c r="DS14" s="112"/>
      <c r="DT14" s="111"/>
      <c r="DU14" s="113"/>
      <c r="DV14" s="137"/>
      <c r="DW14" s="49"/>
      <c r="DX14" s="5"/>
      <c r="DY14" s="134"/>
      <c r="DZ14" s="5"/>
      <c r="EA14" s="5"/>
      <c r="EB14" s="42"/>
      <c r="EC14" s="5"/>
      <c r="EE14" s="5"/>
      <c r="EF14" s="5"/>
      <c r="EG14" s="5"/>
      <c r="EH14" s="5"/>
      <c r="EJ14" s="5"/>
      <c r="EK14" s="42"/>
      <c r="EO14" s="42"/>
      <c r="EP14" s="42"/>
      <c r="EQ14" s="42"/>
      <c r="EU14" s="42"/>
      <c r="EV14" s="5"/>
      <c r="EX14" s="32"/>
    </row>
    <row r="15" spans="1:154" x14ac:dyDescent="0.25">
      <c r="A15" s="163"/>
      <c r="B15" s="4"/>
      <c r="C15" s="5"/>
      <c r="D15" s="9"/>
      <c r="E15" s="164"/>
      <c r="F15" s="4"/>
      <c r="H15" s="3" t="s">
        <v>20</v>
      </c>
      <c r="I15" s="3" t="s">
        <v>1</v>
      </c>
      <c r="J15" s="42"/>
      <c r="K15" s="6"/>
      <c r="L15" s="248"/>
      <c r="M15" s="60"/>
      <c r="N15" s="60"/>
      <c r="O15" s="60"/>
      <c r="P15" s="60"/>
      <c r="Q15" s="60"/>
      <c r="R15" s="60"/>
      <c r="S15" s="60"/>
      <c r="T15" s="60">
        <f>332.519887550296*1.0362*1.006*1.0089*1.0057*1.0276*1.0091*1.0182</f>
        <v>371.3360900754754</v>
      </c>
      <c r="U15" s="60"/>
      <c r="V15" s="60"/>
      <c r="W15" s="60"/>
      <c r="X15" s="60"/>
      <c r="Y15" s="60"/>
      <c r="Z15" s="60"/>
      <c r="AA15" s="60">
        <v>-695.09665152052901</v>
      </c>
      <c r="AB15" s="60"/>
      <c r="AC15" s="60"/>
      <c r="AD15" s="60"/>
      <c r="AE15" s="60">
        <f>-98*1.006*1.0089*1.0057*1.0276*1.0091*1.0182</f>
        <v>-105.61656119530024</v>
      </c>
      <c r="AF15" s="60"/>
      <c r="AG15" s="60"/>
      <c r="AH15" s="60"/>
      <c r="AI15" s="60"/>
      <c r="AJ15" s="60">
        <v>1500</v>
      </c>
      <c r="AK15" s="60"/>
      <c r="AL15" s="60">
        <f>-1272*1.0276*1.0091*1.0182</f>
        <v>-1343.0077096544644</v>
      </c>
      <c r="AM15" s="60">
        <f>-551*1.0276*1.0091*1.0182</f>
        <v>-581.75884278271212</v>
      </c>
      <c r="AN15" s="60"/>
      <c r="AO15" s="60"/>
      <c r="AP15" s="60"/>
      <c r="AQ15" s="232">
        <f t="shared" si="7"/>
        <v>-854.14367507753025</v>
      </c>
      <c r="AS15" s="21" t="e">
        <f>(J15+#REF!)/($J$31+#REF!)</f>
        <v>#REF!</v>
      </c>
      <c r="AT15" s="14" t="e">
        <f t="shared" si="8"/>
        <v>#REF!</v>
      </c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72"/>
      <c r="BF15" s="46"/>
      <c r="BG15" s="46"/>
      <c r="BH15" s="46"/>
      <c r="BI15" s="46"/>
      <c r="BJ15" s="65"/>
      <c r="BK15" s="129">
        <v>1.9417175350902035E-2</v>
      </c>
      <c r="BL15" s="129">
        <v>2.0902415113363795E-2</v>
      </c>
      <c r="BM15" s="129">
        <v>2.7586206896551724E-2</v>
      </c>
      <c r="BN15" s="130">
        <v>1.7083418914716986E-2</v>
      </c>
      <c r="BO15" s="129">
        <v>1.6605381427654234E-2</v>
      </c>
      <c r="BP15" s="129">
        <v>2.8102269180200718E-2</v>
      </c>
      <c r="BQ15" s="129">
        <v>4.1300000000000003E-2</v>
      </c>
      <c r="BR15" s="129">
        <v>3.6533333333333334E-2</v>
      </c>
      <c r="BS15" s="82"/>
      <c r="BT15" s="82"/>
      <c r="BU15" s="82"/>
      <c r="BV15" s="82"/>
      <c r="BW15" s="83">
        <f t="shared" si="9"/>
        <v>19404.948537541721</v>
      </c>
      <c r="BX15" s="83">
        <f t="shared" si="0"/>
        <v>3087.9765390742164</v>
      </c>
      <c r="BY15" s="83">
        <f t="shared" si="1"/>
        <v>3116.4771266741514</v>
      </c>
      <c r="BZ15" s="83">
        <f t="shared" si="2"/>
        <v>0</v>
      </c>
      <c r="CA15" s="83">
        <f t="shared" si="3"/>
        <v>1298.7332745321989</v>
      </c>
      <c r="CB15" s="83">
        <f t="shared" si="4"/>
        <v>6349.5557353108234</v>
      </c>
      <c r="CC15" s="83">
        <f t="shared" si="10"/>
        <v>5742.4686994117401</v>
      </c>
      <c r="CD15" s="83">
        <f t="shared" si="11"/>
        <v>1269.9244742847593</v>
      </c>
      <c r="CE15" s="84">
        <f t="shared" si="12"/>
        <v>40270.084386829614</v>
      </c>
      <c r="CG15" s="15">
        <f t="shared" si="5"/>
        <v>0</v>
      </c>
      <c r="CH15" s="5" t="e">
        <f>-#REF!</f>
        <v>#REF!</v>
      </c>
      <c r="CJ15" s="4">
        <v>32000</v>
      </c>
      <c r="CK15" s="5" t="e">
        <f t="shared" si="13"/>
        <v>#REF!</v>
      </c>
      <c r="CL15" s="35" t="e">
        <f t="shared" si="14"/>
        <v>#REF!</v>
      </c>
      <c r="CM15" s="22" t="e">
        <f t="shared" si="6"/>
        <v>#REF!</v>
      </c>
      <c r="CQ15" s="93" t="s">
        <v>1</v>
      </c>
      <c r="CR15" s="96">
        <f t="shared" si="15"/>
        <v>-854.14367507753025</v>
      </c>
      <c r="CS15" s="96"/>
      <c r="CT15" s="96">
        <f t="shared" si="16"/>
        <v>35900</v>
      </c>
      <c r="CU15" s="96">
        <f t="shared" si="20"/>
        <v>40270.084386829614</v>
      </c>
      <c r="CV15" s="96"/>
      <c r="CW15" s="123">
        <f>SUM(CR15:CU15)</f>
        <v>75315.940711752075</v>
      </c>
      <c r="CX15" s="124">
        <f t="shared" si="18"/>
        <v>2.9064319545593562E-2</v>
      </c>
      <c r="CY15" s="110"/>
      <c r="CZ15" s="96"/>
      <c r="DA15" s="96">
        <f t="shared" si="19"/>
        <v>3012.6376284700832</v>
      </c>
      <c r="DB15" s="177"/>
      <c r="DC15" s="152"/>
      <c r="DD15" s="152"/>
      <c r="DE15" s="197"/>
      <c r="DF15" s="198"/>
      <c r="DG15" s="199"/>
      <c r="DH15" s="167"/>
      <c r="DI15" s="5"/>
      <c r="DK15" s="151"/>
      <c r="DL15" s="151"/>
      <c r="DM15" s="48"/>
      <c r="DN15" s="151"/>
      <c r="DO15" s="152"/>
      <c r="DP15" s="152"/>
      <c r="DQ15" s="152"/>
      <c r="DR15" s="152"/>
      <c r="DS15" s="112"/>
      <c r="DT15" s="111"/>
      <c r="DU15" s="113"/>
      <c r="DV15" s="98"/>
      <c r="DW15" s="48"/>
      <c r="DX15" s="5"/>
      <c r="DY15" s="134"/>
      <c r="DZ15" s="5"/>
      <c r="EA15" s="5"/>
      <c r="EB15" s="42"/>
      <c r="EC15" s="5"/>
      <c r="EE15" s="5"/>
      <c r="EF15" s="5"/>
      <c r="EG15" s="5"/>
      <c r="EH15" s="5"/>
      <c r="EJ15" s="5"/>
      <c r="EK15" s="42"/>
      <c r="EO15" s="42"/>
      <c r="EP15" s="42"/>
      <c r="EQ15" s="42"/>
      <c r="EU15" s="42"/>
      <c r="EV15" s="5"/>
      <c r="EX15" s="32"/>
    </row>
    <row r="16" spans="1:154" ht="16.5" thickBot="1" x14ac:dyDescent="0.3">
      <c r="A16" s="165" t="s">
        <v>117</v>
      </c>
      <c r="B16" s="184"/>
      <c r="C16" s="185">
        <f>C13*D16</f>
        <v>1738035.3206451996</v>
      </c>
      <c r="D16" s="186">
        <v>1</v>
      </c>
      <c r="E16" s="187"/>
      <c r="F16" s="4"/>
      <c r="H16" s="3" t="s">
        <v>21</v>
      </c>
      <c r="I16" s="3" t="s">
        <v>3</v>
      </c>
      <c r="J16" s="42"/>
      <c r="K16" s="7"/>
      <c r="L16" s="248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>
        <v>-280</v>
      </c>
      <c r="Y16" s="60">
        <v>-334</v>
      </c>
      <c r="Z16" s="60"/>
      <c r="AA16" s="60">
        <v>-964.59420883291102</v>
      </c>
      <c r="AB16" s="60"/>
      <c r="AC16" s="60"/>
      <c r="AD16" s="60"/>
      <c r="AE16" s="60">
        <f>-257*1.006*1.0089*1.0057*1.0276*1.0091*1.0182</f>
        <v>-276.97404313461391</v>
      </c>
      <c r="AF16" s="60"/>
      <c r="AG16" s="60"/>
      <c r="AH16" s="60"/>
      <c r="AI16" s="60"/>
      <c r="AJ16" s="60"/>
      <c r="AK16" s="60">
        <f>1680*1.0276*1.0091*1.0182</f>
        <v>1773.7837674681602</v>
      </c>
      <c r="AL16" s="60">
        <f>1272*1.0276*1.0091*1.0182</f>
        <v>1343.0077096544644</v>
      </c>
      <c r="AM16" s="60">
        <f>-574*1.0276*1.0091*1.0182</f>
        <v>-606.04278721828814</v>
      </c>
      <c r="AN16" s="60"/>
      <c r="AO16" s="60"/>
      <c r="AP16" s="60"/>
      <c r="AQ16" s="232">
        <f t="shared" si="7"/>
        <v>655.18043793681136</v>
      </c>
      <c r="AS16" s="21" t="e">
        <f>(J16+#REF!)/($J$31+#REF!)</f>
        <v>#REF!</v>
      </c>
      <c r="AT16" s="14" t="e">
        <f t="shared" si="8"/>
        <v>#REF!</v>
      </c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72"/>
      <c r="BF16" s="46"/>
      <c r="BG16" s="46"/>
      <c r="BH16" s="46"/>
      <c r="BI16" s="46"/>
      <c r="BJ16" s="65"/>
      <c r="BK16" s="129">
        <v>2.4296906705581118E-2</v>
      </c>
      <c r="BL16" s="129">
        <v>2.6144864952665672E-2</v>
      </c>
      <c r="BM16" s="129">
        <v>4.1379310344827586E-2</v>
      </c>
      <c r="BN16" s="130">
        <v>3.1567035798027852E-2</v>
      </c>
      <c r="BO16" s="129">
        <v>3.8492966789237144E-2</v>
      </c>
      <c r="BP16" s="129">
        <v>4.4617436460116719E-2</v>
      </c>
      <c r="BQ16" s="129">
        <v>5.9799999999999999E-2</v>
      </c>
      <c r="BR16" s="129">
        <v>4.7699999999999999E-2</v>
      </c>
      <c r="BS16" s="82"/>
      <c r="BT16" s="82"/>
      <c r="BU16" s="82"/>
      <c r="BV16" s="82"/>
      <c r="BW16" s="83">
        <f t="shared" si="9"/>
        <v>24281.607171114676</v>
      </c>
      <c r="BX16" s="83">
        <f t="shared" si="0"/>
        <v>3862.4593930046963</v>
      </c>
      <c r="BY16" s="83">
        <f t="shared" si="1"/>
        <v>4674.7156900112268</v>
      </c>
      <c r="BZ16" s="83">
        <f t="shared" si="2"/>
        <v>0</v>
      </c>
      <c r="CA16" s="83">
        <f t="shared" si="3"/>
        <v>3010.596114425256</v>
      </c>
      <c r="CB16" s="83">
        <f t="shared" si="4"/>
        <v>10081.068462962352</v>
      </c>
      <c r="CC16" s="83">
        <f t="shared" si="10"/>
        <v>8314.760973966635</v>
      </c>
      <c r="CD16" s="83">
        <f t="shared" si="11"/>
        <v>1658.0856958955205</v>
      </c>
      <c r="CE16" s="84">
        <f t="shared" si="12"/>
        <v>55883.293501380365</v>
      </c>
      <c r="CG16" s="15">
        <f t="shared" si="5"/>
        <v>0</v>
      </c>
      <c r="CH16" s="5" t="e">
        <f>-#REF!</f>
        <v>#REF!</v>
      </c>
      <c r="CJ16" s="4">
        <v>32000</v>
      </c>
      <c r="CK16" s="5" t="e">
        <f t="shared" si="13"/>
        <v>#REF!</v>
      </c>
      <c r="CL16" s="35" t="e">
        <f t="shared" si="14"/>
        <v>#REF!</v>
      </c>
      <c r="CM16" s="22" t="e">
        <f t="shared" si="6"/>
        <v>#REF!</v>
      </c>
      <c r="CQ16" s="93" t="s">
        <v>3</v>
      </c>
      <c r="CR16" s="96">
        <f t="shared" si="15"/>
        <v>655.18043793681136</v>
      </c>
      <c r="CS16" s="96"/>
      <c r="CT16" s="96">
        <f t="shared" si="16"/>
        <v>35900</v>
      </c>
      <c r="CU16" s="96">
        <f t="shared" si="20"/>
        <v>55883.293501380365</v>
      </c>
      <c r="CV16" s="96"/>
      <c r="CW16" s="123">
        <f t="shared" si="17"/>
        <v>92438.473939317177</v>
      </c>
      <c r="CX16" s="124">
        <f t="shared" si="18"/>
        <v>3.5671881934817538E-2</v>
      </c>
      <c r="CY16" s="110"/>
      <c r="CZ16" s="96"/>
      <c r="DA16" s="96">
        <f t="shared" si="19"/>
        <v>3697.5389575726872</v>
      </c>
      <c r="DB16" s="177"/>
      <c r="DC16" s="152"/>
      <c r="DD16" s="152"/>
      <c r="DE16" s="197"/>
      <c r="DF16" s="198"/>
      <c r="DG16" s="199"/>
      <c r="DH16" s="167"/>
      <c r="DI16" s="5"/>
      <c r="DK16" s="151"/>
      <c r="DL16" s="151"/>
      <c r="DM16" s="48"/>
      <c r="DN16" s="151"/>
      <c r="DO16" s="152"/>
      <c r="DP16" s="152"/>
      <c r="DQ16" s="152"/>
      <c r="DR16" s="152"/>
      <c r="DS16" s="112"/>
      <c r="DT16" s="111"/>
      <c r="DU16" s="113"/>
      <c r="DV16" s="98"/>
      <c r="DW16" s="48"/>
      <c r="DX16" s="5"/>
      <c r="DY16" s="133"/>
      <c r="DZ16" s="5"/>
      <c r="EA16" s="5"/>
      <c r="EB16" s="42"/>
      <c r="EC16" s="5"/>
      <c r="EE16" s="5"/>
      <c r="EF16" s="5"/>
      <c r="EG16" s="5"/>
      <c r="EH16" s="5"/>
      <c r="EJ16" s="5"/>
      <c r="EK16" s="42"/>
      <c r="EO16" s="42"/>
      <c r="EP16" s="42"/>
      <c r="EQ16" s="42"/>
      <c r="EU16" s="42"/>
      <c r="EV16" s="5"/>
      <c r="EX16" s="32"/>
    </row>
    <row r="17" spans="1:154" x14ac:dyDescent="0.25">
      <c r="A17" s="4"/>
      <c r="B17" s="4"/>
      <c r="C17" s="4"/>
      <c r="D17" s="4"/>
      <c r="E17" s="4"/>
      <c r="F17" s="4"/>
      <c r="H17" s="3" t="s">
        <v>22</v>
      </c>
      <c r="I17" s="3" t="s">
        <v>7</v>
      </c>
      <c r="J17" s="42"/>
      <c r="K17" s="7"/>
      <c r="L17" s="248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>
        <v>-280</v>
      </c>
      <c r="Y17" s="60">
        <v>-334</v>
      </c>
      <c r="Z17" s="60"/>
      <c r="AA17" s="60">
        <v>-269.83109833418598</v>
      </c>
      <c r="AB17" s="60"/>
      <c r="AC17" s="60"/>
      <c r="AD17" s="60"/>
      <c r="AE17" s="60">
        <f>-128*1.006*1.0089*1.0057*1.0276*1.0091*1.0182</f>
        <v>-137.94816156120848</v>
      </c>
      <c r="AF17" s="60"/>
      <c r="AG17" s="60"/>
      <c r="AH17" s="60"/>
      <c r="AI17" s="60"/>
      <c r="AJ17" s="60">
        <v>1500</v>
      </c>
      <c r="AK17" s="60">
        <f>840*1.0276*1.0091*1.0182</f>
        <v>886.89188373408012</v>
      </c>
      <c r="AL17" s="60">
        <f>-872*1.0276*1.0091*1.0182</f>
        <v>-920.67824120966418</v>
      </c>
      <c r="AM17" s="60">
        <f>-352*1.0276*1.0091*1.0182</f>
        <v>-371.64993223142409</v>
      </c>
      <c r="AN17" s="60"/>
      <c r="AO17" s="60"/>
      <c r="AP17" s="60"/>
      <c r="AQ17" s="232">
        <f t="shared" si="7"/>
        <v>72.784450397597254</v>
      </c>
      <c r="AS17" s="21" t="e">
        <f>(J17+#REF!)/($J$31+#REF!)</f>
        <v>#REF!</v>
      </c>
      <c r="AT17" s="14" t="e">
        <f t="shared" si="8"/>
        <v>#REF!</v>
      </c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72"/>
      <c r="BF17" s="46"/>
      <c r="BG17" s="46"/>
      <c r="BH17" s="46"/>
      <c r="BI17" s="46"/>
      <c r="BJ17" s="65"/>
      <c r="BK17" s="129">
        <v>5.9360451131037209E-3</v>
      </c>
      <c r="BL17" s="129">
        <v>7.0999053872018349E-3</v>
      </c>
      <c r="BM17" s="129">
        <v>3.4482758620689655E-3</v>
      </c>
      <c r="BN17" s="130">
        <v>2.3554233246670563E-2</v>
      </c>
      <c r="BO17" s="129">
        <v>2.1537383995797584E-2</v>
      </c>
      <c r="BP17" s="129">
        <v>8.9102448898515912E-3</v>
      </c>
      <c r="BQ17" s="129">
        <v>2.7400000000000001E-2</v>
      </c>
      <c r="BR17" s="129">
        <v>2.1700000000000001E-2</v>
      </c>
      <c r="BS17" s="82"/>
      <c r="BT17" s="82"/>
      <c r="BU17" s="82"/>
      <c r="BV17" s="82"/>
      <c r="BW17" s="83">
        <f t="shared" si="9"/>
        <v>5932.3072411226167</v>
      </c>
      <c r="BX17" s="83">
        <f t="shared" si="0"/>
        <v>1048.8903385766532</v>
      </c>
      <c r="BY17" s="83">
        <f t="shared" si="1"/>
        <v>389.55964083426892</v>
      </c>
      <c r="BZ17" s="83">
        <f t="shared" si="2"/>
        <v>0</v>
      </c>
      <c r="CA17" s="83">
        <f t="shared" si="3"/>
        <v>1684.4730344547679</v>
      </c>
      <c r="CB17" s="83">
        <f t="shared" si="4"/>
        <v>2013.2216434408601</v>
      </c>
      <c r="CC17" s="83">
        <f t="shared" si="10"/>
        <v>3809.7734228542777</v>
      </c>
      <c r="CD17" s="83">
        <f t="shared" si="11"/>
        <v>754.30732916001671</v>
      </c>
      <c r="CE17" s="84">
        <f t="shared" si="12"/>
        <v>15632.53265044346</v>
      </c>
      <c r="CG17" s="15">
        <f t="shared" si="5"/>
        <v>0</v>
      </c>
      <c r="CH17" s="5" t="e">
        <f>-#REF!</f>
        <v>#REF!</v>
      </c>
      <c r="CJ17" s="4">
        <v>32000</v>
      </c>
      <c r="CK17" s="5" t="e">
        <f t="shared" si="13"/>
        <v>#REF!</v>
      </c>
      <c r="CL17" s="35" t="e">
        <f t="shared" si="14"/>
        <v>#REF!</v>
      </c>
      <c r="CM17" s="22" t="e">
        <f t="shared" si="6"/>
        <v>#REF!</v>
      </c>
      <c r="CQ17" s="93" t="s">
        <v>7</v>
      </c>
      <c r="CR17" s="96">
        <f t="shared" si="15"/>
        <v>72.784450397597254</v>
      </c>
      <c r="CS17" s="96"/>
      <c r="CT17" s="96">
        <f t="shared" si="16"/>
        <v>35900</v>
      </c>
      <c r="CU17" s="96">
        <f t="shared" si="20"/>
        <v>15632.53265044346</v>
      </c>
      <c r="CV17" s="96"/>
      <c r="CW17" s="123">
        <f>SUM(CR17:CU17)</f>
        <v>51605.317100841057</v>
      </c>
      <c r="CX17" s="124">
        <f t="shared" si="18"/>
        <v>1.9914421997473539E-2</v>
      </c>
      <c r="CY17" s="110"/>
      <c r="CZ17" s="96"/>
      <c r="DA17" s="96">
        <f t="shared" si="19"/>
        <v>2064.2126840336423</v>
      </c>
      <c r="DB17" s="177"/>
      <c r="DC17" s="152"/>
      <c r="DD17" s="152"/>
      <c r="DE17" s="197"/>
      <c r="DF17" s="198"/>
      <c r="DG17" s="199"/>
      <c r="DH17" s="167"/>
      <c r="DI17" s="5"/>
      <c r="DK17" s="151"/>
      <c r="DL17" s="151"/>
      <c r="DM17" s="48"/>
      <c r="DN17" s="151"/>
      <c r="DO17" s="152"/>
      <c r="DP17" s="152"/>
      <c r="DQ17" s="152"/>
      <c r="DR17" s="152"/>
      <c r="DS17" s="112"/>
      <c r="DT17" s="111"/>
      <c r="DU17" s="113"/>
      <c r="DV17" s="98"/>
      <c r="DW17" s="48"/>
      <c r="DX17" s="5"/>
      <c r="DY17" s="133"/>
      <c r="DZ17" s="5"/>
      <c r="EA17" s="5"/>
      <c r="EB17" s="42"/>
      <c r="EC17" s="5"/>
      <c r="EE17" s="5"/>
      <c r="EF17" s="5"/>
      <c r="EG17" s="5"/>
      <c r="EH17" s="5"/>
      <c r="EJ17" s="5"/>
      <c r="EK17" s="42"/>
      <c r="EO17" s="42"/>
      <c r="EP17" s="42"/>
      <c r="EQ17" s="42"/>
      <c r="EU17" s="42"/>
      <c r="EV17" s="5"/>
      <c r="EX17" s="32"/>
    </row>
    <row r="18" spans="1:154" x14ac:dyDescent="0.25">
      <c r="A18" s="3" t="s">
        <v>167</v>
      </c>
      <c r="H18" s="3" t="s">
        <v>23</v>
      </c>
      <c r="I18" s="3" t="s">
        <v>4</v>
      </c>
      <c r="J18" s="42"/>
      <c r="K18" s="7"/>
      <c r="L18" s="248"/>
      <c r="M18" s="60"/>
      <c r="N18" s="60"/>
      <c r="O18" s="60"/>
      <c r="P18" s="60"/>
      <c r="Q18" s="60">
        <v>85</v>
      </c>
      <c r="R18" s="60"/>
      <c r="S18" s="60"/>
      <c r="T18" s="60"/>
      <c r="U18" s="60"/>
      <c r="V18" s="60"/>
      <c r="W18" s="60"/>
      <c r="X18" s="60"/>
      <c r="Y18" s="60"/>
      <c r="Z18" s="60"/>
      <c r="AA18" s="60">
        <v>-524.30622678258703</v>
      </c>
      <c r="AB18" s="60"/>
      <c r="AC18" s="60"/>
      <c r="AD18" s="60"/>
      <c r="AE18" s="60">
        <f>-76*1.006*1.0089*1.0057*1.0276*1.0091*1.0182</f>
        <v>-81.906720926967552</v>
      </c>
      <c r="AF18" s="60"/>
      <c r="AG18" s="60"/>
      <c r="AH18" s="60">
        <f>-4648*1.006*1.0089*1.0057*1.0276*1.0091*1.0182</f>
        <v>-5009.242616691382</v>
      </c>
      <c r="AI18" s="60"/>
      <c r="AJ18" s="60">
        <v>1500</v>
      </c>
      <c r="AK18" s="60">
        <f>840*1.0276*1.0091*1.0182</f>
        <v>886.89188373408012</v>
      </c>
      <c r="AL18" s="60">
        <f>-1610*1.0276*1.0091*1.0182</f>
        <v>-1699.8761104903203</v>
      </c>
      <c r="AM18" s="60">
        <f>-363*1.0276*1.0091*1.0182</f>
        <v>-383.263992613656</v>
      </c>
      <c r="AN18" s="60"/>
      <c r="AO18" s="60"/>
      <c r="AP18" s="60"/>
      <c r="AQ18" s="232">
        <f t="shared" si="7"/>
        <v>-5226.7037837708322</v>
      </c>
      <c r="AS18" s="21" t="e">
        <f>(J18+#REF!)/($J$31+#REF!)</f>
        <v>#REF!</v>
      </c>
      <c r="AT18" s="14" t="e">
        <f t="shared" si="8"/>
        <v>#REF!</v>
      </c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72"/>
      <c r="BF18" s="46"/>
      <c r="BG18" s="46"/>
      <c r="BH18" s="46"/>
      <c r="BI18" s="46"/>
      <c r="BJ18" s="65"/>
      <c r="BK18" s="129">
        <v>1.5878617159701569E-2</v>
      </c>
      <c r="BL18" s="129">
        <v>6.8434462749413696E-3</v>
      </c>
      <c r="BM18" s="129">
        <v>1.7241379310344827E-2</v>
      </c>
      <c r="BN18" s="130">
        <v>1.5384879115894487E-2</v>
      </c>
      <c r="BO18" s="129">
        <v>3.4990953131383874E-2</v>
      </c>
      <c r="BP18" s="129">
        <v>2.1254055485665099E-2</v>
      </c>
      <c r="BQ18" s="129">
        <v>2.2499999999999999E-2</v>
      </c>
      <c r="BR18" s="129">
        <v>2.5333333333333333E-2</v>
      </c>
      <c r="BS18" s="82"/>
      <c r="BT18" s="82"/>
      <c r="BU18" s="82"/>
      <c r="BV18" s="82"/>
      <c r="BW18" s="83">
        <f t="shared" si="9"/>
        <v>15868.618543274462</v>
      </c>
      <c r="BX18" s="83">
        <f t="shared" si="0"/>
        <v>1011.0028639668031</v>
      </c>
      <c r="BY18" s="83">
        <f t="shared" si="1"/>
        <v>1947.7982041713447</v>
      </c>
      <c r="BZ18" s="83">
        <f t="shared" si="2"/>
        <v>0</v>
      </c>
      <c r="CA18" s="83">
        <f t="shared" si="3"/>
        <v>2736.6980600423663</v>
      </c>
      <c r="CB18" s="83">
        <f t="shared" si="4"/>
        <v>4802.238888335045</v>
      </c>
      <c r="CC18" s="83">
        <f t="shared" si="10"/>
        <v>3128.4635771613594</v>
      </c>
      <c r="CD18" s="83">
        <f t="shared" si="11"/>
        <v>880.60456246023443</v>
      </c>
      <c r="CE18" s="84">
        <f t="shared" si="12"/>
        <v>30375.424699411618</v>
      </c>
      <c r="CG18" s="15">
        <f t="shared" si="5"/>
        <v>0</v>
      </c>
      <c r="CH18" s="5" t="e">
        <f>-#REF!</f>
        <v>#REF!</v>
      </c>
      <c r="CJ18" s="4">
        <v>32000</v>
      </c>
      <c r="CK18" s="5" t="e">
        <f t="shared" si="13"/>
        <v>#REF!</v>
      </c>
      <c r="CL18" s="35" t="e">
        <f t="shared" si="14"/>
        <v>#REF!</v>
      </c>
      <c r="CM18" s="22" t="e">
        <f t="shared" si="6"/>
        <v>#REF!</v>
      </c>
      <c r="CQ18" s="93" t="s">
        <v>4</v>
      </c>
      <c r="CR18" s="96">
        <f t="shared" si="15"/>
        <v>-5226.7037837708322</v>
      </c>
      <c r="CS18" s="96"/>
      <c r="CT18" s="96">
        <f t="shared" si="16"/>
        <v>35900</v>
      </c>
      <c r="CU18" s="96">
        <f t="shared" si="20"/>
        <v>30375.424699411618</v>
      </c>
      <c r="CV18" s="96"/>
      <c r="CW18" s="123">
        <f>SUM(CR18:CU18)</f>
        <v>61048.720915640784</v>
      </c>
      <c r="CX18" s="124">
        <f t="shared" si="18"/>
        <v>2.3558618743576051E-2</v>
      </c>
      <c r="CY18" s="110"/>
      <c r="CZ18" s="96"/>
      <c r="DA18" s="96">
        <f t="shared" si="19"/>
        <v>2441.9488366256314</v>
      </c>
      <c r="DB18" s="177"/>
      <c r="DC18" s="152"/>
      <c r="DD18" s="152"/>
      <c r="DE18" s="197"/>
      <c r="DF18" s="198"/>
      <c r="DG18" s="199"/>
      <c r="DH18" s="167"/>
      <c r="DI18" s="5"/>
      <c r="DK18" s="151"/>
      <c r="DL18" s="151"/>
      <c r="DM18" s="48"/>
      <c r="DN18" s="151"/>
      <c r="DO18" s="152"/>
      <c r="DP18" s="152"/>
      <c r="DQ18" s="152"/>
      <c r="DR18" s="152"/>
      <c r="DS18" s="112"/>
      <c r="DT18" s="111"/>
      <c r="DU18" s="113"/>
      <c r="DV18" s="98"/>
      <c r="DW18" s="48"/>
      <c r="DX18" s="5"/>
      <c r="DY18" s="133"/>
      <c r="DZ18" s="5"/>
      <c r="EA18" s="5"/>
      <c r="EB18" s="42"/>
      <c r="EC18" s="5"/>
      <c r="EE18" s="5"/>
      <c r="EF18" s="5"/>
      <c r="EG18" s="5"/>
      <c r="EH18" s="5"/>
      <c r="EJ18" s="5"/>
      <c r="EK18" s="42"/>
      <c r="EO18" s="42"/>
      <c r="EP18" s="42"/>
      <c r="EQ18" s="42"/>
      <c r="EU18" s="42"/>
      <c r="EV18" s="5"/>
      <c r="EX18" s="32"/>
    </row>
    <row r="19" spans="1:154" x14ac:dyDescent="0.25">
      <c r="A19" s="3" t="s">
        <v>168</v>
      </c>
      <c r="H19" s="3" t="s">
        <v>24</v>
      </c>
      <c r="I19" s="3" t="s">
        <v>5</v>
      </c>
      <c r="J19" s="42"/>
      <c r="K19" s="7"/>
      <c r="L19" s="248"/>
      <c r="M19" s="60"/>
      <c r="N19" s="60">
        <v>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>
        <v>-3385.9727766532901</v>
      </c>
      <c r="AB19" s="60"/>
      <c r="AC19" s="60">
        <f>2280*1.0057*1.0276*1.0091*1.0182</f>
        <v>2420.9994545651321</v>
      </c>
      <c r="AD19" s="60"/>
      <c r="AE19" s="60">
        <f>339*1.006*1.0089*1.0057*1.0276*1.0091*1.0182</f>
        <v>365.34708413476312</v>
      </c>
      <c r="AF19" s="60"/>
      <c r="AG19" s="60"/>
      <c r="AH19" s="60">
        <f>4648*1.006*1.0089*1.0057*1.0276*1.0091*1.0182</f>
        <v>5009.242616691382</v>
      </c>
      <c r="AI19" s="60">
        <f>1200*1.0057*1.0276*1.0091*1.0182</f>
        <v>1274.2102392448064</v>
      </c>
      <c r="AJ19" s="60"/>
      <c r="AK19" s="60">
        <f>840*1.0276*1.0091*1.0182</f>
        <v>886.89188373408012</v>
      </c>
      <c r="AL19" s="60">
        <f>1610*1.0276*1.0091*1.0182</f>
        <v>1699.8761104903203</v>
      </c>
      <c r="AM19" s="60">
        <f>914*1.0276*1.0091*1.0182</f>
        <v>965.02283539636812</v>
      </c>
      <c r="AN19" s="60"/>
      <c r="AO19" s="60"/>
      <c r="AP19" s="60"/>
      <c r="AQ19" s="232">
        <f t="shared" si="7"/>
        <v>9235.6174476035612</v>
      </c>
      <c r="AS19" s="21" t="e">
        <f>(J19+#REF!)/($J$31+#REF!)</f>
        <v>#REF!</v>
      </c>
      <c r="AT19" s="14" t="e">
        <f t="shared" si="8"/>
        <v>#REF!</v>
      </c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72"/>
      <c r="BF19" s="46"/>
      <c r="BG19" s="46"/>
      <c r="BH19" s="46"/>
      <c r="BI19" s="46"/>
      <c r="BJ19" s="65"/>
      <c r="BK19" s="129">
        <v>0.1321572857869622</v>
      </c>
      <c r="BL19" s="129">
        <v>2.5234956002078628E-2</v>
      </c>
      <c r="BM19" s="129">
        <v>0.11379310344827587</v>
      </c>
      <c r="BN19" s="130">
        <v>3.9832257577114394E-2</v>
      </c>
      <c r="BO19" s="129">
        <v>1.7130683476332224E-2</v>
      </c>
      <c r="BP19" s="129">
        <v>0.10726345759120705</v>
      </c>
      <c r="BQ19" s="129">
        <v>0.125</v>
      </c>
      <c r="BR19" s="129">
        <v>0.13093333333333332</v>
      </c>
      <c r="BS19" s="82"/>
      <c r="BT19" s="82"/>
      <c r="BU19" s="82"/>
      <c r="BV19" s="82"/>
      <c r="BW19" s="83">
        <f t="shared" si="9"/>
        <v>132074.0675825467</v>
      </c>
      <c r="BX19" s="83">
        <f t="shared" si="0"/>
        <v>3728.0358119559196</v>
      </c>
      <c r="BY19" s="83">
        <f t="shared" si="1"/>
        <v>12855.468147530875</v>
      </c>
      <c r="BZ19" s="83">
        <f t="shared" si="2"/>
        <v>0</v>
      </c>
      <c r="CA19" s="83">
        <f t="shared" si="3"/>
        <v>1339.8179826896323</v>
      </c>
      <c r="CB19" s="83">
        <f t="shared" si="4"/>
        <v>24235.598128046022</v>
      </c>
      <c r="CC19" s="83">
        <f t="shared" si="10"/>
        <v>17380.353206451997</v>
      </c>
      <c r="CD19" s="83">
        <f t="shared" si="11"/>
        <v>4551.3351596628954</v>
      </c>
      <c r="CE19" s="84">
        <f t="shared" si="12"/>
        <v>196164.67601888409</v>
      </c>
      <c r="CG19" s="15">
        <f t="shared" si="5"/>
        <v>0</v>
      </c>
      <c r="CH19" s="5" t="e">
        <f>-#REF!</f>
        <v>#REF!</v>
      </c>
      <c r="CI19" s="4">
        <v>3000</v>
      </c>
      <c r="CJ19" s="4">
        <v>32000</v>
      </c>
      <c r="CK19" s="5" t="e">
        <f t="shared" si="13"/>
        <v>#REF!</v>
      </c>
      <c r="CL19" s="35" t="e">
        <f t="shared" si="14"/>
        <v>#REF!</v>
      </c>
      <c r="CM19" s="22" t="e">
        <f t="shared" si="6"/>
        <v>#REF!</v>
      </c>
      <c r="CQ19" s="93" t="s">
        <v>5</v>
      </c>
      <c r="CR19" s="96">
        <f t="shared" si="15"/>
        <v>9235.6174476035612</v>
      </c>
      <c r="CS19" s="96">
        <f>3000</f>
        <v>3000</v>
      </c>
      <c r="CT19" s="96">
        <f t="shared" si="16"/>
        <v>35900</v>
      </c>
      <c r="CU19" s="96">
        <f t="shared" si="20"/>
        <v>196164.67601888409</v>
      </c>
      <c r="CV19" s="96"/>
      <c r="CW19" s="123">
        <f t="shared" si="17"/>
        <v>244300.29346648764</v>
      </c>
      <c r="CX19" s="124">
        <f t="shared" si="18"/>
        <v>9.4275152474917592E-2</v>
      </c>
      <c r="CY19" s="110"/>
      <c r="CZ19" s="96"/>
      <c r="DA19" s="96">
        <f t="shared" si="19"/>
        <v>9772.0117386595066</v>
      </c>
      <c r="DB19" s="177"/>
      <c r="DC19" s="152"/>
      <c r="DD19" s="152"/>
      <c r="DE19" s="197"/>
      <c r="DF19" s="198"/>
      <c r="DG19" s="199"/>
      <c r="DH19" s="167"/>
      <c r="DI19" s="5"/>
      <c r="DK19" s="151"/>
      <c r="DL19" s="151"/>
      <c r="DM19" s="48"/>
      <c r="DN19" s="151"/>
      <c r="DO19" s="152"/>
      <c r="DP19" s="152"/>
      <c r="DQ19" s="152"/>
      <c r="DR19" s="152"/>
      <c r="DS19" s="112"/>
      <c r="DT19" s="111"/>
      <c r="DU19" s="113"/>
      <c r="DV19" s="98"/>
      <c r="DW19" s="48"/>
      <c r="DX19" s="5"/>
      <c r="DY19" s="133"/>
      <c r="DZ19" s="5"/>
      <c r="EA19" s="5"/>
      <c r="EB19" s="42"/>
      <c r="EC19" s="5"/>
      <c r="EE19" s="5"/>
      <c r="EF19" s="5"/>
      <c r="EG19" s="5"/>
      <c r="EH19" s="5"/>
      <c r="EJ19" s="5"/>
      <c r="EK19" s="42"/>
      <c r="EO19" s="42"/>
      <c r="EP19" s="42"/>
      <c r="EQ19" s="42"/>
      <c r="EU19" s="42"/>
      <c r="EV19" s="5"/>
      <c r="EX19" s="32"/>
    </row>
    <row r="20" spans="1:154" x14ac:dyDescent="0.25">
      <c r="A20" s="3" t="s">
        <v>170</v>
      </c>
      <c r="H20" s="3" t="s">
        <v>25</v>
      </c>
      <c r="I20" s="3" t="s">
        <v>26</v>
      </c>
      <c r="J20" s="42"/>
      <c r="K20" s="7"/>
      <c r="L20" s="248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>
        <v>-913.35155628448899</v>
      </c>
      <c r="AB20" s="60"/>
      <c r="AC20" s="60"/>
      <c r="AD20" s="60"/>
      <c r="AE20" s="60">
        <f>-203*1.006*1.0089*1.0057*1.0276*1.0091*1.0182</f>
        <v>-218.77716247597905</v>
      </c>
      <c r="AF20" s="60"/>
      <c r="AG20" s="60"/>
      <c r="AH20" s="60"/>
      <c r="AI20" s="60"/>
      <c r="AJ20" s="60"/>
      <c r="AK20" s="60">
        <f>840*1.0276*1.0091*1.0182</f>
        <v>886.89188373408012</v>
      </c>
      <c r="AL20" s="60"/>
      <c r="AM20" s="60">
        <f>-645*1.0276*1.0091*1.0182</f>
        <v>-681.00626786724013</v>
      </c>
      <c r="AN20" s="60"/>
      <c r="AO20" s="60"/>
      <c r="AP20" s="60"/>
      <c r="AQ20" s="232">
        <f t="shared" si="7"/>
        <v>-926.24310289362802</v>
      </c>
      <c r="AS20" s="21" t="e">
        <f>(J20+#REF!)/($J$31+#REF!)</f>
        <v>#REF!</v>
      </c>
      <c r="AT20" s="14" t="e">
        <f t="shared" si="8"/>
        <v>#REF!</v>
      </c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72"/>
      <c r="BF20" s="46"/>
      <c r="BG20" s="46"/>
      <c r="BH20" s="46"/>
      <c r="BI20" s="46"/>
      <c r="BJ20" s="65"/>
      <c r="BK20" s="129">
        <v>3.18282299577647E-2</v>
      </c>
      <c r="BL20" s="129">
        <v>1.2711771610681148E-2</v>
      </c>
      <c r="BM20" s="129">
        <v>2.0689655172413793E-2</v>
      </c>
      <c r="BN20" s="130">
        <v>2.69264439203722E-2</v>
      </c>
      <c r="BO20" s="129">
        <v>7.7919803887235156E-3</v>
      </c>
      <c r="BP20" s="129">
        <v>3.2065530973032795E-2</v>
      </c>
      <c r="BQ20" s="129">
        <v>5.1999999999999998E-2</v>
      </c>
      <c r="BR20" s="129">
        <v>5.1966666666666668E-2</v>
      </c>
      <c r="BS20" s="82"/>
      <c r="BT20" s="82"/>
      <c r="BU20" s="82"/>
      <c r="BV20" s="82"/>
      <c r="BW20" s="83">
        <f t="shared" si="9"/>
        <v>31808.18801962231</v>
      </c>
      <c r="BX20" s="83">
        <f t="shared" si="0"/>
        <v>1877.9481840237941</v>
      </c>
      <c r="BY20" s="83">
        <f t="shared" si="1"/>
        <v>2337.3578450056134</v>
      </c>
      <c r="BZ20" s="83">
        <f t="shared" si="2"/>
        <v>0</v>
      </c>
      <c r="CA20" s="83">
        <f t="shared" si="3"/>
        <v>609.42317100192815</v>
      </c>
      <c r="CB20" s="83">
        <f t="shared" si="4"/>
        <v>7245.0333028285731</v>
      </c>
      <c r="CC20" s="83">
        <f t="shared" si="10"/>
        <v>7230.2269338840306</v>
      </c>
      <c r="CD20" s="83">
        <f t="shared" si="11"/>
        <v>1806.3980432572444</v>
      </c>
      <c r="CE20" s="84">
        <f t="shared" si="12"/>
        <v>52914.575499623505</v>
      </c>
      <c r="CG20" s="15">
        <f t="shared" si="5"/>
        <v>0</v>
      </c>
      <c r="CH20" s="5" t="e">
        <f>-#REF!</f>
        <v>#REF!</v>
      </c>
      <c r="CJ20" s="4">
        <v>32000</v>
      </c>
      <c r="CK20" s="5" t="e">
        <f t="shared" si="13"/>
        <v>#REF!</v>
      </c>
      <c r="CL20" s="35" t="e">
        <f t="shared" si="14"/>
        <v>#REF!</v>
      </c>
      <c r="CM20" s="22" t="e">
        <f t="shared" si="6"/>
        <v>#REF!</v>
      </c>
      <c r="CQ20" s="93" t="s">
        <v>26</v>
      </c>
      <c r="CR20" s="96">
        <f t="shared" si="15"/>
        <v>-926.24310289362802</v>
      </c>
      <c r="CS20" s="96"/>
      <c r="CT20" s="96">
        <f t="shared" si="16"/>
        <v>35900</v>
      </c>
      <c r="CU20" s="96">
        <f t="shared" si="20"/>
        <v>52914.575499623505</v>
      </c>
      <c r="CV20" s="96"/>
      <c r="CW20" s="123">
        <f t="shared" si="17"/>
        <v>87888.332396729878</v>
      </c>
      <c r="CX20" s="124">
        <f t="shared" si="18"/>
        <v>3.3915988474260896E-2</v>
      </c>
      <c r="CY20" s="110"/>
      <c r="CZ20" s="96"/>
      <c r="DA20" s="96">
        <f t="shared" si="19"/>
        <v>3515.5332958691952</v>
      </c>
      <c r="DB20" s="177"/>
      <c r="DC20" s="152"/>
      <c r="DD20" s="152"/>
      <c r="DE20" s="197"/>
      <c r="DF20" s="198"/>
      <c r="DG20" s="199"/>
      <c r="DH20" s="167"/>
      <c r="DI20" s="5"/>
      <c r="DK20" s="151"/>
      <c r="DL20" s="151"/>
      <c r="DM20" s="48"/>
      <c r="DN20" s="151"/>
      <c r="DO20" s="152"/>
      <c r="DP20" s="152"/>
      <c r="DQ20" s="152"/>
      <c r="DR20" s="152"/>
      <c r="DS20" s="112"/>
      <c r="DT20" s="111"/>
      <c r="DU20" s="113"/>
      <c r="DV20" s="98"/>
      <c r="DW20" s="48"/>
      <c r="DX20" s="5"/>
      <c r="DY20" s="133"/>
      <c r="DZ20" s="5"/>
      <c r="EA20" s="5"/>
      <c r="EB20" s="42"/>
      <c r="EC20" s="5"/>
      <c r="EE20" s="5"/>
      <c r="EF20" s="5"/>
      <c r="EG20" s="5"/>
      <c r="EH20" s="5"/>
      <c r="EJ20" s="5"/>
      <c r="EK20" s="42"/>
      <c r="EO20" s="42"/>
      <c r="EP20" s="42"/>
      <c r="EQ20" s="42"/>
      <c r="EU20" s="42"/>
      <c r="EV20" s="5"/>
      <c r="EX20" s="32"/>
    </row>
    <row r="21" spans="1:154" x14ac:dyDescent="0.25">
      <c r="H21" s="3" t="s">
        <v>10</v>
      </c>
      <c r="I21" s="3" t="s">
        <v>27</v>
      </c>
      <c r="J21" s="42"/>
      <c r="K21" s="7"/>
      <c r="L21" s="248"/>
      <c r="M21" s="60">
        <f>814.086210542326*1.0362*1.006*1.0089*1.0057*1.0276*1.0091*1.0182</f>
        <v>909.11732418236966</v>
      </c>
      <c r="N21" s="60">
        <v>0</v>
      </c>
      <c r="O21" s="60"/>
      <c r="P21" s="60">
        <f>90.3209006921074*1.0362*1.006*1.0089*1.0057*1.0276*1.0091*1.0182</f>
        <v>100.86437344301514</v>
      </c>
      <c r="Q21" s="60"/>
      <c r="R21" s="60">
        <f>608.938616937415*1.0362*1.006*1.0089*1.0057*1.0276*1.0091*1.0182</f>
        <v>680.02213875194127</v>
      </c>
      <c r="S21" s="60">
        <f>806.108818303748*1.0362*1.006*1.0089*1.0057*1.0276*1.0091*1.0182</f>
        <v>900.20870321327368</v>
      </c>
      <c r="T21" s="60"/>
      <c r="U21" s="60"/>
      <c r="V21" s="60"/>
      <c r="W21" s="60"/>
      <c r="X21" s="60">
        <v>-1160</v>
      </c>
      <c r="Y21" s="60">
        <v>-482</v>
      </c>
      <c r="Z21" s="60"/>
      <c r="AA21" s="60">
        <v>-4636.0739058695799</v>
      </c>
      <c r="AB21" s="60"/>
      <c r="AC21" s="60">
        <f>2280*1.0057*1.0276*1.0091*1.0182</f>
        <v>2420.9994545651321</v>
      </c>
      <c r="AD21" s="60"/>
      <c r="AE21" s="60">
        <f>303*1.006*1.0089*1.0057*1.0276*1.0091*1.0182</f>
        <v>326.54916369567314</v>
      </c>
      <c r="AF21" s="60"/>
      <c r="AG21" s="60"/>
      <c r="AH21" s="60"/>
      <c r="AI21" s="60">
        <f>1200*1.0057*1.0276*1.0091*1.0182</f>
        <v>1274.2102392448064</v>
      </c>
      <c r="AJ21" s="60"/>
      <c r="AK21" s="60">
        <f>(1680+720)*1.0276*1.0091*1.0182</f>
        <v>2533.9768106688007</v>
      </c>
      <c r="AL21" s="60"/>
      <c r="AM21" s="60">
        <f>645*1.0276*1.0091*1.0182</f>
        <v>681.00626786724013</v>
      </c>
      <c r="AN21" s="60">
        <f>2030*1.0276*1.0091*1.0182</f>
        <v>2143.3220523573605</v>
      </c>
      <c r="AO21" s="60"/>
      <c r="AP21" s="60"/>
      <c r="AQ21" s="232">
        <f t="shared" si="7"/>
        <v>5692.2026221200322</v>
      </c>
      <c r="AS21" s="21" t="e">
        <f>(J21+#REF!)/($J$31+#REF!)</f>
        <v>#REF!</v>
      </c>
      <c r="AT21" s="14" t="e">
        <f t="shared" si="8"/>
        <v>#REF!</v>
      </c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72"/>
      <c r="BF21" s="46"/>
      <c r="BG21" s="46"/>
      <c r="BH21" s="46"/>
      <c r="BI21" s="46"/>
      <c r="BJ21" s="65"/>
      <c r="BK21" s="129">
        <v>0.16745786062851117</v>
      </c>
      <c r="BL21" s="129">
        <v>6.4415568916747754E-2</v>
      </c>
      <c r="BM21" s="129">
        <v>0.16896551724137931</v>
      </c>
      <c r="BN21" s="130">
        <v>7.2167687816114462E-2</v>
      </c>
      <c r="BO21" s="129">
        <v>7.5526761221035438E-2</v>
      </c>
      <c r="BP21" s="129">
        <v>0.14650826231306929</v>
      </c>
      <c r="BQ21" s="129">
        <v>0.1971</v>
      </c>
      <c r="BR21" s="129">
        <v>0.17883333333333332</v>
      </c>
      <c r="BS21" s="82"/>
      <c r="BT21" s="82"/>
      <c r="BU21" s="82"/>
      <c r="BV21" s="82"/>
      <c r="BW21" s="83">
        <f t="shared" si="9"/>
        <v>167352.41398291927</v>
      </c>
      <c r="BX21" s="83">
        <f t="shared" si="0"/>
        <v>9516.3053880248244</v>
      </c>
      <c r="BY21" s="83">
        <f t="shared" si="1"/>
        <v>19088.422400879179</v>
      </c>
      <c r="BZ21" s="83">
        <f t="shared" si="2"/>
        <v>0</v>
      </c>
      <c r="CA21" s="83">
        <f t="shared" si="3"/>
        <v>5907.0680395243089</v>
      </c>
      <c r="CB21" s="83">
        <f t="shared" si="4"/>
        <v>33102.749506640634</v>
      </c>
      <c r="CC21" s="83">
        <f t="shared" si="10"/>
        <v>27405.340935933509</v>
      </c>
      <c r="CD21" s="83">
        <f t="shared" si="11"/>
        <v>6216.3729968409971</v>
      </c>
      <c r="CE21" s="84">
        <f t="shared" si="12"/>
        <v>268588.67325076269</v>
      </c>
      <c r="CG21" s="15">
        <f t="shared" si="5"/>
        <v>0</v>
      </c>
      <c r="CH21" s="5" t="e">
        <f>-#REF!</f>
        <v>#REF!</v>
      </c>
      <c r="CI21" s="4">
        <v>15000</v>
      </c>
      <c r="CJ21" s="4">
        <v>32000</v>
      </c>
      <c r="CK21" s="5" t="e">
        <f t="shared" si="13"/>
        <v>#REF!</v>
      </c>
      <c r="CL21" s="35" t="e">
        <f t="shared" si="14"/>
        <v>#REF!</v>
      </c>
      <c r="CM21" s="22" t="e">
        <f t="shared" si="6"/>
        <v>#REF!</v>
      </c>
      <c r="CQ21" s="93" t="s">
        <v>27</v>
      </c>
      <c r="CR21" s="96">
        <f t="shared" si="15"/>
        <v>5692.2026221200322</v>
      </c>
      <c r="CS21" s="96">
        <f>15000</f>
        <v>15000</v>
      </c>
      <c r="CT21" s="96">
        <f t="shared" si="16"/>
        <v>35900</v>
      </c>
      <c r="CU21" s="96">
        <f t="shared" si="20"/>
        <v>268588.67325076269</v>
      </c>
      <c r="CV21" s="96"/>
      <c r="CW21" s="123">
        <f>SUM(CR21:CU21)</f>
        <v>325180.87587288272</v>
      </c>
      <c r="CX21" s="124">
        <f t="shared" si="18"/>
        <v>0.12548685971614942</v>
      </c>
      <c r="CY21" s="110"/>
      <c r="CZ21" s="96"/>
      <c r="DA21" s="96">
        <f t="shared" si="19"/>
        <v>13007.235034915309</v>
      </c>
      <c r="DB21" s="177"/>
      <c r="DC21" s="152"/>
      <c r="DD21" s="152"/>
      <c r="DE21" s="197"/>
      <c r="DF21" s="198"/>
      <c r="DG21" s="199"/>
      <c r="DH21" s="167"/>
      <c r="DI21" s="5"/>
      <c r="DK21" s="151"/>
      <c r="DL21" s="151"/>
      <c r="DM21" s="48"/>
      <c r="DN21" s="151"/>
      <c r="DO21" s="152"/>
      <c r="DP21" s="152"/>
      <c r="DQ21" s="152"/>
      <c r="DR21" s="152"/>
      <c r="DS21" s="112"/>
      <c r="DT21" s="111"/>
      <c r="DU21" s="113"/>
      <c r="DV21" s="98"/>
      <c r="DW21" s="48"/>
      <c r="DX21" s="5"/>
      <c r="DY21" s="133"/>
      <c r="DZ21" s="5"/>
      <c r="EA21" s="5"/>
      <c r="EB21" s="42"/>
      <c r="EC21" s="5"/>
      <c r="EE21" s="5"/>
      <c r="EF21" s="5"/>
      <c r="EG21" s="5"/>
      <c r="EH21" s="5"/>
      <c r="EJ21" s="5"/>
      <c r="EK21" s="42"/>
      <c r="EO21" s="42"/>
      <c r="EP21" s="42"/>
      <c r="EQ21" s="42"/>
      <c r="EU21" s="42"/>
      <c r="EV21" s="5"/>
      <c r="EX21" s="32"/>
    </row>
    <row r="22" spans="1:154" x14ac:dyDescent="0.25">
      <c r="A22" s="3" t="s">
        <v>181</v>
      </c>
      <c r="B22" s="3">
        <v>35900</v>
      </c>
      <c r="H22" s="3" t="s">
        <v>28</v>
      </c>
      <c r="I22" s="3" t="s">
        <v>29</v>
      </c>
      <c r="J22" s="42"/>
      <c r="K22" s="6"/>
      <c r="L22" s="248"/>
      <c r="M22" s="60"/>
      <c r="N22" s="60"/>
      <c r="O22" s="60"/>
      <c r="P22" s="60">
        <f>184.842773509429*1.0362*1.006*1.0089*1.0057*1.0276*1.0091*1.0182</f>
        <v>206.42011309268204</v>
      </c>
      <c r="Q22" s="60"/>
      <c r="R22" s="60"/>
      <c r="S22" s="60">
        <f>1083.20872459566*1.0362*1.006*1.0089*1.0057*1.0276*1.0091*1.0182</f>
        <v>1209.6554449428352</v>
      </c>
      <c r="T22" s="60"/>
      <c r="U22" s="60"/>
      <c r="V22" s="60"/>
      <c r="W22" s="60"/>
      <c r="X22" s="60"/>
      <c r="Y22" s="60"/>
      <c r="Z22" s="60"/>
      <c r="AA22" s="60">
        <v>-1162.5682132088</v>
      </c>
      <c r="AB22" s="60"/>
      <c r="AC22" s="60"/>
      <c r="AD22" s="60"/>
      <c r="AE22" s="60">
        <f>-649*1.006*1.0089*1.0057*1.0276*1.0091*1.0182</f>
        <v>-699.44028791581502</v>
      </c>
      <c r="AF22" s="60"/>
      <c r="AG22" s="60"/>
      <c r="AH22" s="60"/>
      <c r="AI22" s="60"/>
      <c r="AJ22" s="60"/>
      <c r="AK22" s="60"/>
      <c r="AL22" s="60">
        <f>-1493*1.0276*1.0091*1.0182</f>
        <v>-1576.3447409702162</v>
      </c>
      <c r="AM22" s="60">
        <f>-872*1.0276*1.0091*1.0182</f>
        <v>-920.67824120966418</v>
      </c>
      <c r="AN22" s="60"/>
      <c r="AO22" s="60"/>
      <c r="AP22" s="60"/>
      <c r="AQ22" s="232">
        <f t="shared" si="7"/>
        <v>-2942.9559252689783</v>
      </c>
      <c r="AS22" s="21" t="e">
        <f>(J22+#REF!)/($J$31+#REF!)</f>
        <v>#REF!</v>
      </c>
      <c r="AT22" s="14" t="e">
        <f t="shared" si="8"/>
        <v>#REF!</v>
      </c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72"/>
      <c r="BF22" s="46"/>
      <c r="BG22" s="46"/>
      <c r="BH22" s="46"/>
      <c r="BI22" s="46"/>
      <c r="BJ22" s="65"/>
      <c r="BK22" s="129">
        <v>2.840237920404633E-2</v>
      </c>
      <c r="BL22" s="129">
        <v>4.8594236111375873E-2</v>
      </c>
      <c r="BM22" s="129">
        <v>5.5172413793103448E-2</v>
      </c>
      <c r="BN22" s="130">
        <v>2.687122043915826E-2</v>
      </c>
      <c r="BO22" s="129">
        <v>6.6771727076402262E-2</v>
      </c>
      <c r="BP22" s="129">
        <v>5.4908674719308367E-2</v>
      </c>
      <c r="BQ22" s="129">
        <v>4.7500000000000001E-2</v>
      </c>
      <c r="BR22" s="129">
        <v>3.8066666666666665E-2</v>
      </c>
      <c r="BS22" s="82"/>
      <c r="BT22" s="82"/>
      <c r="BU22" s="82"/>
      <c r="BV22" s="82"/>
      <c r="BW22" s="83">
        <f t="shared" si="9"/>
        <v>28384.494492019945</v>
      </c>
      <c r="BX22" s="83">
        <f t="shared" si="0"/>
        <v>7178.9723930142145</v>
      </c>
      <c r="BY22" s="83">
        <f t="shared" si="1"/>
        <v>6232.9542533483027</v>
      </c>
      <c r="BZ22" s="83">
        <f t="shared" si="2"/>
        <v>0</v>
      </c>
      <c r="CA22" s="83">
        <f t="shared" si="3"/>
        <v>5222.3229035670847</v>
      </c>
      <c r="CB22" s="83">
        <f t="shared" si="4"/>
        <v>12406.318089356892</v>
      </c>
      <c r="CC22" s="83">
        <f t="shared" si="10"/>
        <v>6604.5342184517585</v>
      </c>
      <c r="CD22" s="83">
        <f t="shared" si="11"/>
        <v>1323.2242241178787</v>
      </c>
      <c r="CE22" s="84">
        <f t="shared" si="12"/>
        <v>67352.820573876088</v>
      </c>
      <c r="CG22" s="15">
        <f t="shared" si="5"/>
        <v>0</v>
      </c>
      <c r="CH22" s="5" t="e">
        <f>-#REF!</f>
        <v>#REF!</v>
      </c>
      <c r="CJ22" s="4">
        <v>32000</v>
      </c>
      <c r="CK22" s="5" t="e">
        <f t="shared" si="13"/>
        <v>#REF!</v>
      </c>
      <c r="CL22" s="35" t="e">
        <f t="shared" si="14"/>
        <v>#REF!</v>
      </c>
      <c r="CM22" s="22" t="e">
        <f t="shared" si="6"/>
        <v>#REF!</v>
      </c>
      <c r="CQ22" s="93" t="s">
        <v>29</v>
      </c>
      <c r="CR22" s="96">
        <f t="shared" si="15"/>
        <v>-2942.9559252689783</v>
      </c>
      <c r="CS22" s="96"/>
      <c r="CT22" s="96">
        <f t="shared" si="16"/>
        <v>35900</v>
      </c>
      <c r="CU22" s="96">
        <f t="shared" si="20"/>
        <v>67352.820573876088</v>
      </c>
      <c r="CV22" s="96"/>
      <c r="CW22" s="123">
        <f>SUM(CR22:CU22)</f>
        <v>100309.86464860711</v>
      </c>
      <c r="CX22" s="124">
        <f t="shared" si="18"/>
        <v>3.8709440951952952E-2</v>
      </c>
      <c r="CY22" s="110"/>
      <c r="CZ22" s="96"/>
      <c r="DA22" s="96">
        <f t="shared" si="19"/>
        <v>4012.3945859442842</v>
      </c>
      <c r="DB22" s="177"/>
      <c r="DC22" s="152"/>
      <c r="DD22" s="152"/>
      <c r="DE22" s="197"/>
      <c r="DF22" s="198"/>
      <c r="DG22" s="199"/>
      <c r="DH22" s="167"/>
      <c r="DI22" s="5"/>
      <c r="DK22" s="151"/>
      <c r="DL22" s="151"/>
      <c r="DM22" s="48"/>
      <c r="DN22" s="151"/>
      <c r="DO22" s="152"/>
      <c r="DP22" s="152"/>
      <c r="DQ22" s="152"/>
      <c r="DR22" s="152"/>
      <c r="DS22" s="112"/>
      <c r="DT22" s="111"/>
      <c r="DU22" s="113"/>
      <c r="DV22" s="98"/>
      <c r="DW22" s="48"/>
      <c r="DX22" s="5"/>
      <c r="DY22" s="134"/>
      <c r="DZ22" s="5"/>
      <c r="EA22" s="5"/>
      <c r="EB22" s="42"/>
      <c r="EC22" s="5"/>
      <c r="EE22" s="5"/>
      <c r="EF22" s="5"/>
      <c r="EG22" s="5"/>
      <c r="EH22" s="5"/>
      <c r="EJ22" s="5"/>
      <c r="EK22" s="42"/>
      <c r="EO22" s="42"/>
      <c r="EP22" s="42"/>
      <c r="EQ22" s="42"/>
      <c r="EU22" s="42"/>
      <c r="EV22" s="5"/>
      <c r="EX22" s="32"/>
    </row>
    <row r="23" spans="1:154" x14ac:dyDescent="0.25">
      <c r="H23" s="3" t="s">
        <v>30</v>
      </c>
      <c r="I23" s="3" t="s">
        <v>31</v>
      </c>
      <c r="J23" s="42"/>
      <c r="K23" s="6"/>
      <c r="L23" s="248"/>
      <c r="M23" s="60"/>
      <c r="N23" s="60"/>
      <c r="O23" s="60"/>
      <c r="P23" s="60">
        <f>96.6223588799288*1.0362*1.006*1.0089*1.0057*1.0276*1.0091*1.0182</f>
        <v>107.90142275299286</v>
      </c>
      <c r="Q23" s="60"/>
      <c r="R23" s="60"/>
      <c r="S23" s="60">
        <f>1083.20872459566*1.0362*1.006*1.0089*1.0057*1.0276*1.0091*1.0182</f>
        <v>1209.6554449428352</v>
      </c>
      <c r="T23" s="60"/>
      <c r="U23" s="60"/>
      <c r="V23" s="60"/>
      <c r="W23" s="60"/>
      <c r="X23" s="60"/>
      <c r="Y23" s="60"/>
      <c r="Z23" s="60"/>
      <c r="AA23" s="60">
        <v>-932.40825863323505</v>
      </c>
      <c r="AB23" s="60"/>
      <c r="AC23" s="60"/>
      <c r="AD23" s="60">
        <f>(700*1.006*1.0089*1.0057*1.0276*1.0091*1.0182)+200</f>
        <v>954.40400853785889</v>
      </c>
      <c r="AE23" s="60">
        <f>-147*1.006*1.0089*1.0057*1.0276*1.0091*1.0182</f>
        <v>-158.42484179295036</v>
      </c>
      <c r="AF23" s="60"/>
      <c r="AG23" s="60"/>
      <c r="AH23" s="60"/>
      <c r="AI23" s="60"/>
      <c r="AJ23" s="60"/>
      <c r="AK23" s="60"/>
      <c r="AL23" s="243">
        <f>1493*1.0276*1.0091*1.0182</f>
        <v>1576.3447409702162</v>
      </c>
      <c r="AM23" s="60">
        <f>-601*1.0276*1.0091*1.0182</f>
        <v>-634.55002633831202</v>
      </c>
      <c r="AN23" s="60"/>
      <c r="AO23" s="60"/>
      <c r="AP23" s="60"/>
      <c r="AQ23" s="232">
        <f t="shared" si="7"/>
        <v>2122.9224904394059</v>
      </c>
      <c r="AS23" s="21" t="e">
        <f>(J23+#REF!)/($J$31+#REF!)</f>
        <v>#REF!</v>
      </c>
      <c r="AT23" s="14" t="e">
        <f t="shared" si="8"/>
        <v>#REF!</v>
      </c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72"/>
      <c r="BF23" s="46"/>
      <c r="BG23" s="46"/>
      <c r="BH23" s="46"/>
      <c r="BI23" s="46"/>
      <c r="BJ23" s="65"/>
      <c r="BK23" s="129">
        <v>2.9587576438432416E-2</v>
      </c>
      <c r="BL23" s="129">
        <v>2.1467644790342348E-2</v>
      </c>
      <c r="BM23" s="129">
        <v>4.1379310344827586E-2</v>
      </c>
      <c r="BN23" s="130">
        <v>2.2093875704667101E-2</v>
      </c>
      <c r="BO23" s="129">
        <v>3.6508492383120296E-2</v>
      </c>
      <c r="BP23" s="129">
        <v>3.7513833580840136E-2</v>
      </c>
      <c r="BQ23" s="129">
        <v>3.04E-2</v>
      </c>
      <c r="BR23" s="129">
        <v>3.0066666666666669E-2</v>
      </c>
      <c r="BS23" s="82"/>
      <c r="BT23" s="82"/>
      <c r="BU23" s="82"/>
      <c r="BV23" s="82"/>
      <c r="BW23" s="83">
        <f t="shared" si="9"/>
        <v>29568.945418814008</v>
      </c>
      <c r="BX23" s="83">
        <f t="shared" si="0"/>
        <v>3171.4796162177927</v>
      </c>
      <c r="BY23" s="83">
        <f t="shared" si="1"/>
        <v>4674.7156900112268</v>
      </c>
      <c r="BZ23" s="83">
        <f t="shared" si="2"/>
        <v>0</v>
      </c>
      <c r="CA23" s="83">
        <f t="shared" si="3"/>
        <v>2855.387216941619</v>
      </c>
      <c r="CB23" s="83">
        <f t="shared" si="4"/>
        <v>8476.0478109197993</v>
      </c>
      <c r="CC23" s="83">
        <f t="shared" si="10"/>
        <v>4226.901899809126</v>
      </c>
      <c r="CD23" s="83">
        <f t="shared" si="11"/>
        <v>1045.1385728146467</v>
      </c>
      <c r="CE23" s="84">
        <f t="shared" si="12"/>
        <v>54018.616225528225</v>
      </c>
      <c r="CG23" s="15">
        <f t="shared" si="5"/>
        <v>0</v>
      </c>
      <c r="CH23" s="5" t="e">
        <f>-#REF!</f>
        <v>#REF!</v>
      </c>
      <c r="CJ23" s="4">
        <v>32000</v>
      </c>
      <c r="CK23" s="5" t="e">
        <f t="shared" si="13"/>
        <v>#REF!</v>
      </c>
      <c r="CL23" s="35" t="e">
        <f t="shared" si="14"/>
        <v>#REF!</v>
      </c>
      <c r="CM23" s="22" t="e">
        <f t="shared" si="6"/>
        <v>#REF!</v>
      </c>
      <c r="CQ23" s="93" t="s">
        <v>31</v>
      </c>
      <c r="CR23" s="96">
        <f t="shared" si="15"/>
        <v>2122.9224904394059</v>
      </c>
      <c r="CS23" s="96"/>
      <c r="CT23" s="96">
        <f t="shared" si="16"/>
        <v>35900</v>
      </c>
      <c r="CU23" s="96">
        <f t="shared" si="20"/>
        <v>54018.616225528225</v>
      </c>
      <c r="CV23" s="96"/>
      <c r="CW23" s="123">
        <f t="shared" si="17"/>
        <v>92041.538715967632</v>
      </c>
      <c r="CX23" s="124">
        <f t="shared" si="18"/>
        <v>3.5518705169562945E-2</v>
      </c>
      <c r="CY23" s="110"/>
      <c r="CZ23" s="96"/>
      <c r="DA23" s="96">
        <f t="shared" si="19"/>
        <v>3681.6615486387054</v>
      </c>
      <c r="DB23" s="177"/>
      <c r="DC23" s="152"/>
      <c r="DD23" s="152"/>
      <c r="DE23" s="197"/>
      <c r="DF23" s="198"/>
      <c r="DG23" s="199"/>
      <c r="DH23" s="167"/>
      <c r="DI23" s="5"/>
      <c r="DK23" s="151"/>
      <c r="DL23" s="151"/>
      <c r="DM23" s="48"/>
      <c r="DN23" s="151"/>
      <c r="DO23" s="152"/>
      <c r="DP23" s="152"/>
      <c r="DQ23" s="152"/>
      <c r="DR23" s="152"/>
      <c r="DS23" s="112"/>
      <c r="DT23" s="111"/>
      <c r="DU23" s="113"/>
      <c r="DV23" s="98"/>
      <c r="DW23" s="48"/>
      <c r="DX23" s="5"/>
      <c r="DY23" s="134"/>
      <c r="DZ23" s="5"/>
      <c r="EA23" s="5"/>
      <c r="EB23" s="42"/>
      <c r="EC23" s="5"/>
      <c r="EE23" s="5"/>
      <c r="EF23" s="5"/>
      <c r="EG23" s="5"/>
      <c r="EH23" s="5"/>
      <c r="EJ23" s="5"/>
      <c r="EK23" s="42"/>
      <c r="EO23" s="42"/>
      <c r="EP23" s="42"/>
      <c r="EQ23" s="42"/>
      <c r="EU23" s="42"/>
      <c r="EV23" s="5"/>
      <c r="EX23" s="32"/>
    </row>
    <row r="24" spans="1:154" x14ac:dyDescent="0.25">
      <c r="H24" s="3" t="s">
        <v>32</v>
      </c>
      <c r="I24" s="3" t="s">
        <v>33</v>
      </c>
      <c r="J24" s="42"/>
      <c r="K24" s="6"/>
      <c r="L24" s="248"/>
      <c r="M24" s="60"/>
      <c r="N24" s="60"/>
      <c r="O24" s="60"/>
      <c r="P24" s="60"/>
      <c r="Q24" s="60"/>
      <c r="R24" s="60"/>
      <c r="S24" s="60">
        <f>806.108818303748*1.0362*1.006*1.0089*1.0057*1.0276*1.0091*1.0182</f>
        <v>900.20870321327368</v>
      </c>
      <c r="T24" s="60"/>
      <c r="U24" s="60"/>
      <c r="V24" s="60"/>
      <c r="W24" s="60"/>
      <c r="X24" s="60"/>
      <c r="Y24" s="60"/>
      <c r="Z24" s="60"/>
      <c r="AA24" s="60">
        <v>-783.23170140796606</v>
      </c>
      <c r="AB24" s="60">
        <v>30000</v>
      </c>
      <c r="AC24" s="60"/>
      <c r="AD24" s="60"/>
      <c r="AE24" s="60">
        <f>-222*1.006*1.0089*1.0057*1.0276*1.0091*1.0182</f>
        <v>-239.25384270772093</v>
      </c>
      <c r="AF24" s="60"/>
      <c r="AG24" s="60"/>
      <c r="AH24" s="60"/>
      <c r="AI24" s="60"/>
      <c r="AJ24" s="60"/>
      <c r="AK24" s="60"/>
      <c r="AL24" s="60">
        <f>-1248*1.0276*1.0091*1.0182</f>
        <v>-1317.6679415477761</v>
      </c>
      <c r="AM24" s="60">
        <f>-382*1.0276*1.0091*1.0182</f>
        <v>-403.32464236478404</v>
      </c>
      <c r="AN24" s="60"/>
      <c r="AO24" s="60"/>
      <c r="AP24" s="60"/>
      <c r="AQ24" s="232">
        <f t="shared" si="7"/>
        <v>28156.730575185025</v>
      </c>
      <c r="AS24" s="21" t="e">
        <f>(J24+#REF!)/($J$31+#REF!)</f>
        <v>#REF!</v>
      </c>
      <c r="AT24" s="14" t="e">
        <f t="shared" si="8"/>
        <v>#REF!</v>
      </c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72"/>
      <c r="BF24" s="46"/>
      <c r="BG24" s="46"/>
      <c r="BH24" s="46"/>
      <c r="BI24" s="46"/>
      <c r="BJ24" s="65"/>
      <c r="BK24" s="129">
        <v>2.6837688301359283E-2</v>
      </c>
      <c r="BL24" s="129">
        <v>1.2747591656092809E-2</v>
      </c>
      <c r="BM24" s="129">
        <v>3.4482758620689655E-2</v>
      </c>
      <c r="BN24" s="130">
        <v>2.1039722957880997E-2</v>
      </c>
      <c r="BO24" s="129">
        <v>3.026323469328197E-2</v>
      </c>
      <c r="BP24" s="129">
        <v>2.9076531625694044E-2</v>
      </c>
      <c r="BQ24" s="129">
        <v>2.18E-2</v>
      </c>
      <c r="BR24" s="129">
        <v>2.3266666666666668E-2</v>
      </c>
      <c r="BS24" s="82"/>
      <c r="BT24" s="82"/>
      <c r="BU24" s="82"/>
      <c r="BV24" s="82"/>
      <c r="BW24" s="83">
        <f t="shared" si="9"/>
        <v>26820.788860531618</v>
      </c>
      <c r="BX24" s="83">
        <f t="shared" si="0"/>
        <v>1883.2399868733637</v>
      </c>
      <c r="BY24" s="83">
        <f t="shared" si="1"/>
        <v>3895.5964083426893</v>
      </c>
      <c r="BZ24" s="83">
        <f t="shared" si="2"/>
        <v>0</v>
      </c>
      <c r="CA24" s="83">
        <f t="shared" si="3"/>
        <v>2366.9356866254666</v>
      </c>
      <c r="CB24" s="83">
        <f t="shared" si="4"/>
        <v>6569.6850657507475</v>
      </c>
      <c r="CC24" s="83">
        <f t="shared" si="10"/>
        <v>3031.1335992052282</v>
      </c>
      <c r="CD24" s="83">
        <f t="shared" si="11"/>
        <v>808.76576920689968</v>
      </c>
      <c r="CE24" s="84">
        <f t="shared" si="12"/>
        <v>45376.145376536006</v>
      </c>
      <c r="CG24" s="15">
        <f t="shared" si="5"/>
        <v>0</v>
      </c>
      <c r="CH24" s="5" t="e">
        <f>-#REF!</f>
        <v>#REF!</v>
      </c>
      <c r="CJ24" s="4">
        <v>32000</v>
      </c>
      <c r="CK24" s="5" t="e">
        <f t="shared" si="13"/>
        <v>#REF!</v>
      </c>
      <c r="CL24" s="35" t="e">
        <f t="shared" si="14"/>
        <v>#REF!</v>
      </c>
      <c r="CM24" s="22" t="e">
        <f t="shared" si="6"/>
        <v>#REF!</v>
      </c>
      <c r="CQ24" s="93" t="s">
        <v>33</v>
      </c>
      <c r="CR24" s="96">
        <f t="shared" si="15"/>
        <v>28156.730575185025</v>
      </c>
      <c r="CS24" s="96"/>
      <c r="CT24" s="96">
        <f t="shared" si="16"/>
        <v>35900</v>
      </c>
      <c r="CU24" s="96">
        <f t="shared" si="20"/>
        <v>45376.145376536006</v>
      </c>
      <c r="CV24" s="96"/>
      <c r="CW24" s="123">
        <f t="shared" si="17"/>
        <v>109432.87595172103</v>
      </c>
      <c r="CX24" s="124">
        <f t="shared" si="18"/>
        <v>4.2229998661595831E-2</v>
      </c>
      <c r="CY24" s="110"/>
      <c r="CZ24" s="96"/>
      <c r="DA24" s="96">
        <f t="shared" si="19"/>
        <v>4377.3150380688412</v>
      </c>
      <c r="DB24" s="177"/>
      <c r="DC24" s="152"/>
      <c r="DD24" s="152"/>
      <c r="DE24" s="197"/>
      <c r="DF24" s="198"/>
      <c r="DG24" s="199"/>
      <c r="DH24" s="167"/>
      <c r="DI24" s="5"/>
      <c r="DK24" s="151"/>
      <c r="DL24" s="151"/>
      <c r="DM24" s="48"/>
      <c r="DN24" s="151"/>
      <c r="DO24" s="152"/>
      <c r="DP24" s="152"/>
      <c r="DQ24" s="152"/>
      <c r="DR24" s="152"/>
      <c r="DS24" s="112"/>
      <c r="DT24" s="111"/>
      <c r="DU24" s="113"/>
      <c r="DV24" s="98"/>
      <c r="DW24" s="48"/>
      <c r="DX24" s="5"/>
      <c r="DY24" s="134"/>
      <c r="DZ24" s="5"/>
      <c r="EA24" s="5"/>
      <c r="EB24" s="42"/>
      <c r="EC24" s="5"/>
      <c r="EE24" s="5"/>
      <c r="EF24" s="5"/>
      <c r="EG24" s="5"/>
      <c r="EH24" s="5"/>
      <c r="EJ24" s="5"/>
      <c r="EK24" s="42"/>
      <c r="EO24" s="42"/>
      <c r="EP24" s="42"/>
      <c r="EQ24" s="42"/>
      <c r="EU24" s="42"/>
      <c r="EV24" s="5"/>
      <c r="EX24" s="32"/>
    </row>
    <row r="25" spans="1:154" x14ac:dyDescent="0.25">
      <c r="H25" s="3" t="s">
        <v>34</v>
      </c>
      <c r="I25" s="3" t="s">
        <v>6</v>
      </c>
      <c r="J25" s="42"/>
      <c r="K25" s="7"/>
      <c r="L25" s="248"/>
      <c r="M25" s="60"/>
      <c r="N25" s="60"/>
      <c r="O25" s="60"/>
      <c r="P25" s="60">
        <f>151.234996507715*1.0362*1.006*1.0089*1.0057*1.0276*1.0091*1.0182</f>
        <v>168.88918343946753</v>
      </c>
      <c r="Q25" s="60"/>
      <c r="R25" s="60"/>
      <c r="S25" s="60">
        <f t="shared" ref="S25:S30" si="21">1083.20872459566*1.0362*1.006*1.0089*1.0057*1.0276*1.0091*1.0182</f>
        <v>1209.6554449428352</v>
      </c>
      <c r="T25" s="60"/>
      <c r="U25" s="60"/>
      <c r="V25" s="60"/>
      <c r="W25" s="60"/>
      <c r="X25" s="60"/>
      <c r="Y25" s="60"/>
      <c r="Z25" s="60"/>
      <c r="AA25" s="60">
        <v>-1106.0208665922401</v>
      </c>
      <c r="AB25" s="60"/>
      <c r="AC25" s="60"/>
      <c r="AD25" s="60"/>
      <c r="AE25" s="60">
        <f>826*1.006*1.0089*1.0057*1.0276*1.0091*1.0182</f>
        <v>890.1967300746735</v>
      </c>
      <c r="AF25" s="60"/>
      <c r="AG25" s="60"/>
      <c r="AH25" s="60"/>
      <c r="AI25" s="60"/>
      <c r="AJ25" s="60"/>
      <c r="AK25" s="60"/>
      <c r="AL25" s="60">
        <f>1269*1.0276*1.0091*1.0182</f>
        <v>1339.8402386411281</v>
      </c>
      <c r="AM25" s="60">
        <f>1952*1.0276*1.0091*1.0182</f>
        <v>2060.9678060106244</v>
      </c>
      <c r="AN25" s="60"/>
      <c r="AO25" s="60"/>
      <c r="AP25" s="60"/>
      <c r="AQ25" s="232">
        <f t="shared" si="7"/>
        <v>4563.5285365164891</v>
      </c>
      <c r="AS25" s="21" t="e">
        <f>(J25+#REF!)/($J$31+#REF!)</f>
        <v>#REF!</v>
      </c>
      <c r="AT25" s="14" t="e">
        <f t="shared" si="8"/>
        <v>#REF!</v>
      </c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72"/>
      <c r="BF25" s="46"/>
      <c r="BG25" s="46"/>
      <c r="BH25" s="46"/>
      <c r="BI25" s="46"/>
      <c r="BJ25" s="65"/>
      <c r="BK25" s="129">
        <v>2.8775029128655209E-2</v>
      </c>
      <c r="BL25" s="129">
        <v>6.7393110191592026E-2</v>
      </c>
      <c r="BM25" s="129">
        <v>5.1724137931034482E-2</v>
      </c>
      <c r="BN25" s="130">
        <v>5.7377697999052582E-2</v>
      </c>
      <c r="BO25" s="129">
        <v>6.7063561547890033E-2</v>
      </c>
      <c r="BP25" s="129">
        <v>3.7825975917745766E-2</v>
      </c>
      <c r="BQ25" s="129">
        <v>3.1399999999999997E-2</v>
      </c>
      <c r="BR25" s="129">
        <v>3.9199999999999999E-2</v>
      </c>
      <c r="BS25" s="82"/>
      <c r="BT25" s="82"/>
      <c r="BU25" s="82"/>
      <c r="BV25" s="82"/>
      <c r="BW25" s="83">
        <f t="shared" si="9"/>
        <v>28756.909762463394</v>
      </c>
      <c r="BX25" s="83">
        <f t="shared" si="0"/>
        <v>9956.1864998952769</v>
      </c>
      <c r="BY25" s="83">
        <f t="shared" si="1"/>
        <v>5843.3946125140337</v>
      </c>
      <c r="BZ25" s="83">
        <f t="shared" si="2"/>
        <v>0</v>
      </c>
      <c r="CA25" s="83">
        <f t="shared" si="3"/>
        <v>5245.1477414323253</v>
      </c>
      <c r="CB25" s="83">
        <f t="shared" si="4"/>
        <v>8546.5746837791921</v>
      </c>
      <c r="CC25" s="83">
        <f t="shared" si="10"/>
        <v>4365.9447254607412</v>
      </c>
      <c r="CD25" s="83">
        <f t="shared" si="11"/>
        <v>1362.6196913858364</v>
      </c>
      <c r="CE25" s="84">
        <f t="shared" si="12"/>
        <v>64076.777716930796</v>
      </c>
      <c r="CG25" s="15">
        <f t="shared" si="5"/>
        <v>0</v>
      </c>
      <c r="CH25" s="5" t="e">
        <f>-#REF!</f>
        <v>#REF!</v>
      </c>
      <c r="CJ25" s="4">
        <v>32000</v>
      </c>
      <c r="CK25" s="5" t="e">
        <f t="shared" si="13"/>
        <v>#REF!</v>
      </c>
      <c r="CL25" s="35" t="e">
        <f t="shared" si="14"/>
        <v>#REF!</v>
      </c>
      <c r="CM25" s="22" t="e">
        <f t="shared" si="6"/>
        <v>#REF!</v>
      </c>
      <c r="CQ25" s="93" t="s">
        <v>6</v>
      </c>
      <c r="CR25" s="96">
        <f t="shared" si="15"/>
        <v>4563.5285365164891</v>
      </c>
      <c r="CS25" s="96"/>
      <c r="CT25" s="96">
        <f t="shared" si="16"/>
        <v>35900</v>
      </c>
      <c r="CU25" s="96">
        <f t="shared" si="20"/>
        <v>64076.777716930796</v>
      </c>
      <c r="CV25" s="96"/>
      <c r="CW25" s="123">
        <f>SUM(CR25:CU25)+1</f>
        <v>104541.30625344728</v>
      </c>
      <c r="CX25" s="124">
        <f t="shared" si="18"/>
        <v>4.0342348538041223E-2</v>
      </c>
      <c r="CY25" s="110"/>
      <c r="CZ25" s="96"/>
      <c r="DA25" s="96">
        <f t="shared" si="19"/>
        <v>4181.6522501378913</v>
      </c>
      <c r="DB25" s="177"/>
      <c r="DC25" s="152"/>
      <c r="DD25" s="152"/>
      <c r="DE25" s="197"/>
      <c r="DF25" s="198"/>
      <c r="DG25" s="199"/>
      <c r="DH25" s="167"/>
      <c r="DI25" s="5"/>
      <c r="DK25" s="151"/>
      <c r="DL25" s="151"/>
      <c r="DM25" s="48"/>
      <c r="DN25" s="151"/>
      <c r="DO25" s="152"/>
      <c r="DP25" s="152"/>
      <c r="DQ25" s="152"/>
      <c r="DR25" s="152"/>
      <c r="DS25" s="112"/>
      <c r="DT25" s="111"/>
      <c r="DU25" s="113"/>
      <c r="DV25" s="98"/>
      <c r="DW25" s="48"/>
      <c r="DX25" s="5"/>
      <c r="DY25" s="133"/>
      <c r="DZ25" s="5"/>
      <c r="EA25" s="5"/>
      <c r="EB25" s="42"/>
      <c r="EC25" s="5"/>
      <c r="EE25" s="5"/>
      <c r="EF25" s="5"/>
      <c r="EG25" s="5"/>
      <c r="EH25" s="5"/>
      <c r="EJ25" s="5"/>
      <c r="EK25" s="42"/>
      <c r="EO25" s="42"/>
      <c r="EP25" s="42"/>
      <c r="EQ25" s="42"/>
      <c r="EU25" s="42"/>
      <c r="EV25" s="5"/>
      <c r="EX25" s="32"/>
    </row>
    <row r="26" spans="1:154" x14ac:dyDescent="0.25">
      <c r="H26" s="3" t="s">
        <v>35</v>
      </c>
      <c r="I26" s="3" t="s">
        <v>9</v>
      </c>
      <c r="J26" s="42"/>
      <c r="K26" s="6"/>
      <c r="L26" s="248"/>
      <c r="M26" s="60"/>
      <c r="N26" s="60"/>
      <c r="O26" s="60"/>
      <c r="P26" s="60">
        <f>94.5218728173217*1.0362*1.006*1.0089*1.0057*1.0276*1.0091*1.0182</f>
        <v>105.555739649667</v>
      </c>
      <c r="Q26" s="60"/>
      <c r="R26" s="60"/>
      <c r="S26" s="60">
        <f t="shared" si="21"/>
        <v>1209.6554449428352</v>
      </c>
      <c r="T26" s="60"/>
      <c r="U26" s="60"/>
      <c r="V26" s="60"/>
      <c r="W26" s="60"/>
      <c r="X26" s="60"/>
      <c r="Y26" s="60"/>
      <c r="Z26" s="60"/>
      <c r="AA26" s="60">
        <v>-1055.11922900954</v>
      </c>
      <c r="AB26" s="60"/>
      <c r="AC26" s="60"/>
      <c r="AD26" s="60"/>
      <c r="AE26" s="60">
        <f>-279*1.006*1.0089*1.0057*1.0276*1.0091*1.0182</f>
        <v>-300.68388340294655</v>
      </c>
      <c r="AF26" s="60"/>
      <c r="AG26" s="60"/>
      <c r="AH26" s="60"/>
      <c r="AI26" s="60">
        <f>700*1.0057*1.0276*1.0091*1.0182</f>
        <v>743.289306226137</v>
      </c>
      <c r="AJ26" s="60"/>
      <c r="AK26" s="60">
        <f>840*1.0276*1.0091*1.0182</f>
        <v>886.89188373408012</v>
      </c>
      <c r="AL26" s="60">
        <f>-1269*1.0276*1.0091*1.0182</f>
        <v>-1339.8402386411281</v>
      </c>
      <c r="AM26" s="60">
        <f>-479*1.0276*1.0091*1.0182</f>
        <v>-505.73953846264806</v>
      </c>
      <c r="AN26" s="60"/>
      <c r="AO26" s="60"/>
      <c r="AP26" s="60"/>
      <c r="AQ26" s="232">
        <f t="shared" si="7"/>
        <v>-255.99051496354343</v>
      </c>
      <c r="AS26" s="21" t="e">
        <f>(J26+#REF!)/($J$31+#REF!)</f>
        <v>#REF!</v>
      </c>
      <c r="AT26" s="14" t="e">
        <f t="shared" si="8"/>
        <v>#REF!</v>
      </c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72"/>
      <c r="BF26" s="46"/>
      <c r="BG26" s="46"/>
      <c r="BH26" s="46"/>
      <c r="BI26" s="46"/>
      <c r="BJ26" s="65"/>
      <c r="BK26" s="129">
        <v>2.883594793462238E-2</v>
      </c>
      <c r="BL26" s="129">
        <v>4.3894495425452151E-2</v>
      </c>
      <c r="BM26" s="129">
        <v>3.4482758620689655E-2</v>
      </c>
      <c r="BN26" s="130">
        <v>2.2952255663567345E-2</v>
      </c>
      <c r="BO26" s="129">
        <v>7.9641627269013027E-2</v>
      </c>
      <c r="BP26" s="129">
        <v>4.3453996840741194E-2</v>
      </c>
      <c r="BQ26" s="129">
        <v>3.4099999999999998E-2</v>
      </c>
      <c r="BR26" s="129">
        <v>3.2833333333333332E-2</v>
      </c>
      <c r="BS26" s="82"/>
      <c r="BT26" s="82"/>
      <c r="BU26" s="82"/>
      <c r="BV26" s="82"/>
      <c r="BW26" s="83">
        <f t="shared" si="9"/>
        <v>28817.79020842932</v>
      </c>
      <c r="BX26" s="83">
        <f t="shared" si="0"/>
        <v>6484.6655916634727</v>
      </c>
      <c r="BY26" s="83">
        <f t="shared" si="1"/>
        <v>3895.5964083426893</v>
      </c>
      <c r="BZ26" s="83">
        <f t="shared" si="2"/>
        <v>0</v>
      </c>
      <c r="CA26" s="83">
        <f t="shared" si="3"/>
        <v>6228.8982534242032</v>
      </c>
      <c r="CB26" s="83">
        <f t="shared" si="4"/>
        <v>9818.1955732137048</v>
      </c>
      <c r="CC26" s="83">
        <f t="shared" si="10"/>
        <v>4741.3603547201046</v>
      </c>
      <c r="CD26" s="83">
        <f t="shared" si="11"/>
        <v>1141.3098605570144</v>
      </c>
      <c r="CE26" s="84">
        <f t="shared" si="12"/>
        <v>61127.816250350508</v>
      </c>
      <c r="CG26" s="15">
        <f t="shared" si="5"/>
        <v>0</v>
      </c>
      <c r="CH26" s="5" t="e">
        <f>-#REF!</f>
        <v>#REF!</v>
      </c>
      <c r="CJ26" s="4">
        <v>32000</v>
      </c>
      <c r="CK26" s="5" t="e">
        <f t="shared" si="13"/>
        <v>#REF!</v>
      </c>
      <c r="CL26" s="35" t="e">
        <f t="shared" si="14"/>
        <v>#REF!</v>
      </c>
      <c r="CM26" s="22" t="e">
        <f t="shared" si="6"/>
        <v>#REF!</v>
      </c>
      <c r="CQ26" s="93" t="s">
        <v>9</v>
      </c>
      <c r="CR26" s="96">
        <f t="shared" si="15"/>
        <v>-255.99051496354343</v>
      </c>
      <c r="CS26" s="96"/>
      <c r="CT26" s="96">
        <f t="shared" si="16"/>
        <v>35900</v>
      </c>
      <c r="CU26" s="96">
        <f t="shared" si="20"/>
        <v>61127.816250350508</v>
      </c>
      <c r="CV26" s="96"/>
      <c r="CW26" s="123">
        <f t="shared" si="17"/>
        <v>96771.825735386956</v>
      </c>
      <c r="CX26" s="124">
        <f t="shared" si="18"/>
        <v>3.7344116525718576E-2</v>
      </c>
      <c r="CY26" s="110"/>
      <c r="CZ26" s="96"/>
      <c r="DA26" s="96">
        <f t="shared" si="19"/>
        <v>3870.8730294154784</v>
      </c>
      <c r="DB26" s="177"/>
      <c r="DC26" s="152"/>
      <c r="DD26" s="152"/>
      <c r="DE26" s="197"/>
      <c r="DF26" s="198"/>
      <c r="DG26" s="199"/>
      <c r="DH26" s="167"/>
      <c r="DI26" s="5"/>
      <c r="DK26" s="151"/>
      <c r="DL26" s="151"/>
      <c r="DM26" s="48"/>
      <c r="DN26" s="151"/>
      <c r="DO26" s="152"/>
      <c r="DP26" s="152"/>
      <c r="DQ26" s="152"/>
      <c r="DR26" s="152"/>
      <c r="DS26" s="112"/>
      <c r="DT26" s="111"/>
      <c r="DU26" s="113"/>
      <c r="DV26" s="98"/>
      <c r="DW26" s="48"/>
      <c r="DX26" s="5"/>
      <c r="DY26" s="134"/>
      <c r="DZ26" s="5"/>
      <c r="EA26" s="5"/>
      <c r="EB26" s="42"/>
      <c r="EC26" s="5"/>
      <c r="EE26" s="5"/>
      <c r="EF26" s="5"/>
      <c r="EG26" s="5"/>
      <c r="EH26" s="5"/>
      <c r="EJ26" s="5"/>
      <c r="EK26" s="42"/>
      <c r="EO26" s="42"/>
      <c r="EP26" s="42"/>
      <c r="EQ26" s="42"/>
      <c r="EU26" s="42"/>
      <c r="EV26" s="5"/>
      <c r="EX26" s="32"/>
    </row>
    <row r="27" spans="1:154" x14ac:dyDescent="0.25">
      <c r="H27" s="3" t="s">
        <v>36</v>
      </c>
      <c r="I27" s="3" t="s">
        <v>37</v>
      </c>
      <c r="J27" s="42"/>
      <c r="K27" s="6"/>
      <c r="L27" s="248"/>
      <c r="M27" s="60"/>
      <c r="N27" s="60"/>
      <c r="O27" s="60"/>
      <c r="P27" s="60">
        <f>59.8638527843037*1.0362*1.006*1.0089*1.0057*1.0276*1.0091*1.0182</f>
        <v>66.851968444789065</v>
      </c>
      <c r="Q27" s="60"/>
      <c r="R27" s="60"/>
      <c r="S27" s="60">
        <f t="shared" si="21"/>
        <v>1209.6554449428352</v>
      </c>
      <c r="T27" s="60"/>
      <c r="U27" s="60"/>
      <c r="V27" s="60"/>
      <c r="W27" s="60"/>
      <c r="X27" s="60"/>
      <c r="Y27" s="60"/>
      <c r="Z27" s="60"/>
      <c r="AA27" s="60">
        <v>-1049.9002714123901</v>
      </c>
      <c r="AB27" s="60"/>
      <c r="AC27" s="60"/>
      <c r="AD27" s="60"/>
      <c r="AE27" s="60">
        <f>210*1.006*1.0089*1.0057*1.0276*1.0091*1.0182</f>
        <v>226.32120256135764</v>
      </c>
      <c r="AF27" s="60"/>
      <c r="AG27" s="60"/>
      <c r="AH27" s="60"/>
      <c r="AI27" s="60"/>
      <c r="AJ27" s="60"/>
      <c r="AK27" s="60">
        <f>1680*1.0276*1.0091*1.0182</f>
        <v>1773.7837674681602</v>
      </c>
      <c r="AL27" s="60">
        <f>1560*1.0276*1.0091*1.0182</f>
        <v>1647.0849269347202</v>
      </c>
      <c r="AM27" s="60">
        <f>512*1.0276*1.0091*1.0182</f>
        <v>540.58171960934408</v>
      </c>
      <c r="AN27" s="60">
        <f>2540*1.0276*1.0091*1.0182</f>
        <v>2681.7921246244805</v>
      </c>
      <c r="AO27" s="60"/>
      <c r="AP27" s="60"/>
      <c r="AQ27" s="232">
        <f t="shared" si="7"/>
        <v>7096.1708831732967</v>
      </c>
      <c r="AS27" s="21" t="e">
        <f>(J27+#REF!)/($J$31+#REF!)</f>
        <v>#REF!</v>
      </c>
      <c r="AT27" s="14" t="e">
        <f t="shared" si="8"/>
        <v>#REF!</v>
      </c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72"/>
      <c r="BF27" s="46"/>
      <c r="BG27" s="46"/>
      <c r="BH27" s="46"/>
      <c r="BI27" s="46"/>
      <c r="BJ27" s="65"/>
      <c r="BK27" s="129">
        <v>2.5138171060605077E-2</v>
      </c>
      <c r="BL27" s="129">
        <v>5.1307781878266644E-2</v>
      </c>
      <c r="BM27" s="129">
        <v>2.4137931034482758E-2</v>
      </c>
      <c r="BN27" s="130">
        <v>2.1779868782484425E-2</v>
      </c>
      <c r="BO27" s="129">
        <v>0.10112064437051305</v>
      </c>
      <c r="BP27" s="129">
        <v>5.6166702925624992E-2</v>
      </c>
      <c r="BQ27" s="129">
        <v>2.7E-2</v>
      </c>
      <c r="BR27" s="129">
        <v>0.03</v>
      </c>
      <c r="BS27" s="82"/>
      <c r="BT27" s="82"/>
      <c r="BU27" s="82"/>
      <c r="BV27" s="82"/>
      <c r="BW27" s="83">
        <f t="shared" si="9"/>
        <v>25122.341789857757</v>
      </c>
      <c r="BX27" s="83">
        <f t="shared" si="0"/>
        <v>7579.8526559129059</v>
      </c>
      <c r="BY27" s="83">
        <f t="shared" si="1"/>
        <v>2726.9174858398824</v>
      </c>
      <c r="BZ27" s="83">
        <f t="shared" si="2"/>
        <v>0</v>
      </c>
      <c r="CA27" s="83">
        <f t="shared" si="3"/>
        <v>7908.8063203059228</v>
      </c>
      <c r="CB27" s="83">
        <f t="shared" si="4"/>
        <v>12690.562758759901</v>
      </c>
      <c r="CC27" s="83">
        <f t="shared" si="10"/>
        <v>3754.1562925936314</v>
      </c>
      <c r="CD27" s="83">
        <f t="shared" si="11"/>
        <v>1042.8211923871197</v>
      </c>
      <c r="CE27" s="84">
        <f t="shared" si="12"/>
        <v>60825.45849565712</v>
      </c>
      <c r="CG27" s="15">
        <f t="shared" si="5"/>
        <v>0</v>
      </c>
      <c r="CH27" s="5" t="e">
        <f>-#REF!</f>
        <v>#REF!</v>
      </c>
      <c r="CJ27" s="4">
        <v>32000</v>
      </c>
      <c r="CK27" s="5" t="e">
        <f t="shared" si="13"/>
        <v>#REF!</v>
      </c>
      <c r="CL27" s="35" t="e">
        <f t="shared" si="14"/>
        <v>#REF!</v>
      </c>
      <c r="CM27" s="22" t="e">
        <f t="shared" si="6"/>
        <v>#REF!</v>
      </c>
      <c r="CQ27" s="93" t="s">
        <v>37</v>
      </c>
      <c r="CR27" s="96">
        <f t="shared" si="15"/>
        <v>7096.1708831732967</v>
      </c>
      <c r="CS27" s="96"/>
      <c r="CT27" s="96">
        <f t="shared" si="16"/>
        <v>35900</v>
      </c>
      <c r="CU27" s="96">
        <f t="shared" si="20"/>
        <v>60825.45849565712</v>
      </c>
      <c r="CV27" s="96"/>
      <c r="CW27" s="123">
        <f t="shared" si="17"/>
        <v>103821.62937883042</v>
      </c>
      <c r="CX27" s="124">
        <f t="shared" si="18"/>
        <v>4.0064626206543143E-2</v>
      </c>
      <c r="CY27" s="110"/>
      <c r="CZ27" s="96"/>
      <c r="DA27" s="96">
        <f t="shared" si="19"/>
        <v>4152.865175153217</v>
      </c>
      <c r="DB27" s="177"/>
      <c r="DC27" s="152"/>
      <c r="DD27" s="152"/>
      <c r="DE27" s="197"/>
      <c r="DF27" s="198"/>
      <c r="DG27" s="199"/>
      <c r="DH27" s="167"/>
      <c r="DI27" s="5"/>
      <c r="DK27" s="151"/>
      <c r="DL27" s="151"/>
      <c r="DM27" s="48"/>
      <c r="DN27" s="151"/>
      <c r="DO27" s="152"/>
      <c r="DP27" s="152"/>
      <c r="DQ27" s="152"/>
      <c r="DR27" s="152"/>
      <c r="DS27" s="112"/>
      <c r="DT27" s="111"/>
      <c r="DU27" s="113"/>
      <c r="DV27" s="98"/>
      <c r="DW27" s="48"/>
      <c r="DX27" s="5"/>
      <c r="DY27" s="134"/>
      <c r="DZ27" s="5"/>
      <c r="EA27" s="5"/>
      <c r="EB27" s="42"/>
      <c r="EC27" s="5"/>
      <c r="EE27" s="5"/>
      <c r="EF27" s="5"/>
      <c r="EG27" s="5"/>
      <c r="EH27" s="5"/>
      <c r="EJ27" s="5"/>
      <c r="EK27" s="42"/>
      <c r="EO27" s="42"/>
      <c r="EP27" s="42"/>
      <c r="EQ27" s="42"/>
      <c r="EU27" s="42"/>
      <c r="EV27" s="5"/>
      <c r="EX27" s="32"/>
    </row>
    <row r="28" spans="1:154" x14ac:dyDescent="0.25">
      <c r="A28" s="239" t="s">
        <v>175</v>
      </c>
      <c r="B28" s="3">
        <v>1.0182</v>
      </c>
      <c r="H28" s="3" t="s">
        <v>38</v>
      </c>
      <c r="I28" s="3" t="s">
        <v>39</v>
      </c>
      <c r="J28" s="42"/>
      <c r="K28" s="6"/>
      <c r="L28" s="248">
        <f>3479.45516270874*1.0362*1.006*1.0089*1.0057*1.0276*1.0091*1.0182</f>
        <v>3885.6240606594065</v>
      </c>
      <c r="M28" s="60"/>
      <c r="N28" s="60"/>
      <c r="O28" s="60"/>
      <c r="P28" s="60">
        <f>79.8184703790716*1.0362*1.006*1.0089*1.0057*1.0276*1.0091*1.0182</f>
        <v>89.13595792638543</v>
      </c>
      <c r="Q28" s="60"/>
      <c r="R28" s="60"/>
      <c r="S28" s="60">
        <f t="shared" si="21"/>
        <v>1209.6554449428352</v>
      </c>
      <c r="T28" s="60"/>
      <c r="U28" s="60">
        <v>-45.343621029585826</v>
      </c>
      <c r="V28" s="60"/>
      <c r="W28" s="60"/>
      <c r="X28" s="60"/>
      <c r="Y28" s="60"/>
      <c r="Z28" s="60">
        <f>(2598*1.0089*1.0057*1.0276*1.0091*1.0182)+1000</f>
        <v>3783.2172879598938</v>
      </c>
      <c r="AA28" s="60">
        <v>-909.20877936731404</v>
      </c>
      <c r="AB28" s="60"/>
      <c r="AC28" s="60"/>
      <c r="AD28" s="60"/>
      <c r="AE28" s="60">
        <f>-278*1.006*1.0089*1.0057*1.0276*1.0091*1.0182</f>
        <v>-299.60616339074966</v>
      </c>
      <c r="AF28" s="60"/>
      <c r="AG28" s="60"/>
      <c r="AH28" s="60"/>
      <c r="AI28" s="60"/>
      <c r="AJ28" s="60">
        <v>500</v>
      </c>
      <c r="AK28" s="60"/>
      <c r="AL28" s="60">
        <f>-1560*1.0276*1.0091*1.0182</f>
        <v>-1647.0849269347202</v>
      </c>
      <c r="AM28" s="60">
        <f>-512*1.0276*1.0091*1.0182</f>
        <v>-540.58171960934408</v>
      </c>
      <c r="AN28" s="60"/>
      <c r="AO28" s="60"/>
      <c r="AP28" s="60"/>
      <c r="AQ28" s="232">
        <f t="shared" si="7"/>
        <v>6025.807541156807</v>
      </c>
      <c r="AS28" s="21" t="e">
        <f>(J28+#REF!)/($J$31+#REF!)</f>
        <v>#REF!</v>
      </c>
      <c r="AT28" s="14" t="e">
        <f t="shared" si="8"/>
        <v>#REF!</v>
      </c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72"/>
      <c r="BF28" s="46"/>
      <c r="BG28" s="46"/>
      <c r="BH28" s="46"/>
      <c r="BI28" s="46"/>
      <c r="BJ28" s="65"/>
      <c r="BK28" s="129">
        <v>1.3108612709065081E-2</v>
      </c>
      <c r="BL28" s="129">
        <v>0.11991735499819527</v>
      </c>
      <c r="BM28" s="129">
        <v>2.7586206896551724E-2</v>
      </c>
      <c r="BN28" s="130">
        <v>7.3230435498111271E-2</v>
      </c>
      <c r="BO28" s="129">
        <v>0.10561489523142473</v>
      </c>
      <c r="BP28" s="129">
        <v>2.6569934071754901E-2</v>
      </c>
      <c r="BQ28" s="129">
        <v>2.6100000000000002E-2</v>
      </c>
      <c r="BR28" s="129">
        <v>2.4433333333333335E-2</v>
      </c>
      <c r="BS28" s="82"/>
      <c r="BT28" s="82"/>
      <c r="BU28" s="82"/>
      <c r="BV28" s="82"/>
      <c r="BW28" s="83">
        <f t="shared" si="9"/>
        <v>13100.358338482858</v>
      </c>
      <c r="BX28" s="83">
        <f t="shared" si="0"/>
        <v>17715.750876343067</v>
      </c>
      <c r="BY28" s="83">
        <f t="shared" si="1"/>
        <v>3116.4771266741514</v>
      </c>
      <c r="BZ28" s="83">
        <f t="shared" si="2"/>
        <v>0</v>
      </c>
      <c r="CA28" s="83">
        <f t="shared" si="3"/>
        <v>8260.3088234306288</v>
      </c>
      <c r="CB28" s="83">
        <f t="shared" si="4"/>
        <v>6003.3329049101649</v>
      </c>
      <c r="CC28" s="83">
        <f t="shared" si="10"/>
        <v>3629.0177495071771</v>
      </c>
      <c r="CD28" s="83">
        <f t="shared" si="11"/>
        <v>849.31992668862097</v>
      </c>
      <c r="CE28" s="84">
        <f t="shared" si="12"/>
        <v>52674.565746036671</v>
      </c>
      <c r="CG28" s="15">
        <f t="shared" si="5"/>
        <v>0</v>
      </c>
      <c r="CH28" s="5" t="e">
        <f>-#REF!</f>
        <v>#REF!</v>
      </c>
      <c r="CJ28" s="4">
        <v>32000</v>
      </c>
      <c r="CK28" s="5" t="e">
        <f t="shared" si="13"/>
        <v>#REF!</v>
      </c>
      <c r="CL28" s="35" t="e">
        <f t="shared" si="14"/>
        <v>#REF!</v>
      </c>
      <c r="CM28" s="22" t="e">
        <f t="shared" si="6"/>
        <v>#REF!</v>
      </c>
      <c r="CQ28" s="93" t="s">
        <v>39</v>
      </c>
      <c r="CR28" s="96">
        <f t="shared" si="15"/>
        <v>6025.807541156807</v>
      </c>
      <c r="CS28" s="96"/>
      <c r="CT28" s="96">
        <f t="shared" si="16"/>
        <v>35900</v>
      </c>
      <c r="CU28" s="96">
        <f t="shared" si="20"/>
        <v>52674.565746036671</v>
      </c>
      <c r="CV28" s="96"/>
      <c r="CW28" s="123">
        <f t="shared" si="17"/>
        <v>94600.373287193477</v>
      </c>
      <c r="CX28" s="124">
        <f t="shared" si="18"/>
        <v>3.6506155966029137E-2</v>
      </c>
      <c r="CY28" s="110"/>
      <c r="CZ28" s="96"/>
      <c r="DA28" s="96">
        <f t="shared" si="19"/>
        <v>3784.014931487739</v>
      </c>
      <c r="DB28" s="177"/>
      <c r="DC28" s="152"/>
      <c r="DD28" s="152"/>
      <c r="DE28" s="197"/>
      <c r="DF28" s="198"/>
      <c r="DG28" s="199"/>
      <c r="DH28" s="167"/>
      <c r="DI28" s="5"/>
      <c r="DK28" s="151"/>
      <c r="DL28" s="151"/>
      <c r="DM28" s="48"/>
      <c r="DN28" s="151"/>
      <c r="DO28" s="152"/>
      <c r="DP28" s="152"/>
      <c r="DQ28" s="152"/>
      <c r="DR28" s="152"/>
      <c r="DS28" s="112"/>
      <c r="DT28" s="111"/>
      <c r="DU28" s="113"/>
      <c r="DV28" s="98"/>
      <c r="DW28" s="48"/>
      <c r="DX28" s="5"/>
      <c r="DY28" s="4"/>
      <c r="DZ28" s="5"/>
      <c r="EA28" s="5"/>
      <c r="EB28" s="42"/>
      <c r="EC28" s="5"/>
      <c r="EE28" s="5"/>
      <c r="EF28" s="5"/>
      <c r="EG28" s="5"/>
      <c r="EH28" s="5"/>
      <c r="EJ28" s="5"/>
      <c r="EK28" s="42"/>
      <c r="EO28" s="42"/>
      <c r="EP28" s="42"/>
      <c r="EQ28" s="42"/>
      <c r="EU28" s="42"/>
      <c r="EV28" s="5"/>
      <c r="EX28" s="32"/>
    </row>
    <row r="29" spans="1:154" x14ac:dyDescent="0.25">
      <c r="H29" s="3" t="s">
        <v>40</v>
      </c>
      <c r="I29" s="3" t="s">
        <v>41</v>
      </c>
      <c r="J29" s="42"/>
      <c r="K29" s="6"/>
      <c r="L29" s="248">
        <f>3703.1569283764*1.0362*1.006*1.0089*1.0057*1.0276*1.0091*1.0182</f>
        <v>4135.4393111636173</v>
      </c>
      <c r="M29" s="60"/>
      <c r="N29" s="60"/>
      <c r="O29" s="60"/>
      <c r="P29" s="60">
        <f>91.371143723411*1.0362*1.006*1.0089*1.0057*1.0276*1.0091*1.0182</f>
        <v>102.03721499467812</v>
      </c>
      <c r="Q29" s="60"/>
      <c r="R29" s="60"/>
      <c r="S29" s="60">
        <f t="shared" si="21"/>
        <v>1209.6554449428352</v>
      </c>
      <c r="T29" s="60"/>
      <c r="U29" s="60">
        <v>-260</v>
      </c>
      <c r="V29" s="60"/>
      <c r="W29" s="60"/>
      <c r="X29" s="60"/>
      <c r="Y29" s="60"/>
      <c r="Z29" s="60">
        <f>(1795*1.0089*1.0057*1.0276*1.0091*1.0182)+1300</f>
        <v>3222.969604267902</v>
      </c>
      <c r="AA29" s="60">
        <v>-1348.7853686619101</v>
      </c>
      <c r="AB29" s="60"/>
      <c r="AC29" s="60"/>
      <c r="AD29" s="60"/>
      <c r="AE29" s="60">
        <f>-143*1.006*1.0089*1.0057*1.0276*1.0091*1.0182</f>
        <v>-154.11396174416262</v>
      </c>
      <c r="AF29" s="60"/>
      <c r="AG29" s="60"/>
      <c r="AH29" s="60"/>
      <c r="AI29" s="60"/>
      <c r="AJ29" s="60"/>
      <c r="AK29" s="60">
        <f>840*1.0276*1.0091*1.0182</f>
        <v>886.89188373408012</v>
      </c>
      <c r="AL29" s="60"/>
      <c r="AM29" s="60">
        <f>-607*1.0276*1.0091*1.0182</f>
        <v>-640.88496836498405</v>
      </c>
      <c r="AN29" s="60"/>
      <c r="AO29" s="60"/>
      <c r="AP29" s="60"/>
      <c r="AQ29" s="232">
        <f t="shared" si="7"/>
        <v>7153.209160332055</v>
      </c>
      <c r="AS29" s="21" t="e">
        <f>(J29+#REF!)/($J$31+#REF!)</f>
        <v>#REF!</v>
      </c>
      <c r="AT29" s="14" t="e">
        <f t="shared" si="8"/>
        <v>#REF!</v>
      </c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72"/>
      <c r="BF29" s="46"/>
      <c r="BG29" s="46"/>
      <c r="BH29" s="46"/>
      <c r="BI29" s="46"/>
      <c r="BJ29" s="65"/>
      <c r="BK29" s="129">
        <v>2.7083828292274941E-2</v>
      </c>
      <c r="BL29" s="129">
        <v>0.13152952214552144</v>
      </c>
      <c r="BM29" s="129">
        <v>5.1724137931034482E-2</v>
      </c>
      <c r="BN29" s="130">
        <v>0.1293588930276045</v>
      </c>
      <c r="BO29" s="129">
        <v>0.11028424677522909</v>
      </c>
      <c r="BP29" s="129">
        <v>5.2903396676157052E-2</v>
      </c>
      <c r="BQ29" s="129">
        <v>2.9700000000000001E-2</v>
      </c>
      <c r="BR29" s="129">
        <v>3.1400000000000004E-2</v>
      </c>
      <c r="BS29" s="82"/>
      <c r="BT29" s="82"/>
      <c r="BU29" s="82"/>
      <c r="BV29" s="82"/>
      <c r="BW29" s="83">
        <f t="shared" si="9"/>
        <v>27066.773859401572</v>
      </c>
      <c r="BX29" s="83">
        <f t="shared" si="0"/>
        <v>19431.251191702606</v>
      </c>
      <c r="BY29" s="83">
        <f t="shared" si="1"/>
        <v>5843.3946125140337</v>
      </c>
      <c r="BZ29" s="83">
        <f t="shared" si="2"/>
        <v>0</v>
      </c>
      <c r="CA29" s="83">
        <f t="shared" si="3"/>
        <v>8625.5062292744824</v>
      </c>
      <c r="CB29" s="83">
        <f t="shared" si="4"/>
        <v>11953.236360684426</v>
      </c>
      <c r="CC29" s="83">
        <f t="shared" si="10"/>
        <v>4129.5719218529948</v>
      </c>
      <c r="CD29" s="83">
        <f t="shared" si="11"/>
        <v>1091.4861813651855</v>
      </c>
      <c r="CE29" s="84">
        <f t="shared" si="12"/>
        <v>78141.220356795311</v>
      </c>
      <c r="CG29" s="15">
        <f t="shared" si="5"/>
        <v>0</v>
      </c>
      <c r="CH29" s="5" t="e">
        <f>-#REF!</f>
        <v>#REF!</v>
      </c>
      <c r="CJ29" s="4">
        <v>32000</v>
      </c>
      <c r="CK29" s="5" t="e">
        <f t="shared" si="13"/>
        <v>#REF!</v>
      </c>
      <c r="CL29" s="35" t="e">
        <f t="shared" si="14"/>
        <v>#REF!</v>
      </c>
      <c r="CM29" s="22" t="e">
        <f t="shared" si="6"/>
        <v>#REF!</v>
      </c>
      <c r="CQ29" s="93" t="s">
        <v>41</v>
      </c>
      <c r="CR29" s="96">
        <f t="shared" si="15"/>
        <v>7153.209160332055</v>
      </c>
      <c r="CS29" s="96"/>
      <c r="CT29" s="96">
        <f t="shared" si="16"/>
        <v>35900</v>
      </c>
      <c r="CU29" s="96">
        <f t="shared" si="20"/>
        <v>78141.220356795311</v>
      </c>
      <c r="CV29" s="96"/>
      <c r="CW29" s="123">
        <f t="shared" si="17"/>
        <v>121194.42951712737</v>
      </c>
      <c r="CX29" s="124">
        <f t="shared" si="18"/>
        <v>4.6768766257766152E-2</v>
      </c>
      <c r="CY29" s="110"/>
      <c r="CZ29" s="96"/>
      <c r="DA29" s="96">
        <f t="shared" si="19"/>
        <v>4847.7771806850951</v>
      </c>
      <c r="DB29" s="177"/>
      <c r="DC29" s="152"/>
      <c r="DD29" s="152"/>
      <c r="DE29" s="197"/>
      <c r="DF29" s="198"/>
      <c r="DG29" s="199"/>
      <c r="DH29" s="167"/>
      <c r="DI29" s="5"/>
      <c r="DK29" s="151"/>
      <c r="DL29" s="151"/>
      <c r="DM29" s="48"/>
      <c r="DN29" s="151"/>
      <c r="DO29" s="152"/>
      <c r="DP29" s="152"/>
      <c r="DQ29" s="152"/>
      <c r="DR29" s="152"/>
      <c r="DS29" s="112"/>
      <c r="DT29" s="111"/>
      <c r="DU29" s="113"/>
      <c r="DV29" s="98"/>
      <c r="DW29" s="48"/>
      <c r="DX29" s="5"/>
      <c r="DY29" s="4"/>
      <c r="DZ29" s="5"/>
      <c r="EA29" s="5"/>
      <c r="EB29" s="42"/>
      <c r="EC29" s="5"/>
      <c r="EE29" s="5"/>
      <c r="EF29" s="5"/>
      <c r="EG29" s="5"/>
      <c r="EH29" s="5"/>
      <c r="EJ29" s="5"/>
      <c r="EK29" s="42"/>
      <c r="EO29" s="42"/>
      <c r="EP29" s="42"/>
      <c r="EQ29" s="42"/>
      <c r="EU29" s="42"/>
      <c r="EV29" s="5"/>
      <c r="EX29" s="32"/>
    </row>
    <row r="30" spans="1:154" x14ac:dyDescent="0.25">
      <c r="H30" s="3" t="s">
        <v>42</v>
      </c>
      <c r="I30" s="3" t="s">
        <v>43</v>
      </c>
      <c r="J30" s="42"/>
      <c r="K30" s="6"/>
      <c r="L30" s="248">
        <f>5374.09359118039*1.0362*1.006*1.0089*1.0057*1.0276*1.0091*1.0182</f>
        <v>6001.4302198594005</v>
      </c>
      <c r="M30" s="60"/>
      <c r="N30" s="60"/>
      <c r="O30" s="60"/>
      <c r="P30" s="60">
        <f>201.646662010286*1.0362*1.006*1.0089*1.0057*1.0276*1.0091*1.0182</f>
        <v>225.1855779192893</v>
      </c>
      <c r="Q30" s="60"/>
      <c r="R30" s="60"/>
      <c r="S30" s="60">
        <f t="shared" si="21"/>
        <v>1209.6554449428352</v>
      </c>
      <c r="T30" s="60"/>
      <c r="U30" s="60">
        <v>-1625</v>
      </c>
      <c r="V30" s="60"/>
      <c r="W30" s="60"/>
      <c r="X30" s="60"/>
      <c r="Y30" s="60"/>
      <c r="Z30" s="60">
        <f>(1207*1.0089*1.0057*1.0276*1.0091*1.0182)+1050</f>
        <v>2343.0497561846005</v>
      </c>
      <c r="AA30" s="60">
        <v>-1540.42815808607</v>
      </c>
      <c r="AB30" s="60"/>
      <c r="AC30" s="60"/>
      <c r="AD30" s="60"/>
      <c r="AE30" s="60">
        <f>233*1.006*1.0089*1.0057*1.0276*1.0091*1.0182</f>
        <v>251.10876284188734</v>
      </c>
      <c r="AF30" s="60"/>
      <c r="AG30" s="60"/>
      <c r="AH30" s="60"/>
      <c r="AI30" s="60">
        <f>700*1.0057*1.0276*1.0091*1.0182</f>
        <v>743.289306226137</v>
      </c>
      <c r="AJ30" s="60"/>
      <c r="AK30" s="60">
        <f>840*1.0276*1.0091*1.0182</f>
        <v>886.89188373408012</v>
      </c>
      <c r="AL30" s="60"/>
      <c r="AM30" s="60">
        <f>607*1.0276*1.0091*1.0182</f>
        <v>640.88496836498405</v>
      </c>
      <c r="AN30" s="60">
        <f>3030*1.0276*1.0091*1.0182</f>
        <v>3199.1457234693603</v>
      </c>
      <c r="AO30" s="60"/>
      <c r="AP30" s="60"/>
      <c r="AQ30" s="232">
        <f t="shared" si="7"/>
        <v>12335.213485456505</v>
      </c>
      <c r="AS30" s="21" t="e">
        <f>(J30+#REF!)/($J$31+#REF!)</f>
        <v>#REF!</v>
      </c>
      <c r="AT30" s="14" t="e">
        <f t="shared" si="8"/>
        <v>#REF!</v>
      </c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72"/>
      <c r="BF30" s="46"/>
      <c r="BG30" s="46"/>
      <c r="BH30" s="46"/>
      <c r="BI30" s="46"/>
      <c r="BJ30" s="65"/>
      <c r="BK30" s="129">
        <v>2.5861718778959857E-2</v>
      </c>
      <c r="BL30" s="129">
        <v>0.23514192939354803</v>
      </c>
      <c r="BM30" s="129">
        <v>4.8275862068965517E-2</v>
      </c>
      <c r="BN30" s="130">
        <v>0.26039995321440784</v>
      </c>
      <c r="BO30" s="129">
        <v>0.12125722290316933</v>
      </c>
      <c r="BP30" s="129">
        <v>4.7237540318385181E-2</v>
      </c>
      <c r="BQ30" s="129">
        <v>1.67E-2</v>
      </c>
      <c r="BR30" s="129">
        <v>2.0933333333333332E-2</v>
      </c>
      <c r="BS30" s="82"/>
      <c r="BT30" s="82"/>
      <c r="BU30" s="82"/>
      <c r="BV30" s="82"/>
      <c r="BW30" s="83">
        <f t="shared" si="9"/>
        <v>25845.433896994648</v>
      </c>
      <c r="BX30" s="83">
        <f t="shared" si="0"/>
        <v>34738.223185304923</v>
      </c>
      <c r="BY30" s="83">
        <f t="shared" si="1"/>
        <v>5453.8349716797647</v>
      </c>
      <c r="BZ30" s="83">
        <f t="shared" si="2"/>
        <v>0</v>
      </c>
      <c r="CA30" s="83">
        <f t="shared" si="3"/>
        <v>9483.720133007535</v>
      </c>
      <c r="CB30" s="83">
        <f t="shared" si="4"/>
        <v>10673.066759388168</v>
      </c>
      <c r="CC30" s="83">
        <f t="shared" si="10"/>
        <v>2322.0151883819867</v>
      </c>
      <c r="CD30" s="83">
        <f t="shared" si="11"/>
        <v>727.65745424345687</v>
      </c>
      <c r="CE30" s="84">
        <f t="shared" si="12"/>
        <v>89243.951589000484</v>
      </c>
      <c r="CG30" s="15">
        <f t="shared" si="5"/>
        <v>0</v>
      </c>
      <c r="CH30" s="5" t="e">
        <f>-#REF!</f>
        <v>#REF!</v>
      </c>
      <c r="CJ30" s="4">
        <v>32000</v>
      </c>
      <c r="CK30" s="5" t="e">
        <f t="shared" si="13"/>
        <v>#REF!</v>
      </c>
      <c r="CL30" s="35" t="e">
        <f t="shared" si="14"/>
        <v>#REF!</v>
      </c>
      <c r="CM30" s="22" t="e">
        <f t="shared" si="6"/>
        <v>#REF!</v>
      </c>
      <c r="CQ30" s="93" t="s">
        <v>43</v>
      </c>
      <c r="CR30" s="96">
        <f t="shared" si="15"/>
        <v>12335.213485456505</v>
      </c>
      <c r="CS30" s="96"/>
      <c r="CT30" s="96">
        <f t="shared" si="16"/>
        <v>35900</v>
      </c>
      <c r="CU30" s="96">
        <f>CE30</f>
        <v>89243.951589000484</v>
      </c>
      <c r="CV30" s="96"/>
      <c r="CW30" s="123">
        <f t="shared" si="17"/>
        <v>137479.16507445701</v>
      </c>
      <c r="CX30" s="124">
        <f t="shared" si="18"/>
        <v>5.3053023660394133E-2</v>
      </c>
      <c r="CY30" s="110"/>
      <c r="CZ30" s="96"/>
      <c r="DA30" s="96">
        <f t="shared" si="19"/>
        <v>5499.16660297828</v>
      </c>
      <c r="DB30" s="177"/>
      <c r="DE30" s="197"/>
      <c r="DF30" s="198"/>
      <c r="DG30" s="199"/>
      <c r="DH30" s="167"/>
      <c r="DI30" s="5"/>
      <c r="DK30" s="151"/>
      <c r="DL30" s="5"/>
      <c r="DM30" s="48"/>
      <c r="DN30" s="5"/>
      <c r="DO30" s="5"/>
      <c r="DP30" s="5"/>
      <c r="DQ30" s="5"/>
      <c r="DR30" s="152"/>
      <c r="DS30" s="112"/>
      <c r="DT30" s="111"/>
      <c r="DU30" s="113"/>
      <c r="DV30" s="98"/>
      <c r="DW30" s="48"/>
      <c r="DX30" s="5"/>
      <c r="DY30" s="4"/>
      <c r="DZ30" s="5"/>
      <c r="EA30" s="5"/>
      <c r="EB30" s="42"/>
      <c r="EC30" s="5"/>
      <c r="EE30" s="5"/>
      <c r="EF30" s="5"/>
      <c r="EG30" s="5"/>
      <c r="EH30" s="5"/>
      <c r="EJ30" s="5"/>
      <c r="EK30" s="42"/>
      <c r="EO30" s="42"/>
      <c r="EP30" s="42"/>
      <c r="EQ30" s="42"/>
      <c r="EU30" s="42"/>
      <c r="EV30" s="5"/>
      <c r="EX30" s="32"/>
    </row>
    <row r="31" spans="1:154" x14ac:dyDescent="0.25">
      <c r="H31" s="3" t="s">
        <v>55</v>
      </c>
      <c r="J31" s="5"/>
      <c r="K31" s="5"/>
      <c r="L31" s="248">
        <f>SUM(L10:L30)</f>
        <v>14022.493591682425</v>
      </c>
      <c r="M31" s="60">
        <f t="shared" ref="M31:V31" si="22">SUM(M10:M30)</f>
        <v>909.11732418236966</v>
      </c>
      <c r="N31" s="60">
        <f t="shared" si="22"/>
        <v>0</v>
      </c>
      <c r="O31" s="60">
        <f t="shared" si="22"/>
        <v>115.18773832871362</v>
      </c>
      <c r="P31" s="60">
        <f t="shared" si="22"/>
        <v>1172.8415516629666</v>
      </c>
      <c r="Q31" s="60">
        <f t="shared" si="22"/>
        <v>85</v>
      </c>
      <c r="R31" s="60">
        <f t="shared" si="22"/>
        <v>680.02213875194127</v>
      </c>
      <c r="S31" s="60">
        <f t="shared" si="22"/>
        <v>12377.869669182503</v>
      </c>
      <c r="T31" s="60">
        <f t="shared" si="22"/>
        <v>371.3360900754754</v>
      </c>
      <c r="U31" s="60">
        <f t="shared" si="22"/>
        <v>-1930.3436210295858</v>
      </c>
      <c r="V31" s="60">
        <f t="shared" si="22"/>
        <v>0</v>
      </c>
      <c r="W31" s="60">
        <f t="shared" ref="W31:AC31" si="23">SUM(W10:W30)</f>
        <v>0</v>
      </c>
      <c r="X31" s="60">
        <f t="shared" si="23"/>
        <v>-1720</v>
      </c>
      <c r="Y31" s="60">
        <f t="shared" si="23"/>
        <v>-1150</v>
      </c>
      <c r="Z31" s="60">
        <f>SUM(Z10:Z30)</f>
        <v>9349.2366484123959</v>
      </c>
      <c r="AA31" s="60">
        <f>SUM(AA10:AA30)</f>
        <v>-29999.999999999975</v>
      </c>
      <c r="AB31" s="60">
        <f>SUM(AB10:AB30)</f>
        <v>30000</v>
      </c>
      <c r="AC31" s="60">
        <f t="shared" si="23"/>
        <v>7262.9983636953966</v>
      </c>
      <c r="AD31" s="60">
        <f t="shared" ref="AD31:AH31" si="24">SUM(AD10:AD30)</f>
        <v>954.40400853785889</v>
      </c>
      <c r="AE31" s="60">
        <f t="shared" si="24"/>
        <v>-2.8421709430404007E-13</v>
      </c>
      <c r="AF31" s="60"/>
      <c r="AG31" s="60">
        <f t="shared" si="24"/>
        <v>3000</v>
      </c>
      <c r="AH31" s="60">
        <f t="shared" si="24"/>
        <v>0</v>
      </c>
      <c r="AI31" s="60">
        <f t="shared" ref="AI31:AM31" si="25">SUM(AI10:AI30)</f>
        <v>5309.2093301866935</v>
      </c>
      <c r="AJ31" s="60">
        <f t="shared" si="25"/>
        <v>5000</v>
      </c>
      <c r="AK31" s="60">
        <f t="shared" si="25"/>
        <v>15837.355066680002</v>
      </c>
      <c r="AL31" s="60">
        <f>SUM(AL10:AL30)</f>
        <v>0</v>
      </c>
      <c r="AM31" s="60">
        <f t="shared" si="25"/>
        <v>0</v>
      </c>
      <c r="AN31" s="60">
        <f>SUM(AN10:AN30)</f>
        <v>8024.2599004512012</v>
      </c>
      <c r="AO31" s="60">
        <f>SUM(AO10:AO30)</f>
        <v>1746.6915540000002</v>
      </c>
      <c r="AP31" s="60"/>
      <c r="AQ31" s="232">
        <f>SUM(AQ10:AQ30)</f>
        <v>81417.679354800377</v>
      </c>
      <c r="AS31" s="21" t="e">
        <f>(J31+#REF!)/($J$31+#REF!)</f>
        <v>#REF!</v>
      </c>
      <c r="AT31" s="14" t="e">
        <f>SUM(AT10:AT30)</f>
        <v>#REF!</v>
      </c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72"/>
      <c r="BF31" s="46"/>
      <c r="BG31" s="46"/>
      <c r="BH31" s="46"/>
      <c r="BI31" s="46"/>
      <c r="BJ31" s="65"/>
      <c r="BK31" s="226">
        <f>SUM(BK10:BK30)</f>
        <v>1.0000000000000002</v>
      </c>
      <c r="BL31" s="226">
        <f t="shared" ref="BL31:BQ31" si="26">SUM(BL10:BL30)</f>
        <v>1</v>
      </c>
      <c r="BM31" s="226">
        <f t="shared" si="26"/>
        <v>0.99999999999999989</v>
      </c>
      <c r="BN31" s="131">
        <f t="shared" si="26"/>
        <v>0.99999987635502507</v>
      </c>
      <c r="BO31" s="226">
        <f t="shared" si="26"/>
        <v>1</v>
      </c>
      <c r="BP31" s="226">
        <f t="shared" si="26"/>
        <v>1</v>
      </c>
      <c r="BQ31" s="226">
        <f t="shared" si="26"/>
        <v>1</v>
      </c>
      <c r="BR31" s="225">
        <f>SUM(BR10:BR30)</f>
        <v>1</v>
      </c>
      <c r="BS31" s="85"/>
      <c r="BT31" s="85"/>
      <c r="BU31" s="85"/>
      <c r="BV31" s="85"/>
      <c r="BW31" s="86">
        <f t="shared" ref="BW31:CC31" si="27">SUM(BW10:BW30)</f>
        <v>999370.30937098991</v>
      </c>
      <c r="BX31" s="86">
        <f t="shared" si="27"/>
        <v>147733.00225484199</v>
      </c>
      <c r="BY31" s="86">
        <f t="shared" si="27"/>
        <v>112972.295841938</v>
      </c>
      <c r="BZ31" s="86">
        <f t="shared" si="27"/>
        <v>0</v>
      </c>
      <c r="CA31" s="86">
        <f t="shared" si="27"/>
        <v>78211.589429033964</v>
      </c>
      <c r="CB31" s="86">
        <f t="shared" si="27"/>
        <v>225944.59168387597</v>
      </c>
      <c r="CC31" s="86">
        <f t="shared" si="27"/>
        <v>139042.82565161597</v>
      </c>
      <c r="CD31" s="203">
        <f>SUM(CD10:CD30)</f>
        <v>34760.706412903994</v>
      </c>
      <c r="CE31" s="84">
        <f>SUM(CE10:CE30)</f>
        <v>1738035.3206451996</v>
      </c>
      <c r="CG31" s="16">
        <f>SUM(CG10:CG30)</f>
        <v>0</v>
      </c>
      <c r="CH31" s="17" t="e">
        <f>SUM(CH10:CH30)</f>
        <v>#REF!</v>
      </c>
      <c r="CI31" s="17"/>
      <c r="CJ31" s="17"/>
      <c r="CK31" s="17" t="e">
        <f>SUM(CK10:CK30)</f>
        <v>#REF!</v>
      </c>
      <c r="CL31" s="41" t="e">
        <f>SUM(CL10:CL30)</f>
        <v>#REF!</v>
      </c>
      <c r="CM31" s="18" t="e">
        <f>SUM(CM9:CM30)</f>
        <v>#REF!</v>
      </c>
      <c r="CQ31" s="93"/>
      <c r="CR31" s="97">
        <f t="shared" ref="CR31:CU31" si="28">SUM(CR10:CR30)</f>
        <v>81417.679354800377</v>
      </c>
      <c r="CS31" s="97">
        <f t="shared" si="28"/>
        <v>18000</v>
      </c>
      <c r="CT31" s="97">
        <f t="shared" si="28"/>
        <v>753900</v>
      </c>
      <c r="CU31" s="97">
        <f t="shared" si="28"/>
        <v>1738035.3206451996</v>
      </c>
      <c r="CV31" s="97"/>
      <c r="CW31" s="125">
        <f>SUM(CW10:CW30)</f>
        <v>2591354.0000000005</v>
      </c>
      <c r="CX31" s="126">
        <f t="shared" si="18"/>
        <v>1</v>
      </c>
      <c r="CY31" s="127"/>
      <c r="CZ31" s="97"/>
      <c r="DA31" s="97">
        <f>SUM(DA10:DA30)</f>
        <v>103654.16</v>
      </c>
      <c r="DB31" s="177"/>
      <c r="DE31" s="197"/>
      <c r="DF31" s="198"/>
      <c r="DG31" s="199"/>
      <c r="DH31" s="167"/>
      <c r="DI31" s="5"/>
      <c r="DR31" s="152"/>
      <c r="DS31" s="112"/>
      <c r="DT31" s="112"/>
      <c r="DU31" s="113"/>
      <c r="DV31" s="98"/>
      <c r="DW31" s="48"/>
      <c r="DX31" s="5"/>
      <c r="DY31" s="5"/>
      <c r="DZ31" s="5"/>
      <c r="EA31" s="5"/>
      <c r="EB31" s="42"/>
      <c r="EC31" s="5"/>
      <c r="ED31" s="42"/>
      <c r="EE31" s="5"/>
      <c r="EF31" s="5"/>
      <c r="EG31" s="5"/>
      <c r="EH31" s="5"/>
      <c r="EJ31" s="5"/>
      <c r="EK31" s="42"/>
      <c r="EO31" s="42"/>
      <c r="EP31" s="42"/>
      <c r="EQ31" s="42"/>
      <c r="EU31" s="42"/>
      <c r="EV31" s="5"/>
      <c r="EX31" s="144"/>
    </row>
    <row r="32" spans="1:154" ht="16.5" thickBot="1" x14ac:dyDescent="0.3">
      <c r="J32" s="5"/>
      <c r="K32" s="6"/>
      <c r="L32" s="24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232">
        <f>SUM(L32:AO32)</f>
        <v>0</v>
      </c>
      <c r="AS32" s="20"/>
      <c r="AT32" s="13"/>
      <c r="BE32" s="64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7"/>
      <c r="CQ32" s="114"/>
      <c r="CR32" s="115"/>
      <c r="CS32" s="115"/>
      <c r="CT32" s="115"/>
      <c r="CU32" s="115"/>
      <c r="CV32" s="115"/>
      <c r="CW32" s="115"/>
      <c r="CX32" s="115"/>
      <c r="CY32" s="115"/>
      <c r="CZ32" s="116"/>
      <c r="DA32" s="116"/>
      <c r="DB32" s="178"/>
      <c r="DE32" s="192"/>
      <c r="DF32" s="193"/>
      <c r="DG32" s="193"/>
      <c r="DI32" s="5"/>
      <c r="DR32" s="5"/>
      <c r="DS32" s="97"/>
      <c r="DT32" s="96"/>
      <c r="DU32" s="106"/>
      <c r="DV32" s="106"/>
      <c r="DW32" s="4"/>
      <c r="DX32" s="4"/>
      <c r="DY32" s="4"/>
      <c r="DZ32" s="4"/>
      <c r="EA32" s="4"/>
      <c r="EB32" s="4"/>
      <c r="EC32" s="4"/>
      <c r="ED32" s="4"/>
      <c r="EO32" s="42"/>
      <c r="EU32" s="42"/>
      <c r="EV32" s="5"/>
    </row>
    <row r="33" spans="8:153" ht="16.5" thickBot="1" x14ac:dyDescent="0.3">
      <c r="H33" s="3" t="s">
        <v>44</v>
      </c>
      <c r="J33" s="5"/>
      <c r="K33" s="5"/>
      <c r="L33" s="248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232">
        <f>SUM(L33:AP33)</f>
        <v>0</v>
      </c>
      <c r="AR33" s="5"/>
      <c r="AS33" s="20"/>
      <c r="AT33" s="13"/>
      <c r="BE33" s="87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9"/>
      <c r="DE33" s="192"/>
      <c r="DF33" s="193"/>
      <c r="DG33" s="193"/>
      <c r="EO33" s="42"/>
      <c r="EQ33" s="42"/>
      <c r="EU33" s="42"/>
      <c r="EV33" s="5"/>
    </row>
    <row r="34" spans="8:153" x14ac:dyDescent="0.25">
      <c r="H34" s="3" t="s">
        <v>45</v>
      </c>
      <c r="J34" s="5"/>
      <c r="K34" s="5"/>
      <c r="L34" s="248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232">
        <f>SUM(L34:AO34)</f>
        <v>0</v>
      </c>
      <c r="AS34" s="20"/>
      <c r="AT34" s="13"/>
      <c r="CQ34" s="3" t="s">
        <v>119</v>
      </c>
      <c r="CW34" s="3">
        <f>-C5</f>
        <v>3895</v>
      </c>
      <c r="DE34" s="192"/>
      <c r="DF34" s="193"/>
      <c r="DG34" s="199"/>
      <c r="EO34" s="42"/>
      <c r="EQ34" s="42"/>
      <c r="EU34" s="42"/>
      <c r="EV34" s="5"/>
    </row>
    <row r="35" spans="8:153" x14ac:dyDescent="0.25">
      <c r="H35" s="3" t="s">
        <v>46</v>
      </c>
      <c r="J35" s="5"/>
      <c r="K35" s="5"/>
      <c r="L35" s="248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60"/>
      <c r="AN35" s="57"/>
      <c r="AO35" s="57"/>
      <c r="AP35" s="57"/>
      <c r="AQ35" s="232">
        <f>SUM(L35:AO35)</f>
        <v>0</v>
      </c>
      <c r="AS35" s="20"/>
      <c r="AT35" s="13"/>
      <c r="BJ35" s="34"/>
      <c r="BK35" s="170" t="s">
        <v>56</v>
      </c>
      <c r="BL35" s="170"/>
      <c r="BM35" s="170"/>
      <c r="BN35" s="34"/>
      <c r="BO35" s="171">
        <f>C16</f>
        <v>1738035.3206451996</v>
      </c>
      <c r="BP35" s="34"/>
      <c r="BQ35" s="34"/>
      <c r="BR35" s="34"/>
      <c r="BS35" s="34"/>
      <c r="BT35" s="34"/>
      <c r="BU35" s="34"/>
      <c r="BV35" s="34"/>
      <c r="BW35" s="34"/>
      <c r="CQ35" s="3" t="s">
        <v>158</v>
      </c>
      <c r="CU35" s="34"/>
      <c r="CW35" s="42"/>
      <c r="DE35" s="192"/>
      <c r="DF35" s="193"/>
      <c r="DG35" s="193"/>
      <c r="EO35" s="42"/>
      <c r="EQ35" s="42"/>
      <c r="EU35" s="42"/>
      <c r="EV35" s="5"/>
    </row>
    <row r="36" spans="8:153" ht="16.5" thickBot="1" x14ac:dyDescent="0.3">
      <c r="J36" s="5"/>
      <c r="K36" s="5"/>
      <c r="L36" s="248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232">
        <f>SUM(L36:AC36)</f>
        <v>0</v>
      </c>
      <c r="AS36" s="20"/>
      <c r="AT36" s="13"/>
      <c r="BK36" s="2" t="s">
        <v>57</v>
      </c>
      <c r="BL36" s="2"/>
      <c r="BM36" s="24" t="s">
        <v>58</v>
      </c>
      <c r="BO36" s="23"/>
      <c r="BP36" s="33"/>
      <c r="BQ36" s="33"/>
      <c r="BR36" s="233"/>
      <c r="BS36" s="233"/>
      <c r="CQ36" s="3" t="s">
        <v>184</v>
      </c>
      <c r="CU36" s="34"/>
      <c r="CW36" s="42">
        <v>-1</v>
      </c>
      <c r="DE36" s="192"/>
      <c r="DF36" s="193"/>
      <c r="DG36" s="192"/>
      <c r="EO36" s="42"/>
      <c r="EQ36" s="42"/>
      <c r="EU36" s="42"/>
      <c r="EV36" s="5"/>
    </row>
    <row r="37" spans="8:153" s="34" customFormat="1" ht="16.5" thickBot="1" x14ac:dyDescent="0.3">
      <c r="H37" s="34" t="s">
        <v>54</v>
      </c>
      <c r="J37" s="138"/>
      <c r="K37" s="138"/>
      <c r="L37" s="250">
        <f t="shared" ref="L37:W37" si="29">SUM(L31:L35)</f>
        <v>14022.493591682425</v>
      </c>
      <c r="M37" s="161">
        <f t="shared" si="29"/>
        <v>909.11732418236966</v>
      </c>
      <c r="N37" s="161">
        <f t="shared" si="29"/>
        <v>0</v>
      </c>
      <c r="O37" s="161">
        <f t="shared" si="29"/>
        <v>115.18773832871362</v>
      </c>
      <c r="P37" s="161">
        <f t="shared" si="29"/>
        <v>1172.8415516629666</v>
      </c>
      <c r="Q37" s="161">
        <f t="shared" si="29"/>
        <v>85</v>
      </c>
      <c r="R37" s="161">
        <f t="shared" si="29"/>
        <v>680.02213875194127</v>
      </c>
      <c r="S37" s="161">
        <f t="shared" si="29"/>
        <v>12377.869669182503</v>
      </c>
      <c r="T37" s="161">
        <f t="shared" si="29"/>
        <v>371.3360900754754</v>
      </c>
      <c r="U37" s="161">
        <f t="shared" si="29"/>
        <v>-1930.3436210295858</v>
      </c>
      <c r="V37" s="161">
        <f t="shared" si="29"/>
        <v>0</v>
      </c>
      <c r="W37" s="161">
        <f t="shared" si="29"/>
        <v>0</v>
      </c>
      <c r="X37" s="161">
        <f t="shared" ref="X37:AD37" si="30">SUM(X31:X35)</f>
        <v>-1720</v>
      </c>
      <c r="Y37" s="161">
        <f t="shared" si="30"/>
        <v>-1150</v>
      </c>
      <c r="Z37" s="161">
        <f t="shared" si="30"/>
        <v>9349.2366484123959</v>
      </c>
      <c r="AA37" s="161">
        <f t="shared" si="30"/>
        <v>-29999.999999999975</v>
      </c>
      <c r="AB37" s="161">
        <f t="shared" si="30"/>
        <v>30000</v>
      </c>
      <c r="AC37" s="161">
        <f t="shared" si="30"/>
        <v>7262.9983636953966</v>
      </c>
      <c r="AD37" s="161">
        <f t="shared" si="30"/>
        <v>954.40400853785889</v>
      </c>
      <c r="AE37" s="161">
        <f t="shared" ref="AE37:AO37" si="31">SUM(AE31:AE36)</f>
        <v>-2.8421709430404007E-13</v>
      </c>
      <c r="AF37" s="161"/>
      <c r="AG37" s="161">
        <f t="shared" si="31"/>
        <v>3000</v>
      </c>
      <c r="AH37" s="161">
        <f t="shared" si="31"/>
        <v>0</v>
      </c>
      <c r="AI37" s="161">
        <f t="shared" si="31"/>
        <v>5309.2093301866935</v>
      </c>
      <c r="AJ37" s="161">
        <f t="shared" si="31"/>
        <v>5000</v>
      </c>
      <c r="AK37" s="161">
        <f t="shared" si="31"/>
        <v>15837.355066680002</v>
      </c>
      <c r="AL37" s="161">
        <f>SUM(AL31:AL36)</f>
        <v>0</v>
      </c>
      <c r="AM37" s="161">
        <f>SUM(AM31:AM36)</f>
        <v>0</v>
      </c>
      <c r="AN37" s="161">
        <f t="shared" si="31"/>
        <v>8024.2599004512012</v>
      </c>
      <c r="AO37" s="161">
        <f t="shared" si="31"/>
        <v>1746.6915540000002</v>
      </c>
      <c r="AP37" s="161"/>
      <c r="AQ37" s="191">
        <f>SUM(AQ31:AQ35)</f>
        <v>81417.679354800377</v>
      </c>
      <c r="AS37" s="168"/>
      <c r="AT37" s="169"/>
      <c r="BJ37" s="3">
        <v>1</v>
      </c>
      <c r="BK37" s="2" t="s">
        <v>59</v>
      </c>
      <c r="BL37" s="2"/>
      <c r="BM37" s="140">
        <v>0.57499999999999996</v>
      </c>
      <c r="BN37" s="3"/>
      <c r="BO37" s="23">
        <f>BM37*$BO$35</f>
        <v>999370.30937098968</v>
      </c>
      <c r="BP37" s="28"/>
      <c r="BQ37" s="28"/>
      <c r="BR37" s="29"/>
      <c r="BS37" s="234"/>
      <c r="BT37" s="3"/>
      <c r="BU37" s="3"/>
      <c r="BV37" s="3"/>
      <c r="BW37" s="3"/>
      <c r="CG37" s="8"/>
      <c r="CH37" s="8"/>
      <c r="CI37" s="8"/>
      <c r="CJ37" s="8"/>
      <c r="CK37" s="8"/>
      <c r="CL37" s="172"/>
      <c r="CM37" s="8"/>
      <c r="CQ37" s="3" t="s">
        <v>0</v>
      </c>
      <c r="CR37" s="3"/>
      <c r="CS37" s="3"/>
      <c r="CT37" s="3"/>
      <c r="CV37" s="3"/>
      <c r="CW37" s="42">
        <f>SUM(CW31+CW34+CW35+CW36)</f>
        <v>2595248.0000000005</v>
      </c>
      <c r="CZ37" s="154"/>
      <c r="DA37" s="154"/>
      <c r="DB37" s="154"/>
      <c r="DC37" s="138"/>
      <c r="DD37" s="138"/>
      <c r="DE37" s="179"/>
      <c r="DF37" s="160"/>
      <c r="DG37" s="160"/>
      <c r="DH37" s="160"/>
      <c r="DI37" s="154"/>
      <c r="DJ37" s="138"/>
      <c r="DK37" s="154"/>
      <c r="DL37" s="154"/>
      <c r="DM37" s="154"/>
      <c r="DN37" s="154"/>
      <c r="DO37" s="154"/>
      <c r="DP37" s="154"/>
      <c r="DQ37" s="154"/>
      <c r="DR37" s="154"/>
      <c r="DS37" s="138"/>
      <c r="DT37" s="154"/>
      <c r="DU37" s="8"/>
      <c r="EE37" s="8"/>
      <c r="EF37" s="8"/>
      <c r="EG37" s="8"/>
      <c r="EH37" s="8"/>
      <c r="EI37" s="8"/>
      <c r="EJ37" s="8"/>
      <c r="EO37" s="154"/>
      <c r="EQ37" s="154"/>
      <c r="ES37" s="8"/>
      <c r="ET37" s="8"/>
      <c r="EU37" s="154"/>
      <c r="EV37" s="138"/>
      <c r="EW37" s="154"/>
    </row>
    <row r="38" spans="8:153" x14ac:dyDescent="0.25">
      <c r="X38" s="223"/>
      <c r="Y38" s="223" t="s">
        <v>140</v>
      </c>
      <c r="BK38" s="2"/>
      <c r="BL38" s="2"/>
      <c r="BM38" s="142"/>
      <c r="BO38" s="23"/>
      <c r="BP38" s="28"/>
      <c r="BQ38" s="28"/>
      <c r="BR38" s="29"/>
      <c r="BS38" s="234"/>
    </row>
    <row r="39" spans="8:153" x14ac:dyDescent="0.25">
      <c r="X39" s="223"/>
      <c r="Y39" s="223" t="s">
        <v>136</v>
      </c>
      <c r="BJ39" s="3">
        <v>2</v>
      </c>
      <c r="BK39" s="2" t="s">
        <v>60</v>
      </c>
      <c r="BL39" s="2"/>
      <c r="BM39" s="142">
        <v>8.5000000000000006E-2</v>
      </c>
      <c r="BO39" s="23">
        <f t="shared" ref="BO39:BO45" si="32">BM39*$BO$35</f>
        <v>147733.00225484197</v>
      </c>
      <c r="BP39" s="30"/>
      <c r="BQ39" s="30"/>
      <c r="BR39" s="29"/>
      <c r="BS39" s="234"/>
      <c r="BT39" s="33"/>
      <c r="BU39" s="33"/>
      <c r="BV39" s="33"/>
    </row>
    <row r="40" spans="8:153" ht="15" customHeight="1" x14ac:dyDescent="0.25">
      <c r="X40" s="223"/>
      <c r="Y40" s="223" t="s">
        <v>137</v>
      </c>
      <c r="BJ40" s="3">
        <v>3</v>
      </c>
      <c r="BK40" s="2" t="s">
        <v>61</v>
      </c>
      <c r="BL40" s="2"/>
      <c r="BM40" s="141">
        <v>6.5000000000000002E-2</v>
      </c>
      <c r="BO40" s="23">
        <f t="shared" si="32"/>
        <v>112972.29584193799</v>
      </c>
      <c r="BP40" s="28"/>
      <c r="BQ40" s="28"/>
      <c r="BR40" s="29"/>
      <c r="BS40" s="234"/>
      <c r="BT40" s="28"/>
      <c r="BU40" s="28"/>
      <c r="BV40" s="28"/>
    </row>
    <row r="41" spans="8:153" ht="1.5" hidden="1" customHeight="1" x14ac:dyDescent="0.25">
      <c r="BK41" s="2" t="s">
        <v>62</v>
      </c>
      <c r="BL41" s="2"/>
      <c r="BM41" s="142">
        <v>0</v>
      </c>
      <c r="BO41" s="23">
        <f t="shared" si="32"/>
        <v>0</v>
      </c>
      <c r="BP41" s="30"/>
      <c r="BQ41" s="30"/>
      <c r="BR41" s="31"/>
      <c r="BS41" s="235"/>
      <c r="BT41" s="28"/>
      <c r="BU41" s="28"/>
      <c r="BV41" s="28"/>
    </row>
    <row r="42" spans="8:153" x14ac:dyDescent="0.25">
      <c r="BJ42" s="3">
        <v>4</v>
      </c>
      <c r="BK42" s="2" t="s">
        <v>63</v>
      </c>
      <c r="BL42" s="2"/>
      <c r="BM42" s="142">
        <v>4.4999999999999998E-2</v>
      </c>
      <c r="BO42" s="23">
        <f t="shared" si="32"/>
        <v>78211.589429033978</v>
      </c>
      <c r="BP42" s="28"/>
      <c r="BQ42" s="30"/>
      <c r="BR42" s="31"/>
      <c r="BS42" s="236"/>
      <c r="BT42" s="30"/>
      <c r="BU42" s="30"/>
      <c r="BV42" s="30"/>
    </row>
    <row r="43" spans="8:153" x14ac:dyDescent="0.25">
      <c r="BJ43" s="3">
        <v>5</v>
      </c>
      <c r="BK43" s="2" t="s">
        <v>64</v>
      </c>
      <c r="BL43" s="2"/>
      <c r="BM43" s="25">
        <v>0.13</v>
      </c>
      <c r="BO43" s="23">
        <f t="shared" si="32"/>
        <v>225944.59168387597</v>
      </c>
      <c r="BP43" s="28"/>
      <c r="BQ43" s="30"/>
      <c r="BR43" s="31"/>
      <c r="BS43" s="236"/>
      <c r="BT43" s="28"/>
      <c r="BU43" s="28"/>
      <c r="BV43" s="28"/>
    </row>
    <row r="44" spans="8:153" x14ac:dyDescent="0.25">
      <c r="BJ44" s="3">
        <v>6</v>
      </c>
      <c r="BK44" s="2" t="s">
        <v>131</v>
      </c>
      <c r="BL44" s="2"/>
      <c r="BM44" s="25">
        <v>0.08</v>
      </c>
      <c r="BO44" s="23">
        <f t="shared" si="32"/>
        <v>139042.82565161597</v>
      </c>
      <c r="BP44" s="30"/>
      <c r="BQ44" s="30"/>
      <c r="BR44" s="29"/>
      <c r="BS44" s="234"/>
      <c r="BT44" s="30"/>
      <c r="BU44" s="30"/>
      <c r="BV44" s="30"/>
    </row>
    <row r="45" spans="8:153" ht="12.75" customHeight="1" x14ac:dyDescent="0.25">
      <c r="AN45" s="5"/>
      <c r="BJ45" s="3">
        <v>7</v>
      </c>
      <c r="BK45" s="26" t="s">
        <v>132</v>
      </c>
      <c r="BL45" s="26"/>
      <c r="BM45" s="204">
        <v>0.02</v>
      </c>
      <c r="BO45" s="23">
        <f t="shared" si="32"/>
        <v>34760.706412903994</v>
      </c>
      <c r="BT45" s="30"/>
      <c r="BU45" s="30"/>
      <c r="BV45" s="30"/>
    </row>
    <row r="46" spans="8:153" ht="12.75" customHeight="1" thickBot="1" x14ac:dyDescent="0.3">
      <c r="BK46" s="26"/>
      <c r="BL46" s="26"/>
      <c r="BM46" s="205">
        <f>SUM(BM37:BM45)</f>
        <v>0.99999999999999989</v>
      </c>
      <c r="BO46" s="27">
        <f>SUM(BO37:BO45)</f>
        <v>1738035.3206451996</v>
      </c>
      <c r="BR46" s="42"/>
      <c r="BT46" s="30"/>
      <c r="BU46" s="30"/>
      <c r="BV46" s="30"/>
    </row>
    <row r="47" spans="8:153" ht="14.25" customHeight="1" x14ac:dyDescent="0.25">
      <c r="BT47" s="30"/>
      <c r="BU47" s="30"/>
      <c r="BV47" s="30"/>
    </row>
    <row r="48" spans="8:153" ht="10.5" customHeight="1" x14ac:dyDescent="0.25">
      <c r="BJ48" s="51" t="s">
        <v>112</v>
      </c>
      <c r="BM48" s="132">
        <f>BM37+BM39+BM40</f>
        <v>0.72499999999999987</v>
      </c>
      <c r="BT48" s="30"/>
      <c r="BU48" s="30"/>
      <c r="BV48" s="30"/>
    </row>
    <row r="49" spans="62:65" x14ac:dyDescent="0.25">
      <c r="BJ49" s="206" t="s">
        <v>133</v>
      </c>
      <c r="BM49" s="132">
        <f>BM42+BM43+BM44+BM45</f>
        <v>0.27500000000000002</v>
      </c>
    </row>
    <row r="50" spans="62:65" ht="12" customHeight="1" x14ac:dyDescent="0.25"/>
  </sheetData>
  <phoneticPr fontId="2" type="noConversion"/>
  <hyperlinks>
    <hyperlink ref="BL3" r:id="rId1"/>
  </hyperlinks>
  <pageMargins left="0.19685039370078741" right="0.19685039370078741" top="0.39370078740157483" bottom="0.39370078740157483" header="0.43307086614173229" footer="0.51181102362204722"/>
  <pageSetup paperSize="9" scale="73" orientation="landscape" r:id="rId2"/>
  <headerFooter alignWithMargins="0">
    <oddHeader xml:space="preserve">&amp;RBilaga 3 till regeringsbeslut 2015-12-10 nr III 5   </oddHeader>
  </headerFooter>
  <colBreaks count="4" manualBreakCount="4">
    <brk id="6" max="1048575" man="1"/>
    <brk id="11" max="1048575" man="1"/>
    <brk id="54" max="48" man="1"/>
    <brk id="93" max="48" man="1"/>
  </colBreaks>
  <ignoredErrors>
    <ignoredError sqref="AL31:AO31" formulaRange="1"/>
    <ignoredError sqref="AQ31 AQ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tabSelected="1" workbookViewId="0">
      <selection activeCell="L32" sqref="L32"/>
    </sheetView>
  </sheetViews>
  <sheetFormatPr defaultRowHeight="12.75" x14ac:dyDescent="0.2"/>
  <cols>
    <col min="6" max="6" width="10.85546875" style="45" bestFit="1" customWidth="1"/>
    <col min="8" max="8" width="9.140625" style="1"/>
  </cols>
  <sheetData>
    <row r="1" spans="2:9" ht="13.5" thickBot="1" x14ac:dyDescent="0.25"/>
    <row r="2" spans="2:9" x14ac:dyDescent="0.2">
      <c r="B2" s="207"/>
      <c r="C2" s="208"/>
      <c r="D2" s="208"/>
      <c r="E2" s="208"/>
      <c r="F2" s="209"/>
      <c r="G2" s="208"/>
      <c r="H2" s="210"/>
      <c r="I2" s="211"/>
    </row>
    <row r="3" spans="2:9" x14ac:dyDescent="0.2">
      <c r="B3" s="212"/>
      <c r="C3" s="53"/>
      <c r="D3" s="53"/>
      <c r="E3" s="53"/>
      <c r="F3" s="213" t="s">
        <v>75</v>
      </c>
      <c r="G3" s="53"/>
      <c r="H3" s="214">
        <v>30000</v>
      </c>
      <c r="I3" s="215"/>
    </row>
    <row r="4" spans="2:9" x14ac:dyDescent="0.2">
      <c r="B4" s="212"/>
      <c r="C4" s="53"/>
      <c r="D4" s="53"/>
      <c r="E4" s="53"/>
      <c r="F4" s="213" t="s">
        <v>130</v>
      </c>
      <c r="G4" s="53"/>
      <c r="H4" s="214"/>
      <c r="I4" s="215"/>
    </row>
    <row r="5" spans="2:9" x14ac:dyDescent="0.2">
      <c r="B5" s="212"/>
      <c r="C5" s="3" t="s">
        <v>12</v>
      </c>
      <c r="D5" s="3" t="s">
        <v>8</v>
      </c>
      <c r="E5" s="53"/>
      <c r="F5" s="216">
        <f>'RB 2016'!CE10</f>
        <v>255457.83416958796</v>
      </c>
      <c r="G5" s="217">
        <f>F5/$F$32</f>
        <v>0.14698080708437847</v>
      </c>
      <c r="H5" s="214">
        <f>G5*$H$3</f>
        <v>4409.424212531354</v>
      </c>
      <c r="I5" s="231"/>
    </row>
    <row r="6" spans="2:9" x14ac:dyDescent="0.2">
      <c r="B6" s="212"/>
      <c r="C6" s="3" t="s">
        <v>13</v>
      </c>
      <c r="D6" s="3" t="s">
        <v>2</v>
      </c>
      <c r="E6" s="53"/>
      <c r="F6" s="216">
        <f>'RB 2016'!CE11</f>
        <v>53748.093532066508</v>
      </c>
      <c r="G6" s="217">
        <f t="shared" ref="G6:G32" si="0">F6/$F$32</f>
        <v>3.0924626728594879E-2</v>
      </c>
      <c r="H6" s="214">
        <f t="shared" ref="H6:H25" si="1">G6*$H$3</f>
        <v>927.7388018578464</v>
      </c>
      <c r="I6" s="231"/>
    </row>
    <row r="7" spans="2:9" x14ac:dyDescent="0.2">
      <c r="B7" s="212"/>
      <c r="C7" s="3" t="s">
        <v>14</v>
      </c>
      <c r="D7" s="3" t="s">
        <v>15</v>
      </c>
      <c r="E7" s="53"/>
      <c r="F7" s="216">
        <f>'RB 2016'!CE12</f>
        <v>46936.094411285601</v>
      </c>
      <c r="G7" s="217">
        <f t="shared" si="0"/>
        <v>2.7005259245169895E-2</v>
      </c>
      <c r="H7" s="214">
        <f t="shared" si="1"/>
        <v>810.15777735509687</v>
      </c>
      <c r="I7" s="231"/>
    </row>
    <row r="8" spans="2:9" x14ac:dyDescent="0.2">
      <c r="B8" s="212"/>
      <c r="C8" s="3" t="s">
        <v>16</v>
      </c>
      <c r="D8" s="3" t="s">
        <v>17</v>
      </c>
      <c r="E8" s="53"/>
      <c r="F8" s="216">
        <f>'RB 2016'!CE13</f>
        <v>78721.460930121495</v>
      </c>
      <c r="G8" s="217">
        <f t="shared" si="0"/>
        <v>4.5293360839696997E-2</v>
      </c>
      <c r="H8" s="214">
        <f t="shared" si="1"/>
        <v>1358.80082519091</v>
      </c>
      <c r="I8" s="231"/>
    </row>
    <row r="9" spans="2:9" x14ac:dyDescent="0.2">
      <c r="B9" s="212"/>
      <c r="C9" s="3" t="s">
        <v>18</v>
      </c>
      <c r="D9" s="3" t="s">
        <v>19</v>
      </c>
      <c r="E9" s="53"/>
      <c r="F9" s="216">
        <f>'RB 2016'!CE14</f>
        <v>70505.205264091521</v>
      </c>
      <c r="G9" s="217">
        <f t="shared" si="0"/>
        <v>4.0566037080258147E-2</v>
      </c>
      <c r="H9" s="214">
        <f t="shared" si="1"/>
        <v>1216.9811124077444</v>
      </c>
      <c r="I9" s="231"/>
    </row>
    <row r="10" spans="2:9" x14ac:dyDescent="0.2">
      <c r="B10" s="212"/>
      <c r="C10" s="3" t="s">
        <v>20</v>
      </c>
      <c r="D10" s="3" t="s">
        <v>1</v>
      </c>
      <c r="E10" s="53"/>
      <c r="F10" s="216">
        <f>'RB 2016'!CE15</f>
        <v>40270.084386829614</v>
      </c>
      <c r="G10" s="217">
        <f t="shared" si="0"/>
        <v>2.3169888384017658E-2</v>
      </c>
      <c r="H10" s="214">
        <f t="shared" si="1"/>
        <v>695.09665152052969</v>
      </c>
      <c r="I10" s="231"/>
    </row>
    <row r="11" spans="2:9" x14ac:dyDescent="0.2">
      <c r="B11" s="212"/>
      <c r="C11" s="3" t="s">
        <v>21</v>
      </c>
      <c r="D11" s="3" t="s">
        <v>3</v>
      </c>
      <c r="E11" s="53"/>
      <c r="F11" s="216">
        <f>'RB 2016'!CE16</f>
        <v>55883.293501380365</v>
      </c>
      <c r="G11" s="217">
        <f t="shared" si="0"/>
        <v>3.2153140294430366E-2</v>
      </c>
      <c r="H11" s="214">
        <f t="shared" si="1"/>
        <v>964.59420883291102</v>
      </c>
      <c r="I11" s="231"/>
    </row>
    <row r="12" spans="2:9" x14ac:dyDescent="0.2">
      <c r="B12" s="212"/>
      <c r="C12" s="3" t="s">
        <v>22</v>
      </c>
      <c r="D12" s="3" t="s">
        <v>7</v>
      </c>
      <c r="E12" s="53"/>
      <c r="F12" s="216">
        <f>'RB 2016'!CE17</f>
        <v>15632.53265044346</v>
      </c>
      <c r="G12" s="217">
        <f t="shared" si="0"/>
        <v>8.9943699444728752E-3</v>
      </c>
      <c r="H12" s="214">
        <f t="shared" si="1"/>
        <v>269.83109833418627</v>
      </c>
      <c r="I12" s="231"/>
    </row>
    <row r="13" spans="2:9" x14ac:dyDescent="0.2">
      <c r="B13" s="212"/>
      <c r="C13" s="3" t="s">
        <v>23</v>
      </c>
      <c r="D13" s="3" t="s">
        <v>4</v>
      </c>
      <c r="E13" s="53"/>
      <c r="F13" s="216">
        <f>'RB 2016'!CE18</f>
        <v>30375.424699411618</v>
      </c>
      <c r="G13" s="217">
        <f t="shared" si="0"/>
        <v>1.7476874226086236E-2</v>
      </c>
      <c r="H13" s="214">
        <f t="shared" si="1"/>
        <v>524.30622678258715</v>
      </c>
      <c r="I13" s="231"/>
    </row>
    <row r="14" spans="2:9" x14ac:dyDescent="0.2">
      <c r="B14" s="212"/>
      <c r="C14" s="3" t="s">
        <v>24</v>
      </c>
      <c r="D14" s="3" t="s">
        <v>5</v>
      </c>
      <c r="E14" s="53"/>
      <c r="F14" s="216">
        <f>'RB 2016'!CE19</f>
        <v>196164.67601888409</v>
      </c>
      <c r="G14" s="217">
        <f t="shared" si="0"/>
        <v>0.11286575922177643</v>
      </c>
      <c r="H14" s="214">
        <f t="shared" si="1"/>
        <v>3385.9727766532928</v>
      </c>
      <c r="I14" s="231"/>
    </row>
    <row r="15" spans="2:9" x14ac:dyDescent="0.2">
      <c r="B15" s="212"/>
      <c r="C15" s="3" t="s">
        <v>25</v>
      </c>
      <c r="D15" s="3" t="s">
        <v>26</v>
      </c>
      <c r="E15" s="53"/>
      <c r="F15" s="216">
        <f>'RB 2016'!CE20</f>
        <v>52914.575499623505</v>
      </c>
      <c r="G15" s="217">
        <f t="shared" si="0"/>
        <v>3.0445051876149657E-2</v>
      </c>
      <c r="H15" s="214">
        <f t="shared" si="1"/>
        <v>913.35155628448967</v>
      </c>
      <c r="I15" s="231"/>
    </row>
    <row r="16" spans="2:9" x14ac:dyDescent="0.2">
      <c r="B16" s="212"/>
      <c r="C16" s="3" t="s">
        <v>10</v>
      </c>
      <c r="D16" s="3" t="s">
        <v>27</v>
      </c>
      <c r="E16" s="53"/>
      <c r="F16" s="216">
        <f>'RB 2016'!CE21</f>
        <v>268588.67325076269</v>
      </c>
      <c r="G16" s="217">
        <f t="shared" si="0"/>
        <v>0.15453579686231939</v>
      </c>
      <c r="H16" s="214">
        <f t="shared" si="1"/>
        <v>4636.0739058695817</v>
      </c>
      <c r="I16" s="231"/>
    </row>
    <row r="17" spans="2:9" x14ac:dyDescent="0.2">
      <c r="B17" s="212"/>
      <c r="C17" s="3" t="s">
        <v>28</v>
      </c>
      <c r="D17" s="3" t="s">
        <v>29</v>
      </c>
      <c r="E17" s="53"/>
      <c r="F17" s="216">
        <f>'RB 2016'!CE22</f>
        <v>67352.820573876088</v>
      </c>
      <c r="G17" s="217">
        <f t="shared" si="0"/>
        <v>3.875227377362684E-2</v>
      </c>
      <c r="H17" s="214">
        <f t="shared" si="1"/>
        <v>1162.5682132088052</v>
      </c>
      <c r="I17" s="231"/>
    </row>
    <row r="18" spans="2:9" x14ac:dyDescent="0.2">
      <c r="B18" s="212"/>
      <c r="C18" s="3" t="s">
        <v>30</v>
      </c>
      <c r="D18" s="3" t="s">
        <v>31</v>
      </c>
      <c r="E18" s="53"/>
      <c r="F18" s="216">
        <f>'RB 2016'!CE23</f>
        <v>54018.616225528225</v>
      </c>
      <c r="G18" s="217">
        <f t="shared" si="0"/>
        <v>3.10802752877745E-2</v>
      </c>
      <c r="H18" s="214">
        <f t="shared" si="1"/>
        <v>932.40825863323494</v>
      </c>
      <c r="I18" s="231"/>
    </row>
    <row r="19" spans="2:9" x14ac:dyDescent="0.2">
      <c r="B19" s="212"/>
      <c r="C19" s="3" t="s">
        <v>32</v>
      </c>
      <c r="D19" s="3" t="s">
        <v>33</v>
      </c>
      <c r="E19" s="53"/>
      <c r="F19" s="216">
        <f>'RB 2016'!CE24</f>
        <v>45376.145376536006</v>
      </c>
      <c r="G19" s="217">
        <f t="shared" si="0"/>
        <v>2.6107723380265548E-2</v>
      </c>
      <c r="H19" s="214">
        <f t="shared" si="1"/>
        <v>783.2317014079664</v>
      </c>
      <c r="I19" s="231"/>
    </row>
    <row r="20" spans="2:9" x14ac:dyDescent="0.2">
      <c r="B20" s="212"/>
      <c r="C20" s="3" t="s">
        <v>34</v>
      </c>
      <c r="D20" s="3" t="s">
        <v>6</v>
      </c>
      <c r="E20" s="53"/>
      <c r="F20" s="216">
        <f>'RB 2016'!CE25</f>
        <v>64076.777716930796</v>
      </c>
      <c r="G20" s="217">
        <f t="shared" si="0"/>
        <v>3.6867362219741302E-2</v>
      </c>
      <c r="H20" s="214">
        <f t="shared" si="1"/>
        <v>1106.0208665922391</v>
      </c>
      <c r="I20" s="231"/>
    </row>
    <row r="21" spans="2:9" x14ac:dyDescent="0.2">
      <c r="B21" s="212"/>
      <c r="C21" s="3" t="s">
        <v>35</v>
      </c>
      <c r="D21" s="3" t="s">
        <v>9</v>
      </c>
      <c r="E21" s="53"/>
      <c r="F21" s="216">
        <f>'RB 2016'!CE26</f>
        <v>61127.816250350508</v>
      </c>
      <c r="G21" s="217">
        <f t="shared" si="0"/>
        <v>3.5170640966984738E-2</v>
      </c>
      <c r="H21" s="214">
        <f t="shared" si="1"/>
        <v>1055.1192290095421</v>
      </c>
      <c r="I21" s="231"/>
    </row>
    <row r="22" spans="2:9" x14ac:dyDescent="0.2">
      <c r="B22" s="212"/>
      <c r="C22" s="3" t="s">
        <v>36</v>
      </c>
      <c r="D22" s="3" t="s">
        <v>37</v>
      </c>
      <c r="E22" s="53"/>
      <c r="F22" s="216">
        <f>'RB 2016'!CE27</f>
        <v>60825.45849565712</v>
      </c>
      <c r="G22" s="217">
        <f t="shared" si="0"/>
        <v>3.4996675713746296E-2</v>
      </c>
      <c r="H22" s="214">
        <f t="shared" si="1"/>
        <v>1049.900271412389</v>
      </c>
      <c r="I22" s="231"/>
    </row>
    <row r="23" spans="2:9" x14ac:dyDescent="0.2">
      <c r="B23" s="212"/>
      <c r="C23" s="3" t="s">
        <v>38</v>
      </c>
      <c r="D23" s="3" t="s">
        <v>39</v>
      </c>
      <c r="E23" s="53"/>
      <c r="F23" s="216">
        <f>'RB 2016'!CE28</f>
        <v>52674.565746036671</v>
      </c>
      <c r="G23" s="217">
        <f t="shared" si="0"/>
        <v>3.0306959312243798E-2</v>
      </c>
      <c r="H23" s="214">
        <f t="shared" si="1"/>
        <v>909.20877936731392</v>
      </c>
      <c r="I23" s="231"/>
    </row>
    <row r="24" spans="2:9" x14ac:dyDescent="0.2">
      <c r="B24" s="212"/>
      <c r="C24" s="3" t="s">
        <v>40</v>
      </c>
      <c r="D24" s="3" t="s">
        <v>41</v>
      </c>
      <c r="E24" s="53"/>
      <c r="F24" s="216">
        <f>'RB 2016'!CE29</f>
        <v>78141.220356795311</v>
      </c>
      <c r="G24" s="217">
        <f t="shared" si="0"/>
        <v>4.4959512288730387E-2</v>
      </c>
      <c r="H24" s="214">
        <f t="shared" si="1"/>
        <v>1348.7853686619117</v>
      </c>
      <c r="I24" s="231"/>
    </row>
    <row r="25" spans="2:9" x14ac:dyDescent="0.2">
      <c r="B25" s="212"/>
      <c r="C25" s="3" t="s">
        <v>42</v>
      </c>
      <c r="D25" s="3" t="s">
        <v>43</v>
      </c>
      <c r="E25" s="53"/>
      <c r="F25" s="216">
        <f>'RB 2016'!CE30</f>
        <v>89243.951589000484</v>
      </c>
      <c r="G25" s="217">
        <f t="shared" si="0"/>
        <v>5.1347605269535621E-2</v>
      </c>
      <c r="H25" s="214">
        <f t="shared" si="1"/>
        <v>1540.4281580860686</v>
      </c>
      <c r="I25" s="231"/>
    </row>
    <row r="26" spans="2:9" x14ac:dyDescent="0.2">
      <c r="B26" s="212"/>
      <c r="C26" s="3" t="s">
        <v>55</v>
      </c>
      <c r="D26" s="3"/>
      <c r="E26" s="53"/>
      <c r="F26" s="213"/>
      <c r="G26" s="217"/>
      <c r="H26" s="214"/>
      <c r="I26" s="215"/>
    </row>
    <row r="27" spans="2:9" x14ac:dyDescent="0.2">
      <c r="B27" s="212"/>
      <c r="C27" s="3"/>
      <c r="D27" s="3"/>
      <c r="E27" s="53"/>
      <c r="F27" s="213"/>
      <c r="G27" s="217"/>
      <c r="H27" s="214"/>
      <c r="I27" s="215"/>
    </row>
    <row r="28" spans="2:9" x14ac:dyDescent="0.2">
      <c r="B28" s="212"/>
      <c r="C28" s="3" t="s">
        <v>44</v>
      </c>
      <c r="D28" s="3"/>
      <c r="E28" s="53"/>
      <c r="F28" s="213"/>
      <c r="G28" s="217"/>
      <c r="H28" s="214"/>
      <c r="I28" s="215"/>
    </row>
    <row r="29" spans="2:9" x14ac:dyDescent="0.2">
      <c r="B29" s="212"/>
      <c r="C29" s="3" t="s">
        <v>45</v>
      </c>
      <c r="D29" s="3"/>
      <c r="E29" s="53"/>
      <c r="F29" s="213"/>
      <c r="G29" s="217"/>
      <c r="H29" s="214"/>
      <c r="I29" s="215"/>
    </row>
    <row r="30" spans="2:9" x14ac:dyDescent="0.2">
      <c r="B30" s="212"/>
      <c r="C30" s="3" t="s">
        <v>46</v>
      </c>
      <c r="D30" s="3"/>
      <c r="E30" s="53"/>
      <c r="F30" s="213"/>
      <c r="G30" s="217"/>
      <c r="H30" s="214"/>
      <c r="I30" s="215"/>
    </row>
    <row r="31" spans="2:9" x14ac:dyDescent="0.2">
      <c r="B31" s="212"/>
      <c r="C31" s="3"/>
      <c r="D31" s="3"/>
      <c r="E31" s="53"/>
      <c r="F31" s="213"/>
      <c r="G31" s="217"/>
      <c r="H31" s="214"/>
      <c r="I31" s="215"/>
    </row>
    <row r="32" spans="2:9" x14ac:dyDescent="0.2">
      <c r="B32" s="212"/>
      <c r="C32" s="34" t="s">
        <v>54</v>
      </c>
      <c r="D32" s="34"/>
      <c r="E32" s="53"/>
      <c r="F32" s="216">
        <f>SUM(F5:F31)</f>
        <v>1738035.3206451996</v>
      </c>
      <c r="G32" s="217">
        <f t="shared" si="0"/>
        <v>1</v>
      </c>
      <c r="H32" s="216">
        <f>SUM(H5:H31)</f>
        <v>30000</v>
      </c>
      <c r="I32" s="215"/>
    </row>
    <row r="33" spans="2:9" x14ac:dyDescent="0.2">
      <c r="B33" s="212"/>
      <c r="C33" s="53"/>
      <c r="D33" s="53"/>
      <c r="E33" s="53"/>
      <c r="F33" s="213"/>
      <c r="G33" s="53"/>
      <c r="H33" s="214"/>
      <c r="I33" s="215"/>
    </row>
    <row r="34" spans="2:9" ht="13.5" thickBot="1" x14ac:dyDescent="0.25">
      <c r="B34" s="218"/>
      <c r="C34" s="219"/>
      <c r="D34" s="219"/>
      <c r="E34" s="219"/>
      <c r="F34" s="220"/>
      <c r="G34" s="219"/>
      <c r="H34" s="221"/>
      <c r="I34" s="222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H2RM4RCWYCXE-18-11918</_dlc_DocId>
    <_dlc_DocIdUrl xmlns="eec14d05-b663-4c4f-ba9e-f91ce218b26b">
      <Url>http://rkdhs-fi/enhet/ofa/sfo/_layouts/DocIdRedir.aspx?ID=H2RM4RCWYCXE-18-11918</Url>
      <Description>H2RM4RCWYCXE-18-11918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LongProperties xmlns="http://schemas.microsoft.com/office/2006/metadata/longProperties"/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8E70E-9F4D-467D-AB9D-2F10C52B9A1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BE7362D4-6705-4370-8921-4A890FF68B7D}">
  <ds:schemaRefs>
    <ds:schemaRef ds:uri="eec14d05-b663-4c4f-ba9e-f91ce218b26b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11ccfd7-5aa6-4696-9a47-ba798b7db76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2AB4535-CF1A-4DA3-B6ED-1F502A854A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1A0236-B0E3-4843-8D90-7CACC5C2DA8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9714A4E-368B-461D-9ADA-0E28211B854B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55472C5A-FABF-43C1-BEE5-6B15A4F1A578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FFC09BB0-5252-456E-B892-A926C1F6D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RB 2016</vt:lpstr>
      <vt:lpstr>Utvecklingsmedel</vt:lpstr>
      <vt:lpstr>'RB 2016'!Utskriftsrubriker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beräkning av anslagspost per länsstyrelse.xls</dc:title>
  <dc:subject/>
  <dc:creator>htn0420</dc:creator>
  <cp:keywords/>
  <dc:description/>
  <cp:lastModifiedBy>Sara Jendi Linder</cp:lastModifiedBy>
  <cp:lastPrinted>2014-12-15T12:44:54Z</cp:lastPrinted>
  <dcterms:created xsi:type="dcterms:W3CDTF">2007-01-26T09:50:15Z</dcterms:created>
  <dcterms:modified xsi:type="dcterms:W3CDTF">2015-12-10T10:44:34Z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 Budgetprocessen, styrning av statliga myndigheterna m.m.</vt:lpwstr>
  </property>
  <property fmtid="{D5CDD505-2E9C-101B-9397-08002B2CF9AE}" pid="4" name="QFMSP source name">
    <vt:lpwstr>Bil 7 förd modell.xls</vt:lpwstr>
  </property>
  <property fmtid="{D5CDD505-2E9C-101B-9397-08002B2CF9AE}" pid="5" name="Subject">
    <vt:lpwstr/>
  </property>
  <property fmtid="{D5CDD505-2E9C-101B-9397-08002B2CF9AE}" pid="6" name="Keywords">
    <vt:lpwstr/>
  </property>
  <property fmtid="{D5CDD505-2E9C-101B-9397-08002B2CF9AE}" pid="7" name="_Author">
    <vt:lpwstr>htn0420</vt:lpwstr>
  </property>
  <property fmtid="{D5CDD505-2E9C-101B-9397-08002B2CF9AE}" pid="8" name="_Category">
    <vt:lpwstr/>
  </property>
  <property fmtid="{D5CDD505-2E9C-101B-9397-08002B2CF9AE}" pid="9" name="Categories">
    <vt:lpwstr/>
  </property>
  <property fmtid="{D5CDD505-2E9C-101B-9397-08002B2CF9AE}" pid="10" name="Approval Level">
    <vt:lpwstr/>
  </property>
  <property fmtid="{D5CDD505-2E9C-101B-9397-08002B2CF9AE}" pid="11" name="_Comments">
    <vt:lpwstr/>
  </property>
  <property fmtid="{D5CDD505-2E9C-101B-9397-08002B2CF9AE}" pid="12" name="Assigned To">
    <vt:lpwstr/>
  </property>
  <property fmtid="{D5CDD505-2E9C-101B-9397-08002B2CF9AE}" pid="13" name="RKOrdnaDiarienummer">
    <vt:lpwstr/>
  </property>
  <property fmtid="{D5CDD505-2E9C-101B-9397-08002B2CF9AE}" pid="14" name="ContentType">
    <vt:lpwstr>Word</vt:lpwstr>
  </property>
  <property fmtid="{D5CDD505-2E9C-101B-9397-08002B2CF9AE}" pid="15" name="RKOrdnaSearchKeywords">
    <vt:lpwstr/>
  </property>
  <property fmtid="{D5CDD505-2E9C-101B-9397-08002B2CF9AE}" pid="16" name="RKOrdnaSarskildSkyddsvard">
    <vt:lpwstr>0</vt:lpwstr>
  </property>
  <property fmtid="{D5CDD505-2E9C-101B-9397-08002B2CF9AE}" pid="17" name="display_urn:schemas-microsoft-com:office:office#Editor">
    <vt:lpwstr>Mats Kryhl</vt:lpwstr>
  </property>
  <property fmtid="{D5CDD505-2E9C-101B-9397-08002B2CF9AE}" pid="18" name="xd_Signature">
    <vt:lpwstr/>
  </property>
  <property fmtid="{D5CDD505-2E9C-101B-9397-08002B2CF9AE}" pid="19" name="RKOrdnaCheckInComment">
    <vt:lpwstr/>
  </property>
  <property fmtid="{D5CDD505-2E9C-101B-9397-08002B2CF9AE}" pid="20" name="TemplateUrl">
    <vt:lpwstr/>
  </property>
  <property fmtid="{D5CDD505-2E9C-101B-9397-08002B2CF9AE}" pid="21" name="RKOrdnaClass">
    <vt:lpwstr>3</vt:lpwstr>
  </property>
  <property fmtid="{D5CDD505-2E9C-101B-9397-08002B2CF9AE}" pid="22" name="xd_ProgID">
    <vt:lpwstr/>
  </property>
  <property fmtid="{D5CDD505-2E9C-101B-9397-08002B2CF9AE}" pid="23" name="display_urn:schemas-microsoft-com:office:office#Author">
    <vt:lpwstr>Mats Kryhl</vt:lpwstr>
  </property>
  <property fmtid="{D5CDD505-2E9C-101B-9397-08002B2CF9AE}" pid="24" name="Order">
    <vt:lpwstr>1489200.00000000</vt:lpwstr>
  </property>
  <property fmtid="{D5CDD505-2E9C-101B-9397-08002B2CF9AE}" pid="25" name="ContentTypeId">
    <vt:lpwstr>0x01010053E1D612BA3F4E21AA250ECD751942B3005AA2C71204BC8444B2029BED0D0183DF</vt:lpwstr>
  </property>
  <property fmtid="{D5CDD505-2E9C-101B-9397-08002B2CF9AE}" pid="26" name="_dlc_DocIdItemGuid">
    <vt:lpwstr>c7859caf-1fc9-459f-8dbf-8190a3d1b687</vt:lpwstr>
  </property>
  <property fmtid="{D5CDD505-2E9C-101B-9397-08002B2CF9AE}" pid="27" name="RKDepartementsenhet">
    <vt:lpwstr/>
  </property>
  <property fmtid="{D5CDD505-2E9C-101B-9397-08002B2CF9AE}" pid="28" name="RKAktivitetskategori">
    <vt:lpwstr/>
  </property>
  <property fmtid="{D5CDD505-2E9C-101B-9397-08002B2CF9AE}" pid="29" name="Departementsenhet">
    <vt:lpwstr/>
  </property>
  <property fmtid="{D5CDD505-2E9C-101B-9397-08002B2CF9AE}" pid="30" name="Aktivitetskategori">
    <vt:lpwstr/>
  </property>
  <property fmtid="{D5CDD505-2E9C-101B-9397-08002B2CF9AE}" pid="31" name="DocumentSetDescription">
    <vt:lpwstr/>
  </property>
</Properties>
</file>